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5" windowWidth="21075" windowHeight="9780" tabRatio="716" firstSheet="2" activeTab="7"/>
  </bookViews>
  <sheets>
    <sheet name="Full Data" sheetId="14" r:id="rId1"/>
    <sheet name="Top 20 remuneration" sheetId="10" r:id="rId2"/>
    <sheet name="Top 20 remuneration (Exc Redund" sheetId="11" r:id="rId3"/>
    <sheet name="Top 20 councils over £100k" sheetId="9" r:id="rId4"/>
    <sheet name="Table to edit." sheetId="12" r:id="rId5"/>
    <sheet name="Full data exc £90,000-£99,999" sheetId="13" r:id="rId6"/>
    <sheet name="More than £142,500 (PM)" sheetId="15" r:id="rId7"/>
    <sheet name="Chief Executive" sheetId="16" r:id="rId8"/>
  </sheets>
  <definedNames>
    <definedName name="_xlnm._FilterDatabase" localSheetId="7" hidden="1">'Chief Executive'!$A$2:$I$2</definedName>
    <definedName name="_xlnm._FilterDatabase" localSheetId="0" hidden="1">'Full Data'!$A$2:$L$6406</definedName>
    <definedName name="_xlnm._FilterDatabase" localSheetId="5" hidden="1">'Full data exc £90,000-£99,999'!$A$2:$J$4382</definedName>
    <definedName name="_xlnm._FilterDatabase" localSheetId="4" hidden="1">'Table to edit.'!$A$2:$L$2</definedName>
    <definedName name="_xlnm._FilterDatabase" localSheetId="3" hidden="1">'Top 20 councils over £100k'!$A$1:$B$1</definedName>
  </definedNames>
  <calcPr calcId="145621"/>
</workbook>
</file>

<file path=xl/calcChain.xml><?xml version="1.0" encoding="utf-8"?>
<calcChain xmlns="http://schemas.openxmlformats.org/spreadsheetml/2006/main">
  <c r="F414" i="16" l="1"/>
  <c r="F413" i="16"/>
  <c r="E412" i="16"/>
  <c r="F412" i="16" s="1"/>
  <c r="F411" i="16"/>
  <c r="F410" i="16"/>
  <c r="F409" i="16"/>
  <c r="F408" i="16"/>
  <c r="F407" i="16"/>
  <c r="F406" i="16"/>
  <c r="F405" i="16"/>
  <c r="F404" i="16"/>
  <c r="F403" i="16"/>
  <c r="F402" i="16"/>
  <c r="F401" i="16"/>
  <c r="F400" i="16"/>
  <c r="F399" i="16"/>
  <c r="F398" i="16"/>
  <c r="F397" i="16"/>
  <c r="F396" i="16"/>
  <c r="F395" i="16"/>
  <c r="F394" i="16"/>
  <c r="E393" i="16"/>
  <c r="D393" i="16"/>
  <c r="E392" i="16"/>
  <c r="D392" i="16"/>
  <c r="F392" i="16" s="1"/>
  <c r="F391" i="16"/>
  <c r="F390" i="16"/>
  <c r="F389" i="16"/>
  <c r="E388" i="16"/>
  <c r="D388" i="16"/>
  <c r="F387" i="16"/>
  <c r="F386" i="16"/>
  <c r="F385" i="16"/>
  <c r="F384" i="16"/>
  <c r="F383" i="16"/>
  <c r="F382" i="16"/>
  <c r="F381" i="16"/>
  <c r="F380" i="16"/>
  <c r="F379" i="16"/>
  <c r="F378" i="16"/>
  <c r="F377" i="16"/>
  <c r="F376" i="16"/>
  <c r="F375" i="16"/>
  <c r="F374" i="16"/>
  <c r="F373" i="16"/>
  <c r="F372" i="16"/>
  <c r="E371" i="16"/>
  <c r="F371" i="16" s="1"/>
  <c r="D371" i="16"/>
  <c r="F370" i="16"/>
  <c r="F369" i="16"/>
  <c r="F368" i="16"/>
  <c r="F367" i="16"/>
  <c r="F366" i="16"/>
  <c r="F365" i="16"/>
  <c r="F364" i="16"/>
  <c r="F363" i="16"/>
  <c r="F362" i="16"/>
  <c r="F361" i="16"/>
  <c r="F360" i="16"/>
  <c r="F359" i="16"/>
  <c r="F358" i="16"/>
  <c r="F357" i="16"/>
  <c r="F356" i="16"/>
  <c r="D356" i="16"/>
  <c r="F355" i="16"/>
  <c r="F354" i="16"/>
  <c r="F353" i="16"/>
  <c r="F352" i="16"/>
  <c r="F351" i="16"/>
  <c r="F350" i="16"/>
  <c r="F349" i="16"/>
  <c r="F348" i="16"/>
  <c r="F347" i="16"/>
  <c r="F346" i="16"/>
  <c r="F345" i="16"/>
  <c r="F344" i="16"/>
  <c r="F343" i="16"/>
  <c r="F342" i="16"/>
  <c r="F341" i="16"/>
  <c r="F340" i="16"/>
  <c r="F339" i="16"/>
  <c r="F338" i="16"/>
  <c r="F337" i="16"/>
  <c r="F336" i="16"/>
  <c r="F335" i="16"/>
  <c r="F334" i="16"/>
  <c r="F333" i="16"/>
  <c r="F332" i="16"/>
  <c r="F331" i="16"/>
  <c r="E330" i="16"/>
  <c r="D330" i="16"/>
  <c r="D329" i="16"/>
  <c r="F329" i="16" s="1"/>
  <c r="F328" i="16"/>
  <c r="F327" i="16"/>
  <c r="F326" i="16"/>
  <c r="F325" i="16"/>
  <c r="F324" i="16"/>
  <c r="F323" i="16"/>
  <c r="F322" i="16"/>
  <c r="F321" i="16"/>
  <c r="F320" i="16"/>
  <c r="F319" i="16"/>
  <c r="F318" i="16"/>
  <c r="F317" i="16"/>
  <c r="E316" i="16"/>
  <c r="D316" i="16"/>
  <c r="F316" i="16" s="1"/>
  <c r="F315" i="16"/>
  <c r="F314" i="16"/>
  <c r="F313" i="16"/>
  <c r="F312" i="16"/>
  <c r="F311" i="16"/>
  <c r="F310" i="16"/>
  <c r="F309" i="16"/>
  <c r="F308" i="16"/>
  <c r="E307" i="16"/>
  <c r="D307" i="16"/>
  <c r="F306" i="16"/>
  <c r="F305" i="16"/>
  <c r="F304" i="16"/>
  <c r="F303" i="16"/>
  <c r="F302" i="16"/>
  <c r="F301" i="16"/>
  <c r="F300" i="16"/>
  <c r="F299" i="16"/>
  <c r="F298" i="16"/>
  <c r="F297" i="16"/>
  <c r="F296" i="16"/>
  <c r="F295" i="16"/>
  <c r="E294" i="16"/>
  <c r="D294" i="16"/>
  <c r="F294" i="16" s="1"/>
  <c r="F293" i="16"/>
  <c r="F292" i="16"/>
  <c r="F291" i="16"/>
  <c r="F290" i="16"/>
  <c r="F289" i="16"/>
  <c r="F288" i="16"/>
  <c r="F287" i="16"/>
  <c r="F286" i="16"/>
  <c r="F285" i="16"/>
  <c r="E284" i="16"/>
  <c r="D284" i="16"/>
  <c r="F283" i="16"/>
  <c r="F282" i="16"/>
  <c r="F281" i="16"/>
  <c r="F280" i="16"/>
  <c r="F279" i="16"/>
  <c r="F278" i="16"/>
  <c r="F277" i="16"/>
  <c r="E276" i="16"/>
  <c r="F276" i="16" s="1"/>
  <c r="F275" i="16"/>
  <c r="F274" i="16"/>
  <c r="F273" i="16"/>
  <c r="F272" i="16"/>
  <c r="F271" i="16"/>
  <c r="F270" i="16"/>
  <c r="F269" i="16"/>
  <c r="F268" i="16"/>
  <c r="F267" i="16"/>
  <c r="F266" i="16"/>
  <c r="E265" i="16"/>
  <c r="D265" i="16"/>
  <c r="F265" i="16" s="1"/>
  <c r="F264" i="16"/>
  <c r="E263" i="16"/>
  <c r="D263" i="16"/>
  <c r="F262" i="16"/>
  <c r="F261" i="16"/>
  <c r="E260" i="16"/>
  <c r="F260" i="16" s="1"/>
  <c r="F259" i="16"/>
  <c r="F258" i="16"/>
  <c r="F257" i="16"/>
  <c r="F256" i="16"/>
  <c r="F255" i="16"/>
  <c r="F254" i="16"/>
  <c r="F253" i="16"/>
  <c r="F252" i="16"/>
  <c r="F251" i="16"/>
  <c r="F250" i="16"/>
  <c r="F249" i="16"/>
  <c r="F248" i="16"/>
  <c r="F247" i="16"/>
  <c r="F246" i="16"/>
  <c r="F245" i="16"/>
  <c r="F244" i="16"/>
  <c r="E244" i="16"/>
  <c r="F243" i="16"/>
  <c r="F242" i="16"/>
  <c r="F241" i="16"/>
  <c r="E240" i="16"/>
  <c r="D240" i="16"/>
  <c r="F239" i="16"/>
  <c r="F238" i="16"/>
  <c r="F237" i="16"/>
  <c r="F236" i="16"/>
  <c r="F235" i="16"/>
  <c r="E234" i="16"/>
  <c r="F234" i="16" s="1"/>
  <c r="D234" i="16"/>
  <c r="F233" i="16"/>
  <c r="F232" i="16"/>
  <c r="F231" i="16"/>
  <c r="F230" i="16"/>
  <c r="F229" i="16"/>
  <c r="E228" i="16"/>
  <c r="D228" i="16"/>
  <c r="F227" i="16"/>
  <c r="F226" i="16"/>
  <c r="F225" i="16"/>
  <c r="F224" i="16"/>
  <c r="F223" i="16"/>
  <c r="E222" i="16"/>
  <c r="F222" i="16" s="1"/>
  <c r="D222" i="16"/>
  <c r="F221" i="16"/>
  <c r="F220" i="16"/>
  <c r="F219" i="16"/>
  <c r="E219" i="16"/>
  <c r="F218" i="16"/>
  <c r="F217" i="16"/>
  <c r="F216" i="16"/>
  <c r="F215" i="16"/>
  <c r="F214" i="16"/>
  <c r="F213" i="16"/>
  <c r="F212" i="16"/>
  <c r="F211" i="16"/>
  <c r="E210" i="16"/>
  <c r="D210" i="16"/>
  <c r="E209" i="16"/>
  <c r="F209" i="16" s="1"/>
  <c r="D209" i="16"/>
  <c r="F208" i="16"/>
  <c r="F207" i="16"/>
  <c r="F206" i="16"/>
  <c r="F205" i="16"/>
  <c r="F204" i="16"/>
  <c r="F203" i="16"/>
  <c r="E202" i="16"/>
  <c r="D202" i="16"/>
  <c r="F201" i="16"/>
  <c r="F200" i="16"/>
  <c r="F199" i="16"/>
  <c r="F198" i="16"/>
  <c r="F197" i="16"/>
  <c r="F196" i="16"/>
  <c r="F195" i="16"/>
  <c r="F194" i="16"/>
  <c r="F193" i="16"/>
  <c r="F192" i="16"/>
  <c r="F191" i="16"/>
  <c r="F190" i="16"/>
  <c r="F189" i="16"/>
  <c r="F188" i="16"/>
  <c r="E187" i="16"/>
  <c r="F187" i="16" s="1"/>
  <c r="F186" i="16"/>
  <c r="F185" i="16"/>
  <c r="F184" i="16"/>
  <c r="F183" i="16"/>
  <c r="F182" i="16"/>
  <c r="F181" i="16"/>
  <c r="F180" i="16"/>
  <c r="F179" i="16"/>
  <c r="E179" i="16"/>
  <c r="F178" i="16"/>
  <c r="F177" i="16"/>
  <c r="F176" i="16"/>
  <c r="E175" i="16"/>
  <c r="D175" i="16"/>
  <c r="F174" i="16"/>
  <c r="F173" i="16"/>
  <c r="F172" i="16"/>
  <c r="F171" i="16"/>
  <c r="F170" i="16"/>
  <c r="E169" i="16"/>
  <c r="F169" i="16" s="1"/>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E142" i="16"/>
  <c r="D142" i="16"/>
  <c r="F141" i="16"/>
  <c r="F140" i="16"/>
  <c r="F139" i="16"/>
  <c r="F138" i="16"/>
  <c r="F137" i="16"/>
  <c r="E136" i="16"/>
  <c r="F136" i="16" s="1"/>
  <c r="D136" i="16"/>
  <c r="F135" i="16"/>
  <c r="F134" i="16"/>
  <c r="F133" i="16"/>
  <c r="E132" i="16"/>
  <c r="D132" i="16"/>
  <c r="F131" i="16"/>
  <c r="F130" i="16"/>
  <c r="F129" i="16"/>
  <c r="F128" i="16"/>
  <c r="F127" i="16"/>
  <c r="F126" i="16"/>
  <c r="F125" i="16"/>
  <c r="F124" i="16"/>
  <c r="E123" i="16"/>
  <c r="D123" i="16"/>
  <c r="F123" i="16" s="1"/>
  <c r="F122" i="16"/>
  <c r="F121" i="16"/>
  <c r="F120" i="16"/>
  <c r="F119" i="16"/>
  <c r="F118" i="16"/>
  <c r="F117" i="16"/>
  <c r="F116" i="16"/>
  <c r="E115" i="16"/>
  <c r="D115" i="16"/>
  <c r="F114" i="16"/>
  <c r="E113" i="16"/>
  <c r="D113" i="16"/>
  <c r="F113" i="16" s="1"/>
  <c r="F112" i="16"/>
  <c r="F111" i="16"/>
  <c r="E110" i="16"/>
  <c r="D110" i="16"/>
  <c r="F109" i="16"/>
  <c r="F108" i="16"/>
  <c r="F107" i="16"/>
  <c r="E106" i="16"/>
  <c r="F106" i="16" s="1"/>
  <c r="D106" i="16"/>
  <c r="F105" i="16"/>
  <c r="F104" i="16"/>
  <c r="E103" i="16"/>
  <c r="D103" i="16"/>
  <c r="E102" i="16"/>
  <c r="F102" i="16" s="1"/>
  <c r="D102" i="16"/>
  <c r="F101" i="16"/>
  <c r="F100" i="16"/>
  <c r="F99" i="16"/>
  <c r="F98" i="16"/>
  <c r="F97" i="16"/>
  <c r="F96" i="16"/>
  <c r="F95" i="16"/>
  <c r="F94" i="16"/>
  <c r="F93" i="16"/>
  <c r="F92" i="16"/>
  <c r="F91" i="16"/>
  <c r="F90" i="16"/>
  <c r="F89" i="16"/>
  <c r="F88" i="16"/>
  <c r="F87" i="16"/>
  <c r="F86" i="16"/>
  <c r="F85" i="16"/>
  <c r="F84" i="16"/>
  <c r="F83" i="16"/>
  <c r="F82" i="16"/>
  <c r="F81" i="16"/>
  <c r="F80" i="16"/>
  <c r="E79" i="16"/>
  <c r="D79" i="16"/>
  <c r="F79" i="16" s="1"/>
  <c r="E78" i="16"/>
  <c r="D78" i="16"/>
  <c r="F77" i="16"/>
  <c r="F76" i="16"/>
  <c r="F75" i="16"/>
  <c r="F74" i="16"/>
  <c r="F73" i="16"/>
  <c r="F72" i="16"/>
  <c r="F71" i="16"/>
  <c r="F70" i="16"/>
  <c r="F69" i="16"/>
  <c r="F68" i="16"/>
  <c r="F67" i="16"/>
  <c r="F66" i="16"/>
  <c r="F65" i="16"/>
  <c r="F64" i="16"/>
  <c r="F63" i="16"/>
  <c r="F62" i="16"/>
  <c r="F61" i="16"/>
  <c r="F60" i="16"/>
  <c r="F59" i="16"/>
  <c r="F58" i="16"/>
  <c r="F57" i="16"/>
  <c r="E56" i="16"/>
  <c r="D56" i="16"/>
  <c r="F55" i="16"/>
  <c r="F54" i="16"/>
  <c r="F53" i="16"/>
  <c r="E52" i="16"/>
  <c r="F52" i="16" s="1"/>
  <c r="F51" i="16"/>
  <c r="F50" i="16"/>
  <c r="F49" i="16"/>
  <c r="F48" i="16"/>
  <c r="F47" i="16"/>
  <c r="F46" i="16"/>
  <c r="F45" i="16"/>
  <c r="F44" i="16"/>
  <c r="F43" i="16"/>
  <c r="F42" i="16"/>
  <c r="F41" i="16"/>
  <c r="F40" i="16"/>
  <c r="F39" i="16"/>
  <c r="F38" i="16"/>
  <c r="F37" i="16"/>
  <c r="F36" i="16"/>
  <c r="F35" i="16"/>
  <c r="F34" i="16"/>
  <c r="F33" i="16"/>
  <c r="F32" i="16"/>
  <c r="F31" i="16"/>
  <c r="F30" i="16"/>
  <c r="F29" i="16"/>
  <c r="F28" i="16"/>
  <c r="F27" i="16"/>
  <c r="F26" i="16"/>
  <c r="F25" i="16"/>
  <c r="E24" i="16"/>
  <c r="D24" i="16"/>
  <c r="F23" i="16"/>
  <c r="F22" i="16"/>
  <c r="F21" i="16"/>
  <c r="F20" i="16"/>
  <c r="F19" i="16"/>
  <c r="F18" i="16"/>
  <c r="F17" i="16"/>
  <c r="F16" i="16"/>
  <c r="F15" i="16"/>
  <c r="F14" i="16"/>
  <c r="F13" i="16"/>
  <c r="F12" i="16"/>
  <c r="F11" i="16"/>
  <c r="F10" i="16"/>
  <c r="E9" i="16"/>
  <c r="F9" i="16" s="1"/>
  <c r="D9" i="16"/>
  <c r="E8" i="16"/>
  <c r="D8" i="16"/>
  <c r="F7" i="16"/>
  <c r="F6" i="16"/>
  <c r="F5" i="16"/>
  <c r="E4" i="16"/>
  <c r="D4" i="16"/>
  <c r="F4" i="16" s="1"/>
  <c r="E3" i="16"/>
  <c r="D3" i="16"/>
  <c r="F3" i="16" l="1"/>
  <c r="F8" i="16"/>
  <c r="F24" i="16"/>
  <c r="F56" i="16"/>
  <c r="F103" i="16"/>
  <c r="F110" i="16"/>
  <c r="F115" i="16"/>
  <c r="F132" i="16"/>
  <c r="F142" i="16"/>
  <c r="F175" i="16"/>
  <c r="F202" i="16"/>
  <c r="F210" i="16"/>
  <c r="F228" i="16"/>
  <c r="F240" i="16"/>
  <c r="F263" i="16"/>
  <c r="F284" i="16"/>
  <c r="F307" i="16"/>
  <c r="F330" i="16"/>
  <c r="F388" i="16"/>
  <c r="F393" i="16"/>
  <c r="F78" i="16"/>
  <c r="G5912" i="14"/>
  <c r="G5913" i="14"/>
  <c r="G5914" i="14"/>
  <c r="G5915" i="14"/>
  <c r="G5916" i="14"/>
  <c r="G5917" i="14"/>
  <c r="G5918" i="14"/>
  <c r="G5919" i="14"/>
  <c r="G5920" i="14"/>
  <c r="G5921" i="14"/>
  <c r="G5922" i="14"/>
  <c r="G5923" i="14"/>
  <c r="G5924" i="14"/>
  <c r="G5925" i="14"/>
  <c r="G5926" i="14"/>
  <c r="G5927" i="14"/>
  <c r="G5928" i="14"/>
  <c r="G5929" i="14"/>
  <c r="G5930" i="14"/>
  <c r="G5931" i="14"/>
  <c r="G5932" i="14"/>
  <c r="G5933" i="14"/>
  <c r="G5934" i="14"/>
  <c r="G5935" i="14"/>
  <c r="G5936" i="14"/>
  <c r="G5937" i="14"/>
  <c r="G5938" i="14"/>
  <c r="G5939" i="14"/>
  <c r="G5940" i="14"/>
  <c r="G5941" i="14"/>
  <c r="G5942" i="14"/>
  <c r="G5943" i="14"/>
  <c r="G5944" i="14"/>
  <c r="G5945" i="14"/>
  <c r="G5946" i="14"/>
  <c r="G5947" i="14"/>
  <c r="G5948" i="14"/>
  <c r="F883" i="15" l="1"/>
  <c r="I6399" i="14"/>
  <c r="H6399" i="14"/>
  <c r="G6398" i="14"/>
  <c r="G6397" i="14"/>
  <c r="G6396" i="14"/>
  <c r="G6395" i="14"/>
  <c r="G6394" i="14"/>
  <c r="G6393" i="14"/>
  <c r="G6392" i="14"/>
  <c r="G6391" i="14"/>
  <c r="G6390" i="14"/>
  <c r="G6389" i="14"/>
  <c r="G6388" i="14"/>
  <c r="G6387" i="14"/>
  <c r="G6386" i="14"/>
  <c r="G6385" i="14"/>
  <c r="G6384" i="14"/>
  <c r="G6383" i="14"/>
  <c r="G6382" i="14"/>
  <c r="G6381" i="14"/>
  <c r="G6380" i="14"/>
  <c r="G6379" i="14"/>
  <c r="G6378" i="14"/>
  <c r="G6377" i="14"/>
  <c r="G6376" i="14"/>
  <c r="G6375" i="14"/>
  <c r="G6374" i="14"/>
  <c r="G6373" i="14"/>
  <c r="G6372" i="14"/>
  <c r="G6371" i="14"/>
  <c r="F6370" i="14"/>
  <c r="G6370" i="14" s="1"/>
  <c r="F6369" i="14"/>
  <c r="G6369" i="14" s="1"/>
  <c r="G6368" i="14"/>
  <c r="G6367" i="14"/>
  <c r="G6366" i="14"/>
  <c r="G6365" i="14"/>
  <c r="G6364" i="14"/>
  <c r="G6363" i="14"/>
  <c r="G6362" i="14"/>
  <c r="G6361" i="14"/>
  <c r="G6360" i="14"/>
  <c r="G6359" i="14"/>
  <c r="G6358" i="14"/>
  <c r="G6357" i="14"/>
  <c r="G6356" i="14"/>
  <c r="G6355" i="14"/>
  <c r="G6354" i="14"/>
  <c r="G6353" i="14"/>
  <c r="G6352" i="14"/>
  <c r="G6351" i="14"/>
  <c r="G6350" i="14"/>
  <c r="G6349" i="14"/>
  <c r="G6348" i="14"/>
  <c r="G6347" i="14"/>
  <c r="G6346" i="14"/>
  <c r="G6345" i="14"/>
  <c r="G6344" i="14"/>
  <c r="G6343" i="14"/>
  <c r="G6342" i="14"/>
  <c r="G6341" i="14"/>
  <c r="G6340" i="14"/>
  <c r="G6339" i="14"/>
  <c r="G6338" i="14"/>
  <c r="G6337" i="14"/>
  <c r="G6336" i="14"/>
  <c r="G6335" i="14"/>
  <c r="G6334" i="14"/>
  <c r="G6333" i="14"/>
  <c r="G6332" i="14"/>
  <c r="G6331" i="14"/>
  <c r="G6330" i="14"/>
  <c r="G6329" i="14"/>
  <c r="G6328" i="14"/>
  <c r="G6327" i="14"/>
  <c r="G6326" i="14"/>
  <c r="G6325" i="14"/>
  <c r="G6324" i="14"/>
  <c r="G6323" i="14"/>
  <c r="G6322" i="14"/>
  <c r="G6321" i="14"/>
  <c r="G6320" i="14"/>
  <c r="G6319" i="14"/>
  <c r="G6318" i="14"/>
  <c r="G6317" i="14"/>
  <c r="G6316" i="14"/>
  <c r="G6315" i="14"/>
  <c r="G6314" i="14"/>
  <c r="G6313" i="14"/>
  <c r="G6312" i="14"/>
  <c r="G6311" i="14"/>
  <c r="G6310" i="14"/>
  <c r="G6309" i="14"/>
  <c r="G6308" i="14"/>
  <c r="G6307" i="14"/>
  <c r="G6306" i="14"/>
  <c r="G6305" i="14"/>
  <c r="G6304" i="14"/>
  <c r="G6303" i="14"/>
  <c r="G6302" i="14"/>
  <c r="G6301" i="14"/>
  <c r="G6300" i="14"/>
  <c r="G6299" i="14"/>
  <c r="G6298" i="14"/>
  <c r="G6297" i="14"/>
  <c r="G6296" i="14"/>
  <c r="G6295" i="14"/>
  <c r="G6294" i="14"/>
  <c r="G6293" i="14"/>
  <c r="G6292" i="14"/>
  <c r="G6291" i="14"/>
  <c r="G6290" i="14"/>
  <c r="G6289" i="14"/>
  <c r="G6288" i="14"/>
  <c r="G6287" i="14"/>
  <c r="G6286" i="14"/>
  <c r="G6285" i="14"/>
  <c r="G6284" i="14"/>
  <c r="G6283" i="14"/>
  <c r="G6282" i="14"/>
  <c r="G6281" i="14"/>
  <c r="G6280" i="14"/>
  <c r="G6279" i="14"/>
  <c r="G6278" i="14"/>
  <c r="G6277" i="14"/>
  <c r="G6276" i="14"/>
  <c r="G6275" i="14"/>
  <c r="G6274" i="14"/>
  <c r="G6273" i="14"/>
  <c r="G6272" i="14"/>
  <c r="G6271" i="14"/>
  <c r="G6270" i="14"/>
  <c r="G6269" i="14"/>
  <c r="G6268" i="14"/>
  <c r="G6267" i="14"/>
  <c r="G6266" i="14"/>
  <c r="G6265" i="14"/>
  <c r="G6264" i="14"/>
  <c r="G6263" i="14"/>
  <c r="G6262" i="14"/>
  <c r="G6261" i="14"/>
  <c r="G6260" i="14"/>
  <c r="G6259" i="14"/>
  <c r="G6258" i="14"/>
  <c r="G6257" i="14"/>
  <c r="G6256" i="14"/>
  <c r="G6255" i="14"/>
  <c r="G6254" i="14"/>
  <c r="G6253" i="14"/>
  <c r="G6252" i="14"/>
  <c r="G6251" i="14"/>
  <c r="G6250" i="14"/>
  <c r="G6249" i="14"/>
  <c r="G6248" i="14"/>
  <c r="G6247" i="14"/>
  <c r="G6246" i="14"/>
  <c r="G6245" i="14"/>
  <c r="G6244" i="14"/>
  <c r="G6243" i="14"/>
  <c r="G6242" i="14"/>
  <c r="G6241" i="14"/>
  <c r="G6240" i="14"/>
  <c r="G6239" i="14"/>
  <c r="G6238" i="14"/>
  <c r="G6237" i="14"/>
  <c r="G6236" i="14"/>
  <c r="G6235" i="14"/>
  <c r="G6234" i="14"/>
  <c r="G6233" i="14"/>
  <c r="G6232" i="14"/>
  <c r="G6231" i="14"/>
  <c r="G6230" i="14"/>
  <c r="G6229" i="14"/>
  <c r="G6228" i="14"/>
  <c r="G6227" i="14"/>
  <c r="G6226" i="14"/>
  <c r="G6225" i="14"/>
  <c r="G6224" i="14"/>
  <c r="G6223" i="14"/>
  <c r="G6222" i="14"/>
  <c r="G6221" i="14"/>
  <c r="G6220" i="14"/>
  <c r="G6219" i="14"/>
  <c r="G6218" i="14"/>
  <c r="G6217" i="14"/>
  <c r="G6216" i="14"/>
  <c r="G6215" i="14"/>
  <c r="G6214" i="14"/>
  <c r="G6213" i="14"/>
  <c r="G6212" i="14"/>
  <c r="G6211" i="14"/>
  <c r="G6210" i="14"/>
  <c r="G6209" i="14"/>
  <c r="G6208" i="14"/>
  <c r="G6207" i="14"/>
  <c r="G6206" i="14"/>
  <c r="G6205" i="14"/>
  <c r="G6204" i="14"/>
  <c r="G6203" i="14"/>
  <c r="G6202" i="14"/>
  <c r="G6201" i="14"/>
  <c r="G6200" i="14"/>
  <c r="G6199" i="14"/>
  <c r="G6198" i="14"/>
  <c r="G6197" i="14"/>
  <c r="G6196" i="14"/>
  <c r="G6195" i="14"/>
  <c r="G6194" i="14"/>
  <c r="G6193" i="14"/>
  <c r="G6192" i="14"/>
  <c r="G6191" i="14"/>
  <c r="G6190" i="14"/>
  <c r="G6189" i="14"/>
  <c r="G6188" i="14"/>
  <c r="G6187" i="14"/>
  <c r="G6186" i="14"/>
  <c r="G6185" i="14"/>
  <c r="G6184" i="14"/>
  <c r="G6183" i="14"/>
  <c r="G6182" i="14"/>
  <c r="G6181" i="14"/>
  <c r="G6180" i="14"/>
  <c r="G6179" i="14"/>
  <c r="G6178" i="14"/>
  <c r="G6177" i="14"/>
  <c r="G6176" i="14"/>
  <c r="G6175" i="14"/>
  <c r="G6174" i="14"/>
  <c r="G6173" i="14"/>
  <c r="G6172" i="14"/>
  <c r="G6171" i="14"/>
  <c r="G6170" i="14"/>
  <c r="G6169" i="14"/>
  <c r="G6168" i="14"/>
  <c r="G6167" i="14"/>
  <c r="G6166" i="14"/>
  <c r="G6165" i="14"/>
  <c r="G6164" i="14"/>
  <c r="G6163" i="14"/>
  <c r="G6162" i="14"/>
  <c r="G6161" i="14"/>
  <c r="G6160" i="14"/>
  <c r="G6159" i="14"/>
  <c r="G6158" i="14"/>
  <c r="G6157" i="14"/>
  <c r="G6156" i="14"/>
  <c r="G6155" i="14"/>
  <c r="G6154" i="14"/>
  <c r="G6153" i="14"/>
  <c r="G6152" i="14"/>
  <c r="G6151" i="14"/>
  <c r="G6150" i="14"/>
  <c r="G6149" i="14"/>
  <c r="G6148" i="14"/>
  <c r="G6147" i="14"/>
  <c r="G6146" i="14"/>
  <c r="G6145" i="14"/>
  <c r="G6144" i="14"/>
  <c r="G6143" i="14"/>
  <c r="G6142" i="14"/>
  <c r="G6141" i="14"/>
  <c r="G6140" i="14"/>
  <c r="G6139" i="14"/>
  <c r="G6138" i="14"/>
  <c r="G6137" i="14"/>
  <c r="G6136" i="14"/>
  <c r="G6135" i="14"/>
  <c r="G6134" i="14"/>
  <c r="G6133" i="14"/>
  <c r="G6132" i="14"/>
  <c r="G6131" i="14"/>
  <c r="G6130" i="14"/>
  <c r="G6129" i="14"/>
  <c r="G6128" i="14"/>
  <c r="G6127" i="14"/>
  <c r="G6126" i="14"/>
  <c r="G6125" i="14"/>
  <c r="G6124" i="14"/>
  <c r="G6123" i="14"/>
  <c r="G6122" i="14"/>
  <c r="G6121" i="14"/>
  <c r="G6120" i="14"/>
  <c r="G6119" i="14"/>
  <c r="G6118" i="14"/>
  <c r="G6117" i="14"/>
  <c r="G6116" i="14"/>
  <c r="G6115" i="14"/>
  <c r="G6114" i="14"/>
  <c r="G6113" i="14"/>
  <c r="G6112" i="14"/>
  <c r="G6111" i="14"/>
  <c r="G6110" i="14"/>
  <c r="G6109" i="14"/>
  <c r="G6108" i="14"/>
  <c r="G6107" i="14"/>
  <c r="G6106" i="14"/>
  <c r="G6105" i="14"/>
  <c r="G6104" i="14"/>
  <c r="G6103" i="14"/>
  <c r="G6102" i="14"/>
  <c r="G6101" i="14"/>
  <c r="G6100" i="14"/>
  <c r="G6099" i="14"/>
  <c r="G6098" i="14"/>
  <c r="G6097" i="14"/>
  <c r="G6096" i="14"/>
  <c r="G6095" i="14"/>
  <c r="G6094" i="14"/>
  <c r="G6093" i="14"/>
  <c r="G6092" i="14"/>
  <c r="G6091" i="14"/>
  <c r="G6090" i="14"/>
  <c r="G6089" i="14"/>
  <c r="G6088" i="14"/>
  <c r="G6087" i="14"/>
  <c r="G6086" i="14"/>
  <c r="G6085" i="14"/>
  <c r="G6084" i="14"/>
  <c r="F6083" i="14"/>
  <c r="E6083" i="14"/>
  <c r="F6082" i="14"/>
  <c r="E6082" i="14"/>
  <c r="F6081" i="14"/>
  <c r="E6081" i="14"/>
  <c r="F6080" i="14"/>
  <c r="E6080" i="14"/>
  <c r="F6079" i="14"/>
  <c r="E6079" i="14"/>
  <c r="F6078" i="14"/>
  <c r="E6078" i="14"/>
  <c r="F6077" i="14"/>
  <c r="E6077" i="14"/>
  <c r="F6076" i="14"/>
  <c r="E6076" i="14"/>
  <c r="F6075" i="14"/>
  <c r="E6075" i="14"/>
  <c r="F6074" i="14"/>
  <c r="E6074" i="14"/>
  <c r="F6073" i="14"/>
  <c r="E6073" i="14"/>
  <c r="F6072" i="14"/>
  <c r="E6072" i="14"/>
  <c r="F6071" i="14"/>
  <c r="E6071" i="14"/>
  <c r="F6070" i="14"/>
  <c r="E6070" i="14"/>
  <c r="F6069" i="14"/>
  <c r="E6069" i="14"/>
  <c r="G6068" i="14"/>
  <c r="G6067" i="14"/>
  <c r="G6066" i="14"/>
  <c r="G6065" i="14"/>
  <c r="G6064" i="14"/>
  <c r="G6063" i="14"/>
  <c r="F6062" i="14"/>
  <c r="E6062" i="14"/>
  <c r="F6061" i="14"/>
  <c r="E6061" i="14"/>
  <c r="F6060" i="14"/>
  <c r="E6060" i="14"/>
  <c r="F6059" i="14"/>
  <c r="E6059" i="14"/>
  <c r="F6058" i="14"/>
  <c r="E6058" i="14"/>
  <c r="G6057" i="14"/>
  <c r="G6056" i="14"/>
  <c r="G6055" i="14"/>
  <c r="G6054" i="14"/>
  <c r="G6053" i="14"/>
  <c r="G6052" i="14"/>
  <c r="G6051" i="14"/>
  <c r="G6050" i="14"/>
  <c r="G6049" i="14"/>
  <c r="G6048" i="14"/>
  <c r="G6047" i="14"/>
  <c r="G6046" i="14"/>
  <c r="G6045" i="14"/>
  <c r="G6044" i="14"/>
  <c r="G6043" i="14"/>
  <c r="G6042" i="14"/>
  <c r="G6041" i="14"/>
  <c r="G6040" i="14"/>
  <c r="G6039" i="14"/>
  <c r="G6038" i="14"/>
  <c r="G6037" i="14"/>
  <c r="G6036" i="14"/>
  <c r="G6035" i="14"/>
  <c r="G6034" i="14"/>
  <c r="G6033" i="14"/>
  <c r="G6032" i="14"/>
  <c r="G6031" i="14"/>
  <c r="G6030" i="14"/>
  <c r="G6029" i="14"/>
  <c r="G6028" i="14"/>
  <c r="G6027" i="14"/>
  <c r="G6026" i="14"/>
  <c r="G6025" i="14"/>
  <c r="G6024" i="14"/>
  <c r="G6023" i="14"/>
  <c r="G6022" i="14"/>
  <c r="G6021" i="14"/>
  <c r="G6020" i="14"/>
  <c r="G6019" i="14"/>
  <c r="G6018" i="14"/>
  <c r="G6017" i="14"/>
  <c r="G6016" i="14"/>
  <c r="G6015" i="14"/>
  <c r="G6014" i="14"/>
  <c r="G6013" i="14"/>
  <c r="G6012" i="14"/>
  <c r="G6011" i="14"/>
  <c r="G6010" i="14"/>
  <c r="G6009" i="14"/>
  <c r="G6008" i="14"/>
  <c r="G6007" i="14"/>
  <c r="G6006" i="14"/>
  <c r="G6005" i="14"/>
  <c r="G6004" i="14"/>
  <c r="G6003" i="14"/>
  <c r="G6002" i="14"/>
  <c r="G6001" i="14"/>
  <c r="G6000" i="14"/>
  <c r="G5999" i="14"/>
  <c r="G5998" i="14"/>
  <c r="G5997" i="14"/>
  <c r="G5996" i="14"/>
  <c r="G5995" i="14"/>
  <c r="G5994" i="14"/>
  <c r="G5993" i="14"/>
  <c r="G5992" i="14"/>
  <c r="G5991" i="14"/>
  <c r="G5990" i="14"/>
  <c r="G5989" i="14"/>
  <c r="G5988" i="14"/>
  <c r="G5987" i="14"/>
  <c r="G5986" i="14"/>
  <c r="G5985" i="14"/>
  <c r="G5984" i="14"/>
  <c r="G5983" i="14"/>
  <c r="G5982" i="14"/>
  <c r="G5981" i="14"/>
  <c r="G5980" i="14"/>
  <c r="G5979" i="14"/>
  <c r="G5978" i="14"/>
  <c r="G5977" i="14"/>
  <c r="G5976" i="14"/>
  <c r="G5975" i="14"/>
  <c r="G5974" i="14"/>
  <c r="G5973" i="14"/>
  <c r="G5972" i="14"/>
  <c r="G5971" i="14"/>
  <c r="G5970" i="14"/>
  <c r="G5969" i="14"/>
  <c r="G5968" i="14"/>
  <c r="G5967" i="14"/>
  <c r="G5966" i="14"/>
  <c r="G5965" i="14"/>
  <c r="G5964" i="14"/>
  <c r="G5963" i="14"/>
  <c r="G5962" i="14"/>
  <c r="G5961" i="14"/>
  <c r="G5960" i="14"/>
  <c r="G5959" i="14"/>
  <c r="G5958" i="14"/>
  <c r="G5957" i="14"/>
  <c r="G5956" i="14"/>
  <c r="G5955" i="14"/>
  <c r="G5954" i="14"/>
  <c r="G5953" i="14"/>
  <c r="G5952" i="14"/>
  <c r="G5951" i="14"/>
  <c r="G5950" i="14"/>
  <c r="G5949" i="14"/>
  <c r="G5911" i="14"/>
  <c r="G5910" i="14"/>
  <c r="G5909" i="14"/>
  <c r="G5908" i="14"/>
  <c r="G5907" i="14"/>
  <c r="G5906" i="14"/>
  <c r="G5905" i="14"/>
  <c r="G5904" i="14"/>
  <c r="G5903" i="14"/>
  <c r="G5902" i="14"/>
  <c r="G5901" i="14"/>
  <c r="G5900" i="14"/>
  <c r="G5899" i="14"/>
  <c r="G5898" i="14"/>
  <c r="G5897" i="14"/>
  <c r="G5896" i="14"/>
  <c r="G5895" i="14"/>
  <c r="G5894" i="14"/>
  <c r="G5893" i="14"/>
  <c r="G5892" i="14"/>
  <c r="G5891" i="14"/>
  <c r="G5890" i="14"/>
  <c r="G5889" i="14"/>
  <c r="G5888" i="14"/>
  <c r="G5887" i="14"/>
  <c r="G5886" i="14"/>
  <c r="G5885" i="14"/>
  <c r="G5884" i="14"/>
  <c r="G5883" i="14"/>
  <c r="G5882" i="14"/>
  <c r="G5881" i="14"/>
  <c r="G5880" i="14"/>
  <c r="G5879" i="14"/>
  <c r="G5878" i="14"/>
  <c r="G5877" i="14"/>
  <c r="G5876" i="14"/>
  <c r="G5875" i="14"/>
  <c r="G5874" i="14"/>
  <c r="G5873" i="14"/>
  <c r="G5872" i="14"/>
  <c r="G5871" i="14"/>
  <c r="G5870" i="14"/>
  <c r="G5869" i="14"/>
  <c r="G5868" i="14"/>
  <c r="G5867" i="14"/>
  <c r="G5866" i="14"/>
  <c r="G5865" i="14"/>
  <c r="G5864" i="14"/>
  <c r="G5863" i="14"/>
  <c r="G5862" i="14"/>
  <c r="G5861" i="14"/>
  <c r="G5860" i="14"/>
  <c r="G5859" i="14"/>
  <c r="G5858" i="14"/>
  <c r="G5857" i="14"/>
  <c r="G5856" i="14"/>
  <c r="G5855" i="14"/>
  <c r="G5854" i="14"/>
  <c r="G5853" i="14"/>
  <c r="G5852" i="14"/>
  <c r="G5851" i="14"/>
  <c r="G5850" i="14"/>
  <c r="G5849" i="14"/>
  <c r="G5848" i="14"/>
  <c r="G5847" i="14"/>
  <c r="G5846" i="14"/>
  <c r="G5845" i="14"/>
  <c r="G5844" i="14"/>
  <c r="G5843" i="14"/>
  <c r="G5842" i="14"/>
  <c r="G5841" i="14"/>
  <c r="G5840" i="14"/>
  <c r="G5839" i="14"/>
  <c r="G5838" i="14"/>
  <c r="G5837" i="14"/>
  <c r="G5836" i="14"/>
  <c r="G5835" i="14"/>
  <c r="G5834" i="14"/>
  <c r="G5833" i="14"/>
  <c r="G5832" i="14"/>
  <c r="G5831" i="14"/>
  <c r="G5830" i="14"/>
  <c r="G5829" i="14"/>
  <c r="G5828" i="14"/>
  <c r="G5827" i="14"/>
  <c r="G5826" i="14"/>
  <c r="G5825" i="14"/>
  <c r="G5824" i="14"/>
  <c r="G5823" i="14"/>
  <c r="G5822" i="14"/>
  <c r="G5821" i="14"/>
  <c r="G5820" i="14"/>
  <c r="G5819" i="14"/>
  <c r="G5818" i="14"/>
  <c r="G5817" i="14"/>
  <c r="G5816" i="14"/>
  <c r="G5815" i="14"/>
  <c r="G5814" i="14"/>
  <c r="G5813" i="14"/>
  <c r="G5812" i="14"/>
  <c r="G5811" i="14"/>
  <c r="G5810" i="14"/>
  <c r="G5809" i="14"/>
  <c r="G5808" i="14"/>
  <c r="G5807" i="14"/>
  <c r="G5806" i="14"/>
  <c r="G5805" i="14"/>
  <c r="G5804" i="14"/>
  <c r="G5803" i="14"/>
  <c r="G5802" i="14"/>
  <c r="G5801" i="14"/>
  <c r="G5800" i="14"/>
  <c r="G5799" i="14"/>
  <c r="G5798" i="14"/>
  <c r="G5797" i="14"/>
  <c r="G5796" i="14"/>
  <c r="G5795" i="14"/>
  <c r="G5794" i="14"/>
  <c r="G5793" i="14"/>
  <c r="G5792" i="14"/>
  <c r="G5791" i="14"/>
  <c r="G5790" i="14"/>
  <c r="G5789" i="14"/>
  <c r="G5788" i="14"/>
  <c r="G5787" i="14"/>
  <c r="G5786" i="14"/>
  <c r="G5785" i="14"/>
  <c r="G5784" i="14"/>
  <c r="G5783" i="14"/>
  <c r="G5782" i="14"/>
  <c r="G5781" i="14"/>
  <c r="G5780" i="14"/>
  <c r="G5779" i="14"/>
  <c r="G5778" i="14"/>
  <c r="G5777" i="14"/>
  <c r="G5776" i="14"/>
  <c r="G5775" i="14"/>
  <c r="G5774" i="14"/>
  <c r="G5773" i="14"/>
  <c r="G5772" i="14"/>
  <c r="G5771" i="14"/>
  <c r="G5770" i="14"/>
  <c r="G5769" i="14"/>
  <c r="G5768" i="14"/>
  <c r="G5767" i="14"/>
  <c r="G5766" i="14"/>
  <c r="G5765" i="14"/>
  <c r="G5764" i="14"/>
  <c r="G5763" i="14"/>
  <c r="G5762" i="14"/>
  <c r="G5761" i="14"/>
  <c r="G5760" i="14"/>
  <c r="G5759" i="14"/>
  <c r="G5758" i="14"/>
  <c r="G5757" i="14"/>
  <c r="G5756" i="14"/>
  <c r="G5755" i="14"/>
  <c r="G5754" i="14"/>
  <c r="G5753" i="14"/>
  <c r="G5752" i="14"/>
  <c r="G5751" i="14"/>
  <c r="G5750" i="14"/>
  <c r="G5749" i="14"/>
  <c r="G5748" i="14"/>
  <c r="G5747" i="14"/>
  <c r="G5746" i="14"/>
  <c r="G5745" i="14"/>
  <c r="G5744" i="14"/>
  <c r="G5743" i="14"/>
  <c r="G5742" i="14"/>
  <c r="G5741" i="14"/>
  <c r="G5740" i="14"/>
  <c r="G5739" i="14"/>
  <c r="G5738" i="14"/>
  <c r="G5737" i="14"/>
  <c r="G5736" i="14"/>
  <c r="G5735" i="14"/>
  <c r="G5734" i="14"/>
  <c r="G5733" i="14"/>
  <c r="G5732" i="14"/>
  <c r="G5731" i="14"/>
  <c r="F5730" i="14"/>
  <c r="E5730" i="14"/>
  <c r="F5729" i="14"/>
  <c r="E5729" i="14"/>
  <c r="F5728" i="14"/>
  <c r="E5728" i="14"/>
  <c r="F5727" i="14"/>
  <c r="E5727" i="14"/>
  <c r="F5726" i="14"/>
  <c r="E5726" i="14"/>
  <c r="F5725" i="14"/>
  <c r="E5725" i="14"/>
  <c r="G5724" i="14"/>
  <c r="G5723" i="14"/>
  <c r="G5722" i="14"/>
  <c r="G5721" i="14"/>
  <c r="G5720" i="14"/>
  <c r="G5719" i="14"/>
  <c r="G5718" i="14"/>
  <c r="G5717" i="14"/>
  <c r="G5716" i="14"/>
  <c r="G5715" i="14"/>
  <c r="G5714" i="14"/>
  <c r="G5713" i="14"/>
  <c r="G5712" i="14"/>
  <c r="G5711" i="14"/>
  <c r="G5710" i="14"/>
  <c r="G5709" i="14"/>
  <c r="G5708" i="14"/>
  <c r="G5707" i="14"/>
  <c r="G5706" i="14"/>
  <c r="G5705" i="14"/>
  <c r="G5704" i="14"/>
  <c r="G5703" i="14"/>
  <c r="G5702" i="14"/>
  <c r="G5701" i="14"/>
  <c r="G5700" i="14"/>
  <c r="G5699" i="14"/>
  <c r="G5698" i="14"/>
  <c r="G5697" i="14"/>
  <c r="G5696" i="14"/>
  <c r="G5695" i="14"/>
  <c r="G5694" i="14"/>
  <c r="G5693" i="14"/>
  <c r="G5692" i="14"/>
  <c r="G5691" i="14"/>
  <c r="G5690" i="14"/>
  <c r="G5689" i="14"/>
  <c r="G5688" i="14"/>
  <c r="G5687" i="14"/>
  <c r="G5686" i="14"/>
  <c r="G5685" i="14"/>
  <c r="G5684" i="14"/>
  <c r="G5683" i="14"/>
  <c r="G5682" i="14"/>
  <c r="G5681" i="14"/>
  <c r="G5680" i="14"/>
  <c r="G5679" i="14"/>
  <c r="G5678" i="14"/>
  <c r="G5677" i="14"/>
  <c r="G5676" i="14"/>
  <c r="G5675" i="14"/>
  <c r="G5674" i="14"/>
  <c r="G5673" i="14"/>
  <c r="G5672" i="14"/>
  <c r="G5671" i="14"/>
  <c r="G5670" i="14"/>
  <c r="G5669" i="14"/>
  <c r="G5668" i="14"/>
  <c r="G5667" i="14"/>
  <c r="G5666" i="14"/>
  <c r="G5665" i="14"/>
  <c r="G5664" i="14"/>
  <c r="G5663" i="14"/>
  <c r="G5662" i="14"/>
  <c r="G5661" i="14"/>
  <c r="G5660" i="14"/>
  <c r="G5659" i="14"/>
  <c r="G5658" i="14"/>
  <c r="G5657" i="14"/>
  <c r="G5656" i="14"/>
  <c r="G5655" i="14"/>
  <c r="G5654" i="14"/>
  <c r="G5653" i="14"/>
  <c r="G5652" i="14"/>
  <c r="G5651" i="14"/>
  <c r="G5650" i="14"/>
  <c r="G5649" i="14"/>
  <c r="G5648" i="14"/>
  <c r="G5647" i="14"/>
  <c r="G5646" i="14"/>
  <c r="G5645" i="14"/>
  <c r="G5644" i="14"/>
  <c r="G5643" i="14"/>
  <c r="G5642" i="14"/>
  <c r="G5641" i="14"/>
  <c r="G5640" i="14"/>
  <c r="G5639" i="14"/>
  <c r="G5638" i="14"/>
  <c r="G5637" i="14"/>
  <c r="G5636" i="14"/>
  <c r="G5635" i="14"/>
  <c r="G5634" i="14"/>
  <c r="G5633" i="14"/>
  <c r="G5632" i="14"/>
  <c r="G5631" i="14"/>
  <c r="G5630" i="14"/>
  <c r="G5629" i="14"/>
  <c r="G5628" i="14"/>
  <c r="G5627" i="14"/>
  <c r="G5626" i="14"/>
  <c r="G5625" i="14"/>
  <c r="G5624" i="14"/>
  <c r="G5623" i="14"/>
  <c r="G5622" i="14"/>
  <c r="G5621" i="14"/>
  <c r="G5620" i="14"/>
  <c r="G5619" i="14"/>
  <c r="G5618" i="14"/>
  <c r="G5617" i="14"/>
  <c r="G5616" i="14"/>
  <c r="G5615" i="14"/>
  <c r="G5614" i="14"/>
  <c r="G5613" i="14"/>
  <c r="G5612" i="14"/>
  <c r="G5611" i="14"/>
  <c r="G5610" i="14"/>
  <c r="G5609" i="14"/>
  <c r="G5608" i="14"/>
  <c r="G5607" i="14"/>
  <c r="G5606" i="14"/>
  <c r="G5605" i="14"/>
  <c r="G5604" i="14"/>
  <c r="G5603" i="14"/>
  <c r="G5602" i="14"/>
  <c r="G5601" i="14"/>
  <c r="G5600" i="14"/>
  <c r="G5599" i="14"/>
  <c r="G5598" i="14"/>
  <c r="G5597" i="14"/>
  <c r="G5596" i="14"/>
  <c r="G5595" i="14"/>
  <c r="G5594" i="14"/>
  <c r="G5593" i="14"/>
  <c r="G5592" i="14"/>
  <c r="G5591" i="14"/>
  <c r="G5590" i="14"/>
  <c r="G5589" i="14"/>
  <c r="G5588" i="14"/>
  <c r="G5587" i="14"/>
  <c r="G5586" i="14"/>
  <c r="G5585" i="14"/>
  <c r="G5584" i="14"/>
  <c r="G5583" i="14"/>
  <c r="G5582" i="14"/>
  <c r="G5581" i="14"/>
  <c r="G5580" i="14"/>
  <c r="G5579" i="14"/>
  <c r="G5578" i="14"/>
  <c r="G5577" i="14"/>
  <c r="G5576" i="14"/>
  <c r="G5575" i="14"/>
  <c r="G5574" i="14"/>
  <c r="G5573" i="14"/>
  <c r="G5572" i="14"/>
  <c r="G5571" i="14"/>
  <c r="G5570" i="14"/>
  <c r="G5569" i="14"/>
  <c r="G5568" i="14"/>
  <c r="G5567" i="14"/>
  <c r="G5566" i="14"/>
  <c r="G5565" i="14"/>
  <c r="G5564" i="14"/>
  <c r="G5563" i="14"/>
  <c r="G5562" i="14"/>
  <c r="G5561" i="14"/>
  <c r="G5560" i="14"/>
  <c r="G5559" i="14"/>
  <c r="G5558" i="14"/>
  <c r="G5557" i="14"/>
  <c r="G5556" i="14"/>
  <c r="G5555" i="14"/>
  <c r="G5554" i="14"/>
  <c r="G5553" i="14"/>
  <c r="G5552" i="14"/>
  <c r="G5551" i="14"/>
  <c r="G5550" i="14"/>
  <c r="G5549" i="14"/>
  <c r="G5548" i="14"/>
  <c r="G5547" i="14"/>
  <c r="G5546" i="14"/>
  <c r="G5545" i="14"/>
  <c r="G5544" i="14"/>
  <c r="G5543" i="14"/>
  <c r="G5542" i="14"/>
  <c r="G5541" i="14"/>
  <c r="G5540" i="14"/>
  <c r="E5539" i="14"/>
  <c r="G5539" i="14" s="1"/>
  <c r="G5538" i="14"/>
  <c r="E5537" i="14"/>
  <c r="G5537" i="14" s="1"/>
  <c r="G5536" i="14"/>
  <c r="G5535" i="14"/>
  <c r="G5534" i="14"/>
  <c r="G5533" i="14"/>
  <c r="G5532" i="14"/>
  <c r="G5531" i="14"/>
  <c r="G5530" i="14"/>
  <c r="G5529" i="14"/>
  <c r="G5528" i="14"/>
  <c r="G5527" i="14"/>
  <c r="G5526" i="14"/>
  <c r="G5525" i="14"/>
  <c r="G5524" i="14"/>
  <c r="G5523" i="14"/>
  <c r="G5522" i="14"/>
  <c r="G5521" i="14"/>
  <c r="G5520" i="14"/>
  <c r="G5519" i="14"/>
  <c r="G5518" i="14"/>
  <c r="G5517" i="14"/>
  <c r="G5516" i="14"/>
  <c r="G5515" i="14"/>
  <c r="G5514" i="14"/>
  <c r="G5513" i="14"/>
  <c r="G5512" i="14"/>
  <c r="G5511" i="14"/>
  <c r="G5510" i="14"/>
  <c r="G5509" i="14"/>
  <c r="G5508" i="14"/>
  <c r="G5507" i="14"/>
  <c r="G5506" i="14"/>
  <c r="G5505" i="14"/>
  <c r="G5504" i="14"/>
  <c r="G5503" i="14"/>
  <c r="G5502" i="14"/>
  <c r="G5501" i="14"/>
  <c r="G5500" i="14"/>
  <c r="G5499" i="14"/>
  <c r="G5498" i="14"/>
  <c r="G5497" i="14"/>
  <c r="G5496" i="14"/>
  <c r="G5495" i="14"/>
  <c r="G5494" i="14"/>
  <c r="G5493" i="14"/>
  <c r="G5492" i="14"/>
  <c r="G5491" i="14"/>
  <c r="G5490" i="14"/>
  <c r="G5489" i="14"/>
  <c r="G5488" i="14"/>
  <c r="G5487" i="14"/>
  <c r="G5486" i="14"/>
  <c r="G5485" i="14"/>
  <c r="G5484" i="14"/>
  <c r="G5483" i="14"/>
  <c r="G5482" i="14"/>
  <c r="G5481" i="14"/>
  <c r="G5480" i="14"/>
  <c r="G5479" i="14"/>
  <c r="G5478" i="14"/>
  <c r="G5477" i="14"/>
  <c r="G5476" i="14"/>
  <c r="G5475" i="14"/>
  <c r="G5474" i="14"/>
  <c r="G5473" i="14"/>
  <c r="G5472" i="14"/>
  <c r="G5471" i="14"/>
  <c r="G5470" i="14"/>
  <c r="G5469" i="14"/>
  <c r="G5468" i="14"/>
  <c r="G5467" i="14"/>
  <c r="G5466" i="14"/>
  <c r="G5465" i="14"/>
  <c r="G5464" i="14"/>
  <c r="G5463" i="14"/>
  <c r="G5462" i="14"/>
  <c r="G5461" i="14"/>
  <c r="G5460" i="14"/>
  <c r="G5459" i="14"/>
  <c r="G5458" i="14"/>
  <c r="G5457" i="14"/>
  <c r="G5456" i="14"/>
  <c r="G5455" i="14"/>
  <c r="G5454" i="14"/>
  <c r="G5453" i="14"/>
  <c r="G5452" i="14"/>
  <c r="G5451" i="14"/>
  <c r="G5450" i="14"/>
  <c r="G5449" i="14"/>
  <c r="G5448" i="14"/>
  <c r="G5447" i="14"/>
  <c r="G5446" i="14"/>
  <c r="G5445" i="14"/>
  <c r="G5444" i="14"/>
  <c r="G5443" i="14"/>
  <c r="G5442" i="14"/>
  <c r="G5441" i="14"/>
  <c r="G5440" i="14"/>
  <c r="G5439" i="14"/>
  <c r="G5438" i="14"/>
  <c r="G5437" i="14"/>
  <c r="G5436" i="14"/>
  <c r="G5435" i="14"/>
  <c r="G5434" i="14"/>
  <c r="G5433" i="14"/>
  <c r="G5432" i="14"/>
  <c r="G5431" i="14"/>
  <c r="G5430" i="14"/>
  <c r="G5429" i="14"/>
  <c r="G5428" i="14"/>
  <c r="G5427" i="14"/>
  <c r="G5426" i="14"/>
  <c r="G5425" i="14"/>
  <c r="G5424" i="14"/>
  <c r="G5423" i="14"/>
  <c r="G5422" i="14"/>
  <c r="G5421" i="14"/>
  <c r="G5420" i="14"/>
  <c r="G5419" i="14"/>
  <c r="G5418" i="14"/>
  <c r="G5417" i="14"/>
  <c r="G5416" i="14"/>
  <c r="G5415" i="14"/>
  <c r="G5414" i="14"/>
  <c r="G5413" i="14"/>
  <c r="G5412" i="14"/>
  <c r="G5411" i="14"/>
  <c r="G5410" i="14"/>
  <c r="G5409" i="14"/>
  <c r="G5408" i="14"/>
  <c r="G5407" i="14"/>
  <c r="G5406" i="14"/>
  <c r="G5405" i="14"/>
  <c r="G5404" i="14"/>
  <c r="G5403" i="14"/>
  <c r="G5402" i="14"/>
  <c r="G5401" i="14"/>
  <c r="G5400" i="14"/>
  <c r="G5399" i="14"/>
  <c r="G5398" i="14"/>
  <c r="G5397" i="14"/>
  <c r="G5396" i="14"/>
  <c r="G5395" i="14"/>
  <c r="G5394" i="14"/>
  <c r="G5393" i="14"/>
  <c r="G5392" i="14"/>
  <c r="G5391" i="14"/>
  <c r="G5390" i="14"/>
  <c r="G5389" i="14"/>
  <c r="G5388" i="14"/>
  <c r="G5387" i="14"/>
  <c r="G5386" i="14"/>
  <c r="G5385" i="14"/>
  <c r="G5384" i="14"/>
  <c r="G5383" i="14"/>
  <c r="G5382" i="14"/>
  <c r="G5381" i="14"/>
  <c r="G5380" i="14"/>
  <c r="G5379" i="14"/>
  <c r="G5378" i="14"/>
  <c r="G5377" i="14"/>
  <c r="G5376" i="14"/>
  <c r="G5375" i="14"/>
  <c r="G5374" i="14"/>
  <c r="G5373" i="14"/>
  <c r="G5372" i="14"/>
  <c r="G5371" i="14"/>
  <c r="G5370" i="14"/>
  <c r="G5369" i="14"/>
  <c r="G5368" i="14"/>
  <c r="G5367" i="14"/>
  <c r="G5366" i="14"/>
  <c r="G5365" i="14"/>
  <c r="G5364" i="14"/>
  <c r="G5363" i="14"/>
  <c r="G5362" i="14"/>
  <c r="G5361" i="14"/>
  <c r="G5360" i="14"/>
  <c r="G5359" i="14"/>
  <c r="G5358" i="14"/>
  <c r="G5357" i="14"/>
  <c r="G5356" i="14"/>
  <c r="G5355" i="14"/>
  <c r="G5354" i="14"/>
  <c r="G5353" i="14"/>
  <c r="G5352" i="14"/>
  <c r="G5351" i="14"/>
  <c r="G5350" i="14"/>
  <c r="G5349" i="14"/>
  <c r="G5348" i="14"/>
  <c r="G5347" i="14"/>
  <c r="G5346" i="14"/>
  <c r="G5345" i="14"/>
  <c r="G5344" i="14"/>
  <c r="G5343" i="14"/>
  <c r="G5342" i="14"/>
  <c r="G5341" i="14"/>
  <c r="G5340" i="14"/>
  <c r="G5339" i="14"/>
  <c r="G5338" i="14"/>
  <c r="G5337" i="14"/>
  <c r="G5336" i="14"/>
  <c r="G5335" i="14"/>
  <c r="G5334" i="14"/>
  <c r="G5333" i="14"/>
  <c r="G5332" i="14"/>
  <c r="G5331" i="14"/>
  <c r="G5330" i="14"/>
  <c r="G5329" i="14"/>
  <c r="G5328" i="14"/>
  <c r="G5327" i="14"/>
  <c r="G5326" i="14"/>
  <c r="G5325" i="14"/>
  <c r="G5324" i="14"/>
  <c r="G5323" i="14"/>
  <c r="G5322" i="14"/>
  <c r="G5321" i="14"/>
  <c r="G5320" i="14"/>
  <c r="G5319" i="14"/>
  <c r="G5318" i="14"/>
  <c r="G5317" i="14"/>
  <c r="G5316" i="14"/>
  <c r="G5315" i="14"/>
  <c r="G5314" i="14"/>
  <c r="G5313" i="14"/>
  <c r="G5312" i="14"/>
  <c r="G5311" i="14"/>
  <c r="G5310" i="14"/>
  <c r="G5309" i="14"/>
  <c r="G5308" i="14"/>
  <c r="G5307" i="14"/>
  <c r="G5306" i="14"/>
  <c r="G5305" i="14"/>
  <c r="G5304" i="14"/>
  <c r="G5303" i="14"/>
  <c r="G5302" i="14"/>
  <c r="G5301" i="14"/>
  <c r="G5300" i="14"/>
  <c r="G5299" i="14"/>
  <c r="G5298" i="14"/>
  <c r="G5297" i="14"/>
  <c r="G5296" i="14"/>
  <c r="G5295" i="14"/>
  <c r="G5294" i="14"/>
  <c r="G5293" i="14"/>
  <c r="G5292" i="14"/>
  <c r="G5291" i="14"/>
  <c r="G5290" i="14"/>
  <c r="G5289" i="14"/>
  <c r="G5288" i="14"/>
  <c r="G5287" i="14"/>
  <c r="G5286" i="14"/>
  <c r="G5285" i="14"/>
  <c r="G5284" i="14"/>
  <c r="G5283" i="14"/>
  <c r="G5282" i="14"/>
  <c r="G5281" i="14"/>
  <c r="G5280" i="14"/>
  <c r="G5279" i="14"/>
  <c r="G5278" i="14"/>
  <c r="G5277" i="14"/>
  <c r="G5276" i="14"/>
  <c r="G5275" i="14"/>
  <c r="G5274" i="14"/>
  <c r="G5273" i="14"/>
  <c r="G5272" i="14"/>
  <c r="G5271" i="14"/>
  <c r="G5270" i="14"/>
  <c r="G5269" i="14"/>
  <c r="G5268" i="14"/>
  <c r="G5267" i="14"/>
  <c r="G5266" i="14"/>
  <c r="G5265" i="14"/>
  <c r="G5264" i="14"/>
  <c r="G5263" i="14"/>
  <c r="G5262" i="14"/>
  <c r="G5261" i="14"/>
  <c r="G5260" i="14"/>
  <c r="G5259" i="14"/>
  <c r="G5258" i="14"/>
  <c r="G5257" i="14"/>
  <c r="G5256" i="14"/>
  <c r="G5255" i="14"/>
  <c r="G5254" i="14"/>
  <c r="G5253" i="14"/>
  <c r="G5252" i="14"/>
  <c r="G5251" i="14"/>
  <c r="G5250" i="14"/>
  <c r="G5249" i="14"/>
  <c r="G5248" i="14"/>
  <c r="G5247" i="14"/>
  <c r="G5246" i="14"/>
  <c r="G5245" i="14"/>
  <c r="G5244" i="14"/>
  <c r="G5243" i="14"/>
  <c r="G5242" i="14"/>
  <c r="G5241" i="14"/>
  <c r="G5240" i="14"/>
  <c r="G5239" i="14"/>
  <c r="G5238" i="14"/>
  <c r="G5237" i="14"/>
  <c r="G5236" i="14"/>
  <c r="G5235" i="14"/>
  <c r="G5234" i="14"/>
  <c r="G5233" i="14"/>
  <c r="G5232" i="14"/>
  <c r="G5231" i="14"/>
  <c r="G5230" i="14"/>
  <c r="G5229" i="14"/>
  <c r="G5228" i="14"/>
  <c r="G5227" i="14"/>
  <c r="G5226" i="14"/>
  <c r="G5225" i="14"/>
  <c r="G5224" i="14"/>
  <c r="G5223" i="14"/>
  <c r="G5222" i="14"/>
  <c r="G5221" i="14"/>
  <c r="G5220" i="14"/>
  <c r="G5219" i="14"/>
  <c r="G5218" i="14"/>
  <c r="G5217" i="14"/>
  <c r="G5216" i="14"/>
  <c r="G5215" i="14"/>
  <c r="G5214" i="14"/>
  <c r="G5213" i="14"/>
  <c r="G5212" i="14"/>
  <c r="G5211" i="14"/>
  <c r="G5210" i="14"/>
  <c r="G5209" i="14"/>
  <c r="G5208" i="14"/>
  <c r="G5207" i="14"/>
  <c r="G5206" i="14"/>
  <c r="G5205" i="14"/>
  <c r="G5204" i="14"/>
  <c r="G5203" i="14"/>
  <c r="G5202" i="14"/>
  <c r="G5201" i="14"/>
  <c r="G5200" i="14"/>
  <c r="G5199" i="14"/>
  <c r="G5198" i="14"/>
  <c r="G5197" i="14"/>
  <c r="G5196" i="14"/>
  <c r="G5195" i="14"/>
  <c r="G5194" i="14"/>
  <c r="G5193" i="14"/>
  <c r="G5192" i="14"/>
  <c r="G5191" i="14"/>
  <c r="G5190" i="14"/>
  <c r="G5189" i="14"/>
  <c r="G5188" i="14"/>
  <c r="G5187" i="14"/>
  <c r="G5186" i="14"/>
  <c r="G5185" i="14"/>
  <c r="F5184" i="14"/>
  <c r="G5184" i="14" s="1"/>
  <c r="G5183" i="14"/>
  <c r="G5182" i="14"/>
  <c r="G5181" i="14"/>
  <c r="G5180" i="14"/>
  <c r="G5179" i="14"/>
  <c r="G5178" i="14"/>
  <c r="G5177" i="14"/>
  <c r="G5176" i="14"/>
  <c r="G5175" i="14"/>
  <c r="G5174" i="14"/>
  <c r="G5173" i="14"/>
  <c r="G5172" i="14"/>
  <c r="G5171" i="14"/>
  <c r="G5170" i="14"/>
  <c r="G5169" i="14"/>
  <c r="G5168" i="14"/>
  <c r="G5167" i="14"/>
  <c r="G5166" i="14"/>
  <c r="G5165" i="14"/>
  <c r="G5164" i="14"/>
  <c r="G5163" i="14"/>
  <c r="G5162" i="14"/>
  <c r="G5161" i="14"/>
  <c r="G5160" i="14"/>
  <c r="G5159" i="14"/>
  <c r="G5158" i="14"/>
  <c r="G5157" i="14"/>
  <c r="G5156" i="14"/>
  <c r="G5155" i="14"/>
  <c r="G5154" i="14"/>
  <c r="G5153" i="14"/>
  <c r="G5152" i="14"/>
  <c r="G5151" i="14"/>
  <c r="G5150" i="14"/>
  <c r="G5149" i="14"/>
  <c r="G5148" i="14"/>
  <c r="G5147" i="14"/>
  <c r="G5146" i="14"/>
  <c r="G5145" i="14"/>
  <c r="G5144" i="14"/>
  <c r="G5143" i="14"/>
  <c r="G5142" i="14"/>
  <c r="G5141" i="14"/>
  <c r="G5140" i="14"/>
  <c r="G5139" i="14"/>
  <c r="G5138" i="14"/>
  <c r="G5137" i="14"/>
  <c r="G5136" i="14"/>
  <c r="G5135" i="14"/>
  <c r="G5134" i="14"/>
  <c r="G5133" i="14"/>
  <c r="G5132" i="14"/>
  <c r="G5131" i="14"/>
  <c r="G5130" i="14"/>
  <c r="G5129" i="14"/>
  <c r="G5128" i="14"/>
  <c r="G5127" i="14"/>
  <c r="G5126" i="14"/>
  <c r="G5125" i="14"/>
  <c r="G5124" i="14"/>
  <c r="G5123" i="14"/>
  <c r="G5122" i="14"/>
  <c r="G5121" i="14"/>
  <c r="G5120" i="14"/>
  <c r="G5119" i="14"/>
  <c r="G5118" i="14"/>
  <c r="G5117" i="14"/>
  <c r="G5116" i="14"/>
  <c r="G5115" i="14"/>
  <c r="G5114" i="14"/>
  <c r="G5113" i="14"/>
  <c r="G5112" i="14"/>
  <c r="G5111" i="14"/>
  <c r="G5110" i="14"/>
  <c r="G5109" i="14"/>
  <c r="F5108" i="14"/>
  <c r="E5108" i="14"/>
  <c r="F5107" i="14"/>
  <c r="E5107" i="14"/>
  <c r="G5107" i="14" s="1"/>
  <c r="F5106" i="14"/>
  <c r="E5106" i="14"/>
  <c r="E5105" i="14"/>
  <c r="G5105" i="14" s="1"/>
  <c r="F5104" i="14"/>
  <c r="E5104" i="14"/>
  <c r="E5103" i="14"/>
  <c r="G5103" i="14" s="1"/>
  <c r="E5102" i="14"/>
  <c r="G5102" i="14" s="1"/>
  <c r="E5101" i="14"/>
  <c r="G5101" i="14" s="1"/>
  <c r="E5100" i="14"/>
  <c r="G5100" i="14" s="1"/>
  <c r="G5099" i="14"/>
  <c r="G5098" i="14"/>
  <c r="G5097" i="14"/>
  <c r="G5096" i="14"/>
  <c r="G5095" i="14"/>
  <c r="G5094" i="14"/>
  <c r="G5093" i="14"/>
  <c r="G5092" i="14"/>
  <c r="G5091" i="14"/>
  <c r="G5090" i="14"/>
  <c r="G5089" i="14"/>
  <c r="G5088" i="14"/>
  <c r="G5087" i="14"/>
  <c r="G5086" i="14"/>
  <c r="G5085" i="14"/>
  <c r="G5084" i="14"/>
  <c r="G5083" i="14"/>
  <c r="G5082" i="14"/>
  <c r="G5081" i="14"/>
  <c r="G5080" i="14"/>
  <c r="G5079" i="14"/>
  <c r="G5078" i="14"/>
  <c r="G5077" i="14"/>
  <c r="G5076" i="14"/>
  <c r="G5075" i="14"/>
  <c r="G5074" i="14"/>
  <c r="G5073" i="14"/>
  <c r="G5072" i="14"/>
  <c r="G5071" i="14"/>
  <c r="G5070" i="14"/>
  <c r="G5069" i="14"/>
  <c r="G5068" i="14"/>
  <c r="G5067" i="14"/>
  <c r="G5066" i="14"/>
  <c r="G5065" i="14"/>
  <c r="G5064" i="14"/>
  <c r="G5063" i="14"/>
  <c r="G5062" i="14"/>
  <c r="G5061" i="14"/>
  <c r="G5060" i="14"/>
  <c r="G5059" i="14"/>
  <c r="G5058" i="14"/>
  <c r="G5057" i="14"/>
  <c r="G5056" i="14"/>
  <c r="G5055" i="14"/>
  <c r="G5054" i="14"/>
  <c r="G5053" i="14"/>
  <c r="G5052" i="14"/>
  <c r="G5051" i="14"/>
  <c r="G5050" i="14"/>
  <c r="G5049" i="14"/>
  <c r="G5048" i="14"/>
  <c r="F5047" i="14"/>
  <c r="E5047" i="14"/>
  <c r="F5046" i="14"/>
  <c r="E5046" i="14"/>
  <c r="F5045" i="14"/>
  <c r="E5045" i="14"/>
  <c r="F5044" i="14"/>
  <c r="E5044" i="14"/>
  <c r="F5043" i="14"/>
  <c r="E5043" i="14"/>
  <c r="F5042" i="14"/>
  <c r="E5042" i="14"/>
  <c r="G5041" i="14"/>
  <c r="G5040" i="14"/>
  <c r="G5039" i="14"/>
  <c r="G5038" i="14"/>
  <c r="G5037" i="14"/>
  <c r="G5036" i="14"/>
  <c r="G5035" i="14"/>
  <c r="G5034" i="14"/>
  <c r="F5033" i="14"/>
  <c r="G5033" i="14" s="1"/>
  <c r="G5032" i="14"/>
  <c r="G5031" i="14"/>
  <c r="G5030" i="14"/>
  <c r="G5029" i="14"/>
  <c r="G5028" i="14"/>
  <c r="G5027" i="14"/>
  <c r="G5026" i="14"/>
  <c r="G5025" i="14"/>
  <c r="G5024" i="14"/>
  <c r="G5023" i="14"/>
  <c r="G5022" i="14"/>
  <c r="G5021" i="14"/>
  <c r="G5020" i="14"/>
  <c r="G5019" i="14"/>
  <c r="G5018" i="14"/>
  <c r="G5017" i="14"/>
  <c r="G5016" i="14"/>
  <c r="G5015" i="14"/>
  <c r="G5014" i="14"/>
  <c r="G5013" i="14"/>
  <c r="G5012" i="14"/>
  <c r="G5011" i="14"/>
  <c r="G5010" i="14"/>
  <c r="G5009" i="14"/>
  <c r="G5008" i="14"/>
  <c r="G5007" i="14"/>
  <c r="G5006" i="14"/>
  <c r="G5005" i="14"/>
  <c r="G5004" i="14"/>
  <c r="G5003" i="14"/>
  <c r="G5002" i="14"/>
  <c r="G5001" i="14"/>
  <c r="G5000" i="14"/>
  <c r="G4999" i="14"/>
  <c r="G4998" i="14"/>
  <c r="G4997" i="14"/>
  <c r="G4996" i="14"/>
  <c r="G4995" i="14"/>
  <c r="G4994" i="14"/>
  <c r="G4993" i="14"/>
  <c r="G4992" i="14"/>
  <c r="G4991" i="14"/>
  <c r="G4990" i="14"/>
  <c r="G4989" i="14"/>
  <c r="G4988" i="14"/>
  <c r="G4987" i="14"/>
  <c r="G4986" i="14"/>
  <c r="G4985" i="14"/>
  <c r="G4984" i="14"/>
  <c r="G4983" i="14"/>
  <c r="G4982" i="14"/>
  <c r="G4981" i="14"/>
  <c r="G4980" i="14"/>
  <c r="G4979" i="14"/>
  <c r="G4978" i="14"/>
  <c r="G4977" i="14"/>
  <c r="G4976" i="14"/>
  <c r="G4975" i="14"/>
  <c r="G4974" i="14"/>
  <c r="G4973" i="14"/>
  <c r="G4972" i="14"/>
  <c r="G4971" i="14"/>
  <c r="G4970" i="14"/>
  <c r="G4969" i="14"/>
  <c r="G4968" i="14"/>
  <c r="G4967" i="14"/>
  <c r="G4966" i="14"/>
  <c r="G4965" i="14"/>
  <c r="F4964" i="14"/>
  <c r="E4964" i="14"/>
  <c r="F4963" i="14"/>
  <c r="G4963" i="14" s="1"/>
  <c r="F4962" i="14"/>
  <c r="E4962" i="14"/>
  <c r="F4961" i="14"/>
  <c r="E4961" i="14"/>
  <c r="F4960" i="14"/>
  <c r="E4960" i="14"/>
  <c r="F4959" i="14"/>
  <c r="E4959" i="14"/>
  <c r="F4958" i="14"/>
  <c r="E4958" i="14"/>
  <c r="F4957" i="14"/>
  <c r="E4957" i="14"/>
  <c r="G4956" i="14"/>
  <c r="G4955" i="14"/>
  <c r="G4954" i="14"/>
  <c r="G4953" i="14"/>
  <c r="G4952" i="14"/>
  <c r="G4951" i="14"/>
  <c r="G4950" i="14"/>
  <c r="G4949" i="14"/>
  <c r="G4948" i="14"/>
  <c r="G4947" i="14"/>
  <c r="G4946" i="14"/>
  <c r="G4945" i="14"/>
  <c r="G4944" i="14"/>
  <c r="G4943" i="14"/>
  <c r="G4942" i="14"/>
  <c r="G4941" i="14"/>
  <c r="G4940" i="14"/>
  <c r="G4939" i="14"/>
  <c r="G4938" i="14"/>
  <c r="G4937" i="14"/>
  <c r="G4936" i="14"/>
  <c r="G4935" i="14"/>
  <c r="G4934" i="14"/>
  <c r="G4933" i="14"/>
  <c r="G4932" i="14"/>
  <c r="G4931" i="14"/>
  <c r="G4930" i="14"/>
  <c r="G4929" i="14"/>
  <c r="G4928" i="14"/>
  <c r="G4927" i="14"/>
  <c r="G4926" i="14"/>
  <c r="G4925" i="14"/>
  <c r="G4924" i="14"/>
  <c r="G4923" i="14"/>
  <c r="G4922" i="14"/>
  <c r="G4921" i="14"/>
  <c r="F4920" i="14"/>
  <c r="E4920" i="14"/>
  <c r="F4919" i="14"/>
  <c r="E4919" i="14"/>
  <c r="F4918" i="14"/>
  <c r="E4918" i="14"/>
  <c r="F4917" i="14"/>
  <c r="E4917" i="14"/>
  <c r="G4916" i="14"/>
  <c r="G4915" i="14"/>
  <c r="G4914" i="14"/>
  <c r="G4913" i="14"/>
  <c r="G4912" i="14"/>
  <c r="G4911" i="14"/>
  <c r="G4910" i="14"/>
  <c r="G4909" i="14"/>
  <c r="G4908" i="14"/>
  <c r="G4907" i="14"/>
  <c r="G4906" i="14"/>
  <c r="G4905" i="14"/>
  <c r="G4904" i="14"/>
  <c r="G4903" i="14"/>
  <c r="G4902" i="14"/>
  <c r="G4901" i="14"/>
  <c r="G4900" i="14"/>
  <c r="G4899" i="14"/>
  <c r="G4898" i="14"/>
  <c r="G4897" i="14"/>
  <c r="G4896" i="14"/>
  <c r="G4895" i="14"/>
  <c r="G4894" i="14"/>
  <c r="G4893" i="14"/>
  <c r="G4892" i="14"/>
  <c r="G4891" i="14"/>
  <c r="G4890" i="14"/>
  <c r="G4889" i="14"/>
  <c r="G4888" i="14"/>
  <c r="G4887" i="14"/>
  <c r="G4886" i="14"/>
  <c r="G4885" i="14"/>
  <c r="G4884" i="14"/>
  <c r="G4883" i="14"/>
  <c r="G4882" i="14"/>
  <c r="G4881" i="14"/>
  <c r="G4880" i="14"/>
  <c r="G4879" i="14"/>
  <c r="G4878" i="14"/>
  <c r="G4877" i="14"/>
  <c r="G4876" i="14"/>
  <c r="G4875" i="14"/>
  <c r="G4874" i="14"/>
  <c r="G4873" i="14"/>
  <c r="G4872" i="14"/>
  <c r="G4871" i="14"/>
  <c r="G4870" i="14"/>
  <c r="G4869" i="14"/>
  <c r="G4868" i="14"/>
  <c r="G4867" i="14"/>
  <c r="G4866" i="14"/>
  <c r="G4865" i="14"/>
  <c r="G4864" i="14"/>
  <c r="G4863" i="14"/>
  <c r="G4862" i="14"/>
  <c r="G4861" i="14"/>
  <c r="G4860" i="14"/>
  <c r="G4859" i="14"/>
  <c r="G4858" i="14"/>
  <c r="G4857" i="14"/>
  <c r="G4856" i="14"/>
  <c r="G4855" i="14"/>
  <c r="G4854" i="14"/>
  <c r="G4853" i="14"/>
  <c r="G4852" i="14"/>
  <c r="G4851" i="14"/>
  <c r="G4850" i="14"/>
  <c r="G4849" i="14"/>
  <c r="G4848" i="14"/>
  <c r="G4847" i="14"/>
  <c r="G4846" i="14"/>
  <c r="G4845" i="14"/>
  <c r="G4844" i="14"/>
  <c r="G4843" i="14"/>
  <c r="G4842" i="14"/>
  <c r="G4841" i="14"/>
  <c r="G4840" i="14"/>
  <c r="G4839" i="14"/>
  <c r="G4838" i="14"/>
  <c r="G4837" i="14"/>
  <c r="G4836" i="14"/>
  <c r="G4835" i="14"/>
  <c r="G4834" i="14"/>
  <c r="G4833" i="14"/>
  <c r="G4832" i="14"/>
  <c r="G4831" i="14"/>
  <c r="G4830" i="14"/>
  <c r="G4829" i="14"/>
  <c r="G4828" i="14"/>
  <c r="G4827" i="14"/>
  <c r="G4826" i="14"/>
  <c r="G4825" i="14"/>
  <c r="G4824" i="14"/>
  <c r="G4823" i="14"/>
  <c r="G4822" i="14"/>
  <c r="G4821" i="14"/>
  <c r="G4820" i="14"/>
  <c r="G4819" i="14"/>
  <c r="G4818" i="14"/>
  <c r="G4817" i="14"/>
  <c r="G4816" i="14"/>
  <c r="G4815" i="14"/>
  <c r="G4814" i="14"/>
  <c r="G4813" i="14"/>
  <c r="G4812" i="14"/>
  <c r="G4811" i="14"/>
  <c r="G4810" i="14"/>
  <c r="G4809" i="14"/>
  <c r="G4808" i="14"/>
  <c r="G4807" i="14"/>
  <c r="G4806" i="14"/>
  <c r="G4805" i="14"/>
  <c r="G4804" i="14"/>
  <c r="G4803" i="14"/>
  <c r="G4802" i="14"/>
  <c r="G4801" i="14"/>
  <c r="G4800" i="14"/>
  <c r="G4799" i="14"/>
  <c r="G4798" i="14"/>
  <c r="G4797" i="14"/>
  <c r="G4796" i="14"/>
  <c r="G4795" i="14"/>
  <c r="G4794" i="14"/>
  <c r="G4793" i="14"/>
  <c r="G4792" i="14"/>
  <c r="G4791" i="14"/>
  <c r="G4790" i="14"/>
  <c r="G4789" i="14"/>
  <c r="G4788" i="14"/>
  <c r="G4787" i="14"/>
  <c r="G4786" i="14"/>
  <c r="G4785" i="14"/>
  <c r="G4784" i="14"/>
  <c r="G4783" i="14"/>
  <c r="G4782" i="14"/>
  <c r="G4781" i="14"/>
  <c r="G4780" i="14"/>
  <c r="G4779" i="14"/>
  <c r="G4778" i="14"/>
  <c r="G4777" i="14"/>
  <c r="G4776" i="14"/>
  <c r="G4775" i="14"/>
  <c r="G4774" i="14"/>
  <c r="G4773" i="14"/>
  <c r="G4772" i="14"/>
  <c r="G4771" i="14"/>
  <c r="G4770" i="14"/>
  <c r="G4769" i="14"/>
  <c r="G4768" i="14"/>
  <c r="G4767" i="14"/>
  <c r="G4766" i="14"/>
  <c r="G4765" i="14"/>
  <c r="G4764" i="14"/>
  <c r="G4763" i="14"/>
  <c r="G4762" i="14"/>
  <c r="G4761" i="14"/>
  <c r="G4760" i="14"/>
  <c r="G4759" i="14"/>
  <c r="G4758" i="14"/>
  <c r="G4757" i="14"/>
  <c r="G4756" i="14"/>
  <c r="G4755" i="14"/>
  <c r="G4754" i="14"/>
  <c r="G4753" i="14"/>
  <c r="G4752" i="14"/>
  <c r="G4751" i="14"/>
  <c r="G4750" i="14"/>
  <c r="G4749" i="14"/>
  <c r="G4748" i="14"/>
  <c r="F4747" i="14"/>
  <c r="E4747" i="14"/>
  <c r="F4746" i="14"/>
  <c r="E4746" i="14"/>
  <c r="F4745" i="14"/>
  <c r="E4745" i="14"/>
  <c r="F4744" i="14"/>
  <c r="E4744" i="14"/>
  <c r="F4743" i="14"/>
  <c r="E4743" i="14"/>
  <c r="F4742" i="14"/>
  <c r="E4742" i="14"/>
  <c r="G4741" i="14"/>
  <c r="G4740" i="14"/>
  <c r="G4739" i="14"/>
  <c r="G4738" i="14"/>
  <c r="G4737" i="14"/>
  <c r="G4736" i="14"/>
  <c r="G4735" i="14"/>
  <c r="G4734" i="14"/>
  <c r="G4733" i="14"/>
  <c r="G4732" i="14"/>
  <c r="G4731" i="14"/>
  <c r="G4730" i="14"/>
  <c r="G4729" i="14"/>
  <c r="G4728" i="14"/>
  <c r="G4727" i="14"/>
  <c r="G4726" i="14"/>
  <c r="G4725" i="14"/>
  <c r="G4724" i="14"/>
  <c r="G4723" i="14"/>
  <c r="G4722" i="14"/>
  <c r="G4721" i="14"/>
  <c r="G4720" i="14"/>
  <c r="G4719" i="14"/>
  <c r="G4718" i="14"/>
  <c r="G4717" i="14"/>
  <c r="G4716" i="14"/>
  <c r="G4715" i="14"/>
  <c r="G4714" i="14"/>
  <c r="G4713" i="14"/>
  <c r="G4712" i="14"/>
  <c r="G4711" i="14"/>
  <c r="G4710" i="14"/>
  <c r="G4709" i="14"/>
  <c r="G4708" i="14"/>
  <c r="G4707" i="14"/>
  <c r="G4706" i="14"/>
  <c r="G4705" i="14"/>
  <c r="G4704" i="14"/>
  <c r="G4703" i="14"/>
  <c r="G4702" i="14"/>
  <c r="G4701" i="14"/>
  <c r="G4700" i="14"/>
  <c r="G4699" i="14"/>
  <c r="G4698" i="14"/>
  <c r="G4697" i="14"/>
  <c r="G4696" i="14"/>
  <c r="G4695" i="14"/>
  <c r="G4694" i="14"/>
  <c r="G4693" i="14"/>
  <c r="G4692" i="14"/>
  <c r="G4691" i="14"/>
  <c r="G4690" i="14"/>
  <c r="G4689" i="14"/>
  <c r="G4688" i="14"/>
  <c r="G4687" i="14"/>
  <c r="G4686" i="14"/>
  <c r="G4685" i="14"/>
  <c r="G4684" i="14"/>
  <c r="G4683" i="14"/>
  <c r="G4682" i="14"/>
  <c r="G4681" i="14"/>
  <c r="G4680" i="14"/>
  <c r="G4679" i="14"/>
  <c r="G4678" i="14"/>
  <c r="G4677" i="14"/>
  <c r="G4676" i="14"/>
  <c r="G4675" i="14"/>
  <c r="G4674" i="14"/>
  <c r="G4673" i="14"/>
  <c r="G4672" i="14"/>
  <c r="G4671" i="14"/>
  <c r="G4670" i="14"/>
  <c r="G4669" i="14"/>
  <c r="G4668" i="14"/>
  <c r="G4667" i="14"/>
  <c r="G4666" i="14"/>
  <c r="G4665" i="14"/>
  <c r="F4664" i="14"/>
  <c r="E4664" i="14"/>
  <c r="F4663" i="14"/>
  <c r="E4663" i="14"/>
  <c r="F4662" i="14"/>
  <c r="E4662" i="14"/>
  <c r="F4661" i="14"/>
  <c r="E4661" i="14"/>
  <c r="F4660" i="14"/>
  <c r="E4660" i="14"/>
  <c r="F4659" i="14"/>
  <c r="E4659" i="14"/>
  <c r="G4658" i="14"/>
  <c r="G4657" i="14"/>
  <c r="G4656" i="14"/>
  <c r="G4655" i="14"/>
  <c r="G4654" i="14"/>
  <c r="G4653" i="14"/>
  <c r="G4652" i="14"/>
  <c r="G4651" i="14"/>
  <c r="G4650" i="14"/>
  <c r="G4649" i="14"/>
  <c r="G4648" i="14"/>
  <c r="G4647" i="14"/>
  <c r="G4646" i="14"/>
  <c r="G4645" i="14"/>
  <c r="G4644" i="14"/>
  <c r="G4643" i="14"/>
  <c r="G4642" i="14"/>
  <c r="G4641" i="14"/>
  <c r="G4640" i="14"/>
  <c r="G4639" i="14"/>
  <c r="G4638" i="14"/>
  <c r="G4637" i="14"/>
  <c r="G4636" i="14"/>
  <c r="G4635" i="14"/>
  <c r="G4634" i="14"/>
  <c r="G4633" i="14"/>
  <c r="G4632" i="14"/>
  <c r="G4631" i="14"/>
  <c r="G4630" i="14"/>
  <c r="G4629" i="14"/>
  <c r="G4628" i="14"/>
  <c r="G4627" i="14"/>
  <c r="G4626" i="14"/>
  <c r="G4625" i="14"/>
  <c r="G4624" i="14"/>
  <c r="G4623" i="14"/>
  <c r="G4622" i="14"/>
  <c r="G4621" i="14"/>
  <c r="G4620" i="14"/>
  <c r="G4619" i="14"/>
  <c r="G4618" i="14"/>
  <c r="G4617" i="14"/>
  <c r="G4616" i="14"/>
  <c r="G4615" i="14"/>
  <c r="G4614" i="14"/>
  <c r="G4613" i="14"/>
  <c r="G4612" i="14"/>
  <c r="G4611" i="14"/>
  <c r="G4610" i="14"/>
  <c r="G4609" i="14"/>
  <c r="G4608" i="14"/>
  <c r="G4607" i="14"/>
  <c r="G4606" i="14"/>
  <c r="G4605" i="14"/>
  <c r="G4604" i="14"/>
  <c r="G4603" i="14"/>
  <c r="G4602" i="14"/>
  <c r="G4601" i="14"/>
  <c r="G4600" i="14"/>
  <c r="G4599" i="14"/>
  <c r="G4598" i="14"/>
  <c r="G4597" i="14"/>
  <c r="G4596" i="14"/>
  <c r="G4595" i="14"/>
  <c r="G4594" i="14"/>
  <c r="G4593" i="14"/>
  <c r="G4592" i="14"/>
  <c r="G4591" i="14"/>
  <c r="G4590" i="14"/>
  <c r="G4589" i="14"/>
  <c r="G4588" i="14"/>
  <c r="G4587" i="14"/>
  <c r="G4586" i="14"/>
  <c r="G4585" i="14"/>
  <c r="G4584" i="14"/>
  <c r="G4583" i="14"/>
  <c r="G4582" i="14"/>
  <c r="G4581" i="14"/>
  <c r="G4580" i="14"/>
  <c r="G4579" i="14"/>
  <c r="G4578" i="14"/>
  <c r="G4577" i="14"/>
  <c r="G4576" i="14"/>
  <c r="G4575" i="14"/>
  <c r="G4574" i="14"/>
  <c r="G4573" i="14"/>
  <c r="G4572" i="14"/>
  <c r="G4571" i="14"/>
  <c r="G4570" i="14"/>
  <c r="G4569" i="14"/>
  <c r="G4568" i="14"/>
  <c r="G4567" i="14"/>
  <c r="G4566" i="14"/>
  <c r="G4565" i="14"/>
  <c r="G4564" i="14"/>
  <c r="G4563" i="14"/>
  <c r="G4562" i="14"/>
  <c r="G4561" i="14"/>
  <c r="G4560" i="14"/>
  <c r="G4559" i="14"/>
  <c r="G4558" i="14"/>
  <c r="F4557" i="14"/>
  <c r="G4557" i="14" s="1"/>
  <c r="F4556" i="14"/>
  <c r="G4556" i="14" s="1"/>
  <c r="F4555" i="14"/>
  <c r="G4555" i="14" s="1"/>
  <c r="F4554" i="14"/>
  <c r="G4554" i="14" s="1"/>
  <c r="F4553" i="14"/>
  <c r="G4553" i="14" s="1"/>
  <c r="F4552" i="14"/>
  <c r="G4552" i="14" s="1"/>
  <c r="F4551" i="14"/>
  <c r="G4551" i="14" s="1"/>
  <c r="F4550" i="14"/>
  <c r="G4550" i="14" s="1"/>
  <c r="G4549" i="14"/>
  <c r="G4548" i="14"/>
  <c r="G4547" i="14"/>
  <c r="G4546" i="14"/>
  <c r="G4545" i="14"/>
  <c r="G4544" i="14"/>
  <c r="G4543" i="14"/>
  <c r="G4542" i="14"/>
  <c r="G4541" i="14"/>
  <c r="G4540" i="14"/>
  <c r="G4539" i="14"/>
  <c r="G4538" i="14"/>
  <c r="G4537" i="14"/>
  <c r="G4536" i="14"/>
  <c r="G4535" i="14"/>
  <c r="G4534" i="14"/>
  <c r="G4533" i="14"/>
  <c r="G4532" i="14"/>
  <c r="G4531" i="14"/>
  <c r="G4530" i="14"/>
  <c r="G4529" i="14"/>
  <c r="G4528" i="14"/>
  <c r="G4527" i="14"/>
  <c r="G4526" i="14"/>
  <c r="G4525" i="14"/>
  <c r="G4524" i="14"/>
  <c r="G4523" i="14"/>
  <c r="G4522" i="14"/>
  <c r="G4521" i="14"/>
  <c r="G4520" i="14"/>
  <c r="G4519" i="14"/>
  <c r="G4518" i="14"/>
  <c r="G4517" i="14"/>
  <c r="G4516" i="14"/>
  <c r="G4515" i="14"/>
  <c r="G4514" i="14"/>
  <c r="G4513" i="14"/>
  <c r="G4512" i="14"/>
  <c r="G4511" i="14"/>
  <c r="G4510" i="14"/>
  <c r="G4509" i="14"/>
  <c r="G4508" i="14"/>
  <c r="G4507" i="14"/>
  <c r="G4506" i="14"/>
  <c r="G4505" i="14"/>
  <c r="G4504" i="14"/>
  <c r="G4503" i="14"/>
  <c r="G4502" i="14"/>
  <c r="G4501" i="14"/>
  <c r="G4500" i="14"/>
  <c r="G4499" i="14"/>
  <c r="G4498" i="14"/>
  <c r="G4497" i="14"/>
  <c r="G4496" i="14"/>
  <c r="G4495" i="14"/>
  <c r="G4494" i="14"/>
  <c r="G4493" i="14"/>
  <c r="G4492" i="14"/>
  <c r="G4491" i="14"/>
  <c r="G4490" i="14"/>
  <c r="G4489" i="14"/>
  <c r="G4488" i="14"/>
  <c r="G4487" i="14"/>
  <c r="G4486" i="14"/>
  <c r="G4485" i="14"/>
  <c r="G4484" i="14"/>
  <c r="G4483" i="14"/>
  <c r="G4482" i="14"/>
  <c r="G4481" i="14"/>
  <c r="G4480" i="14"/>
  <c r="G4479" i="14"/>
  <c r="G4478" i="14"/>
  <c r="G4477" i="14"/>
  <c r="G4476" i="14"/>
  <c r="G4475" i="14"/>
  <c r="G4474" i="14"/>
  <c r="G4473" i="14"/>
  <c r="G4472" i="14"/>
  <c r="G4471" i="14"/>
  <c r="G4470" i="14"/>
  <c r="G4469" i="14"/>
  <c r="G4468" i="14"/>
  <c r="G4467" i="14"/>
  <c r="G4466" i="14"/>
  <c r="G4465" i="14"/>
  <c r="G4464" i="14"/>
  <c r="G4463" i="14"/>
  <c r="G4462" i="14"/>
  <c r="G4461" i="14"/>
  <c r="G4460" i="14"/>
  <c r="G4459" i="14"/>
  <c r="G4458" i="14"/>
  <c r="G4457" i="14"/>
  <c r="G4456" i="14"/>
  <c r="G4455" i="14"/>
  <c r="G4454" i="14"/>
  <c r="G4453" i="14"/>
  <c r="G4452" i="14"/>
  <c r="G4451" i="14"/>
  <c r="G4450" i="14"/>
  <c r="G4449" i="14"/>
  <c r="G4448" i="14"/>
  <c r="G4447" i="14"/>
  <c r="G4446" i="14"/>
  <c r="G4445" i="14"/>
  <c r="G4444" i="14"/>
  <c r="G4443" i="14"/>
  <c r="G4442" i="14"/>
  <c r="G4441" i="14"/>
  <c r="G4440" i="14"/>
  <c r="G4439" i="14"/>
  <c r="G4438" i="14"/>
  <c r="G4437" i="14"/>
  <c r="G4436" i="14"/>
  <c r="G4435" i="14"/>
  <c r="G4434" i="14"/>
  <c r="G4433" i="14"/>
  <c r="G4432" i="14"/>
  <c r="G4431" i="14"/>
  <c r="G4430" i="14"/>
  <c r="G4429" i="14"/>
  <c r="G4428" i="14"/>
  <c r="G4427" i="14"/>
  <c r="G4426" i="14"/>
  <c r="G4425" i="14"/>
  <c r="G4424" i="14"/>
  <c r="G4423" i="14"/>
  <c r="G4422" i="14"/>
  <c r="G4421" i="14"/>
  <c r="G4420" i="14"/>
  <c r="G4419" i="14"/>
  <c r="G4418" i="14"/>
  <c r="G4417" i="14"/>
  <c r="G4416" i="14"/>
  <c r="G4415" i="14"/>
  <c r="G4414" i="14"/>
  <c r="G4413" i="14"/>
  <c r="G4412" i="14"/>
  <c r="G4411" i="14"/>
  <c r="G4410" i="14"/>
  <c r="G4409" i="14"/>
  <c r="G4408" i="14"/>
  <c r="G4407" i="14"/>
  <c r="G4406" i="14"/>
  <c r="G4405" i="14"/>
  <c r="G4404" i="14"/>
  <c r="G4403" i="14"/>
  <c r="G4402" i="14"/>
  <c r="G4401" i="14"/>
  <c r="F4400" i="14"/>
  <c r="E4400" i="14"/>
  <c r="F4399" i="14"/>
  <c r="E4399" i="14"/>
  <c r="F4398" i="14"/>
  <c r="E4398" i="14"/>
  <c r="F4397" i="14"/>
  <c r="E4397" i="14"/>
  <c r="F4396" i="14"/>
  <c r="E4396" i="14"/>
  <c r="F4395" i="14"/>
  <c r="E4395" i="14"/>
  <c r="G4394" i="14"/>
  <c r="G4393" i="14"/>
  <c r="G4392" i="14"/>
  <c r="G4391" i="14"/>
  <c r="G4390" i="14"/>
  <c r="G4389" i="14"/>
  <c r="G4388" i="14"/>
  <c r="G4387" i="14"/>
  <c r="G4386" i="14"/>
  <c r="F4385" i="14"/>
  <c r="E4385" i="14"/>
  <c r="F4384" i="14"/>
  <c r="E4384" i="14"/>
  <c r="F4383" i="14"/>
  <c r="E4383" i="14"/>
  <c r="F4382" i="14"/>
  <c r="E4382" i="14"/>
  <c r="F4381" i="14"/>
  <c r="E4381" i="14"/>
  <c r="F4380" i="14"/>
  <c r="E4380" i="14"/>
  <c r="G4379" i="14"/>
  <c r="G4378" i="14"/>
  <c r="G4377" i="14"/>
  <c r="G4376" i="14"/>
  <c r="G4375" i="14"/>
  <c r="G4374" i="14"/>
  <c r="G4373" i="14"/>
  <c r="G4372" i="14"/>
  <c r="G4371" i="14"/>
  <c r="G4370" i="14"/>
  <c r="G4369" i="14"/>
  <c r="G4368" i="14"/>
  <c r="G4367" i="14"/>
  <c r="G4366" i="14"/>
  <c r="G4365" i="14"/>
  <c r="G4364" i="14"/>
  <c r="G4363" i="14"/>
  <c r="G4362" i="14"/>
  <c r="G4361" i="14"/>
  <c r="G4360" i="14"/>
  <c r="G4359" i="14"/>
  <c r="G4358" i="14"/>
  <c r="G4357" i="14"/>
  <c r="G4356" i="14"/>
  <c r="G4355" i="14"/>
  <c r="G4354" i="14"/>
  <c r="G4353" i="14"/>
  <c r="G4352" i="14"/>
  <c r="G4351" i="14"/>
  <c r="G4350" i="14"/>
  <c r="G4349" i="14"/>
  <c r="G4348" i="14"/>
  <c r="G4347" i="14"/>
  <c r="G4346" i="14"/>
  <c r="G4345" i="14"/>
  <c r="G4344" i="14"/>
  <c r="G4343" i="14"/>
  <c r="F4342" i="14"/>
  <c r="G4342" i="14" s="1"/>
  <c r="F4341" i="14"/>
  <c r="G4341" i="14" s="1"/>
  <c r="F4340" i="14"/>
  <c r="G4340" i="14" s="1"/>
  <c r="F4339" i="14"/>
  <c r="G4339" i="14" s="1"/>
  <c r="F4338" i="14"/>
  <c r="G4338" i="14" s="1"/>
  <c r="G4337" i="14"/>
  <c r="G4336" i="14"/>
  <c r="G4335" i="14"/>
  <c r="G4334" i="14"/>
  <c r="G4333" i="14"/>
  <c r="G4332" i="14"/>
  <c r="G4331" i="14"/>
  <c r="G4330" i="14"/>
  <c r="G4329" i="14"/>
  <c r="G4328" i="14"/>
  <c r="G4327" i="14"/>
  <c r="G4326" i="14"/>
  <c r="G4325" i="14"/>
  <c r="G4324" i="14"/>
  <c r="G4323" i="14"/>
  <c r="G4322" i="14"/>
  <c r="G4321" i="14"/>
  <c r="G4320" i="14"/>
  <c r="G4319" i="14"/>
  <c r="G4318" i="14"/>
  <c r="G4317" i="14"/>
  <c r="G4316" i="14"/>
  <c r="G4315" i="14"/>
  <c r="G4314" i="14"/>
  <c r="G4313" i="14"/>
  <c r="G4312" i="14"/>
  <c r="G4311" i="14"/>
  <c r="G4310" i="14"/>
  <c r="G4309" i="14"/>
  <c r="G4308" i="14"/>
  <c r="G4307" i="14"/>
  <c r="G4306" i="14"/>
  <c r="G4305" i="14"/>
  <c r="G4304" i="14"/>
  <c r="G4303" i="14"/>
  <c r="G4302" i="14"/>
  <c r="G4301" i="14"/>
  <c r="G4300" i="14"/>
  <c r="G4299" i="14"/>
  <c r="G4298" i="14"/>
  <c r="G4297" i="14"/>
  <c r="G4296" i="14"/>
  <c r="G4295" i="14"/>
  <c r="G4294" i="14"/>
  <c r="G4293" i="14"/>
  <c r="G4292" i="14"/>
  <c r="G4291" i="14"/>
  <c r="G4290" i="14"/>
  <c r="G4289" i="14"/>
  <c r="G4288" i="14"/>
  <c r="G4287" i="14"/>
  <c r="G4286" i="14"/>
  <c r="G4285" i="14"/>
  <c r="G4284" i="14"/>
  <c r="G4283" i="14"/>
  <c r="G4282" i="14"/>
  <c r="G4281" i="14"/>
  <c r="G4280" i="14"/>
  <c r="G4279" i="14"/>
  <c r="G4278" i="14"/>
  <c r="G4277" i="14"/>
  <c r="G4276" i="14"/>
  <c r="G4275" i="14"/>
  <c r="G4274" i="14"/>
  <c r="G4273" i="14"/>
  <c r="G4272" i="14"/>
  <c r="G4271" i="14"/>
  <c r="G4270" i="14"/>
  <c r="G4269" i="14"/>
  <c r="G4268" i="14"/>
  <c r="G4267" i="14"/>
  <c r="G4266" i="14"/>
  <c r="G4265" i="14"/>
  <c r="G4264" i="14"/>
  <c r="G4263" i="14"/>
  <c r="G4262" i="14"/>
  <c r="G4261" i="14"/>
  <c r="G4260" i="14"/>
  <c r="G4259" i="14"/>
  <c r="G4258" i="14"/>
  <c r="G4257" i="14"/>
  <c r="G4256" i="14"/>
  <c r="G4255" i="14"/>
  <c r="G4254" i="14"/>
  <c r="G4253" i="14"/>
  <c r="G4252" i="14"/>
  <c r="G4251" i="14"/>
  <c r="G4250" i="14"/>
  <c r="G4249" i="14"/>
  <c r="G4248" i="14"/>
  <c r="G4247" i="14"/>
  <c r="G4246" i="14"/>
  <c r="G4245" i="14"/>
  <c r="G4244" i="14"/>
  <c r="G4243" i="14"/>
  <c r="G4242" i="14"/>
  <c r="G4241" i="14"/>
  <c r="G4240" i="14"/>
  <c r="G4239" i="14"/>
  <c r="G4238" i="14"/>
  <c r="G4237" i="14"/>
  <c r="G4236" i="14"/>
  <c r="G4235" i="14"/>
  <c r="G4234" i="14"/>
  <c r="G4233" i="14"/>
  <c r="G4232" i="14"/>
  <c r="G4231" i="14"/>
  <c r="G4230" i="14"/>
  <c r="G4229" i="14"/>
  <c r="G4228" i="14"/>
  <c r="G4227" i="14"/>
  <c r="G4226" i="14"/>
  <c r="G4225" i="14"/>
  <c r="G4224" i="14"/>
  <c r="G4223" i="14"/>
  <c r="G4222" i="14"/>
  <c r="G4221" i="14"/>
  <c r="G4220" i="14"/>
  <c r="G4219" i="14"/>
  <c r="G4218" i="14"/>
  <c r="G4217" i="14"/>
  <c r="G4216" i="14"/>
  <c r="G4215" i="14"/>
  <c r="G4214" i="14"/>
  <c r="G4213" i="14"/>
  <c r="G4212" i="14"/>
  <c r="G4211" i="14"/>
  <c r="G4210" i="14"/>
  <c r="G4209" i="14"/>
  <c r="G4208" i="14"/>
  <c r="G4207" i="14"/>
  <c r="G4206" i="14"/>
  <c r="G4205" i="14"/>
  <c r="G4204" i="14"/>
  <c r="G4203" i="14"/>
  <c r="G4202" i="14"/>
  <c r="G4201" i="14"/>
  <c r="G4200" i="14"/>
  <c r="G4199" i="14"/>
  <c r="G4198" i="14"/>
  <c r="G4197" i="14"/>
  <c r="G4196" i="14"/>
  <c r="G4195" i="14"/>
  <c r="G4194" i="14"/>
  <c r="G4193" i="14"/>
  <c r="G4192" i="14"/>
  <c r="G4191" i="14"/>
  <c r="G4190" i="14"/>
  <c r="G4189" i="14"/>
  <c r="G4188" i="14"/>
  <c r="G4187" i="14"/>
  <c r="G4186" i="14"/>
  <c r="G4185" i="14"/>
  <c r="G4184" i="14"/>
  <c r="G4183" i="14"/>
  <c r="G4182" i="14"/>
  <c r="G4181" i="14"/>
  <c r="G4180" i="14"/>
  <c r="G4179" i="14"/>
  <c r="G4178" i="14"/>
  <c r="G4177" i="14"/>
  <c r="G4176" i="14"/>
  <c r="G4175" i="14"/>
  <c r="G4174" i="14"/>
  <c r="G4173" i="14"/>
  <c r="G4172" i="14"/>
  <c r="G4171" i="14"/>
  <c r="G4170" i="14"/>
  <c r="G4169" i="14"/>
  <c r="G4168" i="14"/>
  <c r="G4167" i="14"/>
  <c r="G4166" i="14"/>
  <c r="G4165" i="14"/>
  <c r="G4164" i="14"/>
  <c r="G4163" i="14"/>
  <c r="G4162" i="14"/>
  <c r="G4161" i="14"/>
  <c r="G4160" i="14"/>
  <c r="G4159" i="14"/>
  <c r="G4158" i="14"/>
  <c r="G4157" i="14"/>
  <c r="G4156" i="14"/>
  <c r="G4155" i="14"/>
  <c r="G4154" i="14"/>
  <c r="G4153" i="14"/>
  <c r="G4152" i="14"/>
  <c r="G4151" i="14"/>
  <c r="G4150" i="14"/>
  <c r="G4149" i="14"/>
  <c r="G4148" i="14"/>
  <c r="G4147" i="14"/>
  <c r="G4146" i="14"/>
  <c r="G4145" i="14"/>
  <c r="G4144" i="14"/>
  <c r="G4143" i="14"/>
  <c r="G4142" i="14"/>
  <c r="G4141" i="14"/>
  <c r="G4140" i="14"/>
  <c r="G4139" i="14"/>
  <c r="G4138" i="14"/>
  <c r="G4137" i="14"/>
  <c r="G4136" i="14"/>
  <c r="G4135" i="14"/>
  <c r="G4134" i="14"/>
  <c r="G4133" i="14"/>
  <c r="G4132" i="14"/>
  <c r="G4131" i="14"/>
  <c r="G4130" i="14"/>
  <c r="G4129" i="14"/>
  <c r="G4128" i="14"/>
  <c r="G4127" i="14"/>
  <c r="G4126" i="14"/>
  <c r="G4125" i="14"/>
  <c r="G4124" i="14"/>
  <c r="G4123" i="14"/>
  <c r="G4122" i="14"/>
  <c r="G4121" i="14"/>
  <c r="G4120" i="14"/>
  <c r="G4119" i="14"/>
  <c r="G4118" i="14"/>
  <c r="G4117" i="14"/>
  <c r="G4116" i="14"/>
  <c r="G4115" i="14"/>
  <c r="G4114" i="14"/>
  <c r="G4113" i="14"/>
  <c r="G4112" i="14"/>
  <c r="G4111" i="14"/>
  <c r="G4110" i="14"/>
  <c r="G4109" i="14"/>
  <c r="G4108" i="14"/>
  <c r="G4107" i="14"/>
  <c r="G4106" i="14"/>
  <c r="G4105" i="14"/>
  <c r="G4104" i="14"/>
  <c r="G4103" i="14"/>
  <c r="G4102" i="14"/>
  <c r="G4101" i="14"/>
  <c r="G4100" i="14"/>
  <c r="G4099" i="14"/>
  <c r="G4098" i="14"/>
  <c r="G4097" i="14"/>
  <c r="G4096" i="14"/>
  <c r="G4095" i="14"/>
  <c r="G4094" i="14"/>
  <c r="G4093" i="14"/>
  <c r="G4092" i="14"/>
  <c r="G4091" i="14"/>
  <c r="G4090" i="14"/>
  <c r="G4089" i="14"/>
  <c r="G4088" i="14"/>
  <c r="G4087" i="14"/>
  <c r="G4086" i="14"/>
  <c r="G4085" i="14"/>
  <c r="G4084" i="14"/>
  <c r="G4083" i="14"/>
  <c r="G4082" i="14"/>
  <c r="G4081" i="14"/>
  <c r="G4080" i="14"/>
  <c r="G4079" i="14"/>
  <c r="G4078" i="14"/>
  <c r="G4077" i="14"/>
  <c r="G4076" i="14"/>
  <c r="G4075" i="14"/>
  <c r="G4074" i="14"/>
  <c r="G4073" i="14"/>
  <c r="G4072" i="14"/>
  <c r="G4071" i="14"/>
  <c r="G4070" i="14"/>
  <c r="G4069" i="14"/>
  <c r="G4068" i="14"/>
  <c r="G4067" i="14"/>
  <c r="G4066" i="14"/>
  <c r="G4065" i="14"/>
  <c r="G4064" i="14"/>
  <c r="G4063" i="14"/>
  <c r="G4062" i="14"/>
  <c r="G4061" i="14"/>
  <c r="G4060" i="14"/>
  <c r="G4059" i="14"/>
  <c r="G4058" i="14"/>
  <c r="G4057" i="14"/>
  <c r="G4056" i="14"/>
  <c r="G4055" i="14"/>
  <c r="G4054" i="14"/>
  <c r="G4053" i="14"/>
  <c r="G4052" i="14"/>
  <c r="G4051" i="14"/>
  <c r="G4050" i="14"/>
  <c r="G4049" i="14"/>
  <c r="G4048" i="14"/>
  <c r="G4047" i="14"/>
  <c r="G4046" i="14"/>
  <c r="F4045" i="14"/>
  <c r="G4045" i="14" s="1"/>
  <c r="G4044" i="14"/>
  <c r="G4043" i="14"/>
  <c r="G4042" i="14"/>
  <c r="G4041" i="14"/>
  <c r="G4040" i="14"/>
  <c r="G4039" i="14"/>
  <c r="G4038" i="14"/>
  <c r="G4037" i="14"/>
  <c r="G4036" i="14"/>
  <c r="G4035" i="14"/>
  <c r="G4034" i="14"/>
  <c r="G4033" i="14"/>
  <c r="G4032" i="14"/>
  <c r="G4031" i="14"/>
  <c r="G4030" i="14"/>
  <c r="G4029" i="14"/>
  <c r="G4028" i="14"/>
  <c r="G4027" i="14"/>
  <c r="G4026" i="14"/>
  <c r="G4025" i="14"/>
  <c r="G4024" i="14"/>
  <c r="G4023" i="14"/>
  <c r="G4022" i="14"/>
  <c r="G4021" i="14"/>
  <c r="G4020" i="14"/>
  <c r="G4019" i="14"/>
  <c r="G4018" i="14"/>
  <c r="G4017" i="14"/>
  <c r="G4016" i="14"/>
  <c r="G4015" i="14"/>
  <c r="G4014" i="14"/>
  <c r="G4013" i="14"/>
  <c r="G4012" i="14"/>
  <c r="G4011" i="14"/>
  <c r="G4010" i="14"/>
  <c r="G4009" i="14"/>
  <c r="G4008" i="14"/>
  <c r="G4007" i="14"/>
  <c r="G4006" i="14"/>
  <c r="G4005" i="14"/>
  <c r="G4004" i="14"/>
  <c r="F4003" i="14"/>
  <c r="E4003" i="14"/>
  <c r="F4002" i="14"/>
  <c r="E4002" i="14"/>
  <c r="F4001" i="14"/>
  <c r="E4001" i="14"/>
  <c r="F4000" i="14"/>
  <c r="E4000" i="14"/>
  <c r="F3999" i="14"/>
  <c r="E3999" i="14"/>
  <c r="F3998" i="14"/>
  <c r="E3998" i="14"/>
  <c r="F3997" i="14"/>
  <c r="E3997" i="14"/>
  <c r="F3996" i="14"/>
  <c r="E3996" i="14"/>
  <c r="G3995" i="14"/>
  <c r="G3994" i="14"/>
  <c r="G3993" i="14"/>
  <c r="G3992" i="14"/>
  <c r="G3991" i="14"/>
  <c r="G3990" i="14"/>
  <c r="G3989" i="14"/>
  <c r="G3988" i="14"/>
  <c r="G3987" i="14"/>
  <c r="G3986" i="14"/>
  <c r="G3985" i="14"/>
  <c r="G3984" i="14"/>
  <c r="G3983" i="14"/>
  <c r="G3982" i="14"/>
  <c r="G3981" i="14"/>
  <c r="G3980" i="14"/>
  <c r="G3979" i="14"/>
  <c r="G3978" i="14"/>
  <c r="G3977" i="14"/>
  <c r="G3976" i="14"/>
  <c r="F3975" i="14"/>
  <c r="E3975" i="14"/>
  <c r="F3974" i="14"/>
  <c r="E3974" i="14"/>
  <c r="F3973" i="14"/>
  <c r="E3973" i="14"/>
  <c r="G3972" i="14"/>
  <c r="G3971" i="14"/>
  <c r="G3970" i="14"/>
  <c r="G3969" i="14"/>
  <c r="G3968" i="14"/>
  <c r="G3967" i="14"/>
  <c r="G3966" i="14"/>
  <c r="G3965" i="14"/>
  <c r="G3964" i="14"/>
  <c r="G3963" i="14"/>
  <c r="G3962" i="14"/>
  <c r="G3961" i="14"/>
  <c r="G3960" i="14"/>
  <c r="G3959" i="14"/>
  <c r="G3958" i="14"/>
  <c r="G3957" i="14"/>
  <c r="G3956" i="14"/>
  <c r="G3955" i="14"/>
  <c r="G3954" i="14"/>
  <c r="G3953" i="14"/>
  <c r="G3952" i="14"/>
  <c r="G3951" i="14"/>
  <c r="G3950" i="14"/>
  <c r="G3949" i="14"/>
  <c r="G3948" i="14"/>
  <c r="G3947" i="14"/>
  <c r="G3946" i="14"/>
  <c r="G3945" i="14"/>
  <c r="G3944" i="14"/>
  <c r="G3943" i="14"/>
  <c r="G3942" i="14"/>
  <c r="G3941" i="14"/>
  <c r="G3940" i="14"/>
  <c r="G3939" i="14"/>
  <c r="G3938" i="14"/>
  <c r="G3937" i="14"/>
  <c r="G3936" i="14"/>
  <c r="G3935" i="14"/>
  <c r="G3934" i="14"/>
  <c r="G3933" i="14"/>
  <c r="G3932" i="14"/>
  <c r="G3931" i="14"/>
  <c r="G3930" i="14"/>
  <c r="G3929" i="14"/>
  <c r="G3928" i="14"/>
  <c r="G3927" i="14"/>
  <c r="G3926" i="14"/>
  <c r="G3925" i="14"/>
  <c r="G3924" i="14"/>
  <c r="G3923" i="14"/>
  <c r="G3922" i="14"/>
  <c r="G3921" i="14"/>
  <c r="G3920" i="14"/>
  <c r="G3919" i="14"/>
  <c r="G3918" i="14"/>
  <c r="G3917" i="14"/>
  <c r="G3916" i="14"/>
  <c r="G3915" i="14"/>
  <c r="G3914" i="14"/>
  <c r="G3913" i="14"/>
  <c r="G3912" i="14"/>
  <c r="G3911" i="14"/>
  <c r="G3910" i="14"/>
  <c r="G3909" i="14"/>
  <c r="G3908" i="14"/>
  <c r="G3907" i="14"/>
  <c r="G3906" i="14"/>
  <c r="G3905" i="14"/>
  <c r="G3904" i="14"/>
  <c r="G3903" i="14"/>
  <c r="G3902" i="14"/>
  <c r="G3901" i="14"/>
  <c r="G3900" i="14"/>
  <c r="G3899" i="14"/>
  <c r="G3898" i="14"/>
  <c r="G3897" i="14"/>
  <c r="G3896" i="14"/>
  <c r="G3895" i="14"/>
  <c r="G3894" i="14"/>
  <c r="G3893" i="14"/>
  <c r="G3892" i="14"/>
  <c r="G3891" i="14"/>
  <c r="G3890" i="14"/>
  <c r="G3889" i="14"/>
  <c r="G3888" i="14"/>
  <c r="G3887" i="14"/>
  <c r="G3886" i="14"/>
  <c r="G3885" i="14"/>
  <c r="G3884" i="14"/>
  <c r="G3883" i="14"/>
  <c r="G3882" i="14"/>
  <c r="G3881" i="14"/>
  <c r="G3880" i="14"/>
  <c r="G3879" i="14"/>
  <c r="G3878" i="14"/>
  <c r="G3877" i="14"/>
  <c r="G3876" i="14"/>
  <c r="G3875" i="14"/>
  <c r="G3874" i="14"/>
  <c r="G3873" i="14"/>
  <c r="G3872" i="14"/>
  <c r="G3871" i="14"/>
  <c r="G3870" i="14"/>
  <c r="G3869" i="14"/>
  <c r="G3868" i="14"/>
  <c r="G3867" i="14"/>
  <c r="G3866" i="14"/>
  <c r="G3865" i="14"/>
  <c r="G3864" i="14"/>
  <c r="G3863" i="14"/>
  <c r="G3862" i="14"/>
  <c r="G3861" i="14"/>
  <c r="G3860" i="14"/>
  <c r="G3859" i="14"/>
  <c r="G3858" i="14"/>
  <c r="G3857" i="14"/>
  <c r="G3856" i="14"/>
  <c r="G3855" i="14"/>
  <c r="G3854" i="14"/>
  <c r="G3853" i="14"/>
  <c r="G3852" i="14"/>
  <c r="G3851" i="14"/>
  <c r="G3850" i="14"/>
  <c r="G3849" i="14"/>
  <c r="G3848" i="14"/>
  <c r="G3847" i="14"/>
  <c r="G3846" i="14"/>
  <c r="G3845" i="14"/>
  <c r="G3844" i="14"/>
  <c r="G3843" i="14"/>
  <c r="G3842" i="14"/>
  <c r="G3841" i="14"/>
  <c r="G3840" i="14"/>
  <c r="G3839" i="14"/>
  <c r="G3838" i="14"/>
  <c r="G3837" i="14"/>
  <c r="G3836" i="14"/>
  <c r="G3835" i="14"/>
  <c r="G3834" i="14"/>
  <c r="G3833" i="14"/>
  <c r="G3832" i="14"/>
  <c r="G3831" i="14"/>
  <c r="G3830" i="14"/>
  <c r="G3829" i="14"/>
  <c r="G3828" i="14"/>
  <c r="G3827" i="14"/>
  <c r="G3826" i="14"/>
  <c r="G3825" i="14"/>
  <c r="G3824" i="14"/>
  <c r="G3823" i="14"/>
  <c r="G3822" i="14"/>
  <c r="G3821" i="14"/>
  <c r="G3820" i="14"/>
  <c r="G3819" i="14"/>
  <c r="G3818" i="14"/>
  <c r="G3817" i="14"/>
  <c r="G3816" i="14"/>
  <c r="G3815" i="14"/>
  <c r="G3814" i="14"/>
  <c r="G3813" i="14"/>
  <c r="G3812" i="14"/>
  <c r="G3811" i="14"/>
  <c r="G3810" i="14"/>
  <c r="G3809" i="14"/>
  <c r="G3808" i="14"/>
  <c r="G3807" i="14"/>
  <c r="G3806" i="14"/>
  <c r="G3805" i="14"/>
  <c r="G3804" i="14"/>
  <c r="G3803" i="14"/>
  <c r="G3802" i="14"/>
  <c r="G3801" i="14"/>
  <c r="G3800" i="14"/>
  <c r="G3799" i="14"/>
  <c r="G3798" i="14"/>
  <c r="G3797" i="14"/>
  <c r="G3796" i="14"/>
  <c r="G3795" i="14"/>
  <c r="G3794" i="14"/>
  <c r="F3793" i="14"/>
  <c r="E3793" i="14"/>
  <c r="F3792" i="14"/>
  <c r="E3792" i="14"/>
  <c r="F3791" i="14"/>
  <c r="E3791" i="14"/>
  <c r="G3790" i="14"/>
  <c r="G3789" i="14"/>
  <c r="G3788" i="14"/>
  <c r="G3787" i="14"/>
  <c r="G3786" i="14"/>
  <c r="G3785" i="14"/>
  <c r="G3784" i="14"/>
  <c r="G3783" i="14"/>
  <c r="G3782" i="14"/>
  <c r="G3781" i="14"/>
  <c r="G3780" i="14"/>
  <c r="G3779" i="14"/>
  <c r="G3778" i="14"/>
  <c r="G3777" i="14"/>
  <c r="G3776" i="14"/>
  <c r="G3775" i="14"/>
  <c r="G3774" i="14"/>
  <c r="G3773" i="14"/>
  <c r="G3772" i="14"/>
  <c r="G3771" i="14"/>
  <c r="G3770" i="14"/>
  <c r="G3769" i="14"/>
  <c r="G3768" i="14"/>
  <c r="G3767" i="14"/>
  <c r="G3766" i="14"/>
  <c r="G3765" i="14"/>
  <c r="G3764" i="14"/>
  <c r="G3763" i="14"/>
  <c r="G3762" i="14"/>
  <c r="G3761" i="14"/>
  <c r="G3760" i="14"/>
  <c r="G3759" i="14"/>
  <c r="G3758" i="14"/>
  <c r="G3757" i="14"/>
  <c r="G3756" i="14"/>
  <c r="G3755" i="14"/>
  <c r="G3754" i="14"/>
  <c r="G3753" i="14"/>
  <c r="G3752" i="14"/>
  <c r="G3751" i="14"/>
  <c r="G3750" i="14"/>
  <c r="G3749" i="14"/>
  <c r="G3748" i="14"/>
  <c r="G3747" i="14"/>
  <c r="G3746" i="14"/>
  <c r="G3745" i="14"/>
  <c r="G3744" i="14"/>
  <c r="G3743" i="14"/>
  <c r="G3742" i="14"/>
  <c r="G3741" i="14"/>
  <c r="G3740" i="14"/>
  <c r="G3739" i="14"/>
  <c r="G3738" i="14"/>
  <c r="G3737" i="14"/>
  <c r="G3736" i="14"/>
  <c r="G3735" i="14"/>
  <c r="G3734" i="14"/>
  <c r="G3733" i="14"/>
  <c r="G3732" i="14"/>
  <c r="G3731" i="14"/>
  <c r="G3730" i="14"/>
  <c r="G3729" i="14"/>
  <c r="G3728" i="14"/>
  <c r="G3727" i="14"/>
  <c r="G3726" i="14"/>
  <c r="G3725" i="14"/>
  <c r="F3724" i="14"/>
  <c r="E3724" i="14"/>
  <c r="F3723" i="14"/>
  <c r="E3723" i="14"/>
  <c r="F3722" i="14"/>
  <c r="E3722" i="14"/>
  <c r="F3721" i="14"/>
  <c r="E3721" i="14"/>
  <c r="F3720" i="14"/>
  <c r="E3720" i="14"/>
  <c r="F3719" i="14"/>
  <c r="E3719" i="14"/>
  <c r="F3718" i="14"/>
  <c r="E3718" i="14"/>
  <c r="G3717" i="14"/>
  <c r="G3716" i="14"/>
  <c r="G3715" i="14"/>
  <c r="G3714" i="14"/>
  <c r="G3713" i="14"/>
  <c r="G3712" i="14"/>
  <c r="G3711" i="14"/>
  <c r="G3710" i="14"/>
  <c r="G3709" i="14"/>
  <c r="G3708" i="14"/>
  <c r="G3707" i="14"/>
  <c r="G3706" i="14"/>
  <c r="G3705" i="14"/>
  <c r="G3704" i="14"/>
  <c r="G3703" i="14"/>
  <c r="G3702" i="14"/>
  <c r="G3701" i="14"/>
  <c r="G3700" i="14"/>
  <c r="G3699" i="14"/>
  <c r="F3698" i="14"/>
  <c r="G3698" i="14" s="1"/>
  <c r="G3697" i="14"/>
  <c r="G3696" i="14"/>
  <c r="G3695" i="14"/>
  <c r="G3694" i="14"/>
  <c r="G3693" i="14"/>
  <c r="G3692" i="14"/>
  <c r="G3691" i="14"/>
  <c r="G3690" i="14"/>
  <c r="G3689" i="14"/>
  <c r="G3688" i="14"/>
  <c r="G3687" i="14"/>
  <c r="G3686" i="14"/>
  <c r="G3685" i="14"/>
  <c r="G3684" i="14"/>
  <c r="G3683" i="14"/>
  <c r="G3682" i="14"/>
  <c r="G3681" i="14"/>
  <c r="G3680" i="14"/>
  <c r="G3679" i="14"/>
  <c r="G3678" i="14"/>
  <c r="G3677" i="14"/>
  <c r="G3676" i="14"/>
  <c r="G3675" i="14"/>
  <c r="G3674" i="14"/>
  <c r="G3673" i="14"/>
  <c r="G3672" i="14"/>
  <c r="G3671" i="14"/>
  <c r="G3670" i="14"/>
  <c r="G3669" i="14"/>
  <c r="G3668" i="14"/>
  <c r="G3667" i="14"/>
  <c r="G3666" i="14"/>
  <c r="G3665" i="14"/>
  <c r="G3664" i="14"/>
  <c r="G3663" i="14"/>
  <c r="G3662" i="14"/>
  <c r="G3661" i="14"/>
  <c r="G3660" i="14"/>
  <c r="G3659" i="14"/>
  <c r="G3658" i="14"/>
  <c r="G3657" i="14"/>
  <c r="G3656" i="14"/>
  <c r="G3655" i="14"/>
  <c r="G3654" i="14"/>
  <c r="G3653" i="14"/>
  <c r="G3652" i="14"/>
  <c r="G3651" i="14"/>
  <c r="G3650" i="14"/>
  <c r="G3649" i="14"/>
  <c r="G3648" i="14"/>
  <c r="G3647" i="14"/>
  <c r="G3646" i="14"/>
  <c r="G3645" i="14"/>
  <c r="G3644" i="14"/>
  <c r="G3643" i="14"/>
  <c r="G3642" i="14"/>
  <c r="G3641" i="14"/>
  <c r="G3640" i="14"/>
  <c r="G3639" i="14"/>
  <c r="G3638" i="14"/>
  <c r="G3637" i="14"/>
  <c r="G3636" i="14"/>
  <c r="G3635" i="14"/>
  <c r="G3634" i="14"/>
  <c r="G3633" i="14"/>
  <c r="G3632" i="14"/>
  <c r="G3631" i="14"/>
  <c r="G3630" i="14"/>
  <c r="G3629" i="14"/>
  <c r="G3628" i="14"/>
  <c r="G3627" i="14"/>
  <c r="G3626" i="14"/>
  <c r="G3625" i="14"/>
  <c r="G3624" i="14"/>
  <c r="G3623" i="14"/>
  <c r="G3622" i="14"/>
  <c r="G3621" i="14"/>
  <c r="G3620" i="14"/>
  <c r="G3619" i="14"/>
  <c r="G3618" i="14"/>
  <c r="G3617" i="14"/>
  <c r="G3616" i="14"/>
  <c r="G3615" i="14"/>
  <c r="G3614" i="14"/>
  <c r="G3613" i="14"/>
  <c r="G3612" i="14"/>
  <c r="G3611" i="14"/>
  <c r="G3610" i="14"/>
  <c r="G3609" i="14"/>
  <c r="G3608" i="14"/>
  <c r="G3607" i="14"/>
  <c r="G3606" i="14"/>
  <c r="G3605" i="14"/>
  <c r="G3604" i="14"/>
  <c r="G3603" i="14"/>
  <c r="G3602" i="14"/>
  <c r="G3601" i="14"/>
  <c r="G3600" i="14"/>
  <c r="G3599" i="14"/>
  <c r="G3598" i="14"/>
  <c r="G3597" i="14"/>
  <c r="G3596" i="14"/>
  <c r="G3595" i="14"/>
  <c r="G3594" i="14"/>
  <c r="G3593" i="14"/>
  <c r="G3592" i="14"/>
  <c r="G3591" i="14"/>
  <c r="G3590" i="14"/>
  <c r="G3589" i="14"/>
  <c r="G3588" i="14"/>
  <c r="G3587" i="14"/>
  <c r="G3586" i="14"/>
  <c r="G3585" i="14"/>
  <c r="G3584" i="14"/>
  <c r="G3583" i="14"/>
  <c r="G3582" i="14"/>
  <c r="G3581" i="14"/>
  <c r="G3580" i="14"/>
  <c r="G3579" i="14"/>
  <c r="G3578" i="14"/>
  <c r="G3577" i="14"/>
  <c r="G3576" i="14"/>
  <c r="G3575" i="14"/>
  <c r="G3574" i="14"/>
  <c r="G3573" i="14"/>
  <c r="G3572" i="14"/>
  <c r="F3571" i="14"/>
  <c r="E3571" i="14"/>
  <c r="F3570" i="14"/>
  <c r="E3570" i="14"/>
  <c r="F3569" i="14"/>
  <c r="E3569" i="14"/>
  <c r="E3568" i="14"/>
  <c r="G3568" i="14" s="1"/>
  <c r="F3567" i="14"/>
  <c r="E3567" i="14"/>
  <c r="F3566" i="14"/>
  <c r="E3566" i="14"/>
  <c r="F3565" i="14"/>
  <c r="E3565" i="14"/>
  <c r="F3564" i="14"/>
  <c r="E3564" i="14"/>
  <c r="F3563" i="14"/>
  <c r="E3563" i="14"/>
  <c r="F3562" i="14"/>
  <c r="E3562" i="14"/>
  <c r="F3561" i="14"/>
  <c r="E3561" i="14"/>
  <c r="G3560" i="14"/>
  <c r="G3559" i="14"/>
  <c r="G3558" i="14"/>
  <c r="G3557" i="14"/>
  <c r="G3556" i="14"/>
  <c r="G3555" i="14"/>
  <c r="G3554" i="14"/>
  <c r="G3553" i="14"/>
  <c r="G3552" i="14"/>
  <c r="G3551" i="14"/>
  <c r="G3550" i="14"/>
  <c r="G3549" i="14"/>
  <c r="G3548" i="14"/>
  <c r="G3547" i="14"/>
  <c r="G3546" i="14"/>
  <c r="G3545" i="14"/>
  <c r="G3544" i="14"/>
  <c r="G3543" i="14"/>
  <c r="G3542" i="14"/>
  <c r="G3541" i="14"/>
  <c r="G3540" i="14"/>
  <c r="G3539" i="14"/>
  <c r="G3538" i="14"/>
  <c r="G3537" i="14"/>
  <c r="G3536" i="14"/>
  <c r="G3535" i="14"/>
  <c r="G3534" i="14"/>
  <c r="G3533" i="14"/>
  <c r="G3532" i="14"/>
  <c r="G3531" i="14"/>
  <c r="G3530" i="14"/>
  <c r="G3529" i="14"/>
  <c r="G3528" i="14"/>
  <c r="G3527" i="14"/>
  <c r="G3526" i="14"/>
  <c r="G3525" i="14"/>
  <c r="G3524" i="14"/>
  <c r="G3523" i="14"/>
  <c r="G3522" i="14"/>
  <c r="G3521" i="14"/>
  <c r="G3520" i="14"/>
  <c r="G3519" i="14"/>
  <c r="G3518" i="14"/>
  <c r="G3517" i="14"/>
  <c r="G3516" i="14"/>
  <c r="G3515" i="14"/>
  <c r="G3514" i="14"/>
  <c r="G3513" i="14"/>
  <c r="G3512" i="14"/>
  <c r="G3511" i="14"/>
  <c r="G3510" i="14"/>
  <c r="G3509" i="14"/>
  <c r="G3508" i="14"/>
  <c r="G3507" i="14"/>
  <c r="G3506" i="14"/>
  <c r="G3505" i="14"/>
  <c r="G3504" i="14"/>
  <c r="G3503" i="14"/>
  <c r="G3502" i="14"/>
  <c r="G3501" i="14"/>
  <c r="G3500" i="14"/>
  <c r="G3499" i="14"/>
  <c r="G3498" i="14"/>
  <c r="G3497" i="14"/>
  <c r="G3496" i="14"/>
  <c r="G3495" i="14"/>
  <c r="G3494" i="14"/>
  <c r="G3493" i="14"/>
  <c r="G3492" i="14"/>
  <c r="G3491" i="14"/>
  <c r="G3490" i="14"/>
  <c r="G3489" i="14"/>
  <c r="G3488" i="14"/>
  <c r="G3487" i="14"/>
  <c r="G3486" i="14"/>
  <c r="G3485" i="14"/>
  <c r="G3484" i="14"/>
  <c r="G3483" i="14"/>
  <c r="G3482" i="14"/>
  <c r="F3481" i="14"/>
  <c r="E3481" i="14"/>
  <c r="F3480" i="14"/>
  <c r="E3480" i="14"/>
  <c r="F3479" i="14"/>
  <c r="E3479" i="14"/>
  <c r="F3478" i="14"/>
  <c r="E3478" i="14"/>
  <c r="F3477" i="14"/>
  <c r="E3477" i="14"/>
  <c r="F3476" i="14"/>
  <c r="E3476" i="14"/>
  <c r="F3475" i="14"/>
  <c r="E3475" i="14"/>
  <c r="F3474" i="14"/>
  <c r="G3474" i="14" s="1"/>
  <c r="G3473" i="14"/>
  <c r="G3472" i="14"/>
  <c r="G3471" i="14"/>
  <c r="G3470" i="14"/>
  <c r="G3469" i="14"/>
  <c r="G3468" i="14"/>
  <c r="G3467" i="14"/>
  <c r="G3466" i="14"/>
  <c r="G3465" i="14"/>
  <c r="G3464" i="14"/>
  <c r="G3463" i="14"/>
  <c r="G3462" i="14"/>
  <c r="G3461" i="14"/>
  <c r="G3460" i="14"/>
  <c r="G3459" i="14"/>
  <c r="G3458" i="14"/>
  <c r="G3457" i="14"/>
  <c r="G3456" i="14"/>
  <c r="G3455" i="14"/>
  <c r="G3454" i="14"/>
  <c r="G3453" i="14"/>
  <c r="G3452" i="14"/>
  <c r="G3451" i="14"/>
  <c r="G3450" i="14"/>
  <c r="G3449" i="14"/>
  <c r="G3448" i="14"/>
  <c r="G3447" i="14"/>
  <c r="G3446" i="14"/>
  <c r="G3445" i="14"/>
  <c r="G3444" i="14"/>
  <c r="G3443" i="14"/>
  <c r="G3442" i="14"/>
  <c r="G3441" i="14"/>
  <c r="G3440" i="14"/>
  <c r="G3439" i="14"/>
  <c r="G3438" i="14"/>
  <c r="G3437" i="14"/>
  <c r="G3436" i="14"/>
  <c r="G3435" i="14"/>
  <c r="G3434" i="14"/>
  <c r="G3433" i="14"/>
  <c r="G3432" i="14"/>
  <c r="G3431" i="14"/>
  <c r="G3430" i="14"/>
  <c r="G3429" i="14"/>
  <c r="G3428" i="14"/>
  <c r="G3427" i="14"/>
  <c r="G3426" i="14"/>
  <c r="G3425" i="14"/>
  <c r="G3424" i="14"/>
  <c r="G3423" i="14"/>
  <c r="G3422" i="14"/>
  <c r="G3421" i="14"/>
  <c r="G3420" i="14"/>
  <c r="G3419" i="14"/>
  <c r="G3418" i="14"/>
  <c r="G3417" i="14"/>
  <c r="G3416" i="14"/>
  <c r="G3415" i="14"/>
  <c r="G3414" i="14"/>
  <c r="G3413" i="14"/>
  <c r="G3412" i="14"/>
  <c r="G3411" i="14"/>
  <c r="G3410" i="14"/>
  <c r="G3409" i="14"/>
  <c r="G3408" i="14"/>
  <c r="G3407" i="14"/>
  <c r="G3406" i="14"/>
  <c r="G3405" i="14"/>
  <c r="G3404" i="14"/>
  <c r="G3403" i="14"/>
  <c r="G3402" i="14"/>
  <c r="G3401" i="14"/>
  <c r="G3400" i="14"/>
  <c r="G3399" i="14"/>
  <c r="G3398" i="14"/>
  <c r="G3397" i="14"/>
  <c r="G3396" i="14"/>
  <c r="G3395" i="14"/>
  <c r="G3394" i="14"/>
  <c r="G3393" i="14"/>
  <c r="G3392" i="14"/>
  <c r="G3391" i="14"/>
  <c r="G3390" i="14"/>
  <c r="G3389" i="14"/>
  <c r="G3388" i="14"/>
  <c r="G3387" i="14"/>
  <c r="G3386" i="14"/>
  <c r="G3385" i="14"/>
  <c r="G3384" i="14"/>
  <c r="G3383" i="14"/>
  <c r="G3382" i="14"/>
  <c r="G3381" i="14"/>
  <c r="G3380" i="14"/>
  <c r="G3379" i="14"/>
  <c r="G3378" i="14"/>
  <c r="G3377" i="14"/>
  <c r="G3376" i="14"/>
  <c r="G3375" i="14"/>
  <c r="G3374" i="14"/>
  <c r="G3373" i="14"/>
  <c r="G3372" i="14"/>
  <c r="G3371" i="14"/>
  <c r="G3370" i="14"/>
  <c r="G3369" i="14"/>
  <c r="G3368" i="14"/>
  <c r="G3367" i="14"/>
  <c r="G3366" i="14"/>
  <c r="G3365" i="14"/>
  <c r="G3364" i="14"/>
  <c r="G3363" i="14"/>
  <c r="G3362" i="14"/>
  <c r="G3361" i="14"/>
  <c r="G3360" i="14"/>
  <c r="G3359" i="14"/>
  <c r="G3358" i="14"/>
  <c r="G3357" i="14"/>
  <c r="G3356" i="14"/>
  <c r="G3355" i="14"/>
  <c r="G3354" i="14"/>
  <c r="G3353" i="14"/>
  <c r="G3352" i="14"/>
  <c r="G3351" i="14"/>
  <c r="G3350" i="14"/>
  <c r="G3349" i="14"/>
  <c r="G3348" i="14"/>
  <c r="G3347" i="14"/>
  <c r="G3346" i="14"/>
  <c r="G3345" i="14"/>
  <c r="G3344" i="14"/>
  <c r="G3343" i="14"/>
  <c r="G3342" i="14"/>
  <c r="G3341" i="14"/>
  <c r="G3340" i="14"/>
  <c r="G3339" i="14"/>
  <c r="G3338" i="14"/>
  <c r="G3337" i="14"/>
  <c r="G3336" i="14"/>
  <c r="G3335" i="14"/>
  <c r="G3334" i="14"/>
  <c r="G3333" i="14"/>
  <c r="G3332" i="14"/>
  <c r="G3331" i="14"/>
  <c r="G3330" i="14"/>
  <c r="G3329" i="14"/>
  <c r="G3328" i="14"/>
  <c r="G3327" i="14"/>
  <c r="G3326" i="14"/>
  <c r="G3325" i="14"/>
  <c r="G3324" i="14"/>
  <c r="G3323" i="14"/>
  <c r="G3322" i="14"/>
  <c r="G3321" i="14"/>
  <c r="G3320" i="14"/>
  <c r="G3319" i="14"/>
  <c r="G3318" i="14"/>
  <c r="G3317" i="14"/>
  <c r="G3316" i="14"/>
  <c r="G3315" i="14"/>
  <c r="G3314" i="14"/>
  <c r="G3313" i="14"/>
  <c r="G3312" i="14"/>
  <c r="G3311" i="14"/>
  <c r="G3310" i="14"/>
  <c r="G3309" i="14"/>
  <c r="G3308" i="14"/>
  <c r="G3307" i="14"/>
  <c r="G3306" i="14"/>
  <c r="G3305" i="14"/>
  <c r="G3304" i="14"/>
  <c r="G3303" i="14"/>
  <c r="G3302" i="14"/>
  <c r="G3301" i="14"/>
  <c r="G3300" i="14"/>
  <c r="G3299" i="14"/>
  <c r="G3298" i="14"/>
  <c r="G3297" i="14"/>
  <c r="G3296" i="14"/>
  <c r="G3295" i="14"/>
  <c r="G3294" i="14"/>
  <c r="G3293" i="14"/>
  <c r="G3292" i="14"/>
  <c r="G3291" i="14"/>
  <c r="G3290" i="14"/>
  <c r="G3289" i="14"/>
  <c r="G3288" i="14"/>
  <c r="G3287" i="14"/>
  <c r="G3286" i="14"/>
  <c r="G3285" i="14"/>
  <c r="G3284" i="14"/>
  <c r="G3283" i="14"/>
  <c r="G3282" i="14"/>
  <c r="G3281" i="14"/>
  <c r="G3280" i="14"/>
  <c r="G3279" i="14"/>
  <c r="G3278" i="14"/>
  <c r="G3277" i="14"/>
  <c r="G3276" i="14"/>
  <c r="G3275" i="14"/>
  <c r="G3274" i="14"/>
  <c r="G3273" i="14"/>
  <c r="G3272" i="14"/>
  <c r="G3271" i="14"/>
  <c r="G3270" i="14"/>
  <c r="G3269" i="14"/>
  <c r="G3268" i="14"/>
  <c r="G3267" i="14"/>
  <c r="G3266" i="14"/>
  <c r="G3265" i="14"/>
  <c r="G3264" i="14"/>
  <c r="G3263" i="14"/>
  <c r="G3262" i="14"/>
  <c r="G3261" i="14"/>
  <c r="G3260" i="14"/>
  <c r="G3259" i="14"/>
  <c r="G3258" i="14"/>
  <c r="G3257" i="14"/>
  <c r="G3256" i="14"/>
  <c r="G3255" i="14"/>
  <c r="G3254" i="14"/>
  <c r="G3253" i="14"/>
  <c r="G3252" i="14"/>
  <c r="G3251" i="14"/>
  <c r="G3250" i="14"/>
  <c r="G3249" i="14"/>
  <c r="G3248" i="14"/>
  <c r="G3247" i="14"/>
  <c r="G3246" i="14"/>
  <c r="G3245" i="14"/>
  <c r="G3244" i="14"/>
  <c r="G3243" i="14"/>
  <c r="G3242" i="14"/>
  <c r="G3241" i="14"/>
  <c r="G3240" i="14"/>
  <c r="G3239" i="14"/>
  <c r="G3238" i="14"/>
  <c r="G3237" i="14"/>
  <c r="G3236" i="14"/>
  <c r="G3235" i="14"/>
  <c r="G3234" i="14"/>
  <c r="G3233" i="14"/>
  <c r="G3232" i="14"/>
  <c r="G3231" i="14"/>
  <c r="G3230" i="14"/>
  <c r="G3229" i="14"/>
  <c r="G3228" i="14"/>
  <c r="G3227" i="14"/>
  <c r="G3226" i="14"/>
  <c r="G3225" i="14"/>
  <c r="G3224" i="14"/>
  <c r="G3223" i="14"/>
  <c r="G3222" i="14"/>
  <c r="G3221" i="14"/>
  <c r="G3220" i="14"/>
  <c r="G3219" i="14"/>
  <c r="G3218" i="14"/>
  <c r="G3217" i="14"/>
  <c r="G3216" i="14"/>
  <c r="G3215" i="14"/>
  <c r="G3214" i="14"/>
  <c r="G3213" i="14"/>
  <c r="G3212" i="14"/>
  <c r="G3211" i="14"/>
  <c r="G3210" i="14"/>
  <c r="G3209" i="14"/>
  <c r="G3208" i="14"/>
  <c r="G3207" i="14"/>
  <c r="G3206" i="14"/>
  <c r="G3205" i="14"/>
  <c r="G3204" i="14"/>
  <c r="G3203" i="14"/>
  <c r="G3202" i="14"/>
  <c r="G3201" i="14"/>
  <c r="G3200" i="14"/>
  <c r="G3199" i="14"/>
  <c r="G3198" i="14"/>
  <c r="G3197" i="14"/>
  <c r="G3196" i="14"/>
  <c r="G3195" i="14"/>
  <c r="G3194" i="14"/>
  <c r="G3193" i="14"/>
  <c r="G3192" i="14"/>
  <c r="G3191" i="14"/>
  <c r="G3190" i="14"/>
  <c r="G3189" i="14"/>
  <c r="G3188" i="14"/>
  <c r="G3187" i="14"/>
  <c r="G3186" i="14"/>
  <c r="G3185" i="14"/>
  <c r="G3184" i="14"/>
  <c r="G3183" i="14"/>
  <c r="G3182" i="14"/>
  <c r="G3181" i="14"/>
  <c r="G3180" i="14"/>
  <c r="G3179" i="14"/>
  <c r="G3178" i="14"/>
  <c r="G3177" i="14"/>
  <c r="G3176" i="14"/>
  <c r="G3175" i="14"/>
  <c r="G3174" i="14"/>
  <c r="G3173" i="14"/>
  <c r="G3172" i="14"/>
  <c r="G3171" i="14"/>
  <c r="G3170" i="14"/>
  <c r="G3169" i="14"/>
  <c r="G3168" i="14"/>
  <c r="G3167" i="14"/>
  <c r="G3166" i="14"/>
  <c r="G3165" i="14"/>
  <c r="G3164" i="14"/>
  <c r="G3163" i="14"/>
  <c r="G3162" i="14"/>
  <c r="G3161" i="14"/>
  <c r="G3160" i="14"/>
  <c r="G3159" i="14"/>
  <c r="G3158" i="14"/>
  <c r="G3157" i="14"/>
  <c r="G3156" i="14"/>
  <c r="G3155" i="14"/>
  <c r="G3154" i="14"/>
  <c r="G3153" i="14"/>
  <c r="G3152" i="14"/>
  <c r="G3151" i="14"/>
  <c r="G3150" i="14"/>
  <c r="G3149" i="14"/>
  <c r="G3148" i="14"/>
  <c r="G3147" i="14"/>
  <c r="G3146" i="14"/>
  <c r="G3145" i="14"/>
  <c r="G3144" i="14"/>
  <c r="G3143" i="14"/>
  <c r="G3142" i="14"/>
  <c r="G3141" i="14"/>
  <c r="G3140" i="14"/>
  <c r="G3139" i="14"/>
  <c r="G3138" i="14"/>
  <c r="G3137" i="14"/>
  <c r="G3136" i="14"/>
  <c r="G3135" i="14"/>
  <c r="G3134" i="14"/>
  <c r="G3133" i="14"/>
  <c r="G3132" i="14"/>
  <c r="G3131" i="14"/>
  <c r="G3130" i="14"/>
  <c r="G3129" i="14"/>
  <c r="G3128" i="14"/>
  <c r="G3127" i="14"/>
  <c r="G3126" i="14"/>
  <c r="G3125" i="14"/>
  <c r="G3124" i="14"/>
  <c r="G3123" i="14"/>
  <c r="G3122" i="14"/>
  <c r="G3121" i="14"/>
  <c r="G3120" i="14"/>
  <c r="G3119" i="14"/>
  <c r="G3118" i="14"/>
  <c r="G3117" i="14"/>
  <c r="G3116" i="14"/>
  <c r="G3115" i="14"/>
  <c r="G3114" i="14"/>
  <c r="G3113" i="14"/>
  <c r="G3112" i="14"/>
  <c r="G3111" i="14"/>
  <c r="G3110" i="14"/>
  <c r="G3109" i="14"/>
  <c r="G3108" i="14"/>
  <c r="G3107" i="14"/>
  <c r="G3106" i="14"/>
  <c r="G3105" i="14"/>
  <c r="G3104" i="14"/>
  <c r="G3103" i="14"/>
  <c r="G3102" i="14"/>
  <c r="G3101" i="14"/>
  <c r="G3100" i="14"/>
  <c r="G3099" i="14"/>
  <c r="G3098" i="14"/>
  <c r="G3097" i="14"/>
  <c r="G3096" i="14"/>
  <c r="G3095" i="14"/>
  <c r="G3094" i="14"/>
  <c r="G3093" i="14"/>
  <c r="G3092" i="14"/>
  <c r="G3091" i="14"/>
  <c r="G3090" i="14"/>
  <c r="G3089" i="14"/>
  <c r="G3088" i="14"/>
  <c r="G3087" i="14"/>
  <c r="G3086" i="14"/>
  <c r="G3085" i="14"/>
  <c r="G3084" i="14"/>
  <c r="G3083" i="14"/>
  <c r="G3082" i="14"/>
  <c r="G3081" i="14"/>
  <c r="G3080" i="14"/>
  <c r="G3079" i="14"/>
  <c r="G3078" i="14"/>
  <c r="G3077" i="14"/>
  <c r="F3076" i="14"/>
  <c r="G3076" i="14" s="1"/>
  <c r="G3075" i="14"/>
  <c r="G3074" i="14"/>
  <c r="G3073" i="14"/>
  <c r="G3072" i="14"/>
  <c r="G3071" i="14"/>
  <c r="G3070" i="14"/>
  <c r="G3069" i="14"/>
  <c r="G3068" i="14"/>
  <c r="G3067" i="14"/>
  <c r="G3066" i="14"/>
  <c r="G3065" i="14"/>
  <c r="G3064" i="14"/>
  <c r="G3063" i="14"/>
  <c r="G3062" i="14"/>
  <c r="G3061" i="14"/>
  <c r="G3060" i="14"/>
  <c r="G3059" i="14"/>
  <c r="G3058" i="14"/>
  <c r="G3057" i="14"/>
  <c r="G3056" i="14"/>
  <c r="G3055" i="14"/>
  <c r="G3054" i="14"/>
  <c r="G3053" i="14"/>
  <c r="G3052" i="14"/>
  <c r="G3051" i="14"/>
  <c r="G3050" i="14"/>
  <c r="G3049" i="14"/>
  <c r="G3048" i="14"/>
  <c r="G3047" i="14"/>
  <c r="G3046" i="14"/>
  <c r="G3045" i="14"/>
  <c r="G3044" i="14"/>
  <c r="G3043" i="14"/>
  <c r="G3042" i="14"/>
  <c r="G3041" i="14"/>
  <c r="G3040" i="14"/>
  <c r="G3039" i="14"/>
  <c r="G3038" i="14"/>
  <c r="G3037" i="14"/>
  <c r="G3036" i="14"/>
  <c r="G3035" i="14"/>
  <c r="G3034" i="14"/>
  <c r="G3033" i="14"/>
  <c r="G3032" i="14"/>
  <c r="G3031" i="14"/>
  <c r="G3030" i="14"/>
  <c r="G3029" i="14"/>
  <c r="G3028" i="14"/>
  <c r="G3027" i="14"/>
  <c r="G3026" i="14"/>
  <c r="G3025" i="14"/>
  <c r="G3024" i="14"/>
  <c r="G3023" i="14"/>
  <c r="G3022" i="14"/>
  <c r="G3021" i="14"/>
  <c r="G3020" i="14"/>
  <c r="G3019" i="14"/>
  <c r="G3018" i="14"/>
  <c r="G3017" i="14"/>
  <c r="G3016" i="14"/>
  <c r="G3015" i="14"/>
  <c r="G3014" i="14"/>
  <c r="G3013" i="14"/>
  <c r="G3012" i="14"/>
  <c r="G3011" i="14"/>
  <c r="G3010" i="14"/>
  <c r="G3009" i="14"/>
  <c r="G3008" i="14"/>
  <c r="G3007" i="14"/>
  <c r="G3006" i="14"/>
  <c r="G3005" i="14"/>
  <c r="G3004" i="14"/>
  <c r="G3003" i="14"/>
  <c r="G3002" i="14"/>
  <c r="G3001" i="14"/>
  <c r="G3000" i="14"/>
  <c r="G2999" i="14"/>
  <c r="G2998" i="14"/>
  <c r="G2997" i="14"/>
  <c r="G2996" i="14"/>
  <c r="G2995" i="14"/>
  <c r="G2994" i="14"/>
  <c r="G2993" i="14"/>
  <c r="G2992" i="14"/>
  <c r="G2991" i="14"/>
  <c r="G2990" i="14"/>
  <c r="G2989" i="14"/>
  <c r="G2988" i="14"/>
  <c r="G2987" i="14"/>
  <c r="G2986" i="14"/>
  <c r="G2985" i="14"/>
  <c r="G2984" i="14"/>
  <c r="G2983" i="14"/>
  <c r="G2982" i="14"/>
  <c r="G2981" i="14"/>
  <c r="G2980" i="14"/>
  <c r="G2979" i="14"/>
  <c r="G2978" i="14"/>
  <c r="G2977" i="14"/>
  <c r="G2976" i="14"/>
  <c r="G2975" i="14"/>
  <c r="G2974" i="14"/>
  <c r="G2973" i="14"/>
  <c r="G2972" i="14"/>
  <c r="G2971" i="14"/>
  <c r="G2970" i="14"/>
  <c r="G2969" i="14"/>
  <c r="G2968" i="14"/>
  <c r="F2967" i="14"/>
  <c r="G2967" i="14" s="1"/>
  <c r="G2966" i="14"/>
  <c r="G2965" i="14"/>
  <c r="G2964" i="14"/>
  <c r="G2963" i="14"/>
  <c r="G2962" i="14"/>
  <c r="G2961" i="14"/>
  <c r="G2960" i="14"/>
  <c r="G2959" i="14"/>
  <c r="G2958" i="14"/>
  <c r="G2957" i="14"/>
  <c r="G2956" i="14"/>
  <c r="G2955" i="14"/>
  <c r="G2954" i="14"/>
  <c r="G2953" i="14"/>
  <c r="G2952" i="14"/>
  <c r="G2951" i="14"/>
  <c r="G2950" i="14"/>
  <c r="G2949" i="14"/>
  <c r="G2948" i="14"/>
  <c r="G2947" i="14"/>
  <c r="G2946" i="14"/>
  <c r="G2945" i="14"/>
  <c r="G2944" i="14"/>
  <c r="G2943" i="14"/>
  <c r="G2942" i="14"/>
  <c r="G2941" i="14"/>
  <c r="G2940" i="14"/>
  <c r="G2939" i="14"/>
  <c r="G2938" i="14"/>
  <c r="G2937" i="14"/>
  <c r="G2936" i="14"/>
  <c r="G2935" i="14"/>
  <c r="G2934" i="14"/>
  <c r="G2933" i="14"/>
  <c r="G2932" i="14"/>
  <c r="G2931" i="14"/>
  <c r="G2930" i="14"/>
  <c r="G2929" i="14"/>
  <c r="G2928" i="14"/>
  <c r="G2927" i="14"/>
  <c r="G2926" i="14"/>
  <c r="G2925" i="14"/>
  <c r="G2924" i="14"/>
  <c r="G2923" i="14"/>
  <c r="G2922" i="14"/>
  <c r="G2921" i="14"/>
  <c r="G2920" i="14"/>
  <c r="G2919" i="14"/>
  <c r="G2918" i="14"/>
  <c r="G2917" i="14"/>
  <c r="G2916" i="14"/>
  <c r="G2915" i="14"/>
  <c r="G2914" i="14"/>
  <c r="G2913" i="14"/>
  <c r="G2912" i="14"/>
  <c r="G2911" i="14"/>
  <c r="G2910" i="14"/>
  <c r="G2909" i="14"/>
  <c r="G2908" i="14"/>
  <c r="G2907" i="14"/>
  <c r="G2906" i="14"/>
  <c r="G2905" i="14"/>
  <c r="G2904" i="14"/>
  <c r="G2903" i="14"/>
  <c r="G2902" i="14"/>
  <c r="G2901" i="14"/>
  <c r="G2900" i="14"/>
  <c r="G2899" i="14"/>
  <c r="G2898" i="14"/>
  <c r="G2897" i="14"/>
  <c r="G2896" i="14"/>
  <c r="G2895" i="14"/>
  <c r="G2894" i="14"/>
  <c r="G2893" i="14"/>
  <c r="G2892" i="14"/>
  <c r="G2891" i="14"/>
  <c r="G2890" i="14"/>
  <c r="G2889" i="14"/>
  <c r="G2888" i="14"/>
  <c r="G2887" i="14"/>
  <c r="G2886" i="14"/>
  <c r="G2885" i="14"/>
  <c r="G2884" i="14"/>
  <c r="G2883" i="14"/>
  <c r="G2882" i="14"/>
  <c r="G2881" i="14"/>
  <c r="G2880" i="14"/>
  <c r="G2879" i="14"/>
  <c r="G2878" i="14"/>
  <c r="G2877" i="14"/>
  <c r="G2876" i="14"/>
  <c r="G2875" i="14"/>
  <c r="F2874" i="14"/>
  <c r="G2874" i="14" s="1"/>
  <c r="F2873" i="14"/>
  <c r="G2873" i="14" s="1"/>
  <c r="F2872" i="14"/>
  <c r="G2872" i="14" s="1"/>
  <c r="G2871" i="14"/>
  <c r="G2870" i="14"/>
  <c r="F2869" i="14"/>
  <c r="G2869" i="14" s="1"/>
  <c r="F2868" i="14"/>
  <c r="G2868" i="14" s="1"/>
  <c r="G2867" i="14"/>
  <c r="G2866" i="14"/>
  <c r="G2865" i="14"/>
  <c r="G2864" i="14"/>
  <c r="G2863" i="14"/>
  <c r="G2862" i="14"/>
  <c r="G2861" i="14"/>
  <c r="G2860" i="14"/>
  <c r="G2859" i="14"/>
  <c r="G2858" i="14"/>
  <c r="G2857" i="14"/>
  <c r="G2856" i="14"/>
  <c r="G2855" i="14"/>
  <c r="G2854" i="14"/>
  <c r="G2853" i="14"/>
  <c r="G2852" i="14"/>
  <c r="G2851" i="14"/>
  <c r="G2850" i="14"/>
  <c r="G2849" i="14"/>
  <c r="G2848" i="14"/>
  <c r="G2847" i="14"/>
  <c r="G2846" i="14"/>
  <c r="G2845" i="14"/>
  <c r="G2844" i="14"/>
  <c r="G2843" i="14"/>
  <c r="G2842" i="14"/>
  <c r="F2841" i="14"/>
  <c r="E2841" i="14"/>
  <c r="F2840" i="14"/>
  <c r="E2840" i="14"/>
  <c r="F2839" i="14"/>
  <c r="E2839" i="14"/>
  <c r="F2838" i="14"/>
  <c r="E2838" i="14"/>
  <c r="F2837" i="14"/>
  <c r="E2837" i="14"/>
  <c r="G2837" i="14" s="1"/>
  <c r="F2836" i="14"/>
  <c r="E2836" i="14"/>
  <c r="G2835" i="14"/>
  <c r="G2834" i="14"/>
  <c r="G2833" i="14"/>
  <c r="G2832" i="14"/>
  <c r="G2831" i="14"/>
  <c r="G2830" i="14"/>
  <c r="G2829" i="14"/>
  <c r="G2828" i="14"/>
  <c r="G2827" i="14"/>
  <c r="G2826" i="14"/>
  <c r="G2825" i="14"/>
  <c r="G2824" i="14"/>
  <c r="G2823" i="14"/>
  <c r="G2822" i="14"/>
  <c r="G2821" i="14"/>
  <c r="G2820" i="14"/>
  <c r="G2819" i="14"/>
  <c r="G2818" i="14"/>
  <c r="G2817" i="14"/>
  <c r="G2816" i="14"/>
  <c r="G2815" i="14"/>
  <c r="G2814" i="14"/>
  <c r="G2813" i="14"/>
  <c r="G2812" i="14"/>
  <c r="G2811" i="14"/>
  <c r="G2810" i="14"/>
  <c r="G2809" i="14"/>
  <c r="G2808" i="14"/>
  <c r="G2807" i="14"/>
  <c r="G2806" i="14"/>
  <c r="G2805" i="14"/>
  <c r="G2804" i="14"/>
  <c r="G2803" i="14"/>
  <c r="G2802" i="14"/>
  <c r="G2801" i="14"/>
  <c r="G2800" i="14"/>
  <c r="G2799" i="14"/>
  <c r="G2798" i="14"/>
  <c r="G2797" i="14"/>
  <c r="G2796" i="14"/>
  <c r="G2795" i="14"/>
  <c r="G2794" i="14"/>
  <c r="G2793" i="14"/>
  <c r="G2792" i="14"/>
  <c r="G2791" i="14"/>
  <c r="G2790" i="14"/>
  <c r="G2789" i="14"/>
  <c r="G2788" i="14"/>
  <c r="G2787" i="14"/>
  <c r="G2786" i="14"/>
  <c r="G2785" i="14"/>
  <c r="G2784" i="14"/>
  <c r="G2783" i="14"/>
  <c r="G2782" i="14"/>
  <c r="G2781" i="14"/>
  <c r="G2780" i="14"/>
  <c r="G2779" i="14"/>
  <c r="G2778" i="14"/>
  <c r="G2777" i="14"/>
  <c r="G2776" i="14"/>
  <c r="G2775" i="14"/>
  <c r="G2774" i="14"/>
  <c r="G2773" i="14"/>
  <c r="G2772" i="14"/>
  <c r="G2771" i="14"/>
  <c r="G2770" i="14"/>
  <c r="G2769" i="14"/>
  <c r="G2768" i="14"/>
  <c r="G2767" i="14"/>
  <c r="G2766" i="14"/>
  <c r="G2765" i="14"/>
  <c r="G2764" i="14"/>
  <c r="G2763" i="14"/>
  <c r="G2762" i="14"/>
  <c r="G2761" i="14"/>
  <c r="G2760" i="14"/>
  <c r="G2759" i="14"/>
  <c r="G2758" i="14"/>
  <c r="G2757" i="14"/>
  <c r="G2756" i="14"/>
  <c r="G2755" i="14"/>
  <c r="G2754" i="14"/>
  <c r="F2753" i="14"/>
  <c r="G2753" i="14" s="1"/>
  <c r="F2752" i="14"/>
  <c r="G2752" i="14" s="1"/>
  <c r="F2751" i="14"/>
  <c r="G2751" i="14" s="1"/>
  <c r="F2750" i="14"/>
  <c r="G2750" i="14" s="1"/>
  <c r="F2749" i="14"/>
  <c r="G2749" i="14" s="1"/>
  <c r="F2748" i="14"/>
  <c r="G2748" i="14" s="1"/>
  <c r="F2747" i="14"/>
  <c r="G2747" i="14" s="1"/>
  <c r="G2746" i="14"/>
  <c r="G2745" i="14"/>
  <c r="G2744" i="14"/>
  <c r="G2743" i="14"/>
  <c r="G2742" i="14"/>
  <c r="G2741" i="14"/>
  <c r="G2740" i="14"/>
  <c r="G2739" i="14"/>
  <c r="G2738" i="14"/>
  <c r="G2737" i="14"/>
  <c r="G2736" i="14"/>
  <c r="G2735" i="14"/>
  <c r="G2734" i="14"/>
  <c r="G2733" i="14"/>
  <c r="G2732" i="14"/>
  <c r="G2731" i="14"/>
  <c r="G2730" i="14"/>
  <c r="G2729" i="14"/>
  <c r="G2728" i="14"/>
  <c r="G2727" i="14"/>
  <c r="G2726" i="14"/>
  <c r="G2725" i="14"/>
  <c r="G2724" i="14"/>
  <c r="G2723" i="14"/>
  <c r="G2722" i="14"/>
  <c r="G2721" i="14"/>
  <c r="G2720" i="14"/>
  <c r="G2719" i="14"/>
  <c r="G2718" i="14"/>
  <c r="G2717" i="14"/>
  <c r="G2716" i="14"/>
  <c r="G2715" i="14"/>
  <c r="G2714" i="14"/>
  <c r="G2713" i="14"/>
  <c r="G2712" i="14"/>
  <c r="G2711" i="14"/>
  <c r="G2710" i="14"/>
  <c r="G2709" i="14"/>
  <c r="G2708" i="14"/>
  <c r="G2707" i="14"/>
  <c r="G2706" i="14"/>
  <c r="G2705" i="14"/>
  <c r="G2704" i="14"/>
  <c r="G2703" i="14"/>
  <c r="G2702" i="14"/>
  <c r="G2701" i="14"/>
  <c r="G2700" i="14"/>
  <c r="G2699" i="14"/>
  <c r="G2698" i="14"/>
  <c r="G2697" i="14"/>
  <c r="G2696" i="14"/>
  <c r="G2695" i="14"/>
  <c r="G2694" i="14"/>
  <c r="G2693" i="14"/>
  <c r="G2692" i="14"/>
  <c r="G2691" i="14"/>
  <c r="G2690" i="14"/>
  <c r="G2689" i="14"/>
  <c r="G2688" i="14"/>
  <c r="G2687" i="14"/>
  <c r="G2686" i="14"/>
  <c r="G2685" i="14"/>
  <c r="G2684" i="14"/>
  <c r="G2683" i="14"/>
  <c r="G2682" i="14"/>
  <c r="G2681" i="14"/>
  <c r="G2680" i="14"/>
  <c r="G2679" i="14"/>
  <c r="G2678" i="14"/>
  <c r="G2677" i="14"/>
  <c r="G2676" i="14"/>
  <c r="G2675" i="14"/>
  <c r="G2674" i="14"/>
  <c r="G2673" i="14"/>
  <c r="G2672" i="14"/>
  <c r="G2671" i="14"/>
  <c r="G2670" i="14"/>
  <c r="G2669" i="14"/>
  <c r="G2668" i="14"/>
  <c r="G2667" i="14"/>
  <c r="G2666" i="14"/>
  <c r="G2665" i="14"/>
  <c r="G2664" i="14"/>
  <c r="G2663" i="14"/>
  <c r="G2662" i="14"/>
  <c r="G2661" i="14"/>
  <c r="G2660" i="14"/>
  <c r="G2659" i="14"/>
  <c r="G2658" i="14"/>
  <c r="G2657" i="14"/>
  <c r="G2656" i="14"/>
  <c r="G2655" i="14"/>
  <c r="G2654" i="14"/>
  <c r="G2653" i="14"/>
  <c r="G2652" i="14"/>
  <c r="G2651" i="14"/>
  <c r="G2650" i="14"/>
  <c r="G2649" i="14"/>
  <c r="G2648" i="14"/>
  <c r="G2647" i="14"/>
  <c r="G2646" i="14"/>
  <c r="G2645" i="14"/>
  <c r="G2644" i="14"/>
  <c r="G2643" i="14"/>
  <c r="G2642" i="14"/>
  <c r="G2641" i="14"/>
  <c r="G2640" i="14"/>
  <c r="G2639" i="14"/>
  <c r="G2638" i="14"/>
  <c r="G2637" i="14"/>
  <c r="G2636" i="14"/>
  <c r="G2635" i="14"/>
  <c r="G2634" i="14"/>
  <c r="G2633" i="14"/>
  <c r="G2632" i="14"/>
  <c r="G2631" i="14"/>
  <c r="G2630" i="14"/>
  <c r="G2629" i="14"/>
  <c r="G2628" i="14"/>
  <c r="G2627" i="14"/>
  <c r="G2626" i="14"/>
  <c r="G2625" i="14"/>
  <c r="G2624" i="14"/>
  <c r="G2623" i="14"/>
  <c r="G2622" i="14"/>
  <c r="G2621" i="14"/>
  <c r="G2620" i="14"/>
  <c r="G2619" i="14"/>
  <c r="G2618" i="14"/>
  <c r="G2617" i="14"/>
  <c r="G2616" i="14"/>
  <c r="G2615" i="14"/>
  <c r="G2614" i="14"/>
  <c r="G2613" i="14"/>
  <c r="G2612" i="14"/>
  <c r="G2611" i="14"/>
  <c r="G2610" i="14"/>
  <c r="G2609" i="14"/>
  <c r="G2608" i="14"/>
  <c r="G2607" i="14"/>
  <c r="G2606" i="14"/>
  <c r="G2605" i="14"/>
  <c r="G2604" i="14"/>
  <c r="G2603" i="14"/>
  <c r="G2602" i="14"/>
  <c r="G2601" i="14"/>
  <c r="G2600" i="14"/>
  <c r="G2599" i="14"/>
  <c r="G2598" i="14"/>
  <c r="G2597" i="14"/>
  <c r="G2596" i="14"/>
  <c r="G2595" i="14"/>
  <c r="G2594" i="14"/>
  <c r="G2593" i="14"/>
  <c r="G2592" i="14"/>
  <c r="G2591" i="14"/>
  <c r="G2590" i="14"/>
  <c r="G2589" i="14"/>
  <c r="G2588" i="14"/>
  <c r="G2587" i="14"/>
  <c r="G2586" i="14"/>
  <c r="G2585" i="14"/>
  <c r="G2584" i="14"/>
  <c r="G2583" i="14"/>
  <c r="G2582" i="14"/>
  <c r="G2581" i="14"/>
  <c r="G2580" i="14"/>
  <c r="G2579" i="14"/>
  <c r="G2578" i="14"/>
  <c r="G2577" i="14"/>
  <c r="G2576" i="14"/>
  <c r="G2575" i="14"/>
  <c r="G2574" i="14"/>
  <c r="G2573" i="14"/>
  <c r="G2572" i="14"/>
  <c r="G2571" i="14"/>
  <c r="G2570" i="14"/>
  <c r="G2569" i="14"/>
  <c r="G2568" i="14"/>
  <c r="G2567" i="14"/>
  <c r="G2566" i="14"/>
  <c r="G2565" i="14"/>
  <c r="G2564" i="14"/>
  <c r="G2563" i="14"/>
  <c r="G2562" i="14"/>
  <c r="G2561" i="14"/>
  <c r="G2560" i="14"/>
  <c r="G2559" i="14"/>
  <c r="G2558" i="14"/>
  <c r="G2557" i="14"/>
  <c r="G2556" i="14"/>
  <c r="G2555" i="14"/>
  <c r="G2554" i="14"/>
  <c r="G2553" i="14"/>
  <c r="G2552" i="14"/>
  <c r="G2551" i="14"/>
  <c r="G2550" i="14"/>
  <c r="G2549" i="14"/>
  <c r="G2548" i="14"/>
  <c r="G2547" i="14"/>
  <c r="G2546" i="14"/>
  <c r="G2545" i="14"/>
  <c r="G2544" i="14"/>
  <c r="G2543" i="14"/>
  <c r="G2542" i="14"/>
  <c r="G2541" i="14"/>
  <c r="G2540" i="14"/>
  <c r="G2539" i="14"/>
  <c r="G2538" i="14"/>
  <c r="G2537" i="14"/>
  <c r="G2536" i="14"/>
  <c r="G2535" i="14"/>
  <c r="G2534" i="14"/>
  <c r="G2533" i="14"/>
  <c r="G2532" i="14"/>
  <c r="G2531" i="14"/>
  <c r="G2530" i="14"/>
  <c r="G2529" i="14"/>
  <c r="G2528" i="14"/>
  <c r="G2527" i="14"/>
  <c r="G2526" i="14"/>
  <c r="G2525" i="14"/>
  <c r="G2524" i="14"/>
  <c r="G2523" i="14"/>
  <c r="G2522" i="14"/>
  <c r="G2521" i="14"/>
  <c r="G2520" i="14"/>
  <c r="G2519" i="14"/>
  <c r="G2518" i="14"/>
  <c r="G2517" i="14"/>
  <c r="G2516" i="14"/>
  <c r="G2515" i="14"/>
  <c r="G2514" i="14"/>
  <c r="G2513" i="14"/>
  <c r="G2512" i="14"/>
  <c r="G2511" i="14"/>
  <c r="G2510" i="14"/>
  <c r="G2509" i="14"/>
  <c r="G2508" i="14"/>
  <c r="G2507" i="14"/>
  <c r="G2506" i="14"/>
  <c r="G2505" i="14"/>
  <c r="G2504" i="14"/>
  <c r="G2503" i="14"/>
  <c r="G2502" i="14"/>
  <c r="G2501" i="14"/>
  <c r="G2500" i="14"/>
  <c r="G2499" i="14"/>
  <c r="G2498" i="14"/>
  <c r="G2497" i="14"/>
  <c r="G2496" i="14"/>
  <c r="G2495" i="14"/>
  <c r="G2494" i="14"/>
  <c r="G2493" i="14"/>
  <c r="G2492" i="14"/>
  <c r="G2491" i="14"/>
  <c r="G2490" i="14"/>
  <c r="G2489" i="14"/>
  <c r="G2488" i="14"/>
  <c r="G2487" i="14"/>
  <c r="G2486" i="14"/>
  <c r="G2485" i="14"/>
  <c r="G2484" i="14"/>
  <c r="G2483" i="14"/>
  <c r="G2482" i="14"/>
  <c r="G2481" i="14"/>
  <c r="G2480" i="14"/>
  <c r="G2479" i="14"/>
  <c r="G2478" i="14"/>
  <c r="G2477" i="14"/>
  <c r="G2476" i="14"/>
  <c r="G2475" i="14"/>
  <c r="G2474" i="14"/>
  <c r="G2473" i="14"/>
  <c r="G2472" i="14"/>
  <c r="G2471" i="14"/>
  <c r="G2470" i="14"/>
  <c r="G2469" i="14"/>
  <c r="G2468" i="14"/>
  <c r="G2467" i="14"/>
  <c r="G2466" i="14"/>
  <c r="G2465" i="14"/>
  <c r="G2464" i="14"/>
  <c r="G2463" i="14"/>
  <c r="G2462" i="14"/>
  <c r="G2461" i="14"/>
  <c r="G2460" i="14"/>
  <c r="G2459" i="14"/>
  <c r="G2458" i="14"/>
  <c r="G2457" i="14"/>
  <c r="G2456" i="14"/>
  <c r="G2455" i="14"/>
  <c r="G2454" i="14"/>
  <c r="G2453" i="14"/>
  <c r="G2452" i="14"/>
  <c r="G2451" i="14"/>
  <c r="G2450" i="14"/>
  <c r="G2449" i="14"/>
  <c r="G2448" i="14"/>
  <c r="G2447" i="14"/>
  <c r="G2446" i="14"/>
  <c r="G2445" i="14"/>
  <c r="G2444" i="14"/>
  <c r="G2443" i="14"/>
  <c r="G2442" i="14"/>
  <c r="G2441" i="14"/>
  <c r="G2440" i="14"/>
  <c r="G2439" i="14"/>
  <c r="G2438" i="14"/>
  <c r="G2437" i="14"/>
  <c r="G2436" i="14"/>
  <c r="G2435" i="14"/>
  <c r="G2434" i="14"/>
  <c r="G2433" i="14"/>
  <c r="G2432" i="14"/>
  <c r="G2431" i="14"/>
  <c r="G2430" i="14"/>
  <c r="G2429" i="14"/>
  <c r="G2428" i="14"/>
  <c r="G2427" i="14"/>
  <c r="G2426" i="14"/>
  <c r="G2425" i="14"/>
  <c r="G2424" i="14"/>
  <c r="G2423" i="14"/>
  <c r="G2422" i="14"/>
  <c r="G2421" i="14"/>
  <c r="G2420" i="14"/>
  <c r="G2419" i="14"/>
  <c r="G2418" i="14"/>
  <c r="G2417" i="14"/>
  <c r="G2416" i="14"/>
  <c r="G2415" i="14"/>
  <c r="G2414" i="14"/>
  <c r="G2413" i="14"/>
  <c r="G2412" i="14"/>
  <c r="G2411" i="14"/>
  <c r="G2410" i="14"/>
  <c r="G2409" i="14"/>
  <c r="G2408" i="14"/>
  <c r="G2407" i="14"/>
  <c r="G2406" i="14"/>
  <c r="G2405" i="14"/>
  <c r="G2404" i="14"/>
  <c r="G2403" i="14"/>
  <c r="G2402" i="14"/>
  <c r="G2401" i="14"/>
  <c r="G2400" i="14"/>
  <c r="G2399" i="14"/>
  <c r="G2398" i="14"/>
  <c r="G2397" i="14"/>
  <c r="G2396" i="14"/>
  <c r="G2395" i="14"/>
  <c r="G2394" i="14"/>
  <c r="G2393" i="14"/>
  <c r="G2392" i="14"/>
  <c r="G2391" i="14"/>
  <c r="G2390" i="14"/>
  <c r="G2389" i="14"/>
  <c r="G2388" i="14"/>
  <c r="G2387" i="14"/>
  <c r="G2386" i="14"/>
  <c r="G2385" i="14"/>
  <c r="G2384" i="14"/>
  <c r="G2383" i="14"/>
  <c r="G2382" i="14"/>
  <c r="G2381" i="14"/>
  <c r="G2380" i="14"/>
  <c r="G2379" i="14"/>
  <c r="G2378" i="14"/>
  <c r="G2377" i="14"/>
  <c r="G2376" i="14"/>
  <c r="G2375" i="14"/>
  <c r="G2374" i="14"/>
  <c r="G2373" i="14"/>
  <c r="G2372" i="14"/>
  <c r="G2371" i="14"/>
  <c r="G2370" i="14"/>
  <c r="G2369" i="14"/>
  <c r="G2368" i="14"/>
  <c r="G2367" i="14"/>
  <c r="G2366" i="14"/>
  <c r="G2365" i="14"/>
  <c r="G2364" i="14"/>
  <c r="G2363" i="14"/>
  <c r="G2362" i="14"/>
  <c r="G2361" i="14"/>
  <c r="G2360" i="14"/>
  <c r="G2359" i="14"/>
  <c r="G2358" i="14"/>
  <c r="G2357" i="14"/>
  <c r="G2356" i="14"/>
  <c r="G2355" i="14"/>
  <c r="G2354" i="14"/>
  <c r="G2353" i="14"/>
  <c r="G2352" i="14"/>
  <c r="G2351" i="14"/>
  <c r="G2350" i="14"/>
  <c r="G2349" i="14"/>
  <c r="G2348" i="14"/>
  <c r="G2347" i="14"/>
  <c r="G2346" i="14"/>
  <c r="G2345" i="14"/>
  <c r="G2344" i="14"/>
  <c r="G2343" i="14"/>
  <c r="G2342" i="14"/>
  <c r="G2341" i="14"/>
  <c r="G2340" i="14"/>
  <c r="G2339" i="14"/>
  <c r="G2338" i="14"/>
  <c r="G2337" i="14"/>
  <c r="G2336" i="14"/>
  <c r="G2335" i="14"/>
  <c r="G2334" i="14"/>
  <c r="G2333" i="14"/>
  <c r="G2332" i="14"/>
  <c r="G2331" i="14"/>
  <c r="G2330" i="14"/>
  <c r="G2329" i="14"/>
  <c r="G2328" i="14"/>
  <c r="G2327" i="14"/>
  <c r="G2326" i="14"/>
  <c r="G2325" i="14"/>
  <c r="G2324" i="14"/>
  <c r="G2323" i="14"/>
  <c r="G2322" i="14"/>
  <c r="G2321" i="14"/>
  <c r="G2320" i="14"/>
  <c r="G2319" i="14"/>
  <c r="G2318" i="14"/>
  <c r="G2317" i="14"/>
  <c r="G2316" i="14"/>
  <c r="G2315" i="14"/>
  <c r="G2314" i="14"/>
  <c r="G2313" i="14"/>
  <c r="G2312" i="14"/>
  <c r="G2311" i="14"/>
  <c r="G2310" i="14"/>
  <c r="G2309" i="14"/>
  <c r="G2308" i="14"/>
  <c r="G2307" i="14"/>
  <c r="G2306" i="14"/>
  <c r="G2305" i="14"/>
  <c r="G2304" i="14"/>
  <c r="G2303" i="14"/>
  <c r="G2302" i="14"/>
  <c r="G2301" i="14"/>
  <c r="G2300" i="14"/>
  <c r="G2299" i="14"/>
  <c r="G2298" i="14"/>
  <c r="G2297" i="14"/>
  <c r="G2296" i="14"/>
  <c r="G2295" i="14"/>
  <c r="G2294" i="14"/>
  <c r="G2293" i="14"/>
  <c r="G2292" i="14"/>
  <c r="G2291" i="14"/>
  <c r="G2290" i="14"/>
  <c r="G2289" i="14"/>
  <c r="G2288" i="14"/>
  <c r="G2287" i="14"/>
  <c r="G2286" i="14"/>
  <c r="G2285" i="14"/>
  <c r="G2284" i="14"/>
  <c r="G2283" i="14"/>
  <c r="G2282" i="14"/>
  <c r="G2281" i="14"/>
  <c r="G2280" i="14"/>
  <c r="G2279" i="14"/>
  <c r="G2278" i="14"/>
  <c r="G2277" i="14"/>
  <c r="G2276" i="14"/>
  <c r="G2275" i="14"/>
  <c r="G2274" i="14"/>
  <c r="G2273" i="14"/>
  <c r="G2272" i="14"/>
  <c r="G2271" i="14"/>
  <c r="G2270" i="14"/>
  <c r="G2269" i="14"/>
  <c r="G2268" i="14"/>
  <c r="G2267" i="14"/>
  <c r="G2266" i="14"/>
  <c r="G2265" i="14"/>
  <c r="G2264" i="14"/>
  <c r="G2263" i="14"/>
  <c r="G2262" i="14"/>
  <c r="G2261" i="14"/>
  <c r="G2260" i="14"/>
  <c r="G2259" i="14"/>
  <c r="G2258" i="14"/>
  <c r="G2257" i="14"/>
  <c r="G2256" i="14"/>
  <c r="G2255" i="14"/>
  <c r="G2254" i="14"/>
  <c r="G2253" i="14"/>
  <c r="G2252" i="14"/>
  <c r="G2251" i="14"/>
  <c r="G2250" i="14"/>
  <c r="G2249" i="14"/>
  <c r="G2248" i="14"/>
  <c r="G2247" i="14"/>
  <c r="G2246" i="14"/>
  <c r="G2245" i="14"/>
  <c r="G2244" i="14"/>
  <c r="G2243" i="14"/>
  <c r="G2242" i="14"/>
  <c r="G2241" i="14"/>
  <c r="G2240" i="14"/>
  <c r="G2239" i="14"/>
  <c r="G2238" i="14"/>
  <c r="G2237" i="14"/>
  <c r="G2236" i="14"/>
  <c r="G2235" i="14"/>
  <c r="G2234" i="14"/>
  <c r="G2233" i="14"/>
  <c r="G2232" i="14"/>
  <c r="G2231" i="14"/>
  <c r="G2230" i="14"/>
  <c r="G2229" i="14"/>
  <c r="G2228" i="14"/>
  <c r="G2227" i="14"/>
  <c r="G2226" i="14"/>
  <c r="G2225" i="14"/>
  <c r="G2224" i="14"/>
  <c r="G2223" i="14"/>
  <c r="G2222" i="14"/>
  <c r="G2221" i="14"/>
  <c r="G2220" i="14"/>
  <c r="G2219" i="14"/>
  <c r="G2218" i="14"/>
  <c r="G2217" i="14"/>
  <c r="G2216" i="14"/>
  <c r="G2215" i="14"/>
  <c r="G2214" i="14"/>
  <c r="G2213" i="14"/>
  <c r="G2212" i="14"/>
  <c r="G2211" i="14"/>
  <c r="G2210" i="14"/>
  <c r="G2209" i="14"/>
  <c r="G2208" i="14"/>
  <c r="G2207" i="14"/>
  <c r="G2206" i="14"/>
  <c r="G2205" i="14"/>
  <c r="G2204" i="14"/>
  <c r="G2203" i="14"/>
  <c r="G2202" i="14"/>
  <c r="G2201" i="14"/>
  <c r="G2200" i="14"/>
  <c r="G2199" i="14"/>
  <c r="G2198" i="14"/>
  <c r="G2197" i="14"/>
  <c r="G2196" i="14"/>
  <c r="G2195" i="14"/>
  <c r="G2194" i="14"/>
  <c r="G2193" i="14"/>
  <c r="G2192" i="14"/>
  <c r="G2191" i="14"/>
  <c r="G2190" i="14"/>
  <c r="G2189" i="14"/>
  <c r="G2188" i="14"/>
  <c r="G2187" i="14"/>
  <c r="G2186" i="14"/>
  <c r="G2185" i="14"/>
  <c r="G2184" i="14"/>
  <c r="G2183" i="14"/>
  <c r="G2182" i="14"/>
  <c r="G2181" i="14"/>
  <c r="G2180" i="14"/>
  <c r="G2179" i="14"/>
  <c r="G2178" i="14"/>
  <c r="G2177" i="14"/>
  <c r="G2176" i="14"/>
  <c r="G2175" i="14"/>
  <c r="G2174" i="14"/>
  <c r="G2173" i="14"/>
  <c r="G2172" i="14"/>
  <c r="G2171" i="14"/>
  <c r="G2170" i="14"/>
  <c r="G2169" i="14"/>
  <c r="G2168" i="14"/>
  <c r="G2167" i="14"/>
  <c r="G2166" i="14"/>
  <c r="G2165" i="14"/>
  <c r="G2164" i="14"/>
  <c r="G2163" i="14"/>
  <c r="G2162" i="14"/>
  <c r="G2161" i="14"/>
  <c r="G2160" i="14"/>
  <c r="G2159" i="14"/>
  <c r="G2158" i="14"/>
  <c r="G2157" i="14"/>
  <c r="G2156" i="14"/>
  <c r="G2155" i="14"/>
  <c r="G2154" i="14"/>
  <c r="G2153" i="14"/>
  <c r="G2152" i="14"/>
  <c r="G2151" i="14"/>
  <c r="G2150" i="14"/>
  <c r="G2149" i="14"/>
  <c r="G2148" i="14"/>
  <c r="G2147" i="14"/>
  <c r="G2146" i="14"/>
  <c r="G2145" i="14"/>
  <c r="G2144" i="14"/>
  <c r="G2143" i="14"/>
  <c r="G2142" i="14"/>
  <c r="G2141" i="14"/>
  <c r="G2140" i="14"/>
  <c r="G2139" i="14"/>
  <c r="G2138" i="14"/>
  <c r="G2137" i="14"/>
  <c r="G2136" i="14"/>
  <c r="G2135" i="14"/>
  <c r="G2134" i="14"/>
  <c r="G2133" i="14"/>
  <c r="G2132" i="14"/>
  <c r="G2131" i="14"/>
  <c r="G2130" i="14"/>
  <c r="G2129" i="14"/>
  <c r="G2128" i="14"/>
  <c r="G2127" i="14"/>
  <c r="G2126" i="14"/>
  <c r="G2125" i="14"/>
  <c r="G2124" i="14"/>
  <c r="G2123" i="14"/>
  <c r="G2122" i="14"/>
  <c r="G2121" i="14"/>
  <c r="G2120" i="14"/>
  <c r="G2119" i="14"/>
  <c r="G2118" i="14"/>
  <c r="G2117" i="14"/>
  <c r="G2116" i="14"/>
  <c r="G2115" i="14"/>
  <c r="G2114" i="14"/>
  <c r="G2113" i="14"/>
  <c r="G2112" i="14"/>
  <c r="G2111" i="14"/>
  <c r="G2110" i="14"/>
  <c r="G2109" i="14"/>
  <c r="G2108" i="14"/>
  <c r="G2107" i="14"/>
  <c r="G2106" i="14"/>
  <c r="G2105" i="14"/>
  <c r="G2104" i="14"/>
  <c r="G2103" i="14"/>
  <c r="G2102" i="14"/>
  <c r="G2101" i="14"/>
  <c r="G2100" i="14"/>
  <c r="F2099" i="14"/>
  <c r="E2099" i="14"/>
  <c r="F2098" i="14"/>
  <c r="E2098" i="14"/>
  <c r="F2097" i="14"/>
  <c r="E2097" i="14"/>
  <c r="F2096" i="14"/>
  <c r="E2096" i="14"/>
  <c r="F2095" i="14"/>
  <c r="E2095" i="14"/>
  <c r="F2094" i="14"/>
  <c r="E2094" i="14"/>
  <c r="F2093" i="14"/>
  <c r="E2093" i="14"/>
  <c r="F2092" i="14"/>
  <c r="E2092" i="14"/>
  <c r="F2091" i="14"/>
  <c r="E2091" i="14"/>
  <c r="F2090" i="14"/>
  <c r="E2090" i="14"/>
  <c r="F2089" i="14"/>
  <c r="E2089" i="14"/>
  <c r="F2088" i="14"/>
  <c r="E2088" i="14"/>
  <c r="F2087" i="14"/>
  <c r="E2087" i="14"/>
  <c r="G2086" i="14"/>
  <c r="G2085" i="14"/>
  <c r="G2084" i="14"/>
  <c r="G2083" i="14"/>
  <c r="G2082" i="14"/>
  <c r="G2081" i="14"/>
  <c r="G2080" i="14"/>
  <c r="G2079" i="14"/>
  <c r="G2078" i="14"/>
  <c r="G2077" i="14"/>
  <c r="G2076" i="14"/>
  <c r="G2075" i="14"/>
  <c r="G2074" i="14"/>
  <c r="G2073" i="14"/>
  <c r="G2072" i="14"/>
  <c r="G2071" i="14"/>
  <c r="G2070" i="14"/>
  <c r="G2069" i="14"/>
  <c r="G2068" i="14"/>
  <c r="G2067" i="14"/>
  <c r="G2066" i="14"/>
  <c r="G2065" i="14"/>
  <c r="G2064" i="14"/>
  <c r="G2063" i="14"/>
  <c r="G2062" i="14"/>
  <c r="E2061" i="14"/>
  <c r="G2061" i="14" s="1"/>
  <c r="E2060" i="14"/>
  <c r="G2060" i="14" s="1"/>
  <c r="G2059" i="14"/>
  <c r="G2058" i="14"/>
  <c r="G2057" i="14"/>
  <c r="G2056" i="14"/>
  <c r="G2055" i="14"/>
  <c r="G2054" i="14"/>
  <c r="G2053" i="14"/>
  <c r="G2052" i="14"/>
  <c r="G2051" i="14"/>
  <c r="G2050" i="14"/>
  <c r="G2049" i="14"/>
  <c r="G2048" i="14"/>
  <c r="G2047" i="14"/>
  <c r="G2046" i="14"/>
  <c r="G2045" i="14"/>
  <c r="G2044" i="14"/>
  <c r="G2043" i="14"/>
  <c r="G2042" i="14"/>
  <c r="G2041" i="14"/>
  <c r="G2040" i="14"/>
  <c r="G2039" i="14"/>
  <c r="G2038" i="14"/>
  <c r="G2037" i="14"/>
  <c r="G2036" i="14"/>
  <c r="G2035" i="14"/>
  <c r="G2034" i="14"/>
  <c r="G2033" i="14"/>
  <c r="G2032" i="14"/>
  <c r="G2031" i="14"/>
  <c r="G2030" i="14"/>
  <c r="G2029" i="14"/>
  <c r="G2028" i="14"/>
  <c r="G2027" i="14"/>
  <c r="G2026" i="14"/>
  <c r="G2025" i="14"/>
  <c r="G2024" i="14"/>
  <c r="G2023" i="14"/>
  <c r="G2022" i="14"/>
  <c r="G2021" i="14"/>
  <c r="F2020" i="14"/>
  <c r="G2020" i="14" s="1"/>
  <c r="F2019" i="14"/>
  <c r="E2019" i="14"/>
  <c r="F2018" i="14"/>
  <c r="E2018" i="14"/>
  <c r="F2017" i="14"/>
  <c r="E2017" i="14"/>
  <c r="F2016" i="14"/>
  <c r="E2016" i="14"/>
  <c r="F2015" i="14"/>
  <c r="E2015" i="14"/>
  <c r="F2014" i="14"/>
  <c r="E2014" i="14"/>
  <c r="G2014" i="14" s="1"/>
  <c r="F2013" i="14"/>
  <c r="E2013" i="14"/>
  <c r="F2012" i="14"/>
  <c r="E2012" i="14"/>
  <c r="G2012" i="14" s="1"/>
  <c r="G2011" i="14"/>
  <c r="G2010" i="14"/>
  <c r="G2009" i="14"/>
  <c r="G2008" i="14"/>
  <c r="G2007" i="14"/>
  <c r="G2006" i="14"/>
  <c r="G2005" i="14"/>
  <c r="G2004" i="14"/>
  <c r="G2003" i="14"/>
  <c r="G2002" i="14"/>
  <c r="G2001" i="14"/>
  <c r="G2000" i="14"/>
  <c r="G1999" i="14"/>
  <c r="G1998" i="14"/>
  <c r="F1997" i="14"/>
  <c r="E1997" i="14"/>
  <c r="F1996" i="14"/>
  <c r="E1996" i="14"/>
  <c r="G1996" i="14" s="1"/>
  <c r="F1995" i="14"/>
  <c r="E1995" i="14"/>
  <c r="F1994" i="14"/>
  <c r="E1994" i="14"/>
  <c r="G1994" i="14" s="1"/>
  <c r="F1993" i="14"/>
  <c r="E1993" i="14"/>
  <c r="F1992" i="14"/>
  <c r="E1992" i="14"/>
  <c r="G1992" i="14" s="1"/>
  <c r="F1991" i="14"/>
  <c r="E1991" i="14"/>
  <c r="F1990" i="14"/>
  <c r="E1990" i="14"/>
  <c r="G1990" i="14" s="1"/>
  <c r="G1989" i="14"/>
  <c r="G1988" i="14"/>
  <c r="G1987" i="14"/>
  <c r="G1986" i="14"/>
  <c r="G1985" i="14"/>
  <c r="G1984" i="14"/>
  <c r="G1983" i="14"/>
  <c r="G1982" i="14"/>
  <c r="G1981" i="14"/>
  <c r="G1980" i="14"/>
  <c r="G1979" i="14"/>
  <c r="G1978" i="14"/>
  <c r="G1977" i="14"/>
  <c r="G1976" i="14"/>
  <c r="G1975" i="14"/>
  <c r="G1974" i="14"/>
  <c r="G1973" i="14"/>
  <c r="G1972" i="14"/>
  <c r="G1971" i="14"/>
  <c r="G1970" i="14"/>
  <c r="G1969" i="14"/>
  <c r="G1968" i="14"/>
  <c r="G1967" i="14"/>
  <c r="G1966" i="14"/>
  <c r="G1965" i="14"/>
  <c r="G1964" i="14"/>
  <c r="G1963" i="14"/>
  <c r="G1962" i="14"/>
  <c r="G1961" i="14"/>
  <c r="G1960" i="14"/>
  <c r="G1959" i="14"/>
  <c r="G1958" i="14"/>
  <c r="G1957" i="14"/>
  <c r="G1956" i="14"/>
  <c r="G1955" i="14"/>
  <c r="G1954" i="14"/>
  <c r="G1953" i="14"/>
  <c r="G1952" i="14"/>
  <c r="G1951" i="14"/>
  <c r="G1950" i="14"/>
  <c r="G1949" i="14"/>
  <c r="G1948" i="14"/>
  <c r="G1947" i="14"/>
  <c r="G1946" i="14"/>
  <c r="G1945" i="14"/>
  <c r="G1944" i="14"/>
  <c r="G1943" i="14"/>
  <c r="G1942" i="14"/>
  <c r="G1941" i="14"/>
  <c r="G1940" i="14"/>
  <c r="G1939" i="14"/>
  <c r="G1938" i="14"/>
  <c r="G1937" i="14"/>
  <c r="G1936" i="14"/>
  <c r="G1935" i="14"/>
  <c r="G1934" i="14"/>
  <c r="G1933" i="14"/>
  <c r="G1932" i="14"/>
  <c r="G1931" i="14"/>
  <c r="G1930" i="14"/>
  <c r="G1929" i="14"/>
  <c r="G1928" i="14"/>
  <c r="G1927" i="14"/>
  <c r="G1926" i="14"/>
  <c r="G1925" i="14"/>
  <c r="G1924" i="14"/>
  <c r="G1923" i="14"/>
  <c r="G1922" i="14"/>
  <c r="G1921" i="14"/>
  <c r="G1920" i="14"/>
  <c r="G1919" i="14"/>
  <c r="G1918" i="14"/>
  <c r="G1917" i="14"/>
  <c r="G1916" i="14"/>
  <c r="G1915" i="14"/>
  <c r="G1914" i="14"/>
  <c r="G1913" i="14"/>
  <c r="G1912" i="14"/>
  <c r="G1911" i="14"/>
  <c r="G1910" i="14"/>
  <c r="G1909" i="14"/>
  <c r="G1908" i="14"/>
  <c r="G1907" i="14"/>
  <c r="G1906" i="14"/>
  <c r="G1905" i="14"/>
  <c r="G1904" i="14"/>
  <c r="G1903" i="14"/>
  <c r="G1902" i="14"/>
  <c r="G1901" i="14"/>
  <c r="G1900" i="14"/>
  <c r="G1899" i="14"/>
  <c r="G1898" i="14"/>
  <c r="G1897" i="14"/>
  <c r="G1896" i="14"/>
  <c r="G1895" i="14"/>
  <c r="G1894" i="14"/>
  <c r="G1893" i="14"/>
  <c r="G1892" i="14"/>
  <c r="G1891" i="14"/>
  <c r="G1890" i="14"/>
  <c r="G1889" i="14"/>
  <c r="G1888" i="14"/>
  <c r="G1887" i="14"/>
  <c r="G1886" i="14"/>
  <c r="G1885" i="14"/>
  <c r="G1884" i="14"/>
  <c r="G1883" i="14"/>
  <c r="G1882" i="14"/>
  <c r="G1881" i="14"/>
  <c r="G1880" i="14"/>
  <c r="G1879" i="14"/>
  <c r="G1878" i="14"/>
  <c r="G1877" i="14"/>
  <c r="G1876" i="14"/>
  <c r="G1875" i="14"/>
  <c r="G1874" i="14"/>
  <c r="G1873" i="14"/>
  <c r="G1872" i="14"/>
  <c r="G1871" i="14"/>
  <c r="G1870" i="14"/>
  <c r="G1869" i="14"/>
  <c r="G1868" i="14"/>
  <c r="G1867" i="14"/>
  <c r="G1866" i="14"/>
  <c r="G1865" i="14"/>
  <c r="G1864" i="14"/>
  <c r="G1863" i="14"/>
  <c r="G1862" i="14"/>
  <c r="G1861" i="14"/>
  <c r="G1860" i="14"/>
  <c r="G1859" i="14"/>
  <c r="G1858" i="14"/>
  <c r="G1857" i="14"/>
  <c r="G1856" i="14"/>
  <c r="G1855" i="14"/>
  <c r="G1854" i="14"/>
  <c r="G1853" i="14"/>
  <c r="G1852" i="14"/>
  <c r="G1851" i="14"/>
  <c r="G1850" i="14"/>
  <c r="G1849" i="14"/>
  <c r="G1848" i="14"/>
  <c r="G1847" i="14"/>
  <c r="G1846" i="14"/>
  <c r="G1845" i="14"/>
  <c r="G1844" i="14"/>
  <c r="G1843" i="14"/>
  <c r="G1842" i="14"/>
  <c r="G1841" i="14"/>
  <c r="G1840" i="14"/>
  <c r="G1839" i="14"/>
  <c r="G1838" i="14"/>
  <c r="G1837" i="14"/>
  <c r="G1836" i="14"/>
  <c r="G1835" i="14"/>
  <c r="F1834" i="14"/>
  <c r="G1834" i="14" s="1"/>
  <c r="E1834" i="14"/>
  <c r="G1833" i="14"/>
  <c r="G1832" i="14"/>
  <c r="G1831" i="14"/>
  <c r="G1830" i="14"/>
  <c r="G1829" i="14"/>
  <c r="G1828" i="14"/>
  <c r="G1827" i="14"/>
  <c r="G1826" i="14"/>
  <c r="G1825" i="14"/>
  <c r="G1824" i="14"/>
  <c r="G1823" i="14"/>
  <c r="G1822" i="14"/>
  <c r="G1821" i="14"/>
  <c r="G1820" i="14"/>
  <c r="G1819" i="14"/>
  <c r="G1818" i="14"/>
  <c r="G1817" i="14"/>
  <c r="G1816" i="14"/>
  <c r="G1815" i="14"/>
  <c r="G1814" i="14"/>
  <c r="G1813" i="14"/>
  <c r="G1812" i="14"/>
  <c r="G1811" i="14"/>
  <c r="G1810" i="14"/>
  <c r="G1809" i="14"/>
  <c r="G1808" i="14"/>
  <c r="G1807" i="14"/>
  <c r="G1806" i="14"/>
  <c r="G1805" i="14"/>
  <c r="G1804" i="14"/>
  <c r="G1803" i="14"/>
  <c r="G1802" i="14"/>
  <c r="G1801" i="14"/>
  <c r="G1800" i="14"/>
  <c r="G1799" i="14"/>
  <c r="G1798" i="14"/>
  <c r="G1797" i="14"/>
  <c r="G1796" i="14"/>
  <c r="G1795" i="14"/>
  <c r="G1794" i="14"/>
  <c r="G1793" i="14"/>
  <c r="G1792" i="14"/>
  <c r="G1791" i="14"/>
  <c r="G1790" i="14"/>
  <c r="G1789" i="14"/>
  <c r="G1788" i="14"/>
  <c r="G1787" i="14"/>
  <c r="G1786" i="14"/>
  <c r="G1785" i="14"/>
  <c r="G1784" i="14"/>
  <c r="G1783" i="14"/>
  <c r="G1782" i="14"/>
  <c r="G1781" i="14"/>
  <c r="G1780" i="14"/>
  <c r="G1779" i="14"/>
  <c r="G1778" i="14"/>
  <c r="G1777" i="14"/>
  <c r="G1776" i="14"/>
  <c r="G1775" i="14"/>
  <c r="G1774" i="14"/>
  <c r="G1773" i="14"/>
  <c r="G1772" i="14"/>
  <c r="G1771" i="14"/>
  <c r="G1770" i="14"/>
  <c r="G1769" i="14"/>
  <c r="G1768" i="14"/>
  <c r="G1767" i="14"/>
  <c r="G1766" i="14"/>
  <c r="G1765" i="14"/>
  <c r="G1764" i="14"/>
  <c r="G1763" i="14"/>
  <c r="G1762" i="14"/>
  <c r="G1761" i="14"/>
  <c r="G1760" i="14"/>
  <c r="G1759" i="14"/>
  <c r="G1758" i="14"/>
  <c r="G1757" i="14"/>
  <c r="G1756" i="14"/>
  <c r="G1755" i="14"/>
  <c r="G1754" i="14"/>
  <c r="G1753" i="14"/>
  <c r="F1752" i="14"/>
  <c r="E1752" i="14"/>
  <c r="G1752" i="14" s="1"/>
  <c r="F1751" i="14"/>
  <c r="E1751" i="14"/>
  <c r="F1750" i="14"/>
  <c r="E1750" i="14"/>
  <c r="G1750" i="14" s="1"/>
  <c r="F1749" i="14"/>
  <c r="E1749" i="14"/>
  <c r="F1748" i="14"/>
  <c r="E1748" i="14"/>
  <c r="G1748" i="14" s="1"/>
  <c r="F1747" i="14"/>
  <c r="E1747" i="14"/>
  <c r="G1746" i="14"/>
  <c r="G1745" i="14"/>
  <c r="F1744" i="14"/>
  <c r="E1744" i="14"/>
  <c r="G1744" i="14" s="1"/>
  <c r="F1743" i="14"/>
  <c r="E1743" i="14"/>
  <c r="F1742" i="14"/>
  <c r="E1742" i="14"/>
  <c r="G1742" i="14" s="1"/>
  <c r="F1741" i="14"/>
  <c r="E1741" i="14"/>
  <c r="F1740" i="14"/>
  <c r="E1740" i="14"/>
  <c r="G1740" i="14" s="1"/>
  <c r="G1739" i="14"/>
  <c r="G1738" i="14"/>
  <c r="G1737" i="14"/>
  <c r="G1736" i="14"/>
  <c r="G1735" i="14"/>
  <c r="G1734" i="14"/>
  <c r="G1733" i="14"/>
  <c r="G1732" i="14"/>
  <c r="G1731" i="14"/>
  <c r="G1730" i="14"/>
  <c r="G1729" i="14"/>
  <c r="G1728" i="14"/>
  <c r="G1727" i="14"/>
  <c r="G1726" i="14"/>
  <c r="G1725" i="14"/>
  <c r="G1724" i="14"/>
  <c r="G1723" i="14"/>
  <c r="G1722" i="14"/>
  <c r="F1721" i="14"/>
  <c r="E1721" i="14"/>
  <c r="F1720" i="14"/>
  <c r="E1720" i="14"/>
  <c r="G1720" i="14" s="1"/>
  <c r="F1719" i="14"/>
  <c r="E1719" i="14"/>
  <c r="F1718" i="14"/>
  <c r="E1718" i="14"/>
  <c r="G1718" i="14" s="1"/>
  <c r="G1717" i="14"/>
  <c r="G1716" i="14"/>
  <c r="G1715" i="14"/>
  <c r="G1714" i="14"/>
  <c r="G1713" i="14"/>
  <c r="G1712" i="14"/>
  <c r="G1711" i="14"/>
  <c r="G1710" i="14"/>
  <c r="G1709" i="14"/>
  <c r="G1708" i="14"/>
  <c r="G1707" i="14"/>
  <c r="G1706" i="14"/>
  <c r="G1705" i="14"/>
  <c r="G1704" i="14"/>
  <c r="G1703" i="14"/>
  <c r="G1702" i="14"/>
  <c r="G1701" i="14"/>
  <c r="G1700" i="14"/>
  <c r="G1699" i="14"/>
  <c r="F1698" i="14"/>
  <c r="E1698" i="14"/>
  <c r="F1697" i="14"/>
  <c r="G1697" i="14" s="1"/>
  <c r="E1697" i="14"/>
  <c r="F1696" i="14"/>
  <c r="E1696" i="14"/>
  <c r="F1695" i="14"/>
  <c r="G1695" i="14" s="1"/>
  <c r="E1695" i="14"/>
  <c r="F1694" i="14"/>
  <c r="E1694" i="14"/>
  <c r="G1693" i="14"/>
  <c r="G1692" i="14"/>
  <c r="G1691" i="14"/>
  <c r="G1690" i="14"/>
  <c r="G1689" i="14"/>
  <c r="G1688" i="14"/>
  <c r="G1687" i="14"/>
  <c r="G1686" i="14"/>
  <c r="G1685" i="14"/>
  <c r="G1684" i="14"/>
  <c r="G1683" i="14"/>
  <c r="G1682" i="14"/>
  <c r="G1681" i="14"/>
  <c r="G1680" i="14"/>
  <c r="G1679" i="14"/>
  <c r="G1678" i="14"/>
  <c r="G1677" i="14"/>
  <c r="G1676" i="14"/>
  <c r="G1675" i="14"/>
  <c r="G1674" i="14"/>
  <c r="G1673" i="14"/>
  <c r="G1672" i="14"/>
  <c r="G1671" i="14"/>
  <c r="G1670" i="14"/>
  <c r="G1669" i="14"/>
  <c r="G1668" i="14"/>
  <c r="G1667" i="14"/>
  <c r="G1666" i="14"/>
  <c r="G1665" i="14"/>
  <c r="G1664" i="14"/>
  <c r="G1663" i="14"/>
  <c r="G1662" i="14"/>
  <c r="G1661" i="14"/>
  <c r="G1660" i="14"/>
  <c r="G1659" i="14"/>
  <c r="G1658" i="14"/>
  <c r="G1657" i="14"/>
  <c r="G1656" i="14"/>
  <c r="G1655" i="14"/>
  <c r="G1654" i="14"/>
  <c r="G1653" i="14"/>
  <c r="G1652" i="14"/>
  <c r="G1651" i="14"/>
  <c r="G1650" i="14"/>
  <c r="G1649" i="14"/>
  <c r="G1648" i="14"/>
  <c r="G1647" i="14"/>
  <c r="G1646" i="14"/>
  <c r="G1645" i="14"/>
  <c r="G1644" i="14"/>
  <c r="G1643" i="14"/>
  <c r="G1642" i="14"/>
  <c r="G1641" i="14"/>
  <c r="G1640" i="14"/>
  <c r="G1639" i="14"/>
  <c r="G1638" i="14"/>
  <c r="G1637" i="14"/>
  <c r="G1636" i="14"/>
  <c r="G1635" i="14"/>
  <c r="G1634" i="14"/>
  <c r="G1633" i="14"/>
  <c r="G1632" i="14"/>
  <c r="G1631" i="14"/>
  <c r="G1630" i="14"/>
  <c r="G1629" i="14"/>
  <c r="G1628" i="14"/>
  <c r="G1627" i="14"/>
  <c r="G1626" i="14"/>
  <c r="G1625" i="14"/>
  <c r="G1624" i="14"/>
  <c r="G1623" i="14"/>
  <c r="G1622" i="14"/>
  <c r="G1621" i="14"/>
  <c r="G1620" i="14"/>
  <c r="G1619" i="14"/>
  <c r="G1618" i="14"/>
  <c r="G1617" i="14"/>
  <c r="G1616" i="14"/>
  <c r="G1615" i="14"/>
  <c r="G1614" i="14"/>
  <c r="G1613" i="14"/>
  <c r="G1612" i="14"/>
  <c r="G1611" i="14"/>
  <c r="G1610" i="14"/>
  <c r="G1609" i="14"/>
  <c r="G1608" i="14"/>
  <c r="G1607" i="14"/>
  <c r="G1606" i="14"/>
  <c r="G1605" i="14"/>
  <c r="G1604" i="14"/>
  <c r="G1603" i="14"/>
  <c r="G1602" i="14"/>
  <c r="G1601" i="14"/>
  <c r="G1600" i="14"/>
  <c r="G1599" i="14"/>
  <c r="G1598" i="14"/>
  <c r="G1597" i="14"/>
  <c r="G1596" i="14"/>
  <c r="G1595" i="14"/>
  <c r="G1594" i="14"/>
  <c r="G1593" i="14"/>
  <c r="G1592" i="14"/>
  <c r="G1591" i="14"/>
  <c r="G1590" i="14"/>
  <c r="G1589" i="14"/>
  <c r="G1588" i="14"/>
  <c r="G1587" i="14"/>
  <c r="G1586" i="14"/>
  <c r="G1585" i="14"/>
  <c r="G1584" i="14"/>
  <c r="G1583" i="14"/>
  <c r="G1582" i="14"/>
  <c r="G1581" i="14"/>
  <c r="G1580" i="14"/>
  <c r="G1579" i="14"/>
  <c r="G1578" i="14"/>
  <c r="G1577" i="14"/>
  <c r="G1576" i="14"/>
  <c r="G1575" i="14"/>
  <c r="G1574" i="14"/>
  <c r="G1573" i="14"/>
  <c r="G1572" i="14"/>
  <c r="G1571" i="14"/>
  <c r="G1570" i="14"/>
  <c r="G1569" i="14"/>
  <c r="G1568" i="14"/>
  <c r="G1567" i="14"/>
  <c r="G1566" i="14"/>
  <c r="G1565" i="14"/>
  <c r="G1564" i="14"/>
  <c r="G1563" i="14"/>
  <c r="F1562" i="14"/>
  <c r="E1562" i="14"/>
  <c r="G1562" i="14" s="1"/>
  <c r="F1561" i="14"/>
  <c r="E1561" i="14"/>
  <c r="F1560" i="14"/>
  <c r="E1560" i="14"/>
  <c r="G1560" i="14" s="1"/>
  <c r="F1559" i="14"/>
  <c r="E1559" i="14"/>
  <c r="F1558" i="14"/>
  <c r="E1558" i="14"/>
  <c r="G1558" i="14" s="1"/>
  <c r="F1557" i="14"/>
  <c r="E1557" i="14"/>
  <c r="F1556" i="14"/>
  <c r="E1556" i="14"/>
  <c r="G1556" i="14" s="1"/>
  <c r="G1555" i="14"/>
  <c r="G1554" i="14"/>
  <c r="G1553" i="14"/>
  <c r="G1552" i="14"/>
  <c r="G1551" i="14"/>
  <c r="G1550" i="14"/>
  <c r="G1549" i="14"/>
  <c r="G1548" i="14"/>
  <c r="G1547" i="14"/>
  <c r="G1546" i="14"/>
  <c r="G1545" i="14"/>
  <c r="G1544" i="14"/>
  <c r="G1543" i="14"/>
  <c r="G1542" i="14"/>
  <c r="F1541" i="14"/>
  <c r="G1541" i="14" s="1"/>
  <c r="F1540" i="14"/>
  <c r="G1540" i="14" s="1"/>
  <c r="F1539" i="14"/>
  <c r="E1539" i="14"/>
  <c r="F1538" i="14"/>
  <c r="E1538" i="14"/>
  <c r="G1538" i="14" s="1"/>
  <c r="F1537" i="14"/>
  <c r="E1537" i="14"/>
  <c r="F1536" i="14"/>
  <c r="E1536" i="14"/>
  <c r="G1536" i="14" s="1"/>
  <c r="F1535" i="14"/>
  <c r="E1535" i="14"/>
  <c r="F1534" i="14"/>
  <c r="E1534" i="14"/>
  <c r="G1534" i="14" s="1"/>
  <c r="F1533" i="14"/>
  <c r="E1533" i="14"/>
  <c r="F1532" i="14"/>
  <c r="E1532" i="14"/>
  <c r="G1532" i="14" s="1"/>
  <c r="F1531" i="14"/>
  <c r="E1531" i="14"/>
  <c r="G1530" i="14"/>
  <c r="G1529" i="14"/>
  <c r="G1528" i="14"/>
  <c r="G1527" i="14"/>
  <c r="G1526" i="14"/>
  <c r="G1525" i="14"/>
  <c r="G1524" i="14"/>
  <c r="G1523" i="14"/>
  <c r="G1522" i="14"/>
  <c r="G1521" i="14"/>
  <c r="G1520" i="14"/>
  <c r="G1519" i="14"/>
  <c r="G1518" i="14"/>
  <c r="G1517" i="14"/>
  <c r="G1516" i="14"/>
  <c r="G1515" i="14"/>
  <c r="G1514" i="14"/>
  <c r="G1513" i="14"/>
  <c r="G1512" i="14"/>
  <c r="G1511" i="14"/>
  <c r="G1510" i="14"/>
  <c r="G1509" i="14"/>
  <c r="G1508" i="14"/>
  <c r="G1507" i="14"/>
  <c r="G1506" i="14"/>
  <c r="G1505" i="14"/>
  <c r="G1504" i="14"/>
  <c r="G1503" i="14"/>
  <c r="G1502" i="14"/>
  <c r="G1501" i="14"/>
  <c r="G1500" i="14"/>
  <c r="G1499" i="14"/>
  <c r="G1498" i="14"/>
  <c r="G1497" i="14"/>
  <c r="G1496" i="14"/>
  <c r="G1495" i="14"/>
  <c r="G1494" i="14"/>
  <c r="G1493" i="14"/>
  <c r="G1492" i="14"/>
  <c r="G1491" i="14"/>
  <c r="G1490" i="14"/>
  <c r="G1489" i="14"/>
  <c r="G1488" i="14"/>
  <c r="G1487" i="14"/>
  <c r="G1486" i="14"/>
  <c r="G1485" i="14"/>
  <c r="G1484" i="14"/>
  <c r="G1483" i="14"/>
  <c r="G1482" i="14"/>
  <c r="G1481" i="14"/>
  <c r="G1480" i="14"/>
  <c r="G1479" i="14"/>
  <c r="G1478" i="14"/>
  <c r="G1477" i="14"/>
  <c r="G1476" i="14"/>
  <c r="G1475" i="14"/>
  <c r="G1474" i="14"/>
  <c r="G1473" i="14"/>
  <c r="G1472" i="14"/>
  <c r="G1471" i="14"/>
  <c r="G1470" i="14"/>
  <c r="G1469" i="14"/>
  <c r="G1468" i="14"/>
  <c r="G1467" i="14"/>
  <c r="G1466" i="14"/>
  <c r="G1465" i="14"/>
  <c r="G1464" i="14"/>
  <c r="G1463" i="14"/>
  <c r="G1462" i="14"/>
  <c r="G1461" i="14"/>
  <c r="G1460" i="14"/>
  <c r="G1459" i="14"/>
  <c r="G1458" i="14"/>
  <c r="G1457" i="14"/>
  <c r="G1456" i="14"/>
  <c r="G1455" i="14"/>
  <c r="G1454" i="14"/>
  <c r="G1453" i="14"/>
  <c r="G1452" i="14"/>
  <c r="G1451" i="14"/>
  <c r="G1450" i="14"/>
  <c r="G1449" i="14"/>
  <c r="G1448" i="14"/>
  <c r="G1447" i="14"/>
  <c r="G1446" i="14"/>
  <c r="G1445" i="14"/>
  <c r="G1444" i="14"/>
  <c r="G1443" i="14"/>
  <c r="G1442" i="14"/>
  <c r="G1441" i="14"/>
  <c r="G1440" i="14"/>
  <c r="G1439" i="14"/>
  <c r="G1438" i="14"/>
  <c r="G1437" i="14"/>
  <c r="G1436" i="14"/>
  <c r="G1435" i="14"/>
  <c r="G1434" i="14"/>
  <c r="G1433" i="14"/>
  <c r="G1432" i="14"/>
  <c r="G1431" i="14"/>
  <c r="G1430" i="14"/>
  <c r="G1429" i="14"/>
  <c r="G1428" i="14"/>
  <c r="G1427" i="14"/>
  <c r="G1426" i="14"/>
  <c r="G1425" i="14"/>
  <c r="G1424" i="14"/>
  <c r="G1423" i="14"/>
  <c r="G1422" i="14"/>
  <c r="G1421" i="14"/>
  <c r="G1420" i="14"/>
  <c r="G1419" i="14"/>
  <c r="G1418" i="14"/>
  <c r="G1417" i="14"/>
  <c r="G1416" i="14"/>
  <c r="G1415" i="14"/>
  <c r="G1414" i="14"/>
  <c r="G1413" i="14"/>
  <c r="G1412" i="14"/>
  <c r="G1411" i="14"/>
  <c r="G1410" i="14"/>
  <c r="G1409" i="14"/>
  <c r="G1408" i="14"/>
  <c r="G1407" i="14"/>
  <c r="G1406" i="14"/>
  <c r="G1405" i="14"/>
  <c r="G1404" i="14"/>
  <c r="G1403" i="14"/>
  <c r="G1402" i="14"/>
  <c r="G1401" i="14"/>
  <c r="G1400" i="14"/>
  <c r="G1399" i="14"/>
  <c r="G1398" i="14"/>
  <c r="G1397" i="14"/>
  <c r="G1396" i="14"/>
  <c r="G1395" i="14"/>
  <c r="G1394" i="14"/>
  <c r="G1393" i="14"/>
  <c r="G1392" i="14"/>
  <c r="G1391" i="14"/>
  <c r="G1390" i="14"/>
  <c r="G1389" i="14"/>
  <c r="G1388" i="14"/>
  <c r="G1387" i="14"/>
  <c r="G1386" i="14"/>
  <c r="G1385" i="14"/>
  <c r="G1384" i="14"/>
  <c r="G1383" i="14"/>
  <c r="G1382" i="14"/>
  <c r="G1381" i="14"/>
  <c r="G1380" i="14"/>
  <c r="G1379" i="14"/>
  <c r="G1378" i="14"/>
  <c r="G1377" i="14"/>
  <c r="G1376" i="14"/>
  <c r="G1375" i="14"/>
  <c r="G1374" i="14"/>
  <c r="G1373" i="14"/>
  <c r="G1372" i="14"/>
  <c r="G1371" i="14"/>
  <c r="G1370" i="14"/>
  <c r="G1369" i="14"/>
  <c r="G1368" i="14"/>
  <c r="G1367" i="14"/>
  <c r="G1366" i="14"/>
  <c r="G1365" i="14"/>
  <c r="G1364" i="14"/>
  <c r="G1363" i="14"/>
  <c r="G1362" i="14"/>
  <c r="G1361" i="14"/>
  <c r="G1360" i="14"/>
  <c r="G1359" i="14"/>
  <c r="G1358" i="14"/>
  <c r="G1357" i="14"/>
  <c r="G1356" i="14"/>
  <c r="G1355" i="14"/>
  <c r="G1354" i="14"/>
  <c r="G1353" i="14"/>
  <c r="G1352" i="14"/>
  <c r="G1351" i="14"/>
  <c r="G1350" i="14"/>
  <c r="G1349" i="14"/>
  <c r="G1348" i="14"/>
  <c r="G1347" i="14"/>
  <c r="G1346" i="14"/>
  <c r="G1345" i="14"/>
  <c r="G1344" i="14"/>
  <c r="G1343" i="14"/>
  <c r="G1342" i="14"/>
  <c r="G1341" i="14"/>
  <c r="G1340" i="14"/>
  <c r="G1339" i="14"/>
  <c r="G1338" i="14"/>
  <c r="G1337" i="14"/>
  <c r="G1336" i="14"/>
  <c r="G1335" i="14"/>
  <c r="G1334" i="14"/>
  <c r="G1333" i="14"/>
  <c r="G1332" i="14"/>
  <c r="G1331" i="14"/>
  <c r="G1330" i="14"/>
  <c r="G1329" i="14"/>
  <c r="G1328" i="14"/>
  <c r="G1327" i="14"/>
  <c r="G1326" i="14"/>
  <c r="G1325" i="14"/>
  <c r="G1324" i="14"/>
  <c r="G1323" i="14"/>
  <c r="G1322" i="14"/>
  <c r="G1321" i="14"/>
  <c r="G1320" i="14"/>
  <c r="G1319" i="14"/>
  <c r="G1318" i="14"/>
  <c r="G1317" i="14"/>
  <c r="G1316" i="14"/>
  <c r="G1315" i="14"/>
  <c r="G1314" i="14"/>
  <c r="G1313" i="14"/>
  <c r="G1312" i="14"/>
  <c r="G1311" i="14"/>
  <c r="G1310" i="14"/>
  <c r="G1309" i="14"/>
  <c r="G1308" i="14"/>
  <c r="G1307" i="14"/>
  <c r="G1306" i="14"/>
  <c r="G1305" i="14"/>
  <c r="G1304" i="14"/>
  <c r="G1303" i="14"/>
  <c r="G1302" i="14"/>
  <c r="G1301" i="14"/>
  <c r="G1300" i="14"/>
  <c r="G1299" i="14"/>
  <c r="G1298" i="14"/>
  <c r="G1297" i="14"/>
  <c r="G1296" i="14"/>
  <c r="G1295" i="14"/>
  <c r="G1294" i="14"/>
  <c r="G1293" i="14"/>
  <c r="G1292" i="14"/>
  <c r="G1291" i="14"/>
  <c r="G1290" i="14"/>
  <c r="G1289" i="14"/>
  <c r="G1288" i="14"/>
  <c r="G1287" i="14"/>
  <c r="G1286" i="14"/>
  <c r="G1285" i="14"/>
  <c r="G1284" i="14"/>
  <c r="G1283" i="14"/>
  <c r="G1282" i="14"/>
  <c r="G1281" i="14"/>
  <c r="G1280" i="14"/>
  <c r="G1279" i="14"/>
  <c r="G1278" i="14"/>
  <c r="G1277" i="14"/>
  <c r="G1276" i="14"/>
  <c r="G1275" i="14"/>
  <c r="G1274" i="14"/>
  <c r="G1273" i="14"/>
  <c r="G1272" i="14"/>
  <c r="G1271" i="14"/>
  <c r="G1270" i="14"/>
  <c r="G1269" i="14"/>
  <c r="G1268" i="14"/>
  <c r="G1267" i="14"/>
  <c r="G1266" i="14"/>
  <c r="G1265" i="14"/>
  <c r="G1264" i="14"/>
  <c r="G1263" i="14"/>
  <c r="G1262" i="14"/>
  <c r="G1261" i="14"/>
  <c r="G1260" i="14"/>
  <c r="G1259" i="14"/>
  <c r="G1258" i="14"/>
  <c r="G1257" i="14"/>
  <c r="G1256" i="14"/>
  <c r="G1255" i="14"/>
  <c r="G1254" i="14"/>
  <c r="G1253" i="14"/>
  <c r="G1252" i="14"/>
  <c r="G1251" i="14"/>
  <c r="G1250" i="14"/>
  <c r="G1249" i="14"/>
  <c r="G1248" i="14"/>
  <c r="G1247" i="14"/>
  <c r="G1246" i="14"/>
  <c r="G1245" i="14"/>
  <c r="G1244" i="14"/>
  <c r="G1243" i="14"/>
  <c r="G1242" i="14"/>
  <c r="G1241" i="14"/>
  <c r="G1240" i="14"/>
  <c r="G1239" i="14"/>
  <c r="G1238" i="14"/>
  <c r="G1237" i="14"/>
  <c r="G1236" i="14"/>
  <c r="G1235" i="14"/>
  <c r="G1234" i="14"/>
  <c r="G1233" i="14"/>
  <c r="G1232" i="14"/>
  <c r="G1231" i="14"/>
  <c r="G1230" i="14"/>
  <c r="G1229" i="14"/>
  <c r="G1228" i="14"/>
  <c r="G1227" i="14"/>
  <c r="G1226" i="14"/>
  <c r="G1225" i="14"/>
  <c r="G1224" i="14"/>
  <c r="G1223" i="14"/>
  <c r="G1222" i="14"/>
  <c r="G1221" i="14"/>
  <c r="G1220" i="14"/>
  <c r="G1219" i="14"/>
  <c r="G1218" i="14"/>
  <c r="G1217" i="14"/>
  <c r="G1216" i="14"/>
  <c r="G1215" i="14"/>
  <c r="G1214" i="14"/>
  <c r="G1213" i="14"/>
  <c r="G1212" i="14"/>
  <c r="G1211" i="14"/>
  <c r="G1210" i="14"/>
  <c r="G1209" i="14"/>
  <c r="G1208" i="14"/>
  <c r="G1207" i="14"/>
  <c r="G1206" i="14"/>
  <c r="G1205" i="14"/>
  <c r="G1204" i="14"/>
  <c r="G1203" i="14"/>
  <c r="G1202" i="14"/>
  <c r="G1201" i="14"/>
  <c r="G1200" i="14"/>
  <c r="G1199" i="14"/>
  <c r="G1198" i="14"/>
  <c r="G1197" i="14"/>
  <c r="G1196" i="14"/>
  <c r="G1195" i="14"/>
  <c r="G1194" i="14"/>
  <c r="G1193" i="14"/>
  <c r="G1192" i="14"/>
  <c r="G1191" i="14"/>
  <c r="G1190" i="14"/>
  <c r="G1189" i="14"/>
  <c r="G1188" i="14"/>
  <c r="G1187" i="14"/>
  <c r="G1186" i="14"/>
  <c r="G1185" i="14"/>
  <c r="G1184" i="14"/>
  <c r="G1183" i="14"/>
  <c r="G1182" i="14"/>
  <c r="G1181" i="14"/>
  <c r="G1180" i="14"/>
  <c r="G1179" i="14"/>
  <c r="G1178" i="14"/>
  <c r="G1177" i="14"/>
  <c r="G1176" i="14"/>
  <c r="G1175" i="14"/>
  <c r="G1174" i="14"/>
  <c r="G1173" i="14"/>
  <c r="G1172" i="14"/>
  <c r="G1171" i="14"/>
  <c r="G1170" i="14"/>
  <c r="G1169" i="14"/>
  <c r="G1168" i="14"/>
  <c r="G1167" i="14"/>
  <c r="G1166" i="14"/>
  <c r="G1165" i="14"/>
  <c r="G1164" i="14"/>
  <c r="G1163" i="14"/>
  <c r="G1162" i="14"/>
  <c r="G1161" i="14"/>
  <c r="G1160" i="14"/>
  <c r="G1159" i="14"/>
  <c r="G1158" i="14"/>
  <c r="G1157" i="14"/>
  <c r="G1156" i="14"/>
  <c r="G1155" i="14"/>
  <c r="G1154" i="14"/>
  <c r="G1153" i="14"/>
  <c r="G1152" i="14"/>
  <c r="G1151" i="14"/>
  <c r="G1150" i="14"/>
  <c r="G1149" i="14"/>
  <c r="G1148" i="14"/>
  <c r="G1147" i="14"/>
  <c r="G1146" i="14"/>
  <c r="G1145" i="14"/>
  <c r="G1144" i="14"/>
  <c r="G1143" i="14"/>
  <c r="G1142" i="14"/>
  <c r="G1141" i="14"/>
  <c r="G1140" i="14"/>
  <c r="G1139" i="14"/>
  <c r="G1138" i="14"/>
  <c r="G1137" i="14"/>
  <c r="G1136" i="14"/>
  <c r="G1135" i="14"/>
  <c r="G1134" i="14"/>
  <c r="G1133" i="14"/>
  <c r="G1132" i="14"/>
  <c r="G1131" i="14"/>
  <c r="G1130" i="14"/>
  <c r="F1129" i="14"/>
  <c r="G1129" i="14" s="1"/>
  <c r="E1129" i="14"/>
  <c r="G1128" i="14"/>
  <c r="G1127" i="14"/>
  <c r="G1126" i="14"/>
  <c r="G1125" i="14"/>
  <c r="G1124" i="14"/>
  <c r="G1123" i="14"/>
  <c r="G1122" i="14"/>
  <c r="G1121" i="14"/>
  <c r="G1120" i="14"/>
  <c r="G1119" i="14"/>
  <c r="G1118" i="14"/>
  <c r="G1117" i="14"/>
  <c r="G1116" i="14"/>
  <c r="G1115" i="14"/>
  <c r="G1114" i="14"/>
  <c r="G1113" i="14"/>
  <c r="G1112" i="14"/>
  <c r="G1111" i="14"/>
  <c r="G1110" i="14"/>
  <c r="G1109" i="14"/>
  <c r="G1108" i="14"/>
  <c r="G1107" i="14"/>
  <c r="G1106" i="14"/>
  <c r="G1105" i="14"/>
  <c r="G1104" i="14"/>
  <c r="G1103" i="14"/>
  <c r="G1102" i="14"/>
  <c r="G1101" i="14"/>
  <c r="G1100" i="14"/>
  <c r="G1099" i="14"/>
  <c r="G1098" i="14"/>
  <c r="G1097" i="14"/>
  <c r="G1096" i="14"/>
  <c r="G1095" i="14"/>
  <c r="G1094" i="14"/>
  <c r="G1093" i="14"/>
  <c r="G1092" i="14"/>
  <c r="G1091" i="14"/>
  <c r="G1090" i="14"/>
  <c r="G1089" i="14"/>
  <c r="G1088" i="14"/>
  <c r="G1087" i="14"/>
  <c r="G1086" i="14"/>
  <c r="G1085" i="14"/>
  <c r="G1084" i="14"/>
  <c r="G1083" i="14"/>
  <c r="G1082" i="14"/>
  <c r="G1081" i="14"/>
  <c r="G1080" i="14"/>
  <c r="G1079" i="14"/>
  <c r="G1078" i="14"/>
  <c r="G1077" i="14"/>
  <c r="G1076" i="14"/>
  <c r="G1075" i="14"/>
  <c r="G1074" i="14"/>
  <c r="G1073" i="14"/>
  <c r="G1072" i="14"/>
  <c r="G1071" i="14"/>
  <c r="G1070" i="14"/>
  <c r="G1069" i="14"/>
  <c r="G1068" i="14"/>
  <c r="G1067" i="14"/>
  <c r="G1066" i="14"/>
  <c r="G1065" i="14"/>
  <c r="G1064" i="14"/>
  <c r="G1063" i="14"/>
  <c r="G1062" i="14"/>
  <c r="G1061" i="14"/>
  <c r="G1060" i="14"/>
  <c r="G1059" i="14"/>
  <c r="G1058" i="14"/>
  <c r="G1057" i="14"/>
  <c r="G1056" i="14"/>
  <c r="F1055" i="14"/>
  <c r="E1055" i="14"/>
  <c r="F1054" i="14"/>
  <c r="E1054" i="14"/>
  <c r="G1054" i="14" s="1"/>
  <c r="F1053" i="14"/>
  <c r="E1053" i="14"/>
  <c r="F1052" i="14"/>
  <c r="E1052" i="14"/>
  <c r="G1052" i="14" s="1"/>
  <c r="F1051" i="14"/>
  <c r="E1051" i="14"/>
  <c r="F1050" i="14"/>
  <c r="E1050" i="14"/>
  <c r="G1050" i="14" s="1"/>
  <c r="F1049" i="14"/>
  <c r="E1049" i="14"/>
  <c r="G1048" i="14"/>
  <c r="G1047" i="14"/>
  <c r="G1046" i="14"/>
  <c r="G1045" i="14"/>
  <c r="G1044" i="14"/>
  <c r="G1043" i="14"/>
  <c r="G1042" i="14"/>
  <c r="G1041" i="14"/>
  <c r="G1040" i="14"/>
  <c r="G1039" i="14"/>
  <c r="G1038" i="14"/>
  <c r="G1037" i="14"/>
  <c r="G1036" i="14"/>
  <c r="G1035" i="14"/>
  <c r="G1034" i="14"/>
  <c r="G1033" i="14"/>
  <c r="G1032" i="14"/>
  <c r="G1031" i="14"/>
  <c r="G1030" i="14"/>
  <c r="G1029" i="14"/>
  <c r="G1028" i="14"/>
  <c r="G1027" i="14"/>
  <c r="G1026" i="14"/>
  <c r="G1025" i="14"/>
  <c r="G1024" i="14"/>
  <c r="G1023" i="14"/>
  <c r="G1022" i="14"/>
  <c r="G1021" i="14"/>
  <c r="G1020" i="14"/>
  <c r="G1019" i="14"/>
  <c r="G1018" i="14"/>
  <c r="G1017" i="14"/>
  <c r="G1016" i="14"/>
  <c r="G1015" i="14"/>
  <c r="G1014" i="14"/>
  <c r="G1013" i="14"/>
  <c r="G1012" i="14"/>
  <c r="G1011" i="14"/>
  <c r="G1010" i="14"/>
  <c r="G1009" i="14"/>
  <c r="G1008" i="14"/>
  <c r="G1007" i="14"/>
  <c r="G1006" i="14"/>
  <c r="G1005" i="14"/>
  <c r="G1004" i="14"/>
  <c r="G1003" i="14"/>
  <c r="G1002" i="14"/>
  <c r="G1001" i="14"/>
  <c r="G1000" i="14"/>
  <c r="G999" i="14"/>
  <c r="G998" i="14"/>
  <c r="G997" i="14"/>
  <c r="G996" i="14"/>
  <c r="G995" i="14"/>
  <c r="G994" i="14"/>
  <c r="G993" i="14"/>
  <c r="G992" i="14"/>
  <c r="G991" i="14"/>
  <c r="G990" i="14"/>
  <c r="G989" i="14"/>
  <c r="G988" i="14"/>
  <c r="G987" i="14"/>
  <c r="G986" i="14"/>
  <c r="G985" i="14"/>
  <c r="G984" i="14"/>
  <c r="G983" i="14"/>
  <c r="G982" i="14"/>
  <c r="G981" i="14"/>
  <c r="G980" i="14"/>
  <c r="G979" i="14"/>
  <c r="G978" i="14"/>
  <c r="G977" i="14"/>
  <c r="G976" i="14"/>
  <c r="G975" i="14"/>
  <c r="G974" i="14"/>
  <c r="G973" i="14"/>
  <c r="G972" i="14"/>
  <c r="G971" i="14"/>
  <c r="G970" i="14"/>
  <c r="G969" i="14"/>
  <c r="G968" i="14"/>
  <c r="G967" i="14"/>
  <c r="G966" i="14"/>
  <c r="G965" i="14"/>
  <c r="G964" i="14"/>
  <c r="G963" i="14"/>
  <c r="G962" i="14"/>
  <c r="G961" i="14"/>
  <c r="G960" i="14"/>
  <c r="G959" i="14"/>
  <c r="G958" i="14"/>
  <c r="G957" i="14"/>
  <c r="G956" i="14"/>
  <c r="G955" i="14"/>
  <c r="G954" i="14"/>
  <c r="G953" i="14"/>
  <c r="G952" i="14"/>
  <c r="G951" i="14"/>
  <c r="G950" i="14"/>
  <c r="G949" i="14"/>
  <c r="G948" i="14"/>
  <c r="G947" i="14"/>
  <c r="G946" i="14"/>
  <c r="G945" i="14"/>
  <c r="G944" i="14"/>
  <c r="G943" i="14"/>
  <c r="G942" i="14"/>
  <c r="G941" i="14"/>
  <c r="G940" i="14"/>
  <c r="G939" i="14"/>
  <c r="G938" i="14"/>
  <c r="G937" i="14"/>
  <c r="G936" i="14"/>
  <c r="G935" i="14"/>
  <c r="G934" i="14"/>
  <c r="G933" i="14"/>
  <c r="G932" i="14"/>
  <c r="G931" i="14"/>
  <c r="G930" i="14"/>
  <c r="G929" i="14"/>
  <c r="G928" i="14"/>
  <c r="G927" i="14"/>
  <c r="G926" i="14"/>
  <c r="G925" i="14"/>
  <c r="G924" i="14"/>
  <c r="G923" i="14"/>
  <c r="G922" i="14"/>
  <c r="G921" i="14"/>
  <c r="G920" i="14"/>
  <c r="G919" i="14"/>
  <c r="G918" i="14"/>
  <c r="G917" i="14"/>
  <c r="G916" i="14"/>
  <c r="G915" i="14"/>
  <c r="G914" i="14"/>
  <c r="G913" i="14"/>
  <c r="G912" i="14"/>
  <c r="G911" i="14"/>
  <c r="G910" i="14"/>
  <c r="G909" i="14"/>
  <c r="G908" i="14"/>
  <c r="G907" i="14"/>
  <c r="G906" i="14"/>
  <c r="G905" i="14"/>
  <c r="G904" i="14"/>
  <c r="G903" i="14"/>
  <c r="G902" i="14"/>
  <c r="G901" i="14"/>
  <c r="G900" i="14"/>
  <c r="G899" i="14"/>
  <c r="G898" i="14"/>
  <c r="G897" i="14"/>
  <c r="G896" i="14"/>
  <c r="G895" i="14"/>
  <c r="G894" i="14"/>
  <c r="G893" i="14"/>
  <c r="G892" i="14"/>
  <c r="G891" i="14"/>
  <c r="G890" i="14"/>
  <c r="G889" i="14"/>
  <c r="G888" i="14"/>
  <c r="G887" i="14"/>
  <c r="G886" i="14"/>
  <c r="G885" i="14"/>
  <c r="G884" i="14"/>
  <c r="G883" i="14"/>
  <c r="G882" i="14"/>
  <c r="G881" i="14"/>
  <c r="G880" i="14"/>
  <c r="G879" i="14"/>
  <c r="G878" i="14"/>
  <c r="G877" i="14"/>
  <c r="G876" i="14"/>
  <c r="G875" i="14"/>
  <c r="G874" i="14"/>
  <c r="G873" i="14"/>
  <c r="G872" i="14"/>
  <c r="G871" i="14"/>
  <c r="G870" i="14"/>
  <c r="G869" i="14"/>
  <c r="G868" i="14"/>
  <c r="G867" i="14"/>
  <c r="G866" i="14"/>
  <c r="G865" i="14"/>
  <c r="G864" i="14"/>
  <c r="G863" i="14"/>
  <c r="G862" i="14"/>
  <c r="G861" i="14"/>
  <c r="G860" i="14"/>
  <c r="G859" i="14"/>
  <c r="G858" i="14"/>
  <c r="G857" i="14"/>
  <c r="G856" i="14"/>
  <c r="G855" i="14"/>
  <c r="G854" i="14"/>
  <c r="G853" i="14"/>
  <c r="G852" i="14"/>
  <c r="G851" i="14"/>
  <c r="G850" i="14"/>
  <c r="G849" i="14"/>
  <c r="G848" i="14"/>
  <c r="G847" i="14"/>
  <c r="G846" i="14"/>
  <c r="G845" i="14"/>
  <c r="G844" i="14"/>
  <c r="G843" i="14"/>
  <c r="G842" i="14"/>
  <c r="G841" i="14"/>
  <c r="G840" i="14"/>
  <c r="G839" i="14"/>
  <c r="G838" i="14"/>
  <c r="G837" i="14"/>
  <c r="G836" i="14"/>
  <c r="G835" i="14"/>
  <c r="G834" i="14"/>
  <c r="G833" i="14"/>
  <c r="G832" i="14"/>
  <c r="G831" i="14"/>
  <c r="G830" i="14"/>
  <c r="G829" i="14"/>
  <c r="G828" i="14"/>
  <c r="G827" i="14"/>
  <c r="G826" i="14"/>
  <c r="G825" i="14"/>
  <c r="G824" i="14"/>
  <c r="G823" i="14"/>
  <c r="G822" i="14"/>
  <c r="G821" i="14"/>
  <c r="G820" i="14"/>
  <c r="G819" i="14"/>
  <c r="G818" i="14"/>
  <c r="G817" i="14"/>
  <c r="G816" i="14"/>
  <c r="G815" i="14"/>
  <c r="G814" i="14"/>
  <c r="G813" i="14"/>
  <c r="G812" i="14"/>
  <c r="G811" i="14"/>
  <c r="G810" i="14"/>
  <c r="G809" i="14"/>
  <c r="G808" i="14"/>
  <c r="G807" i="14"/>
  <c r="G806" i="14"/>
  <c r="G805" i="14"/>
  <c r="G804" i="14"/>
  <c r="G803" i="14"/>
  <c r="G802" i="14"/>
  <c r="G801" i="14"/>
  <c r="G800" i="14"/>
  <c r="G799" i="14"/>
  <c r="G798" i="14"/>
  <c r="G797" i="14"/>
  <c r="G796" i="14"/>
  <c r="G795" i="14"/>
  <c r="G794" i="14"/>
  <c r="G793" i="14"/>
  <c r="G792" i="14"/>
  <c r="G791" i="14"/>
  <c r="G790" i="14"/>
  <c r="G789" i="14"/>
  <c r="G788" i="14"/>
  <c r="G787" i="14"/>
  <c r="G786" i="14"/>
  <c r="G785" i="14"/>
  <c r="F784" i="14"/>
  <c r="E784" i="14"/>
  <c r="G784" i="14" s="1"/>
  <c r="F783" i="14"/>
  <c r="E783" i="14"/>
  <c r="F782" i="14"/>
  <c r="E782" i="14"/>
  <c r="G782" i="14" s="1"/>
  <c r="F781" i="14"/>
  <c r="E781" i="14"/>
  <c r="F780" i="14"/>
  <c r="E780" i="14"/>
  <c r="G780" i="14" s="1"/>
  <c r="F779" i="14"/>
  <c r="G779" i="14" s="1"/>
  <c r="F778" i="14"/>
  <c r="G778" i="14" s="1"/>
  <c r="E778" i="14"/>
  <c r="F777" i="14"/>
  <c r="E777" i="14"/>
  <c r="F776" i="14"/>
  <c r="G776" i="14" s="1"/>
  <c r="F775" i="14"/>
  <c r="E775" i="14"/>
  <c r="F774" i="14"/>
  <c r="E774" i="14"/>
  <c r="G774" i="14" s="1"/>
  <c r="F773" i="14"/>
  <c r="E773" i="14"/>
  <c r="F772" i="14"/>
  <c r="E772" i="14"/>
  <c r="G772" i="14" s="1"/>
  <c r="F771" i="14"/>
  <c r="E771" i="14"/>
  <c r="F770" i="14"/>
  <c r="E770" i="14"/>
  <c r="G770" i="14" s="1"/>
  <c r="F769" i="14"/>
  <c r="E769" i="14"/>
  <c r="F768" i="14"/>
  <c r="E768" i="14"/>
  <c r="G768" i="14" s="1"/>
  <c r="F767" i="14"/>
  <c r="E767" i="14"/>
  <c r="F766" i="14"/>
  <c r="E766" i="14"/>
  <c r="G766" i="14" s="1"/>
  <c r="E765" i="14"/>
  <c r="G765" i="14" s="1"/>
  <c r="F764" i="14"/>
  <c r="G764" i="14" s="1"/>
  <c r="E764" i="14"/>
  <c r="F763" i="14"/>
  <c r="E763" i="14"/>
  <c r="F762" i="14"/>
  <c r="G762" i="14" s="1"/>
  <c r="E762" i="14"/>
  <c r="F761" i="14"/>
  <c r="E761" i="14"/>
  <c r="G760" i="14"/>
  <c r="G759" i="14"/>
  <c r="G758" i="14"/>
  <c r="G757" i="14"/>
  <c r="G756" i="14"/>
  <c r="G755" i="14"/>
  <c r="G754" i="14"/>
  <c r="G753" i="14"/>
  <c r="G752" i="14"/>
  <c r="G751" i="14"/>
  <c r="G750" i="14"/>
  <c r="G749" i="14"/>
  <c r="G748" i="14"/>
  <c r="G747" i="14"/>
  <c r="G746" i="14"/>
  <c r="G745" i="14"/>
  <c r="G744" i="14"/>
  <c r="G743" i="14"/>
  <c r="G742" i="14"/>
  <c r="G741" i="14"/>
  <c r="G740" i="14"/>
  <c r="G739" i="14"/>
  <c r="G738" i="14"/>
  <c r="G737" i="14"/>
  <c r="G736" i="14"/>
  <c r="G735" i="14"/>
  <c r="G734" i="14"/>
  <c r="G733" i="14"/>
  <c r="G732" i="14"/>
  <c r="G731" i="14"/>
  <c r="G730" i="14"/>
  <c r="G729" i="14"/>
  <c r="G728" i="14"/>
  <c r="G727" i="14"/>
  <c r="G726" i="14"/>
  <c r="G725" i="14"/>
  <c r="G724" i="14"/>
  <c r="G723" i="14"/>
  <c r="G722" i="14"/>
  <c r="G721" i="14"/>
  <c r="G720" i="14"/>
  <c r="G719" i="14"/>
  <c r="G718" i="14"/>
  <c r="G717" i="14"/>
  <c r="G716" i="14"/>
  <c r="G715" i="14"/>
  <c r="G714" i="14"/>
  <c r="G713" i="14"/>
  <c r="G712" i="14"/>
  <c r="G711" i="14"/>
  <c r="G710" i="14"/>
  <c r="F709" i="14"/>
  <c r="G709" i="14" s="1"/>
  <c r="F708" i="14"/>
  <c r="G708" i="14" s="1"/>
  <c r="G707" i="14"/>
  <c r="G706" i="14"/>
  <c r="G705" i="14"/>
  <c r="G704" i="14"/>
  <c r="G703" i="14"/>
  <c r="G702" i="14"/>
  <c r="G701" i="14"/>
  <c r="G700" i="14"/>
  <c r="G699" i="14"/>
  <c r="G698" i="14"/>
  <c r="G697" i="14"/>
  <c r="G696" i="14"/>
  <c r="G695" i="14"/>
  <c r="G694" i="14"/>
  <c r="G693" i="14"/>
  <c r="G692" i="14"/>
  <c r="G691" i="14"/>
  <c r="G690" i="14"/>
  <c r="G689" i="14"/>
  <c r="G688" i="14"/>
  <c r="G687" i="14"/>
  <c r="G686" i="14"/>
  <c r="G685" i="14"/>
  <c r="G684" i="14"/>
  <c r="G683" i="14"/>
  <c r="G682" i="14"/>
  <c r="G681" i="14"/>
  <c r="G680" i="14"/>
  <c r="G679" i="14"/>
  <c r="G678" i="14"/>
  <c r="G677" i="14"/>
  <c r="G676" i="14"/>
  <c r="G675" i="14"/>
  <c r="G674" i="14"/>
  <c r="G673" i="14"/>
  <c r="G672" i="14"/>
  <c r="G671" i="14"/>
  <c r="G670" i="14"/>
  <c r="G669" i="14"/>
  <c r="G668" i="14"/>
  <c r="G667" i="14"/>
  <c r="G666" i="14"/>
  <c r="G665" i="14"/>
  <c r="G664" i="14"/>
  <c r="G663" i="14"/>
  <c r="G662" i="14"/>
  <c r="G661" i="14"/>
  <c r="G660" i="14"/>
  <c r="G659" i="14"/>
  <c r="G658" i="14"/>
  <c r="G657" i="14"/>
  <c r="G656" i="14"/>
  <c r="G655" i="14"/>
  <c r="G654" i="14"/>
  <c r="G653" i="14"/>
  <c r="G652" i="14"/>
  <c r="G651" i="14"/>
  <c r="G650" i="14"/>
  <c r="G649" i="14"/>
  <c r="G648" i="14"/>
  <c r="G647" i="14"/>
  <c r="G646" i="14"/>
  <c r="G645" i="14"/>
  <c r="G644" i="14"/>
  <c r="G643" i="14"/>
  <c r="G642" i="14"/>
  <c r="G641" i="14"/>
  <c r="G640" i="14"/>
  <c r="G639" i="14"/>
  <c r="G638" i="14"/>
  <c r="G637" i="14"/>
  <c r="G636" i="14"/>
  <c r="G635" i="14"/>
  <c r="G634" i="14"/>
  <c r="G633" i="14"/>
  <c r="G632" i="14"/>
  <c r="G631" i="14"/>
  <c r="G630" i="14"/>
  <c r="G629" i="14"/>
  <c r="G628" i="14"/>
  <c r="G627" i="14"/>
  <c r="G626" i="14"/>
  <c r="G625" i="14"/>
  <c r="G624" i="14"/>
  <c r="G623" i="14"/>
  <c r="G622" i="14"/>
  <c r="G621" i="14"/>
  <c r="G620" i="14"/>
  <c r="G619" i="14"/>
  <c r="G618" i="14"/>
  <c r="G617" i="14"/>
  <c r="G616" i="14"/>
  <c r="G615" i="14"/>
  <c r="G614" i="14"/>
  <c r="G613" i="14"/>
  <c r="G612" i="14"/>
  <c r="G611" i="14"/>
  <c r="G610" i="14"/>
  <c r="G609" i="14"/>
  <c r="G608" i="14"/>
  <c r="G607" i="14"/>
  <c r="G606" i="14"/>
  <c r="G605" i="14"/>
  <c r="G604" i="14"/>
  <c r="G603" i="14"/>
  <c r="G602" i="14"/>
  <c r="G601" i="14"/>
  <c r="G600" i="14"/>
  <c r="G599" i="14"/>
  <c r="G598" i="14"/>
  <c r="G597" i="14"/>
  <c r="G596" i="14"/>
  <c r="G595" i="14"/>
  <c r="G594" i="14"/>
  <c r="G593" i="14"/>
  <c r="G592" i="14"/>
  <c r="G591" i="14"/>
  <c r="G590" i="14"/>
  <c r="G589" i="14"/>
  <c r="G588" i="14"/>
  <c r="G587" i="14"/>
  <c r="G586" i="14"/>
  <c r="G585" i="14"/>
  <c r="G584" i="14"/>
  <c r="G583" i="14"/>
  <c r="G582" i="14"/>
  <c r="G581" i="14"/>
  <c r="G580" i="14"/>
  <c r="G579" i="14"/>
  <c r="G578" i="14"/>
  <c r="G577" i="14"/>
  <c r="G576" i="14"/>
  <c r="G575" i="14"/>
  <c r="G574" i="14"/>
  <c r="G573" i="14"/>
  <c r="G572" i="14"/>
  <c r="G571" i="14"/>
  <c r="G570" i="14"/>
  <c r="G569" i="14"/>
  <c r="G568" i="14"/>
  <c r="G567" i="14"/>
  <c r="G566" i="14"/>
  <c r="G565" i="14"/>
  <c r="G564" i="14"/>
  <c r="G563" i="14"/>
  <c r="G562" i="14"/>
  <c r="G561" i="14"/>
  <c r="G560" i="14"/>
  <c r="G559" i="14"/>
  <c r="G558" i="14"/>
  <c r="G557" i="14"/>
  <c r="G556" i="14"/>
  <c r="G555" i="14"/>
  <c r="G554" i="14"/>
  <c r="G553" i="14"/>
  <c r="G552" i="14"/>
  <c r="G551" i="14"/>
  <c r="G550" i="14"/>
  <c r="G549" i="14"/>
  <c r="G548" i="14"/>
  <c r="G547" i="14"/>
  <c r="G546" i="14"/>
  <c r="G545" i="14"/>
  <c r="G544" i="14"/>
  <c r="G543" i="14"/>
  <c r="G542" i="14"/>
  <c r="G541" i="14"/>
  <c r="G540" i="14"/>
  <c r="G539" i="14"/>
  <c r="G538" i="14"/>
  <c r="G537" i="14"/>
  <c r="G536" i="14"/>
  <c r="G535" i="14"/>
  <c r="G534" i="14"/>
  <c r="G533" i="14"/>
  <c r="G532" i="14"/>
  <c r="G531" i="14"/>
  <c r="G530" i="14"/>
  <c r="G529" i="14"/>
  <c r="G528" i="14"/>
  <c r="G527" i="14"/>
  <c r="G526" i="14"/>
  <c r="G525" i="14"/>
  <c r="G524" i="14"/>
  <c r="G523" i="14"/>
  <c r="G522" i="14"/>
  <c r="G521" i="14"/>
  <c r="G520" i="14"/>
  <c r="G519" i="14"/>
  <c r="G518" i="14"/>
  <c r="G517" i="14"/>
  <c r="G516" i="14"/>
  <c r="G515" i="14"/>
  <c r="G514" i="14"/>
  <c r="G513" i="14"/>
  <c r="G512" i="14"/>
  <c r="G511" i="14"/>
  <c r="G510" i="14"/>
  <c r="G509" i="14"/>
  <c r="G508" i="14"/>
  <c r="G507" i="14"/>
  <c r="G506" i="14"/>
  <c r="G505" i="14"/>
  <c r="G504" i="14"/>
  <c r="G503" i="14"/>
  <c r="G502" i="14"/>
  <c r="G501" i="14"/>
  <c r="G500" i="14"/>
  <c r="G499" i="14"/>
  <c r="G498" i="14"/>
  <c r="G497" i="14"/>
  <c r="G496" i="14"/>
  <c r="G495" i="14"/>
  <c r="G494" i="14"/>
  <c r="G493" i="14"/>
  <c r="G492" i="14"/>
  <c r="G491" i="14"/>
  <c r="G490" i="14"/>
  <c r="G489" i="14"/>
  <c r="G488" i="14"/>
  <c r="G487" i="14"/>
  <c r="G486" i="14"/>
  <c r="G485" i="14"/>
  <c r="G484" i="14"/>
  <c r="G483" i="14"/>
  <c r="G482" i="14"/>
  <c r="G481" i="14"/>
  <c r="G480" i="14"/>
  <c r="G479" i="14"/>
  <c r="G478" i="14"/>
  <c r="G477" i="14"/>
  <c r="G476" i="14"/>
  <c r="G475" i="14"/>
  <c r="G474" i="14"/>
  <c r="G473" i="14"/>
  <c r="G472" i="14"/>
  <c r="G471" i="14"/>
  <c r="G470" i="14"/>
  <c r="G469" i="14"/>
  <c r="G468" i="14"/>
  <c r="G467" i="14"/>
  <c r="G466" i="14"/>
  <c r="G465" i="14"/>
  <c r="G464" i="14"/>
  <c r="G463" i="14"/>
  <c r="G462" i="14"/>
  <c r="G461" i="14"/>
  <c r="G460" i="14"/>
  <c r="G459" i="14"/>
  <c r="G458" i="14"/>
  <c r="G457" i="14"/>
  <c r="G456" i="14"/>
  <c r="G455" i="14"/>
  <c r="G454" i="14"/>
  <c r="G453" i="14"/>
  <c r="G452" i="14"/>
  <c r="G451" i="14"/>
  <c r="G450" i="14"/>
  <c r="G449" i="14"/>
  <c r="G448" i="14"/>
  <c r="G447" i="14"/>
  <c r="G446" i="14"/>
  <c r="G445" i="14"/>
  <c r="G444" i="14"/>
  <c r="G443" i="14"/>
  <c r="G442" i="14"/>
  <c r="G441" i="14"/>
  <c r="G440" i="14"/>
  <c r="G439" i="14"/>
  <c r="G438" i="14"/>
  <c r="G437" i="14"/>
  <c r="G436" i="14"/>
  <c r="G435" i="14"/>
  <c r="G434" i="14"/>
  <c r="G433" i="14"/>
  <c r="G432" i="14"/>
  <c r="G431" i="14"/>
  <c r="G430" i="14"/>
  <c r="G429" i="14"/>
  <c r="G428" i="14"/>
  <c r="G427" i="14"/>
  <c r="G426" i="14"/>
  <c r="G425" i="14"/>
  <c r="G424" i="14"/>
  <c r="G423" i="14"/>
  <c r="G422" i="14"/>
  <c r="G421" i="14"/>
  <c r="G420" i="14"/>
  <c r="G419" i="14"/>
  <c r="G418" i="14"/>
  <c r="G417" i="14"/>
  <c r="G416" i="14"/>
  <c r="G415" i="14"/>
  <c r="G414" i="14"/>
  <c r="G413" i="14"/>
  <c r="G412" i="14"/>
  <c r="G411" i="14"/>
  <c r="G410" i="14"/>
  <c r="G409" i="14"/>
  <c r="G408" i="14"/>
  <c r="G407" i="14"/>
  <c r="G406" i="14"/>
  <c r="G405" i="14"/>
  <c r="G404" i="14"/>
  <c r="G403" i="14"/>
  <c r="G402" i="14"/>
  <c r="G401" i="14"/>
  <c r="G400" i="14"/>
  <c r="G399" i="14"/>
  <c r="G398" i="14"/>
  <c r="G397" i="14"/>
  <c r="G396" i="14"/>
  <c r="G395" i="14"/>
  <c r="G394" i="14"/>
  <c r="G393" i="14"/>
  <c r="G392" i="14"/>
  <c r="G391" i="14"/>
  <c r="G390" i="14"/>
  <c r="G389" i="14"/>
  <c r="G388" i="14"/>
  <c r="G387" i="14"/>
  <c r="G386" i="14"/>
  <c r="G385" i="14"/>
  <c r="G384" i="14"/>
  <c r="G383" i="14"/>
  <c r="G382" i="14"/>
  <c r="G381" i="14"/>
  <c r="G380" i="14"/>
  <c r="G379" i="14"/>
  <c r="G378" i="14"/>
  <c r="G377" i="14"/>
  <c r="G376" i="14"/>
  <c r="G375" i="14"/>
  <c r="G374" i="14"/>
  <c r="G373" i="14"/>
  <c r="G372" i="14"/>
  <c r="G371" i="14"/>
  <c r="G370" i="14"/>
  <c r="G369" i="14"/>
  <c r="G368" i="14"/>
  <c r="G367" i="14"/>
  <c r="G366" i="14"/>
  <c r="G365" i="14"/>
  <c r="G364" i="14"/>
  <c r="G363" i="14"/>
  <c r="G362" i="14"/>
  <c r="G361" i="14"/>
  <c r="G360" i="14"/>
  <c r="G359" i="14"/>
  <c r="G358" i="14"/>
  <c r="G357" i="14"/>
  <c r="G356" i="14"/>
  <c r="G355" i="14"/>
  <c r="G354" i="14"/>
  <c r="G353" i="14"/>
  <c r="G352" i="14"/>
  <c r="G351" i="14"/>
  <c r="G350" i="14"/>
  <c r="G349" i="14"/>
  <c r="G348" i="14"/>
  <c r="G347" i="14"/>
  <c r="G346" i="14"/>
  <c r="G345" i="14"/>
  <c r="G344" i="14"/>
  <c r="G343" i="14"/>
  <c r="G342" i="14"/>
  <c r="G341" i="14"/>
  <c r="G340" i="14"/>
  <c r="G339" i="14"/>
  <c r="G338" i="14"/>
  <c r="G337" i="14"/>
  <c r="G336" i="14"/>
  <c r="G335" i="14"/>
  <c r="G334" i="14"/>
  <c r="G333" i="14"/>
  <c r="G332" i="14"/>
  <c r="G331" i="14"/>
  <c r="G330" i="14"/>
  <c r="G329" i="14"/>
  <c r="G328" i="14"/>
  <c r="G327" i="14"/>
  <c r="G326" i="14"/>
  <c r="G325" i="14"/>
  <c r="G324" i="14"/>
  <c r="G323" i="14"/>
  <c r="G322" i="14"/>
  <c r="G321" i="14"/>
  <c r="G320" i="14"/>
  <c r="G319" i="14"/>
  <c r="G318" i="14"/>
  <c r="G317" i="14"/>
  <c r="G316" i="14"/>
  <c r="G315" i="14"/>
  <c r="G314" i="14"/>
  <c r="G313" i="14"/>
  <c r="G312" i="14"/>
  <c r="G311" i="14"/>
  <c r="G310" i="14"/>
  <c r="G309" i="14"/>
  <c r="G308" i="14"/>
  <c r="G307" i="14"/>
  <c r="G306" i="14"/>
  <c r="G305" i="14"/>
  <c r="G304" i="14"/>
  <c r="G303" i="14"/>
  <c r="G302" i="14"/>
  <c r="G301" i="14"/>
  <c r="G300" i="14"/>
  <c r="G299" i="14"/>
  <c r="G298" i="14"/>
  <c r="G297" i="14"/>
  <c r="G296" i="14"/>
  <c r="G295" i="14"/>
  <c r="G294" i="14"/>
  <c r="G293" i="14"/>
  <c r="G292" i="14"/>
  <c r="G291" i="14"/>
  <c r="G290" i="14"/>
  <c r="G289" i="14"/>
  <c r="G288" i="14"/>
  <c r="G287" i="14"/>
  <c r="G286" i="14"/>
  <c r="F285" i="14"/>
  <c r="E285" i="14"/>
  <c r="G285" i="14" s="1"/>
  <c r="F284" i="14"/>
  <c r="E284" i="14"/>
  <c r="F283" i="14"/>
  <c r="E283" i="14"/>
  <c r="G283" i="14" s="1"/>
  <c r="F282" i="14"/>
  <c r="E282" i="14"/>
  <c r="F281" i="14"/>
  <c r="E281" i="14"/>
  <c r="G281" i="14" s="1"/>
  <c r="F280" i="14"/>
  <c r="E280" i="14"/>
  <c r="F279" i="14"/>
  <c r="E279" i="14"/>
  <c r="G279" i="14" s="1"/>
  <c r="F278" i="14"/>
  <c r="E278" i="14"/>
  <c r="G277" i="14"/>
  <c r="G276" i="14"/>
  <c r="G275" i="14"/>
  <c r="G274" i="14"/>
  <c r="G273" i="14"/>
  <c r="G272" i="14"/>
  <c r="G271" i="14"/>
  <c r="G270" i="14"/>
  <c r="G269" i="14"/>
  <c r="G268" i="14"/>
  <c r="G267" i="14"/>
  <c r="G266" i="14"/>
  <c r="G265" i="14"/>
  <c r="G264" i="14"/>
  <c r="G263" i="14"/>
  <c r="G262" i="14"/>
  <c r="G261" i="14"/>
  <c r="G260" i="14"/>
  <c r="G259" i="14"/>
  <c r="G258" i="14"/>
  <c r="G257" i="14"/>
  <c r="G256" i="14"/>
  <c r="G255" i="14"/>
  <c r="G254" i="14"/>
  <c r="G253" i="14"/>
  <c r="G252" i="14"/>
  <c r="G251" i="14"/>
  <c r="G250" i="14"/>
  <c r="G249" i="14"/>
  <c r="G248" i="14"/>
  <c r="G247" i="14"/>
  <c r="G246" i="14"/>
  <c r="G245" i="14"/>
  <c r="G244" i="14"/>
  <c r="G243" i="14"/>
  <c r="G242" i="14"/>
  <c r="G241" i="14"/>
  <c r="G240" i="14"/>
  <c r="G239" i="14"/>
  <c r="G238" i="14"/>
  <c r="G237" i="14"/>
  <c r="G236" i="14"/>
  <c r="G235" i="14"/>
  <c r="G234" i="14"/>
  <c r="G233" i="14"/>
  <c r="G232" i="14"/>
  <c r="G231" i="14"/>
  <c r="G230" i="14"/>
  <c r="G229" i="14"/>
  <c r="G228" i="14"/>
  <c r="G227" i="14"/>
  <c r="G226" i="14"/>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166" i="14"/>
  <c r="G165" i="14"/>
  <c r="G164" i="14"/>
  <c r="G163" i="14"/>
  <c r="G162" i="14"/>
  <c r="G161" i="14"/>
  <c r="G160" i="14"/>
  <c r="G159" i="14"/>
  <c r="G158" i="14"/>
  <c r="G157" i="14"/>
  <c r="G156" i="14"/>
  <c r="G155" i="14"/>
  <c r="G154" i="14"/>
  <c r="G153" i="14"/>
  <c r="G152" i="14"/>
  <c r="G151" i="14"/>
  <c r="G150" i="14"/>
  <c r="G149" i="14"/>
  <c r="G148" i="14"/>
  <c r="G147" i="14"/>
  <c r="G146" i="14"/>
  <c r="G145" i="14"/>
  <c r="G144" i="14"/>
  <c r="G143" i="14"/>
  <c r="G142" i="14"/>
  <c r="G141" i="14"/>
  <c r="G140" i="14"/>
  <c r="G139" i="14"/>
  <c r="G138" i="14"/>
  <c r="G137" i="14"/>
  <c r="G136" i="14"/>
  <c r="G135" i="14"/>
  <c r="G134" i="14"/>
  <c r="G133" i="14"/>
  <c r="G132" i="14"/>
  <c r="G131" i="14"/>
  <c r="G130" i="14"/>
  <c r="G129" i="14"/>
  <c r="G128" i="14"/>
  <c r="G127" i="14"/>
  <c r="G126" i="14"/>
  <c r="G125" i="14"/>
  <c r="G124" i="14"/>
  <c r="G123" i="14"/>
  <c r="G122" i="14"/>
  <c r="G121" i="14"/>
  <c r="G120" i="14"/>
  <c r="G119" i="14"/>
  <c r="G118" i="14"/>
  <c r="G117" i="14"/>
  <c r="G116" i="14"/>
  <c r="G115" i="14"/>
  <c r="G114" i="14"/>
  <c r="G113" i="14"/>
  <c r="G112" i="14"/>
  <c r="G111" i="14"/>
  <c r="G110" i="14"/>
  <c r="G109" i="14"/>
  <c r="G108" i="14"/>
  <c r="G107" i="14"/>
  <c r="G106" i="14"/>
  <c r="G105" i="14"/>
  <c r="G104" i="14"/>
  <c r="G103" i="14"/>
  <c r="G102" i="14"/>
  <c r="G101" i="14"/>
  <c r="G100" i="14"/>
  <c r="G99" i="14"/>
  <c r="G98" i="14"/>
  <c r="G97" i="14"/>
  <c r="G96" i="14"/>
  <c r="G95" i="14"/>
  <c r="G94" i="14"/>
  <c r="G93" i="14"/>
  <c r="G92" i="14"/>
  <c r="G91" i="14"/>
  <c r="G90" i="14"/>
  <c r="G89" i="14"/>
  <c r="G88" i="14"/>
  <c r="G87" i="14"/>
  <c r="G86" i="14"/>
  <c r="G85" i="14"/>
  <c r="G84" i="14"/>
  <c r="G83" i="14"/>
  <c r="G82" i="14"/>
  <c r="G81" i="14"/>
  <c r="G80" i="14"/>
  <c r="G79" i="14"/>
  <c r="G78" i="14"/>
  <c r="G77" i="14"/>
  <c r="G76" i="14"/>
  <c r="G75" i="14"/>
  <c r="G74" i="14"/>
  <c r="G73" i="14"/>
  <c r="G72" i="14"/>
  <c r="G71" i="14"/>
  <c r="G70" i="14"/>
  <c r="G69" i="14"/>
  <c r="G68" i="14"/>
  <c r="G67" i="14"/>
  <c r="G66" i="14"/>
  <c r="G65" i="14"/>
  <c r="G64" i="14"/>
  <c r="G63" i="14"/>
  <c r="G62" i="14"/>
  <c r="G61" i="14"/>
  <c r="G60" i="14"/>
  <c r="G59" i="14"/>
  <c r="G58" i="14"/>
  <c r="G57" i="14"/>
  <c r="G56" i="14"/>
  <c r="G55" i="14"/>
  <c r="G54" i="14"/>
  <c r="G53" i="14"/>
  <c r="G52" i="14"/>
  <c r="G51" i="14"/>
  <c r="G50" i="14"/>
  <c r="G49" i="14"/>
  <c r="G48" i="14"/>
  <c r="G47" i="14"/>
  <c r="G46" i="14"/>
  <c r="G45" i="14"/>
  <c r="G44" i="14"/>
  <c r="F43" i="14"/>
  <c r="G43" i="14" s="1"/>
  <c r="F42" i="14"/>
  <c r="E42" i="14"/>
  <c r="F41" i="14"/>
  <c r="E41" i="14"/>
  <c r="G40" i="14"/>
  <c r="G39" i="14"/>
  <c r="G38" i="14"/>
  <c r="G37" i="14"/>
  <c r="G36" i="14"/>
  <c r="G35" i="14"/>
  <c r="F34" i="14"/>
  <c r="E34" i="14"/>
  <c r="F33" i="14"/>
  <c r="E33" i="14"/>
  <c r="F32" i="14"/>
  <c r="E32" i="14"/>
  <c r="F31" i="14"/>
  <c r="E31" i="14"/>
  <c r="F30" i="14"/>
  <c r="E30" i="14"/>
  <c r="F29" i="14"/>
  <c r="E29" i="14"/>
  <c r="F28" i="14"/>
  <c r="E28" i="14"/>
  <c r="F27" i="14"/>
  <c r="E27" i="14"/>
  <c r="G26" i="14"/>
  <c r="G25" i="14"/>
  <c r="G24" i="14"/>
  <c r="G23" i="14"/>
  <c r="G22" i="14"/>
  <c r="G21" i="14"/>
  <c r="F20" i="14"/>
  <c r="E20" i="14"/>
  <c r="F19" i="14"/>
  <c r="E19" i="14"/>
  <c r="F18" i="14"/>
  <c r="E18" i="14"/>
  <c r="F17" i="14"/>
  <c r="E17" i="14"/>
  <c r="F16" i="14"/>
  <c r="E16" i="14"/>
  <c r="G15" i="14"/>
  <c r="F14" i="14"/>
  <c r="E14" i="14"/>
  <c r="G13" i="14"/>
  <c r="G12" i="14"/>
  <c r="G11" i="14"/>
  <c r="G10" i="14"/>
  <c r="F9" i="14"/>
  <c r="E9" i="14"/>
  <c r="F8" i="14"/>
  <c r="E8" i="14"/>
  <c r="F7" i="14"/>
  <c r="E7" i="14"/>
  <c r="F6" i="14"/>
  <c r="E6" i="14"/>
  <c r="F5" i="14"/>
  <c r="E5" i="14"/>
  <c r="F4" i="14"/>
  <c r="E4" i="14"/>
  <c r="F3" i="14"/>
  <c r="E3" i="14"/>
  <c r="G5" i="14" l="1"/>
  <c r="G7" i="14"/>
  <c r="G9" i="14"/>
  <c r="G16" i="14"/>
  <c r="G18" i="14"/>
  <c r="G20" i="14"/>
  <c r="G28" i="14"/>
  <c r="G30" i="14"/>
  <c r="G32" i="14"/>
  <c r="G34" i="14"/>
  <c r="G42" i="14"/>
  <c r="G2840" i="14"/>
  <c r="G2016" i="14"/>
  <c r="G2018" i="14"/>
  <c r="G2088" i="14"/>
  <c r="G2089" i="14"/>
  <c r="G2090" i="14"/>
  <c r="G2091" i="14"/>
  <c r="G2092" i="14"/>
  <c r="G2093" i="14"/>
  <c r="G2094" i="14"/>
  <c r="G2095" i="14"/>
  <c r="G2096" i="14"/>
  <c r="G2098" i="14"/>
  <c r="G3476" i="14"/>
  <c r="G3478" i="14"/>
  <c r="G3480" i="14"/>
  <c r="G3561" i="14"/>
  <c r="G3563" i="14"/>
  <c r="G3565" i="14"/>
  <c r="G3567" i="14"/>
  <c r="G3569" i="14"/>
  <c r="G3571" i="14"/>
  <c r="G3719" i="14"/>
  <c r="G3721" i="14"/>
  <c r="G3723" i="14"/>
  <c r="G3791" i="14"/>
  <c r="G3793" i="14"/>
  <c r="G3974" i="14"/>
  <c r="G3996" i="14"/>
  <c r="G3998" i="14"/>
  <c r="G4000" i="14"/>
  <c r="G4002" i="14"/>
  <c r="G4381" i="14"/>
  <c r="G4383" i="14"/>
  <c r="G4385" i="14"/>
  <c r="G4396" i="14"/>
  <c r="G4398" i="14"/>
  <c r="G4400" i="14"/>
  <c r="G4660" i="14"/>
  <c r="G4662" i="14"/>
  <c r="G4664" i="14"/>
  <c r="G4742" i="14"/>
  <c r="G4744" i="14"/>
  <c r="G4746" i="14"/>
  <c r="G4918" i="14"/>
  <c r="G4920" i="14"/>
  <c r="G4957" i="14"/>
  <c r="G4959" i="14"/>
  <c r="G4961" i="14"/>
  <c r="G5042" i="14"/>
  <c r="G5044" i="14"/>
  <c r="G5046" i="14"/>
  <c r="G5104" i="14"/>
  <c r="G5726" i="14"/>
  <c r="G5728" i="14"/>
  <c r="G5730" i="14"/>
  <c r="G6058" i="14"/>
  <c r="G6060" i="14"/>
  <c r="G6062" i="14"/>
  <c r="G6069" i="14"/>
  <c r="G6071" i="14"/>
  <c r="G6073" i="14"/>
  <c r="G6075" i="14"/>
  <c r="G6077" i="14"/>
  <c r="G6079" i="14"/>
  <c r="G6081" i="14"/>
  <c r="G6083" i="14"/>
  <c r="E6402" i="14"/>
  <c r="E6399" i="14"/>
  <c r="C6400" i="14" s="1"/>
  <c r="G4" i="14"/>
  <c r="G6" i="14"/>
  <c r="G8" i="14"/>
  <c r="G14" i="14"/>
  <c r="G17" i="14"/>
  <c r="G19" i="14"/>
  <c r="G27" i="14"/>
  <c r="G29" i="14"/>
  <c r="G31" i="14"/>
  <c r="G33" i="14"/>
  <c r="G41" i="14"/>
  <c r="G278" i="14"/>
  <c r="G280" i="14"/>
  <c r="G282" i="14"/>
  <c r="G284" i="14"/>
  <c r="G761" i="14"/>
  <c r="G763" i="14"/>
  <c r="G767" i="14"/>
  <c r="G769" i="14"/>
  <c r="G771" i="14"/>
  <c r="G773" i="14"/>
  <c r="G775" i="14"/>
  <c r="G777" i="14"/>
  <c r="G781" i="14"/>
  <c r="G783" i="14"/>
  <c r="G1049" i="14"/>
  <c r="G1051" i="14"/>
  <c r="F6402" i="14"/>
  <c r="F6399" i="14"/>
  <c r="G5725" i="14"/>
  <c r="G5727" i="14"/>
  <c r="G5729" i="14"/>
  <c r="G6059" i="14"/>
  <c r="G6061" i="14"/>
  <c r="G6070" i="14"/>
  <c r="G6072" i="14"/>
  <c r="G6074" i="14"/>
  <c r="G6076" i="14"/>
  <c r="G6078" i="14"/>
  <c r="G6080" i="14"/>
  <c r="G6082" i="14"/>
  <c r="G1053" i="14"/>
  <c r="G1055" i="14"/>
  <c r="G1531" i="14"/>
  <c r="G1533" i="14"/>
  <c r="G1535" i="14"/>
  <c r="G1537" i="14"/>
  <c r="G1539" i="14"/>
  <c r="G1557" i="14"/>
  <c r="G1559" i="14"/>
  <c r="G1561" i="14"/>
  <c r="G1694" i="14"/>
  <c r="G1696" i="14"/>
  <c r="G1698" i="14"/>
  <c r="G1719" i="14"/>
  <c r="G1721" i="14"/>
  <c r="G1741" i="14"/>
  <c r="G1743" i="14"/>
  <c r="G1747" i="14"/>
  <c r="G1749" i="14"/>
  <c r="G1751" i="14"/>
  <c r="G1991" i="14"/>
  <c r="G1993" i="14"/>
  <c r="G1995" i="14"/>
  <c r="G1997" i="14"/>
  <c r="G2013" i="14"/>
  <c r="G2015" i="14"/>
  <c r="G2017" i="14"/>
  <c r="G2019" i="14"/>
  <c r="G2087" i="14"/>
  <c r="G2097" i="14"/>
  <c r="G2099" i="14"/>
  <c r="G2836" i="14"/>
  <c r="G2838" i="14"/>
  <c r="G2841" i="14"/>
  <c r="G3475" i="14"/>
  <c r="G3477" i="14"/>
  <c r="G3479" i="14"/>
  <c r="G3481" i="14"/>
  <c r="G3562" i="14"/>
  <c r="G3564" i="14"/>
  <c r="G3566" i="14"/>
  <c r="G3570" i="14"/>
  <c r="G3718" i="14"/>
  <c r="G3720" i="14"/>
  <c r="G3722" i="14"/>
  <c r="G3724" i="14"/>
  <c r="G3792" i="14"/>
  <c r="G3973" i="14"/>
  <c r="G3975" i="14"/>
  <c r="G3997" i="14"/>
  <c r="G3999" i="14"/>
  <c r="G4001" i="14"/>
  <c r="G4003" i="14"/>
  <c r="G4380" i="14"/>
  <c r="G4382" i="14"/>
  <c r="G4384" i="14"/>
  <c r="G4395" i="14"/>
  <c r="G4397" i="14"/>
  <c r="G4399" i="14"/>
  <c r="G4659" i="14"/>
  <c r="G4661" i="14"/>
  <c r="G4663" i="14"/>
  <c r="G4743" i="14"/>
  <c r="G4745" i="14"/>
  <c r="G4747" i="14"/>
  <c r="G4917" i="14"/>
  <c r="G4919" i="14"/>
  <c r="G4958" i="14"/>
  <c r="G4960" i="14"/>
  <c r="G4962" i="14"/>
  <c r="G4964" i="14"/>
  <c r="G5043" i="14"/>
  <c r="G5045" i="14"/>
  <c r="G5047" i="14"/>
  <c r="G5106" i="14"/>
  <c r="G5108" i="14"/>
  <c r="C6406" i="14"/>
  <c r="C6401" i="14"/>
  <c r="G2839" i="14"/>
  <c r="G3" i="14"/>
  <c r="E4" i="13"/>
  <c r="F4" i="13"/>
  <c r="G4" i="13"/>
  <c r="E5" i="13"/>
  <c r="F5" i="13"/>
  <c r="G5" i="13" s="1"/>
  <c r="E6" i="13"/>
  <c r="F6" i="13"/>
  <c r="G6" i="13"/>
  <c r="E7" i="13"/>
  <c r="F7" i="13"/>
  <c r="G7" i="13" s="1"/>
  <c r="E8" i="13"/>
  <c r="F8" i="13"/>
  <c r="G8" i="13"/>
  <c r="E9" i="13"/>
  <c r="F9" i="13"/>
  <c r="G9" i="13" s="1"/>
  <c r="G10" i="13"/>
  <c r="G12" i="13"/>
  <c r="E13" i="13"/>
  <c r="F13" i="13"/>
  <c r="G13" i="13"/>
  <c r="E14" i="13"/>
  <c r="F14" i="13"/>
  <c r="G14" i="13" s="1"/>
  <c r="E15" i="13"/>
  <c r="F15" i="13"/>
  <c r="G15" i="13"/>
  <c r="E16" i="13"/>
  <c r="F16" i="13"/>
  <c r="G16" i="13" s="1"/>
  <c r="E17" i="13"/>
  <c r="F17" i="13"/>
  <c r="G17" i="13"/>
  <c r="G19" i="13"/>
  <c r="G20" i="13"/>
  <c r="G21" i="13"/>
  <c r="E25" i="13"/>
  <c r="F25" i="13"/>
  <c r="G25" i="13"/>
  <c r="E26" i="13"/>
  <c r="F26" i="13"/>
  <c r="G26" i="13" s="1"/>
  <c r="E27" i="13"/>
  <c r="F27" i="13"/>
  <c r="G27" i="13"/>
  <c r="E28" i="13"/>
  <c r="F28" i="13"/>
  <c r="G28" i="13" s="1"/>
  <c r="E29" i="13"/>
  <c r="F29" i="13"/>
  <c r="G29" i="13"/>
  <c r="E30" i="13"/>
  <c r="F30" i="13"/>
  <c r="G30" i="13" s="1"/>
  <c r="E31" i="13"/>
  <c r="F31" i="13"/>
  <c r="G31" i="13"/>
  <c r="G32" i="13"/>
  <c r="G33" i="13"/>
  <c r="E37" i="13"/>
  <c r="F37" i="13"/>
  <c r="G37" i="13" s="1"/>
  <c r="F38" i="13"/>
  <c r="G38" i="13" s="1"/>
  <c r="G39" i="13"/>
  <c r="G40" i="13"/>
  <c r="G41" i="13"/>
  <c r="G42" i="13"/>
  <c r="G45" i="13"/>
  <c r="G46" i="13"/>
  <c r="G47" i="13"/>
  <c r="G49" i="13"/>
  <c r="G51" i="13"/>
  <c r="G52" i="13"/>
  <c r="G54" i="13"/>
  <c r="G55" i="13"/>
  <c r="G56" i="13"/>
  <c r="G58" i="13"/>
  <c r="G63" i="13"/>
  <c r="G64" i="13"/>
  <c r="G65" i="13"/>
  <c r="G66" i="13"/>
  <c r="G67" i="13"/>
  <c r="G68" i="13"/>
  <c r="G69" i="13"/>
  <c r="G70" i="13"/>
  <c r="G71" i="13"/>
  <c r="G72" i="13"/>
  <c r="G73" i="13"/>
  <c r="G74" i="13"/>
  <c r="G75" i="13"/>
  <c r="G76" i="13"/>
  <c r="G77"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6" i="13"/>
  <c r="G167" i="13"/>
  <c r="G168" i="13"/>
  <c r="G169" i="13"/>
  <c r="G170" i="13"/>
  <c r="G171" i="13"/>
  <c r="G172" i="13"/>
  <c r="G175" i="13"/>
  <c r="G176" i="13"/>
  <c r="G177" i="13"/>
  <c r="G178" i="13"/>
  <c r="G179" i="13"/>
  <c r="G180" i="13"/>
  <c r="G182" i="13"/>
  <c r="G183" i="13"/>
  <c r="G184" i="13"/>
  <c r="G186" i="13"/>
  <c r="G187" i="13"/>
  <c r="G188" i="13"/>
  <c r="G190" i="13"/>
  <c r="G191" i="13"/>
  <c r="G192" i="13"/>
  <c r="G193" i="13"/>
  <c r="G194" i="13"/>
  <c r="G195" i="13"/>
  <c r="G197" i="13"/>
  <c r="G198" i="13"/>
  <c r="G199" i="13"/>
  <c r="G200" i="13"/>
  <c r="G201" i="13"/>
  <c r="G202" i="13"/>
  <c r="G203" i="13"/>
  <c r="G204" i="13"/>
  <c r="G205" i="13"/>
  <c r="G206" i="13"/>
  <c r="G207" i="13"/>
  <c r="G208" i="13"/>
  <c r="G209" i="13"/>
  <c r="G210" i="13"/>
  <c r="G211" i="13"/>
  <c r="G212" i="13"/>
  <c r="G213" i="13"/>
  <c r="G215" i="13"/>
  <c r="E217" i="13"/>
  <c r="F217" i="13"/>
  <c r="G217" i="13"/>
  <c r="E218" i="13"/>
  <c r="F218" i="13"/>
  <c r="G218" i="13" s="1"/>
  <c r="E219" i="13"/>
  <c r="F219" i="13"/>
  <c r="G219" i="13"/>
  <c r="E220" i="13"/>
  <c r="F220" i="13"/>
  <c r="G220" i="13" s="1"/>
  <c r="E221" i="13"/>
  <c r="F221" i="13"/>
  <c r="G221" i="13"/>
  <c r="E222" i="13"/>
  <c r="F222" i="13"/>
  <c r="G222" i="13" s="1"/>
  <c r="E223" i="13"/>
  <c r="F223" i="13"/>
  <c r="G223" i="13"/>
  <c r="G224" i="13"/>
  <c r="G226" i="13"/>
  <c r="G227" i="13"/>
  <c r="G228" i="13"/>
  <c r="G229" i="13"/>
  <c r="G230" i="13"/>
  <c r="G231" i="13"/>
  <c r="G232" i="13"/>
  <c r="G233" i="13"/>
  <c r="G234" i="13"/>
  <c r="G235" i="13"/>
  <c r="G236" i="13"/>
  <c r="G237" i="13"/>
  <c r="G238" i="13"/>
  <c r="G239" i="13"/>
  <c r="G240" i="13"/>
  <c r="G241" i="13"/>
  <c r="G242" i="13"/>
  <c r="G244" i="13"/>
  <c r="G246" i="13"/>
  <c r="G247" i="13"/>
  <c r="G248" i="13"/>
  <c r="G249" i="13"/>
  <c r="G250" i="13"/>
  <c r="G251" i="13"/>
  <c r="G252" i="13"/>
  <c r="G253" i="13"/>
  <c r="G254" i="13"/>
  <c r="G255" i="13"/>
  <c r="G256" i="13"/>
  <c r="G257" i="13"/>
  <c r="G258" i="13"/>
  <c r="G259" i="13"/>
  <c r="G260" i="13"/>
  <c r="G261" i="13"/>
  <c r="G262" i="13"/>
  <c r="G263" i="13"/>
  <c r="G264" i="13"/>
  <c r="G266" i="13"/>
  <c r="G267" i="13"/>
  <c r="G268" i="13"/>
  <c r="G269" i="13"/>
  <c r="G270" i="13"/>
  <c r="G271" i="13"/>
  <c r="G272" i="13"/>
  <c r="G273" i="13"/>
  <c r="G274" i="13"/>
  <c r="G275" i="13"/>
  <c r="G276" i="13"/>
  <c r="G277" i="13"/>
  <c r="G278" i="13"/>
  <c r="G279" i="13"/>
  <c r="G280" i="13"/>
  <c r="G282" i="13"/>
  <c r="G283" i="13"/>
  <c r="G284" i="13"/>
  <c r="G285" i="13"/>
  <c r="G286" i="13"/>
  <c r="G287" i="13"/>
  <c r="G288" i="13"/>
  <c r="G289" i="13"/>
  <c r="G292" i="13"/>
  <c r="G293" i="13"/>
  <c r="G294" i="13"/>
  <c r="G295" i="13"/>
  <c r="G296" i="13"/>
  <c r="G297" i="13"/>
  <c r="G298" i="13"/>
  <c r="G299" i="13"/>
  <c r="G300" i="13"/>
  <c r="G301" i="13"/>
  <c r="G302" i="13"/>
  <c r="G303" i="13"/>
  <c r="G304" i="13"/>
  <c r="G305" i="13"/>
  <c r="G306" i="13"/>
  <c r="G307" i="13"/>
  <c r="G308" i="13"/>
  <c r="G309" i="13"/>
  <c r="G310" i="13"/>
  <c r="G311" i="13"/>
  <c r="G312" i="13"/>
  <c r="G314" i="13"/>
  <c r="G316" i="13"/>
  <c r="G317" i="13"/>
  <c r="G318" i="13"/>
  <c r="G319" i="13"/>
  <c r="G320" i="13"/>
  <c r="G321" i="13"/>
  <c r="G322" i="13"/>
  <c r="G323" i="13"/>
  <c r="G324" i="13"/>
  <c r="G325" i="13"/>
  <c r="G326" i="13"/>
  <c r="G327" i="13"/>
  <c r="G328" i="13"/>
  <c r="G329" i="13"/>
  <c r="G330" i="13"/>
  <c r="G331" i="13"/>
  <c r="G332" i="13"/>
  <c r="G333" i="13"/>
  <c r="G334" i="13"/>
  <c r="G335" i="13"/>
  <c r="G336" i="13"/>
  <c r="G338" i="13"/>
  <c r="G339" i="13"/>
  <c r="G340" i="13"/>
  <c r="G341" i="13"/>
  <c r="G342" i="13"/>
  <c r="G343" i="13"/>
  <c r="G344"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3" i="13"/>
  <c r="G374" i="13"/>
  <c r="G375" i="13"/>
  <c r="G376" i="13"/>
  <c r="G377" i="13"/>
  <c r="G378" i="13"/>
  <c r="G379" i="13"/>
  <c r="G380"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5" i="13"/>
  <c r="G426" i="13"/>
  <c r="G427" i="13"/>
  <c r="G428" i="13"/>
  <c r="G429" i="13"/>
  <c r="G430" i="13"/>
  <c r="G431" i="13"/>
  <c r="G432" i="13"/>
  <c r="G433" i="13"/>
  <c r="G435" i="13"/>
  <c r="G436" i="13"/>
  <c r="G437" i="13"/>
  <c r="G438" i="13"/>
  <c r="G439" i="13"/>
  <c r="G440" i="13"/>
  <c r="G441" i="13"/>
  <c r="G442" i="13"/>
  <c r="G443" i="13"/>
  <c r="G444" i="13"/>
  <c r="G445" i="13"/>
  <c r="G446" i="13"/>
  <c r="G447" i="13"/>
  <c r="G449" i="13"/>
  <c r="G450" i="13"/>
  <c r="G451" i="13"/>
  <c r="G452" i="13"/>
  <c r="G453" i="13"/>
  <c r="G454" i="13"/>
  <c r="G455" i="13"/>
  <c r="G456" i="13"/>
  <c r="G457" i="13"/>
  <c r="G458" i="13"/>
  <c r="G459" i="13"/>
  <c r="G460" i="13"/>
  <c r="G461" i="13"/>
  <c r="G464" i="13"/>
  <c r="G465" i="13"/>
  <c r="G466" i="13"/>
  <c r="G467" i="13"/>
  <c r="G468" i="13"/>
  <c r="G469" i="13"/>
  <c r="G470" i="13"/>
  <c r="G471" i="13"/>
  <c r="G472" i="13"/>
  <c r="G473" i="13"/>
  <c r="G474" i="13"/>
  <c r="G475" i="13"/>
  <c r="G476" i="13"/>
  <c r="G477" i="13"/>
  <c r="G481" i="13"/>
  <c r="G483" i="13"/>
  <c r="G485" i="13"/>
  <c r="G486" i="13"/>
  <c r="G487" i="13"/>
  <c r="G488" i="13"/>
  <c r="G489" i="13"/>
  <c r="G490" i="13"/>
  <c r="G491" i="13"/>
  <c r="G492" i="13"/>
  <c r="G493" i="13"/>
  <c r="G495" i="13"/>
  <c r="G497" i="13"/>
  <c r="G498" i="13"/>
  <c r="G499" i="13"/>
  <c r="G500" i="13"/>
  <c r="G501" i="13"/>
  <c r="G502" i="13"/>
  <c r="G503" i="13"/>
  <c r="F505" i="13"/>
  <c r="G505" i="13"/>
  <c r="F506" i="13"/>
  <c r="G506" i="13"/>
  <c r="G507" i="13"/>
  <c r="G508" i="13"/>
  <c r="G510" i="13"/>
  <c r="G511" i="13"/>
  <c r="G512" i="13"/>
  <c r="G513" i="13"/>
  <c r="G514" i="13"/>
  <c r="G515" i="13"/>
  <c r="G516" i="13"/>
  <c r="G517" i="13"/>
  <c r="G518" i="13"/>
  <c r="G519" i="13"/>
  <c r="G520" i="13"/>
  <c r="G521" i="13"/>
  <c r="G522" i="13"/>
  <c r="G523" i="13"/>
  <c r="G524" i="13"/>
  <c r="G525" i="13"/>
  <c r="G526" i="13"/>
  <c r="G527" i="13"/>
  <c r="G529" i="13"/>
  <c r="G530" i="13"/>
  <c r="G531" i="13"/>
  <c r="G533" i="13"/>
  <c r="G534" i="13"/>
  <c r="G535" i="13"/>
  <c r="G536" i="13"/>
  <c r="G537" i="13"/>
  <c r="G538" i="13"/>
  <c r="G539" i="13"/>
  <c r="G540" i="13"/>
  <c r="G541" i="13"/>
  <c r="G542" i="13"/>
  <c r="G543" i="13"/>
  <c r="G544" i="13"/>
  <c r="G545" i="13"/>
  <c r="G546" i="13"/>
  <c r="G547" i="13"/>
  <c r="E549" i="13"/>
  <c r="F549" i="13"/>
  <c r="G549" i="13" s="1"/>
  <c r="E550" i="13"/>
  <c r="F550" i="13"/>
  <c r="G550" i="13"/>
  <c r="E551" i="13"/>
  <c r="F551" i="13"/>
  <c r="G551" i="13" s="1"/>
  <c r="E552" i="13"/>
  <c r="G552" i="13" s="1"/>
  <c r="E553" i="13"/>
  <c r="F553" i="13"/>
  <c r="G553" i="13"/>
  <c r="E554" i="13"/>
  <c r="F554" i="13"/>
  <c r="G554" i="13" s="1"/>
  <c r="E555" i="13"/>
  <c r="F555" i="13"/>
  <c r="G555" i="13"/>
  <c r="E556" i="13"/>
  <c r="F556" i="13"/>
  <c r="G556" i="13" s="1"/>
  <c r="E557" i="13"/>
  <c r="F557" i="13"/>
  <c r="G557" i="13"/>
  <c r="E558" i="13"/>
  <c r="F558" i="13"/>
  <c r="G558" i="13" s="1"/>
  <c r="E559" i="13"/>
  <c r="F559" i="13"/>
  <c r="G559" i="13"/>
  <c r="E560" i="13"/>
  <c r="F560" i="13"/>
  <c r="G560" i="13" s="1"/>
  <c r="E561" i="13"/>
  <c r="F561" i="13"/>
  <c r="G561" i="13"/>
  <c r="E562" i="13"/>
  <c r="F562" i="13"/>
  <c r="G562" i="13" s="1"/>
  <c r="F563" i="13"/>
  <c r="G563" i="13" s="1"/>
  <c r="E564" i="13"/>
  <c r="F564" i="13"/>
  <c r="G564" i="13"/>
  <c r="E565" i="13"/>
  <c r="F565" i="13"/>
  <c r="G565" i="13" s="1"/>
  <c r="F566" i="13"/>
  <c r="G566" i="13" s="1"/>
  <c r="E567" i="13"/>
  <c r="F567" i="13"/>
  <c r="G567" i="13"/>
  <c r="E568" i="13"/>
  <c r="F568" i="13"/>
  <c r="G568" i="13" s="1"/>
  <c r="E569" i="13"/>
  <c r="F569" i="13"/>
  <c r="G569" i="13"/>
  <c r="E570" i="13"/>
  <c r="F570" i="13"/>
  <c r="G570" i="13" s="1"/>
  <c r="E571" i="13"/>
  <c r="F571" i="13"/>
  <c r="G571" i="13"/>
  <c r="G572" i="13"/>
  <c r="G573" i="13"/>
  <c r="G574" i="13"/>
  <c r="G575" i="13"/>
  <c r="G576" i="13"/>
  <c r="G577" i="13"/>
  <c r="G578" i="13"/>
  <c r="G580" i="13"/>
  <c r="G582"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8" i="13"/>
  <c r="G609" i="13"/>
  <c r="G610" i="13"/>
  <c r="G611" i="13"/>
  <c r="G613" i="13"/>
  <c r="G614" i="13"/>
  <c r="G615" i="13"/>
  <c r="G616" i="13"/>
  <c r="G617" i="13"/>
  <c r="G618" i="13"/>
  <c r="G619" i="13"/>
  <c r="G620" i="13"/>
  <c r="G621" i="13"/>
  <c r="G622" i="13"/>
  <c r="G623" i="13"/>
  <c r="G626" i="13"/>
  <c r="G627" i="13"/>
  <c r="G628" i="13"/>
  <c r="G631" i="13"/>
  <c r="G632" i="13"/>
  <c r="G633" i="13"/>
  <c r="G634" i="13"/>
  <c r="G635" i="13"/>
  <c r="G636" i="13"/>
  <c r="G637" i="13"/>
  <c r="G638" i="13"/>
  <c r="G639" i="13"/>
  <c r="G640" i="13"/>
  <c r="G641" i="13"/>
  <c r="G642" i="13"/>
  <c r="G643" i="13"/>
  <c r="G644" i="13"/>
  <c r="G645" i="13"/>
  <c r="G646" i="13"/>
  <c r="G648" i="13"/>
  <c r="G649" i="13"/>
  <c r="G650" i="13"/>
  <c r="G651" i="13"/>
  <c r="G652" i="13"/>
  <c r="G654" i="13"/>
  <c r="G655" i="13"/>
  <c r="G656" i="13"/>
  <c r="G657" i="13"/>
  <c r="G658" i="13"/>
  <c r="G659" i="13"/>
  <c r="G660" i="13"/>
  <c r="G661" i="13"/>
  <c r="G662" i="13"/>
  <c r="G663" i="13"/>
  <c r="G664" i="13"/>
  <c r="G666" i="13"/>
  <c r="G667" i="13"/>
  <c r="G668" i="13"/>
  <c r="G669" i="13"/>
  <c r="G670" i="13"/>
  <c r="G671" i="13"/>
  <c r="G672" i="13"/>
  <c r="G674" i="13"/>
  <c r="G675" i="13"/>
  <c r="G676" i="13"/>
  <c r="G678" i="13"/>
  <c r="G679" i="13"/>
  <c r="G680" i="13"/>
  <c r="G681"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9" i="13"/>
  <c r="G741" i="13"/>
  <c r="G742" i="13"/>
  <c r="G743" i="13"/>
  <c r="G744" i="13"/>
  <c r="G745" i="13"/>
  <c r="G746" i="13"/>
  <c r="G747" i="13"/>
  <c r="G750" i="13"/>
  <c r="G751" i="13"/>
  <c r="G752" i="13"/>
  <c r="G753" i="13"/>
  <c r="G754" i="13"/>
  <c r="G755" i="13"/>
  <c r="G757" i="13"/>
  <c r="G758" i="13"/>
  <c r="G759" i="13"/>
  <c r="E761" i="13"/>
  <c r="F761" i="13"/>
  <c r="G761" i="13"/>
  <c r="E762" i="13"/>
  <c r="F762" i="13"/>
  <c r="G762" i="13" s="1"/>
  <c r="E763" i="13"/>
  <c r="F763" i="13"/>
  <c r="G763" i="13"/>
  <c r="E764" i="13"/>
  <c r="F764" i="13"/>
  <c r="G764" i="13" s="1"/>
  <c r="E765" i="13"/>
  <c r="F765" i="13"/>
  <c r="G765" i="13"/>
  <c r="E766" i="13"/>
  <c r="F766" i="13"/>
  <c r="G766" i="13" s="1"/>
  <c r="G767" i="13"/>
  <c r="G768" i="13"/>
  <c r="G769" i="13"/>
  <c r="G770" i="13"/>
  <c r="G771" i="13"/>
  <c r="G772" i="13"/>
  <c r="G773" i="13"/>
  <c r="G775" i="13"/>
  <c r="G776" i="13"/>
  <c r="G777" i="13"/>
  <c r="G778" i="13"/>
  <c r="G779" i="13"/>
  <c r="G780" i="13"/>
  <c r="G781" i="13"/>
  <c r="G782" i="13"/>
  <c r="G783" i="13"/>
  <c r="G784" i="13"/>
  <c r="G785" i="13"/>
  <c r="G786" i="13"/>
  <c r="G787" i="13"/>
  <c r="G788" i="13"/>
  <c r="G789" i="13"/>
  <c r="G790" i="13"/>
  <c r="G791" i="13"/>
  <c r="G792" i="13"/>
  <c r="G793" i="13"/>
  <c r="G794" i="13"/>
  <c r="G797" i="13"/>
  <c r="G798" i="13"/>
  <c r="G799" i="13"/>
  <c r="G802" i="13"/>
  <c r="G803" i="13"/>
  <c r="G804" i="13"/>
  <c r="G808" i="13"/>
  <c r="G809" i="13"/>
  <c r="G810"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50" i="13"/>
  <c r="G851" i="13"/>
  <c r="G852" i="13"/>
  <c r="G853" i="13"/>
  <c r="G854" i="13"/>
  <c r="G855" i="13"/>
  <c r="G856" i="13"/>
  <c r="G857" i="13"/>
  <c r="G858" i="13"/>
  <c r="G859" i="13"/>
  <c r="G860" i="13"/>
  <c r="G861" i="13"/>
  <c r="G862" i="13"/>
  <c r="G863" i="13"/>
  <c r="G864" i="13"/>
  <c r="G865" i="13"/>
  <c r="G866" i="13"/>
  <c r="G867" i="13"/>
  <c r="G868" i="13"/>
  <c r="G869" i="13"/>
  <c r="G870" i="13"/>
  <c r="G873" i="13"/>
  <c r="G875" i="13"/>
  <c r="G876" i="13"/>
  <c r="G877"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6" i="13"/>
  <c r="G907" i="13"/>
  <c r="G908" i="13"/>
  <c r="G909" i="13"/>
  <c r="G910" i="13"/>
  <c r="G911" i="13"/>
  <c r="G912" i="13"/>
  <c r="G913" i="13"/>
  <c r="G914" i="13"/>
  <c r="G915" i="13"/>
  <c r="G916" i="13"/>
  <c r="G917" i="13"/>
  <c r="G919" i="13"/>
  <c r="G920" i="13"/>
  <c r="G921" i="13"/>
  <c r="G922" i="13"/>
  <c r="G923" i="13"/>
  <c r="G924" i="13"/>
  <c r="G925" i="13"/>
  <c r="G926" i="13"/>
  <c r="G928" i="13"/>
  <c r="G929" i="13"/>
  <c r="G930" i="13"/>
  <c r="G931" i="13"/>
  <c r="G932" i="13"/>
  <c r="G933" i="13"/>
  <c r="G935" i="13"/>
  <c r="G936" i="13"/>
  <c r="G937" i="13"/>
  <c r="G938" i="13"/>
  <c r="G939" i="13"/>
  <c r="G940" i="13"/>
  <c r="G941" i="13"/>
  <c r="G942" i="13"/>
  <c r="G944" i="13"/>
  <c r="G945" i="13"/>
  <c r="G946" i="13"/>
  <c r="G947" i="13"/>
  <c r="G948" i="13"/>
  <c r="G950" i="13"/>
  <c r="G951" i="13"/>
  <c r="G952" i="13"/>
  <c r="G953" i="13"/>
  <c r="G954" i="13"/>
  <c r="G955" i="13"/>
  <c r="G956" i="13"/>
  <c r="G957" i="13"/>
  <c r="G958" i="13"/>
  <c r="G959"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9" i="13"/>
  <c r="G990" i="13"/>
  <c r="G991" i="13"/>
  <c r="G992" i="13"/>
  <c r="G993" i="13"/>
  <c r="G994" i="13"/>
  <c r="G995" i="13"/>
  <c r="G996" i="13"/>
  <c r="G997" i="13"/>
  <c r="G998" i="13"/>
  <c r="G999" i="13"/>
  <c r="G1001" i="13"/>
  <c r="G1004" i="13"/>
  <c r="G1005" i="13"/>
  <c r="G1006" i="13"/>
  <c r="G1007" i="13"/>
  <c r="G1008" i="13"/>
  <c r="G1009" i="13"/>
  <c r="G1010" i="13"/>
  <c r="G1011" i="13"/>
  <c r="G1012" i="13"/>
  <c r="G1013" i="13"/>
  <c r="G1014" i="13"/>
  <c r="G1015" i="13"/>
  <c r="G1016" i="13"/>
  <c r="G1017" i="13"/>
  <c r="G1018" i="13"/>
  <c r="G1019" i="13"/>
  <c r="G1020" i="13"/>
  <c r="G1021" i="13"/>
  <c r="G1022" i="13"/>
  <c r="G1023" i="13"/>
  <c r="G1025" i="13"/>
  <c r="G1026" i="13"/>
  <c r="G1027" i="13"/>
  <c r="G1028" i="13"/>
  <c r="G1029" i="13"/>
  <c r="G1030" i="13"/>
  <c r="G1031" i="13"/>
  <c r="G1032" i="13"/>
  <c r="G1033" i="13"/>
  <c r="G1034" i="13"/>
  <c r="G1035" i="13"/>
  <c r="G1036" i="13"/>
  <c r="G1037" i="13"/>
  <c r="G1038" i="13"/>
  <c r="G1039" i="13"/>
  <c r="G1040" i="13"/>
  <c r="G1041" i="13"/>
  <c r="G1042" i="13"/>
  <c r="G1043" i="13"/>
  <c r="G1045" i="13"/>
  <c r="G1046" i="13"/>
  <c r="G1047" i="13"/>
  <c r="G1048" i="13"/>
  <c r="G1049" i="13"/>
  <c r="G1050" i="13"/>
  <c r="G1051" i="13"/>
  <c r="G1052" i="13"/>
  <c r="G1053" i="13"/>
  <c r="G1055" i="13"/>
  <c r="G1058" i="13"/>
  <c r="G1059" i="13"/>
  <c r="G1060" i="13"/>
  <c r="G1061" i="13"/>
  <c r="G1062" i="13"/>
  <c r="G1063" i="13"/>
  <c r="G1064" i="13"/>
  <c r="G1065" i="13"/>
  <c r="G1066" i="13"/>
  <c r="G1067" i="13"/>
  <c r="G1068" i="13"/>
  <c r="G1069" i="13"/>
  <c r="E1071" i="13"/>
  <c r="F1071" i="13"/>
  <c r="G1071" i="13"/>
  <c r="E1072" i="13"/>
  <c r="F1072" i="13"/>
  <c r="G1072" i="13" s="1"/>
  <c r="E1073" i="13"/>
  <c r="F1073" i="13"/>
  <c r="G1073" i="13"/>
  <c r="E1074" i="13"/>
  <c r="F1074" i="13"/>
  <c r="G1074" i="13" s="1"/>
  <c r="E1075" i="13"/>
  <c r="F1075" i="13"/>
  <c r="G1075" i="13"/>
  <c r="E1076" i="13"/>
  <c r="F1076" i="13"/>
  <c r="G1076" i="13" s="1"/>
  <c r="E1077" i="13"/>
  <c r="F1077" i="13"/>
  <c r="G1077" i="13"/>
  <c r="E1078" i="13"/>
  <c r="F1078" i="13"/>
  <c r="G1078" i="13" s="1"/>
  <c r="F1079" i="13"/>
  <c r="G1079" i="13" s="1"/>
  <c r="F1080" i="13"/>
  <c r="G1080" i="13" s="1"/>
  <c r="G1081" i="13"/>
  <c r="G1082" i="13"/>
  <c r="G1083" i="13"/>
  <c r="G1084" i="13"/>
  <c r="G1085" i="13"/>
  <c r="G1086" i="13"/>
  <c r="E1088" i="13"/>
  <c r="F1088" i="13"/>
  <c r="G1088" i="13"/>
  <c r="E1089" i="13"/>
  <c r="F1089" i="13"/>
  <c r="G1089" i="13" s="1"/>
  <c r="E1090" i="13"/>
  <c r="F1090" i="13"/>
  <c r="G1090" i="13"/>
  <c r="E1091" i="13"/>
  <c r="F1091" i="13"/>
  <c r="G1091" i="13" s="1"/>
  <c r="E1092" i="13"/>
  <c r="F1092" i="13"/>
  <c r="G1092" i="13"/>
  <c r="E1093" i="13"/>
  <c r="F1093" i="13"/>
  <c r="G1093" i="13" s="1"/>
  <c r="G1094" i="13"/>
  <c r="G1095"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E1166" i="13"/>
  <c r="F1166" i="13"/>
  <c r="G1166" i="13"/>
  <c r="E1167" i="13"/>
  <c r="F1167" i="13"/>
  <c r="G1167" i="13" s="1"/>
  <c r="E1168" i="13"/>
  <c r="F1168" i="13"/>
  <c r="G1168" i="13"/>
  <c r="E1169" i="13"/>
  <c r="F1169" i="13"/>
  <c r="G1169" i="13" s="1"/>
  <c r="G1170" i="13"/>
  <c r="G1172" i="13"/>
  <c r="G1173" i="13"/>
  <c r="G1174" i="13"/>
  <c r="G1176" i="13"/>
  <c r="G1177" i="13"/>
  <c r="G1179" i="13"/>
  <c r="G1180" i="13"/>
  <c r="G1181" i="13"/>
  <c r="G1182" i="13"/>
  <c r="G1183" i="13"/>
  <c r="G1184" i="13"/>
  <c r="G1185" i="13"/>
  <c r="E1187" i="13"/>
  <c r="F1187" i="13"/>
  <c r="G1187" i="13" s="1"/>
  <c r="E1188" i="13"/>
  <c r="F1188" i="13"/>
  <c r="G1188" i="13"/>
  <c r="E1189" i="13"/>
  <c r="F1189" i="13"/>
  <c r="G1189" i="13" s="1"/>
  <c r="G1190" i="13"/>
  <c r="G1191" i="13"/>
  <c r="G1192" i="13"/>
  <c r="G1193" i="13"/>
  <c r="G1194" i="13"/>
  <c r="G1195" i="13"/>
  <c r="G1196" i="13"/>
  <c r="G1199" i="13"/>
  <c r="G1200" i="13"/>
  <c r="G1201" i="13"/>
  <c r="G1203" i="13"/>
  <c r="G1204" i="13"/>
  <c r="E1206" i="13"/>
  <c r="F1206" i="13"/>
  <c r="G1206" i="13"/>
  <c r="E1207" i="13"/>
  <c r="F1207" i="13"/>
  <c r="G1207" i="13" s="1"/>
  <c r="E1208" i="13"/>
  <c r="F1208" i="13"/>
  <c r="G1208" i="13"/>
  <c r="E1209" i="13"/>
  <c r="F1209" i="13"/>
  <c r="G1209" i="13" s="1"/>
  <c r="G1211" i="13"/>
  <c r="E1213" i="13"/>
  <c r="F1213" i="13"/>
  <c r="G1213" i="13" s="1"/>
  <c r="E1214" i="13"/>
  <c r="F1214" i="13"/>
  <c r="G1214" i="13"/>
  <c r="E1215" i="13"/>
  <c r="F1215" i="13"/>
  <c r="G1215" i="13" s="1"/>
  <c r="E1216" i="13"/>
  <c r="F1216" i="13"/>
  <c r="G1216" i="13"/>
  <c r="E1217" i="13"/>
  <c r="F1217" i="13"/>
  <c r="G1217" i="13" s="1"/>
  <c r="G1218" i="13"/>
  <c r="G1219" i="13"/>
  <c r="G1220" i="13"/>
  <c r="G1221" i="13"/>
  <c r="G1222" i="13"/>
  <c r="G1224" i="13"/>
  <c r="G1225" i="13"/>
  <c r="G1226" i="13"/>
  <c r="G1227" i="13"/>
  <c r="G1228" i="13"/>
  <c r="G1229" i="13"/>
  <c r="G1230" i="13"/>
  <c r="G1231" i="13"/>
  <c r="G1232" i="13"/>
  <c r="G1233" i="13"/>
  <c r="G1235" i="13"/>
  <c r="G1236"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70" i="13"/>
  <c r="G1271" i="13"/>
  <c r="G1272" i="13"/>
  <c r="G1273" i="13"/>
  <c r="G1274" i="13"/>
  <c r="G1278" i="13"/>
  <c r="G1279" i="13"/>
  <c r="G1281" i="13"/>
  <c r="G1282" i="13"/>
  <c r="G1284" i="13"/>
  <c r="G1285" i="13"/>
  <c r="G1286" i="13"/>
  <c r="G1287" i="13"/>
  <c r="G1288" i="13"/>
  <c r="G1289" i="13"/>
  <c r="G1290" i="13"/>
  <c r="G1291" i="13"/>
  <c r="G1292" i="13"/>
  <c r="G1293" i="13"/>
  <c r="G1294" i="13"/>
  <c r="G1295" i="13"/>
  <c r="G1296" i="13"/>
  <c r="G1297" i="13"/>
  <c r="G1299" i="13"/>
  <c r="G1300" i="13"/>
  <c r="G1302" i="13"/>
  <c r="G1303"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1340" i="13"/>
  <c r="G1341" i="13"/>
  <c r="G1342" i="13"/>
  <c r="G1343" i="13"/>
  <c r="G1344" i="13"/>
  <c r="G1345" i="13"/>
  <c r="G1346" i="13"/>
  <c r="G1347" i="13"/>
  <c r="G1348" i="13"/>
  <c r="G1349" i="13"/>
  <c r="G1350" i="13"/>
  <c r="G1351" i="13"/>
  <c r="G1352" i="13"/>
  <c r="G1353" i="13"/>
  <c r="G1354" i="13"/>
  <c r="G1355" i="13"/>
  <c r="G1356" i="13"/>
  <c r="G1357" i="13"/>
  <c r="E1360" i="13"/>
  <c r="F1360" i="13"/>
  <c r="G1360" i="13" s="1"/>
  <c r="E1361" i="13"/>
  <c r="F1361" i="13"/>
  <c r="G1361" i="13"/>
  <c r="E1362" i="13"/>
  <c r="F1362" i="13"/>
  <c r="G1362" i="13" s="1"/>
  <c r="E1363" i="13"/>
  <c r="F1363" i="13"/>
  <c r="G1363" i="13"/>
  <c r="E1364" i="13"/>
  <c r="F1364" i="13"/>
  <c r="G1364" i="13" s="1"/>
  <c r="E1365" i="13"/>
  <c r="F1365" i="13"/>
  <c r="G1365" i="13"/>
  <c r="E1366" i="13"/>
  <c r="F1366" i="13"/>
  <c r="G1366" i="13" s="1"/>
  <c r="G1368" i="13"/>
  <c r="G1369" i="13"/>
  <c r="G1371" i="13"/>
  <c r="G1372" i="13"/>
  <c r="G1373" i="13"/>
  <c r="G1374" i="13"/>
  <c r="G1375" i="13"/>
  <c r="G1376" i="13"/>
  <c r="G1377" i="13"/>
  <c r="G1378" i="13"/>
  <c r="G1379" i="13"/>
  <c r="E1382" i="13"/>
  <c r="F1382" i="13"/>
  <c r="G1382" i="13" s="1"/>
  <c r="E1383" i="13"/>
  <c r="F1383" i="13"/>
  <c r="G1383" i="13"/>
  <c r="E1384" i="13"/>
  <c r="F1384" i="13"/>
  <c r="G1384" i="13" s="1"/>
  <c r="E1385" i="13"/>
  <c r="F1385" i="13"/>
  <c r="G1385" i="13"/>
  <c r="E1386" i="13"/>
  <c r="F1386" i="13"/>
  <c r="G1386" i="13" s="1"/>
  <c r="E1387" i="13"/>
  <c r="F1387" i="13"/>
  <c r="G1387" i="13"/>
  <c r="E1388" i="13"/>
  <c r="F1388" i="13"/>
  <c r="G1388" i="13" s="1"/>
  <c r="F1389" i="13"/>
  <c r="G1389" i="13" s="1"/>
  <c r="G1390" i="13"/>
  <c r="G1391" i="13"/>
  <c r="G1392" i="13"/>
  <c r="G1393" i="13"/>
  <c r="G1394" i="13"/>
  <c r="G1396" i="13"/>
  <c r="G1397" i="13"/>
  <c r="G1398" i="13"/>
  <c r="G1399" i="13"/>
  <c r="G1400" i="13"/>
  <c r="G1401" i="13"/>
  <c r="G1402" i="13"/>
  <c r="G1403" i="13"/>
  <c r="G1404" i="13"/>
  <c r="G1407" i="13"/>
  <c r="G1410" i="13"/>
  <c r="G1411" i="13"/>
  <c r="G1412" i="13"/>
  <c r="E1413" i="13"/>
  <c r="G1413" i="13" s="1"/>
  <c r="E1414" i="13"/>
  <c r="G1414" i="13" s="1"/>
  <c r="G1415" i="13"/>
  <c r="G1416" i="13"/>
  <c r="G1417" i="13"/>
  <c r="G1418" i="13"/>
  <c r="G1419" i="13"/>
  <c r="G1420" i="13"/>
  <c r="G1421" i="13"/>
  <c r="G1422" i="13"/>
  <c r="G1423" i="13"/>
  <c r="G1424" i="13"/>
  <c r="G1425" i="13"/>
  <c r="G1426" i="13"/>
  <c r="G1427" i="13"/>
  <c r="G1428" i="13"/>
  <c r="G1430" i="13"/>
  <c r="E1432" i="13"/>
  <c r="F1432" i="13"/>
  <c r="G1432" i="13" s="1"/>
  <c r="E1433" i="13"/>
  <c r="F1433" i="13"/>
  <c r="G1433" i="13"/>
  <c r="E1434" i="13"/>
  <c r="F1434" i="13"/>
  <c r="G1434" i="13" s="1"/>
  <c r="E1435" i="13"/>
  <c r="F1435" i="13"/>
  <c r="G1435" i="13"/>
  <c r="E1436" i="13"/>
  <c r="F1436" i="13"/>
  <c r="G1436" i="13" s="1"/>
  <c r="E1437" i="13"/>
  <c r="F1437" i="13"/>
  <c r="G1437" i="13"/>
  <c r="E1438" i="13"/>
  <c r="F1438" i="13"/>
  <c r="G1438" i="13" s="1"/>
  <c r="E1439" i="13"/>
  <c r="F1439" i="13"/>
  <c r="G1439" i="13"/>
  <c r="E1440" i="13"/>
  <c r="F1440" i="13"/>
  <c r="G1440" i="13" s="1"/>
  <c r="E1441" i="13"/>
  <c r="F1441" i="13"/>
  <c r="G1441" i="13"/>
  <c r="E1442" i="13"/>
  <c r="F1442" i="13"/>
  <c r="G1442" i="13" s="1"/>
  <c r="E1443" i="13"/>
  <c r="F1443" i="13"/>
  <c r="G1443" i="13"/>
  <c r="G1444" i="13"/>
  <c r="G1445" i="13"/>
  <c r="G1446" i="13"/>
  <c r="G1447" i="13"/>
  <c r="G1448" i="13"/>
  <c r="G1449" i="13"/>
  <c r="G1450" i="13"/>
  <c r="G1451" i="13"/>
  <c r="G1452" i="13"/>
  <c r="G1453" i="13"/>
  <c r="G1454" i="13"/>
  <c r="G1455" i="13"/>
  <c r="G1456" i="13"/>
  <c r="G1457" i="13"/>
  <c r="G1458" i="13"/>
  <c r="G1459" i="13"/>
  <c r="G1460" i="13"/>
  <c r="G1461" i="13"/>
  <c r="G1462" i="13"/>
  <c r="G1463" i="13"/>
  <c r="G1464" i="13"/>
  <c r="G1465" i="13"/>
  <c r="G1466" i="13"/>
  <c r="G1467" i="13"/>
  <c r="G1469" i="13"/>
  <c r="G1470" i="13"/>
  <c r="G1471" i="13"/>
  <c r="G1473" i="13"/>
  <c r="G1474" i="13"/>
  <c r="G1475" i="13"/>
  <c r="G1476" i="13"/>
  <c r="G1477" i="13"/>
  <c r="G1478" i="13"/>
  <c r="G1479" i="13"/>
  <c r="G1480" i="13"/>
  <c r="G1482" i="13"/>
  <c r="G1484" i="13"/>
  <c r="G1485" i="13"/>
  <c r="G1486" i="13"/>
  <c r="G1487" i="13"/>
  <c r="G1489" i="13"/>
  <c r="G1491" i="13"/>
  <c r="G1492" i="13"/>
  <c r="G1493" i="13"/>
  <c r="G1494" i="13"/>
  <c r="G1495" i="13"/>
  <c r="G1496" i="13"/>
  <c r="G1497" i="13"/>
  <c r="G1498" i="13"/>
  <c r="G1499" i="13"/>
  <c r="G1500" i="13"/>
  <c r="G1501" i="13"/>
  <c r="G1502" i="13"/>
  <c r="G1503" i="13"/>
  <c r="G1504" i="13"/>
  <c r="G1505" i="13"/>
  <c r="G1506" i="13"/>
  <c r="G1507" i="13"/>
  <c r="G1508" i="13"/>
  <c r="G1509" i="13"/>
  <c r="G1510" i="13"/>
  <c r="G1511" i="13"/>
  <c r="G1512" i="13"/>
  <c r="G1513" i="13"/>
  <c r="G1514" i="13"/>
  <c r="G1515" i="13"/>
  <c r="G1517" i="13"/>
  <c r="G1518" i="13"/>
  <c r="G1519" i="13"/>
  <c r="G1520" i="13"/>
  <c r="G1521" i="13"/>
  <c r="G1522" i="13"/>
  <c r="G1523" i="13"/>
  <c r="G1524" i="13"/>
  <c r="G1525" i="13"/>
  <c r="G1526" i="13"/>
  <c r="G1527" i="13"/>
  <c r="G1528" i="13"/>
  <c r="G1529" i="13"/>
  <c r="G1530" i="13"/>
  <c r="G1531" i="13"/>
  <c r="G1532" i="13"/>
  <c r="G1533" i="13"/>
  <c r="G1534" i="13"/>
  <c r="G1535" i="13"/>
  <c r="G1536" i="13"/>
  <c r="G1537" i="13"/>
  <c r="G1538" i="13"/>
  <c r="G1539" i="13"/>
  <c r="G1540" i="13"/>
  <c r="G1541" i="13"/>
  <c r="G1542" i="13"/>
  <c r="G1543" i="13"/>
  <c r="G1544" i="13"/>
  <c r="G1545" i="13"/>
  <c r="G1546" i="13"/>
  <c r="G1547" i="13"/>
  <c r="G1548" i="13"/>
  <c r="G1549" i="13"/>
  <c r="G1550" i="13"/>
  <c r="G1551" i="13"/>
  <c r="G1552" i="13"/>
  <c r="G1553" i="13"/>
  <c r="G1554" i="13"/>
  <c r="G1556" i="13"/>
  <c r="G1557" i="13"/>
  <c r="G1558" i="13"/>
  <c r="G1559" i="13"/>
  <c r="G1561" i="13"/>
  <c r="G1562" i="13"/>
  <c r="G1563" i="13"/>
  <c r="G1564" i="13"/>
  <c r="G1566" i="13"/>
  <c r="G1567" i="13"/>
  <c r="G1568" i="13"/>
  <c r="G1569" i="13"/>
  <c r="G1570" i="13"/>
  <c r="G1571" i="13"/>
  <c r="G1572" i="13"/>
  <c r="G1573" i="13"/>
  <c r="G1574" i="13"/>
  <c r="G1575" i="13"/>
  <c r="G1576" i="13"/>
  <c r="G1577" i="13"/>
  <c r="G1578" i="13"/>
  <c r="G1579" i="13"/>
  <c r="G1580" i="13"/>
  <c r="G1581" i="13"/>
  <c r="G1582" i="13"/>
  <c r="G1583" i="13"/>
  <c r="G1584" i="13"/>
  <c r="G1585" i="13"/>
  <c r="G1586" i="13"/>
  <c r="G1587" i="13"/>
  <c r="G1588" i="13"/>
  <c r="G1589" i="13"/>
  <c r="G1590" i="13"/>
  <c r="G1591" i="13"/>
  <c r="G1593" i="13"/>
  <c r="G1594" i="13"/>
  <c r="G1595" i="13"/>
  <c r="G1596" i="13"/>
  <c r="G1597" i="13"/>
  <c r="G1598" i="13"/>
  <c r="G1599" i="13"/>
  <c r="G1600" i="13"/>
  <c r="G1601" i="13"/>
  <c r="G1602" i="13"/>
  <c r="G1603" i="13"/>
  <c r="G1604" i="13"/>
  <c r="G1605" i="13"/>
  <c r="G1606" i="13"/>
  <c r="G1607" i="13"/>
  <c r="G1609" i="13"/>
  <c r="G1611" i="13"/>
  <c r="G1612" i="13"/>
  <c r="G1613" i="13"/>
  <c r="G1614" i="13"/>
  <c r="G1615" i="13"/>
  <c r="G1616" i="13"/>
  <c r="G1617" i="13"/>
  <c r="G1618" i="13"/>
  <c r="G1619" i="13"/>
  <c r="G1620" i="13"/>
  <c r="G1621" i="13"/>
  <c r="G1622" i="13"/>
  <c r="G1623" i="13"/>
  <c r="G1624" i="13"/>
  <c r="G1625" i="13"/>
  <c r="G1626" i="13"/>
  <c r="G1627" i="13"/>
  <c r="G1628" i="13"/>
  <c r="G1629" i="13"/>
  <c r="G1630" i="13"/>
  <c r="G1631" i="13"/>
  <c r="G1632" i="13"/>
  <c r="G1633" i="13"/>
  <c r="G1634" i="13"/>
  <c r="G1635" i="13"/>
  <c r="G1636" i="13"/>
  <c r="G1637" i="13"/>
  <c r="G1638" i="13"/>
  <c r="G1639" i="13"/>
  <c r="G1640" i="13"/>
  <c r="G1641" i="13"/>
  <c r="G1642" i="13"/>
  <c r="G1643" i="13"/>
  <c r="G1644" i="13"/>
  <c r="G1645" i="13"/>
  <c r="G1646" i="13"/>
  <c r="G1648" i="13"/>
  <c r="G1649" i="13"/>
  <c r="G1650" i="13"/>
  <c r="G1651" i="13"/>
  <c r="G1652" i="13"/>
  <c r="G1653" i="13"/>
  <c r="G1654" i="13"/>
  <c r="G1655" i="13"/>
  <c r="G1656" i="13"/>
  <c r="G1657" i="13"/>
  <c r="G1658" i="13"/>
  <c r="G1659" i="13"/>
  <c r="G1660" i="13"/>
  <c r="G1661" i="13"/>
  <c r="G1662" i="13"/>
  <c r="G1663" i="13"/>
  <c r="G1664" i="13"/>
  <c r="G1665" i="13"/>
  <c r="G1666" i="13"/>
  <c r="G1667" i="13"/>
  <c r="G1668" i="13"/>
  <c r="G1669" i="13"/>
  <c r="G1670" i="13"/>
  <c r="G1671" i="13"/>
  <c r="G1672" i="13"/>
  <c r="G1673" i="13"/>
  <c r="G1674" i="13"/>
  <c r="G1675" i="13"/>
  <c r="G1676" i="13"/>
  <c r="G1677" i="13"/>
  <c r="G1678" i="13"/>
  <c r="G1679" i="13"/>
  <c r="G1680" i="13"/>
  <c r="G1681" i="13"/>
  <c r="G1682" i="13"/>
  <c r="G1683" i="13"/>
  <c r="G1684" i="13"/>
  <c r="G1685" i="13"/>
  <c r="G1686" i="13"/>
  <c r="G1687" i="13"/>
  <c r="G1688" i="13"/>
  <c r="G1689" i="13"/>
  <c r="G1690" i="13"/>
  <c r="G1691" i="13"/>
  <c r="G1694" i="13"/>
  <c r="G1695" i="13"/>
  <c r="G1696" i="13"/>
  <c r="G1697" i="13"/>
  <c r="G1698" i="13"/>
  <c r="G1699" i="13"/>
  <c r="G1700" i="13"/>
  <c r="G1701" i="13"/>
  <c r="G1702" i="13"/>
  <c r="G1703" i="13"/>
  <c r="G1704" i="13"/>
  <c r="G1705" i="13"/>
  <c r="G1706" i="13"/>
  <c r="G1707" i="13"/>
  <c r="G1708" i="13"/>
  <c r="G1710" i="13"/>
  <c r="G1711" i="13"/>
  <c r="G1712" i="13"/>
  <c r="G1713" i="13"/>
  <c r="G1715" i="13"/>
  <c r="G1716" i="13"/>
  <c r="G1717" i="13"/>
  <c r="G1718" i="13"/>
  <c r="G1720" i="13"/>
  <c r="G1721" i="13"/>
  <c r="G1722" i="13"/>
  <c r="G1723" i="13"/>
  <c r="G1724" i="13"/>
  <c r="G1725" i="13"/>
  <c r="G1726" i="13"/>
  <c r="G1727" i="13"/>
  <c r="G1728" i="13"/>
  <c r="G1729" i="13"/>
  <c r="G1730" i="13"/>
  <c r="G1731" i="13"/>
  <c r="G1732" i="13"/>
  <c r="G1733" i="13"/>
  <c r="G1734" i="13"/>
  <c r="G1735" i="13"/>
  <c r="G1736" i="13"/>
  <c r="G1737" i="13"/>
  <c r="G1738" i="13"/>
  <c r="G1739" i="13"/>
  <c r="G1740" i="13"/>
  <c r="G1741" i="13"/>
  <c r="G1744" i="13"/>
  <c r="G1745" i="13"/>
  <c r="G1746" i="13"/>
  <c r="G1747" i="13"/>
  <c r="G1748" i="13"/>
  <c r="G1749" i="13"/>
  <c r="G1750" i="13"/>
  <c r="G1751" i="13"/>
  <c r="G1754" i="13"/>
  <c r="G1755" i="13"/>
  <c r="G1756" i="13"/>
  <c r="G1757" i="13"/>
  <c r="G1758" i="13"/>
  <c r="G1760" i="13"/>
  <c r="G1761" i="13"/>
  <c r="G1762" i="13"/>
  <c r="G1763" i="13"/>
  <c r="G1764" i="13"/>
  <c r="G1765" i="13"/>
  <c r="G1766" i="13"/>
  <c r="G1767" i="13"/>
  <c r="G1768" i="13"/>
  <c r="G1769" i="13"/>
  <c r="G1770" i="13"/>
  <c r="G1772" i="13"/>
  <c r="G1773" i="13"/>
  <c r="G1774" i="13"/>
  <c r="G1775" i="13"/>
  <c r="G1776" i="13"/>
  <c r="G1777" i="13"/>
  <c r="G1778" i="13"/>
  <c r="G1780" i="13"/>
  <c r="G1781" i="13"/>
  <c r="G1782" i="13"/>
  <c r="G1783" i="13"/>
  <c r="G1784" i="13"/>
  <c r="G1785" i="13"/>
  <c r="G1786" i="13"/>
  <c r="G1787" i="13"/>
  <c r="G1788" i="13"/>
  <c r="G1789" i="13"/>
  <c r="G1790" i="13"/>
  <c r="G1791" i="13"/>
  <c r="G1792" i="13"/>
  <c r="G1793" i="13"/>
  <c r="G1794" i="13"/>
  <c r="G1795" i="13"/>
  <c r="G1796" i="13"/>
  <c r="G1797" i="13"/>
  <c r="G1798" i="13"/>
  <c r="G1799" i="13"/>
  <c r="G1800" i="13"/>
  <c r="G1801" i="13"/>
  <c r="G1802" i="13"/>
  <c r="G1803" i="13"/>
  <c r="G1804" i="13"/>
  <c r="G1806" i="13"/>
  <c r="G1807" i="13"/>
  <c r="F1811" i="13"/>
  <c r="G1811" i="13" s="1"/>
  <c r="F1812" i="13"/>
  <c r="G1812" i="13" s="1"/>
  <c r="F1813" i="13"/>
  <c r="G1813" i="13" s="1"/>
  <c r="F1814" i="13"/>
  <c r="G1814" i="13" s="1"/>
  <c r="F1815" i="13"/>
  <c r="G1815" i="13" s="1"/>
  <c r="F1816" i="13"/>
  <c r="G1816" i="13" s="1"/>
  <c r="G1817" i="13"/>
  <c r="G1819" i="13"/>
  <c r="G1820" i="13"/>
  <c r="G1821" i="13"/>
  <c r="G1822" i="13"/>
  <c r="G1823" i="13"/>
  <c r="G1824" i="13"/>
  <c r="G1825" i="13"/>
  <c r="G1826" i="13"/>
  <c r="G1827" i="13"/>
  <c r="G1828" i="13"/>
  <c r="G1829" i="13"/>
  <c r="G1830" i="13"/>
  <c r="G1831" i="13"/>
  <c r="G1832" i="13"/>
  <c r="G1833" i="13"/>
  <c r="G1834" i="13"/>
  <c r="G1835" i="13"/>
  <c r="G1836" i="13"/>
  <c r="G1837" i="13"/>
  <c r="G1838" i="13"/>
  <c r="G1839" i="13"/>
  <c r="G1840" i="13"/>
  <c r="G1841" i="13"/>
  <c r="G1842" i="13"/>
  <c r="G1843" i="13"/>
  <c r="G1845" i="13"/>
  <c r="G1846" i="13"/>
  <c r="G1847" i="13"/>
  <c r="G1849" i="13"/>
  <c r="G1850" i="13"/>
  <c r="G1851" i="13"/>
  <c r="G1852" i="13"/>
  <c r="G1853" i="13"/>
  <c r="G1854" i="13"/>
  <c r="G1855" i="13"/>
  <c r="G1856" i="13"/>
  <c r="G1857" i="13"/>
  <c r="G1859" i="13"/>
  <c r="G1860" i="13"/>
  <c r="G1861" i="13"/>
  <c r="G1862" i="13"/>
  <c r="G1863" i="13"/>
  <c r="G1864" i="13"/>
  <c r="G1865" i="13"/>
  <c r="G1866" i="13"/>
  <c r="G1867" i="13"/>
  <c r="G1868" i="13"/>
  <c r="G1869" i="13"/>
  <c r="G1870" i="13"/>
  <c r="G1871" i="13"/>
  <c r="G1872" i="13"/>
  <c r="G1873" i="13"/>
  <c r="G1874" i="13"/>
  <c r="G1876" i="13"/>
  <c r="G1877" i="13"/>
  <c r="G1878" i="13"/>
  <c r="G1879" i="13"/>
  <c r="G1880" i="13"/>
  <c r="G1882" i="13"/>
  <c r="E1884" i="13"/>
  <c r="F1884" i="13"/>
  <c r="G1884" i="13"/>
  <c r="E1885" i="13"/>
  <c r="F1885" i="13"/>
  <c r="G1885" i="13" s="1"/>
  <c r="E1886" i="13"/>
  <c r="F1886" i="13"/>
  <c r="G1886" i="13"/>
  <c r="E1887" i="13"/>
  <c r="F1887" i="13"/>
  <c r="G1887" i="13" s="1"/>
  <c r="E1888" i="13"/>
  <c r="F1888" i="13"/>
  <c r="G1888" i="13"/>
  <c r="G1889" i="13"/>
  <c r="G1892" i="13"/>
  <c r="G1894" i="13"/>
  <c r="G1895" i="13"/>
  <c r="G1896" i="13"/>
  <c r="G1897" i="13"/>
  <c r="G1898" i="13"/>
  <c r="G1899" i="13"/>
  <c r="G1900" i="13"/>
  <c r="G1901" i="13"/>
  <c r="G1902" i="13"/>
  <c r="G1903" i="13"/>
  <c r="F1906" i="13"/>
  <c r="G1906" i="13"/>
  <c r="G1907" i="13"/>
  <c r="G1908" i="13"/>
  <c r="F1909" i="13"/>
  <c r="G1909" i="13"/>
  <c r="F1910" i="13"/>
  <c r="G1910" i="13"/>
  <c r="F1911" i="13"/>
  <c r="G1911" i="13"/>
  <c r="G1912" i="13"/>
  <c r="G1913" i="13"/>
  <c r="G1914" i="13"/>
  <c r="G1915" i="13"/>
  <c r="G1916" i="13"/>
  <c r="G1917" i="13"/>
  <c r="G1918" i="13"/>
  <c r="G1919" i="13"/>
  <c r="G1920" i="13"/>
  <c r="G1921" i="13"/>
  <c r="G1922" i="13"/>
  <c r="G1923" i="13"/>
  <c r="G1924" i="13"/>
  <c r="G1925" i="13"/>
  <c r="G1926" i="13"/>
  <c r="G1927" i="13"/>
  <c r="G1928" i="13"/>
  <c r="G1929" i="13"/>
  <c r="G1930" i="13"/>
  <c r="G1931" i="13"/>
  <c r="G1932" i="13"/>
  <c r="G1933" i="13"/>
  <c r="G1934" i="13"/>
  <c r="G1935" i="13"/>
  <c r="G1936" i="13"/>
  <c r="G1937" i="13"/>
  <c r="G1938" i="13"/>
  <c r="G1939" i="13"/>
  <c r="G1940" i="13"/>
  <c r="G1941" i="13"/>
  <c r="G1942" i="13"/>
  <c r="G1943" i="13"/>
  <c r="G1944" i="13"/>
  <c r="G1945" i="13"/>
  <c r="G1947" i="13"/>
  <c r="G1948" i="13"/>
  <c r="G1949" i="13"/>
  <c r="G1950" i="13"/>
  <c r="G1951" i="13"/>
  <c r="G1952" i="13"/>
  <c r="G1953" i="13"/>
  <c r="G1954" i="13"/>
  <c r="G1955" i="13"/>
  <c r="G1956" i="13"/>
  <c r="G1957" i="13"/>
  <c r="G1958" i="13"/>
  <c r="G1959" i="13"/>
  <c r="G1960" i="13"/>
  <c r="G1961" i="13"/>
  <c r="G1962" i="13"/>
  <c r="G1963" i="13"/>
  <c r="G1964" i="13"/>
  <c r="G1965" i="13"/>
  <c r="G1966" i="13"/>
  <c r="G1968" i="13"/>
  <c r="G1969" i="13"/>
  <c r="G1970" i="13"/>
  <c r="G1971" i="13"/>
  <c r="G1972" i="13"/>
  <c r="G1973" i="13"/>
  <c r="G1974" i="13"/>
  <c r="G1975" i="13"/>
  <c r="G1976" i="13"/>
  <c r="F1977" i="13"/>
  <c r="G1977" i="13" s="1"/>
  <c r="G1978" i="13"/>
  <c r="G1979" i="13"/>
  <c r="G1980" i="13"/>
  <c r="G1981" i="13"/>
  <c r="G1982" i="13"/>
  <c r="G1983" i="13"/>
  <c r="G1984" i="13"/>
  <c r="G1985" i="13"/>
  <c r="G1986" i="13"/>
  <c r="G1987" i="13"/>
  <c r="G1988" i="13"/>
  <c r="G1989" i="13"/>
  <c r="G1990" i="13"/>
  <c r="G1991" i="13"/>
  <c r="G1992" i="13"/>
  <c r="G1993" i="13"/>
  <c r="G1994" i="13"/>
  <c r="G1995" i="13"/>
  <c r="G1996" i="13"/>
  <c r="G1997" i="13"/>
  <c r="G1998" i="13"/>
  <c r="G1999" i="13"/>
  <c r="G2000" i="13"/>
  <c r="G2001" i="13"/>
  <c r="G2002" i="13"/>
  <c r="G2003" i="13"/>
  <c r="G2004" i="13"/>
  <c r="G2005" i="13"/>
  <c r="G2006" i="13"/>
  <c r="G2007" i="13"/>
  <c r="G2008" i="13"/>
  <c r="G2009" i="13"/>
  <c r="G2010" i="13"/>
  <c r="G2011" i="13"/>
  <c r="G2012" i="13"/>
  <c r="G2013" i="13"/>
  <c r="G2014" i="13"/>
  <c r="G2015" i="13"/>
  <c r="G2016" i="13"/>
  <c r="G2017" i="13"/>
  <c r="G2018" i="13"/>
  <c r="G2019" i="13"/>
  <c r="G2020" i="13"/>
  <c r="G2021" i="13"/>
  <c r="G2023" i="13"/>
  <c r="G2024" i="13"/>
  <c r="G2025" i="13"/>
  <c r="G2026" i="13"/>
  <c r="G2027" i="13"/>
  <c r="G2028" i="13"/>
  <c r="G2030" i="13"/>
  <c r="G2031" i="13"/>
  <c r="G2032" i="13"/>
  <c r="G2033" i="13"/>
  <c r="G2034" i="13"/>
  <c r="G2036" i="13"/>
  <c r="G2037" i="13"/>
  <c r="G2038" i="13"/>
  <c r="G2039" i="13"/>
  <c r="G2040" i="13"/>
  <c r="G2041" i="13"/>
  <c r="G2042" i="13"/>
  <c r="G2043" i="13"/>
  <c r="G2044" i="13"/>
  <c r="G2045" i="13"/>
  <c r="G2046" i="13"/>
  <c r="G2047" i="13"/>
  <c r="G2048" i="13"/>
  <c r="G2049" i="13"/>
  <c r="G2050" i="13"/>
  <c r="G2051" i="13"/>
  <c r="G2052" i="13"/>
  <c r="G2053" i="13"/>
  <c r="G2054" i="13"/>
  <c r="G2055" i="13"/>
  <c r="G2056" i="13"/>
  <c r="G2058" i="13"/>
  <c r="G2059" i="13"/>
  <c r="G2060" i="13"/>
  <c r="G2061" i="13"/>
  <c r="G2062" i="13"/>
  <c r="G2063" i="13"/>
  <c r="G2064" i="13"/>
  <c r="G2066" i="13"/>
  <c r="G2067" i="13"/>
  <c r="G2068" i="13"/>
  <c r="G2069" i="13"/>
  <c r="G2070" i="13"/>
  <c r="G2071" i="13"/>
  <c r="G2072" i="13"/>
  <c r="G2074" i="13"/>
  <c r="G2075" i="13"/>
  <c r="G2076" i="13"/>
  <c r="G2077" i="13"/>
  <c r="G2078" i="13"/>
  <c r="G2079" i="13"/>
  <c r="G2080" i="13"/>
  <c r="G2081" i="13"/>
  <c r="G2082" i="13"/>
  <c r="G2083" i="13"/>
  <c r="G2084" i="13"/>
  <c r="G2085" i="13"/>
  <c r="G2086" i="13"/>
  <c r="G2087" i="13"/>
  <c r="G2088" i="13"/>
  <c r="G2089" i="13"/>
  <c r="G2090" i="13"/>
  <c r="G2091" i="13"/>
  <c r="G2092" i="13"/>
  <c r="G2093" i="13"/>
  <c r="G2095" i="13"/>
  <c r="G2096" i="13"/>
  <c r="G2097" i="13"/>
  <c r="G2098" i="13"/>
  <c r="G2099" i="13"/>
  <c r="G2100" i="13"/>
  <c r="G2101" i="13"/>
  <c r="G2102" i="13"/>
  <c r="G2103" i="13"/>
  <c r="G2104" i="13"/>
  <c r="G2105" i="13"/>
  <c r="G2106" i="13"/>
  <c r="G2107" i="13"/>
  <c r="G2108" i="13"/>
  <c r="G2109" i="13"/>
  <c r="G2110" i="13"/>
  <c r="G2111" i="13"/>
  <c r="G2112" i="13"/>
  <c r="G2113" i="13"/>
  <c r="G2114" i="13"/>
  <c r="G2115" i="13"/>
  <c r="G2116" i="13"/>
  <c r="G2117" i="13"/>
  <c r="G2118" i="13"/>
  <c r="G2119" i="13"/>
  <c r="G2120" i="13"/>
  <c r="G2121" i="13"/>
  <c r="G2122" i="13"/>
  <c r="G2123" i="13"/>
  <c r="G2124" i="13"/>
  <c r="G2125" i="13"/>
  <c r="G2126" i="13"/>
  <c r="G2127" i="13"/>
  <c r="G2128" i="13"/>
  <c r="G2129" i="13"/>
  <c r="G2130" i="13"/>
  <c r="G2131" i="13"/>
  <c r="G2132" i="13"/>
  <c r="G2133" i="13"/>
  <c r="G2134" i="13"/>
  <c r="G2135" i="13"/>
  <c r="G2136" i="13"/>
  <c r="G2138" i="13"/>
  <c r="G2139" i="13"/>
  <c r="G2140" i="13"/>
  <c r="G2141" i="13"/>
  <c r="G2142" i="13"/>
  <c r="G2143" i="13"/>
  <c r="G2144" i="13"/>
  <c r="G2145" i="13"/>
  <c r="G2146" i="13"/>
  <c r="G2147" i="13"/>
  <c r="G2148" i="13"/>
  <c r="G2149" i="13"/>
  <c r="G2150" i="13"/>
  <c r="G2151" i="13"/>
  <c r="G2152" i="13"/>
  <c r="G2153" i="13"/>
  <c r="G2154" i="13"/>
  <c r="G2155" i="13"/>
  <c r="G2156" i="13"/>
  <c r="G2157" i="13"/>
  <c r="G2159" i="13"/>
  <c r="G2160" i="13"/>
  <c r="G2161" i="13"/>
  <c r="G2162" i="13"/>
  <c r="G2163" i="13"/>
  <c r="G2164" i="13"/>
  <c r="G2165" i="13"/>
  <c r="G2168" i="13"/>
  <c r="G2169" i="13"/>
  <c r="G2170" i="13"/>
  <c r="G2171" i="13"/>
  <c r="G2172" i="13"/>
  <c r="G2173" i="13"/>
  <c r="G2174" i="13"/>
  <c r="G2175" i="13"/>
  <c r="G2176" i="13"/>
  <c r="G2177" i="13"/>
  <c r="G2178" i="13"/>
  <c r="G2179" i="13"/>
  <c r="G2180" i="13"/>
  <c r="G2181" i="13"/>
  <c r="G2182" i="13"/>
  <c r="G2183" i="13"/>
  <c r="G2184" i="13"/>
  <c r="G2185" i="13"/>
  <c r="G2186" i="13"/>
  <c r="G2187" i="13"/>
  <c r="G2188" i="13"/>
  <c r="G2189" i="13"/>
  <c r="G2191" i="13"/>
  <c r="G2192" i="13"/>
  <c r="G2193" i="13"/>
  <c r="G2194" i="13"/>
  <c r="G2195" i="13"/>
  <c r="G2196" i="13"/>
  <c r="G2197" i="13"/>
  <c r="G2198" i="13"/>
  <c r="G2199" i="13"/>
  <c r="G2200" i="13"/>
  <c r="G2201" i="13"/>
  <c r="G2202" i="13"/>
  <c r="G2203" i="13"/>
  <c r="G2204" i="13"/>
  <c r="G2205" i="13"/>
  <c r="G2206" i="13"/>
  <c r="G2207" i="13"/>
  <c r="G2208" i="13"/>
  <c r="G2209" i="13"/>
  <c r="G2210" i="13"/>
  <c r="G2211" i="13"/>
  <c r="G2212" i="13"/>
  <c r="G2213" i="13"/>
  <c r="G2214" i="13"/>
  <c r="G2215" i="13"/>
  <c r="G2216" i="13"/>
  <c r="G2217" i="13"/>
  <c r="G2219" i="13"/>
  <c r="G2220" i="13"/>
  <c r="G2221" i="13"/>
  <c r="G2222" i="13"/>
  <c r="G2223" i="13"/>
  <c r="G2224" i="13"/>
  <c r="G2225" i="13"/>
  <c r="G2226" i="13"/>
  <c r="G2227" i="13"/>
  <c r="G2228" i="13"/>
  <c r="G2229" i="13"/>
  <c r="G2230" i="13"/>
  <c r="G2231" i="13"/>
  <c r="G2232" i="13"/>
  <c r="G2233" i="13"/>
  <c r="G2234" i="13"/>
  <c r="G2235" i="13"/>
  <c r="G2236" i="13"/>
  <c r="G2237" i="13"/>
  <c r="G2238" i="13"/>
  <c r="G2239" i="13"/>
  <c r="G2240" i="13"/>
  <c r="G2241" i="13"/>
  <c r="G2242" i="13"/>
  <c r="G2243" i="13"/>
  <c r="G2244" i="13"/>
  <c r="G2245" i="13"/>
  <c r="G2246" i="13"/>
  <c r="G2248" i="13"/>
  <c r="G2249" i="13"/>
  <c r="G2250" i="13"/>
  <c r="G2252" i="13"/>
  <c r="G2253" i="13"/>
  <c r="G2254" i="13"/>
  <c r="G2255" i="13"/>
  <c r="G2256" i="13"/>
  <c r="G2257" i="13"/>
  <c r="G2258" i="13"/>
  <c r="G2259" i="13"/>
  <c r="G2260" i="13"/>
  <c r="G2261" i="13"/>
  <c r="G2262" i="13"/>
  <c r="G2263" i="13"/>
  <c r="G2264" i="13"/>
  <c r="G2268" i="13"/>
  <c r="G2269" i="13"/>
  <c r="G2270" i="13"/>
  <c r="G2271" i="13"/>
  <c r="G2273" i="13"/>
  <c r="G2274" i="13"/>
  <c r="G2275" i="13"/>
  <c r="G2276" i="13"/>
  <c r="G2277" i="13"/>
  <c r="G2278" i="13"/>
  <c r="G2279" i="13"/>
  <c r="G2280" i="13"/>
  <c r="G2281" i="13"/>
  <c r="G2282" i="13"/>
  <c r="G2283" i="13"/>
  <c r="G2284" i="13"/>
  <c r="G2285" i="13"/>
  <c r="G2286" i="13"/>
  <c r="G2287" i="13"/>
  <c r="G2288" i="13"/>
  <c r="E2291" i="13"/>
  <c r="F2291" i="13"/>
  <c r="G2291" i="13"/>
  <c r="E2292" i="13"/>
  <c r="F2292" i="13"/>
  <c r="G2292" i="13" s="1"/>
  <c r="E2293" i="13"/>
  <c r="F2293" i="13"/>
  <c r="G2293" i="13"/>
  <c r="E2294" i="13"/>
  <c r="F2294" i="13"/>
  <c r="G2294" i="13" s="1"/>
  <c r="E2295" i="13"/>
  <c r="F2295" i="13"/>
  <c r="G2295" i="13"/>
  <c r="E2296" i="13"/>
  <c r="F2296" i="13"/>
  <c r="G2296" i="13" s="1"/>
  <c r="E2297" i="13"/>
  <c r="F2297" i="13"/>
  <c r="G2297" i="13"/>
  <c r="G2298" i="13"/>
  <c r="G2299" i="13"/>
  <c r="G2300" i="13"/>
  <c r="G2301" i="13"/>
  <c r="G2302" i="13"/>
  <c r="G2303" i="13"/>
  <c r="G2304" i="13"/>
  <c r="G2305" i="13"/>
  <c r="G2306" i="13"/>
  <c r="G2307" i="13"/>
  <c r="G2308" i="13"/>
  <c r="G2309" i="13"/>
  <c r="G2310" i="13"/>
  <c r="G2311" i="13"/>
  <c r="G2312" i="13"/>
  <c r="G2313" i="13"/>
  <c r="G2314" i="13"/>
  <c r="G2315" i="13"/>
  <c r="G2316" i="13"/>
  <c r="G2317" i="13"/>
  <c r="G2318" i="13"/>
  <c r="G2319" i="13"/>
  <c r="G2320" i="13"/>
  <c r="G2321" i="13"/>
  <c r="G2322" i="13"/>
  <c r="G2323" i="13"/>
  <c r="G2324" i="13"/>
  <c r="G2325" i="13"/>
  <c r="G2326" i="13"/>
  <c r="G2327" i="13"/>
  <c r="G2328" i="13"/>
  <c r="G2329" i="13"/>
  <c r="G2330" i="13"/>
  <c r="G2331" i="13"/>
  <c r="G2332" i="13"/>
  <c r="G2333" i="13"/>
  <c r="G2335" i="13"/>
  <c r="G2336" i="13"/>
  <c r="G2337" i="13"/>
  <c r="G2338" i="13"/>
  <c r="G2339" i="13"/>
  <c r="G2340" i="13"/>
  <c r="G2341" i="13"/>
  <c r="G2342" i="13"/>
  <c r="G2345" i="13"/>
  <c r="G2346" i="13"/>
  <c r="G2347" i="13"/>
  <c r="G2348" i="13"/>
  <c r="G2349" i="13"/>
  <c r="G2350" i="13"/>
  <c r="E2354" i="13"/>
  <c r="F2354" i="13"/>
  <c r="G2354" i="13" s="1"/>
  <c r="E2355" i="13"/>
  <c r="F2355" i="13"/>
  <c r="G2355" i="13"/>
  <c r="E2356" i="13"/>
  <c r="F2356" i="13"/>
  <c r="G2356" i="13" s="1"/>
  <c r="E2357" i="13"/>
  <c r="F2357" i="13"/>
  <c r="G2357" i="13"/>
  <c r="E2358" i="13"/>
  <c r="F2358" i="13"/>
  <c r="G2358" i="13" s="1"/>
  <c r="E2359" i="13"/>
  <c r="F2359" i="13"/>
  <c r="G2359" i="13"/>
  <c r="E2360" i="13"/>
  <c r="G2360" i="13"/>
  <c r="E2361" i="13"/>
  <c r="F2361" i="13"/>
  <c r="G2361" i="13" s="1"/>
  <c r="E2362" i="13"/>
  <c r="F2362" i="13"/>
  <c r="G2362" i="13"/>
  <c r="E2363" i="13"/>
  <c r="F2363" i="13"/>
  <c r="G2363" i="13" s="1"/>
  <c r="G2364" i="13"/>
  <c r="G2365" i="13"/>
  <c r="G2366" i="13"/>
  <c r="G2367" i="13"/>
  <c r="G2368" i="13"/>
  <c r="G2369" i="13"/>
  <c r="G2370" i="13"/>
  <c r="G2371" i="13"/>
  <c r="G2372" i="13"/>
  <c r="G2373" i="13"/>
  <c r="G2374" i="13"/>
  <c r="G2375" i="13"/>
  <c r="G2376" i="13"/>
  <c r="G2377" i="13"/>
  <c r="G2378" i="13"/>
  <c r="G2379" i="13"/>
  <c r="G2380" i="13"/>
  <c r="G2381" i="13"/>
  <c r="G2382" i="13"/>
  <c r="G2383" i="13"/>
  <c r="G2384" i="13"/>
  <c r="G2385" i="13"/>
  <c r="G2386" i="13"/>
  <c r="G2387" i="13"/>
  <c r="G2388" i="13"/>
  <c r="G2389" i="13"/>
  <c r="G2392" i="13"/>
  <c r="G2393" i="13"/>
  <c r="G2394" i="13"/>
  <c r="G2395" i="13"/>
  <c r="G2396" i="13"/>
  <c r="G2397" i="13"/>
  <c r="G2398" i="13"/>
  <c r="G2399" i="13"/>
  <c r="G2400" i="13"/>
  <c r="G2401" i="13"/>
  <c r="G2402" i="13"/>
  <c r="G2403" i="13"/>
  <c r="G2406" i="13"/>
  <c r="G2407" i="13"/>
  <c r="G2408" i="13"/>
  <c r="G2409" i="13"/>
  <c r="G2410" i="13"/>
  <c r="G2412" i="13"/>
  <c r="G2413" i="13"/>
  <c r="G2414" i="13"/>
  <c r="G2416" i="13"/>
  <c r="G2417" i="13"/>
  <c r="G2418" i="13"/>
  <c r="G2419" i="13"/>
  <c r="G2420" i="13"/>
  <c r="G2421" i="13"/>
  <c r="G2422" i="13"/>
  <c r="G2423" i="13"/>
  <c r="G2424" i="13"/>
  <c r="G2425" i="13"/>
  <c r="G2426" i="13"/>
  <c r="G2427" i="13"/>
  <c r="G2428" i="13"/>
  <c r="G2429" i="13"/>
  <c r="G2430" i="13"/>
  <c r="G2431" i="13"/>
  <c r="G2432" i="13"/>
  <c r="G2433" i="13"/>
  <c r="G2434" i="13"/>
  <c r="G2435" i="13"/>
  <c r="G2436" i="13"/>
  <c r="G2437" i="13"/>
  <c r="G2438" i="13"/>
  <c r="G2439" i="13"/>
  <c r="G2440" i="13"/>
  <c r="G2441" i="13"/>
  <c r="G2442" i="13"/>
  <c r="G2443" i="13"/>
  <c r="G2444" i="13"/>
  <c r="G2445" i="13"/>
  <c r="G2446" i="13"/>
  <c r="G2447" i="13"/>
  <c r="G2448" i="13"/>
  <c r="G2449" i="13"/>
  <c r="G2450" i="13"/>
  <c r="G2451" i="13"/>
  <c r="G2452" i="13"/>
  <c r="G2453" i="13"/>
  <c r="G2454" i="13"/>
  <c r="G2457" i="13"/>
  <c r="G2459" i="13"/>
  <c r="G2461" i="13"/>
  <c r="G2462" i="13"/>
  <c r="G2463" i="13"/>
  <c r="G2464" i="13"/>
  <c r="G2465" i="13"/>
  <c r="G2466" i="13"/>
  <c r="G2467" i="13"/>
  <c r="G2468" i="13"/>
  <c r="G2469" i="13"/>
  <c r="G2470" i="13"/>
  <c r="G2471" i="13"/>
  <c r="G2472" i="13"/>
  <c r="G2473" i="13"/>
  <c r="G2474" i="13"/>
  <c r="G2475" i="13"/>
  <c r="E2477" i="13"/>
  <c r="F2477" i="13"/>
  <c r="G2477" i="13"/>
  <c r="E2478" i="13"/>
  <c r="F2478" i="13"/>
  <c r="G2478" i="13" s="1"/>
  <c r="E2479" i="13"/>
  <c r="F2479" i="13"/>
  <c r="G2479" i="13"/>
  <c r="E2480" i="13"/>
  <c r="F2480" i="13"/>
  <c r="G2480" i="13" s="1"/>
  <c r="E2481" i="13"/>
  <c r="F2481" i="13"/>
  <c r="G2481" i="13"/>
  <c r="E2482" i="13"/>
  <c r="F2482" i="13"/>
  <c r="G2482" i="13" s="1"/>
  <c r="G2484" i="13"/>
  <c r="G2485" i="13"/>
  <c r="G2486" i="13"/>
  <c r="G2487" i="13"/>
  <c r="G2488" i="13"/>
  <c r="G2489" i="13"/>
  <c r="G2490" i="13"/>
  <c r="G2491" i="13"/>
  <c r="G2492" i="13"/>
  <c r="G2493" i="13"/>
  <c r="G2494" i="13"/>
  <c r="G2495" i="13"/>
  <c r="G2496" i="13"/>
  <c r="G2497" i="13"/>
  <c r="G2498" i="13"/>
  <c r="G2499" i="13"/>
  <c r="G2500" i="13"/>
  <c r="G2501" i="13"/>
  <c r="G2503" i="13"/>
  <c r="G2504" i="13"/>
  <c r="G2505" i="13"/>
  <c r="G2506" i="13"/>
  <c r="G2507" i="13"/>
  <c r="G2508" i="13"/>
  <c r="G2510" i="13"/>
  <c r="G2511" i="13"/>
  <c r="G2512" i="13"/>
  <c r="G2513" i="13"/>
  <c r="G2514" i="13"/>
  <c r="G2515" i="13"/>
  <c r="G2517" i="13"/>
  <c r="G2518" i="13"/>
  <c r="G2521" i="13"/>
  <c r="G2522" i="13"/>
  <c r="G2523" i="13"/>
  <c r="G2524" i="13"/>
  <c r="G2525" i="13"/>
  <c r="G2527" i="13"/>
  <c r="G2528" i="13"/>
  <c r="G2529" i="13"/>
  <c r="G2530" i="13"/>
  <c r="E2532" i="13"/>
  <c r="F2532" i="13"/>
  <c r="G2532" i="13" s="1"/>
  <c r="E2533" i="13"/>
  <c r="F2533" i="13"/>
  <c r="G2533" i="13"/>
  <c r="G2535" i="13"/>
  <c r="G2536" i="13"/>
  <c r="G2537" i="13"/>
  <c r="G2538" i="13"/>
  <c r="G2539" i="13"/>
  <c r="G2540" i="13"/>
  <c r="G2541" i="13"/>
  <c r="G2542" i="13"/>
  <c r="G2543" i="13"/>
  <c r="G2544" i="13"/>
  <c r="G2545" i="13"/>
  <c r="G2546" i="13"/>
  <c r="G2547" i="13"/>
  <c r="G2548" i="13"/>
  <c r="G2549" i="13"/>
  <c r="G2550" i="13"/>
  <c r="G2551" i="13"/>
  <c r="G2552" i="13"/>
  <c r="G2553" i="13"/>
  <c r="G2554" i="13"/>
  <c r="G2555" i="13"/>
  <c r="G2556" i="13"/>
  <c r="G2557" i="13"/>
  <c r="G2558" i="13"/>
  <c r="G2559" i="13"/>
  <c r="G2560" i="13"/>
  <c r="G2561" i="13"/>
  <c r="G2562" i="13"/>
  <c r="G2563" i="13"/>
  <c r="G2564" i="13"/>
  <c r="G2565" i="13"/>
  <c r="G2566" i="13"/>
  <c r="G2567" i="13"/>
  <c r="G2568" i="13"/>
  <c r="G2569" i="13"/>
  <c r="G2571" i="13"/>
  <c r="G2572" i="13"/>
  <c r="G2573" i="13"/>
  <c r="G2575" i="13"/>
  <c r="G2576" i="13"/>
  <c r="G2577" i="13"/>
  <c r="G2578" i="13"/>
  <c r="G2579" i="13"/>
  <c r="G2580" i="13"/>
  <c r="G2581" i="13"/>
  <c r="G2582" i="13"/>
  <c r="G2583" i="13"/>
  <c r="G2584" i="13"/>
  <c r="G2585" i="13"/>
  <c r="G2586" i="13"/>
  <c r="G2587" i="13"/>
  <c r="G2588" i="13"/>
  <c r="G2589" i="13"/>
  <c r="G2590" i="13"/>
  <c r="G2591" i="13"/>
  <c r="G2592" i="13"/>
  <c r="G2593" i="13"/>
  <c r="G2594" i="13"/>
  <c r="G2595" i="13"/>
  <c r="G2596" i="13"/>
  <c r="G2597" i="13"/>
  <c r="G2598" i="13"/>
  <c r="G2599" i="13"/>
  <c r="G2600" i="13"/>
  <c r="G2601" i="13"/>
  <c r="G2602" i="13"/>
  <c r="G2603" i="13"/>
  <c r="G2604" i="13"/>
  <c r="G2605" i="13"/>
  <c r="G2606" i="13"/>
  <c r="G2607" i="13"/>
  <c r="G2608" i="13"/>
  <c r="G2609" i="13"/>
  <c r="G2610" i="13"/>
  <c r="G2611" i="13"/>
  <c r="G2612" i="13"/>
  <c r="G2614" i="13"/>
  <c r="G2615" i="13"/>
  <c r="G2616" i="13"/>
  <c r="G2617" i="13"/>
  <c r="G2618" i="13"/>
  <c r="G2619" i="13"/>
  <c r="G2620" i="13"/>
  <c r="G2621" i="13"/>
  <c r="G2622" i="13"/>
  <c r="G2623" i="13"/>
  <c r="G2625" i="13"/>
  <c r="G2628" i="13"/>
  <c r="G2629" i="13"/>
  <c r="G2630" i="13"/>
  <c r="G2631" i="13"/>
  <c r="G2632" i="13"/>
  <c r="G2633" i="13"/>
  <c r="G2634" i="13"/>
  <c r="G2635" i="13"/>
  <c r="G2636" i="13"/>
  <c r="G2637" i="13"/>
  <c r="G2638" i="13"/>
  <c r="G2639" i="13"/>
  <c r="G2640" i="13"/>
  <c r="G2641" i="13"/>
  <c r="G2642" i="13"/>
  <c r="G2643" i="13"/>
  <c r="G2644" i="13"/>
  <c r="G2645" i="13"/>
  <c r="G2646" i="13"/>
  <c r="G2647" i="13"/>
  <c r="G2648" i="13"/>
  <c r="G2649" i="13"/>
  <c r="G2650" i="13"/>
  <c r="G2651" i="13"/>
  <c r="G2652" i="13"/>
  <c r="G2653" i="13"/>
  <c r="E2655" i="13"/>
  <c r="F2655" i="13"/>
  <c r="G2655" i="13"/>
  <c r="E2656" i="13"/>
  <c r="F2656" i="13"/>
  <c r="G2656" i="13" s="1"/>
  <c r="G2658" i="13"/>
  <c r="G2661" i="13"/>
  <c r="G2664" i="13"/>
  <c r="G2665" i="13"/>
  <c r="G2666" i="13"/>
  <c r="G2667" i="13"/>
  <c r="G2668" i="13"/>
  <c r="G2669" i="13"/>
  <c r="G2670" i="13"/>
  <c r="G2672" i="13"/>
  <c r="G2673" i="13"/>
  <c r="G2674" i="13"/>
  <c r="G2676" i="13"/>
  <c r="E2678" i="13"/>
  <c r="F2678" i="13"/>
  <c r="G2678" i="13" s="1"/>
  <c r="E2679" i="13"/>
  <c r="F2679" i="13"/>
  <c r="G2679" i="13"/>
  <c r="E2680" i="13"/>
  <c r="F2680" i="13"/>
  <c r="G2680" i="13" s="1"/>
  <c r="E2681" i="13"/>
  <c r="F2681" i="13"/>
  <c r="G2681" i="13"/>
  <c r="E2682" i="13"/>
  <c r="F2682" i="13"/>
  <c r="G2682" i="13" s="1"/>
  <c r="E2683" i="13"/>
  <c r="F2683" i="13"/>
  <c r="G2683" i="13"/>
  <c r="E2684" i="13"/>
  <c r="F2684" i="13"/>
  <c r="G2684" i="13" s="1"/>
  <c r="G2685" i="13"/>
  <c r="G2687" i="13"/>
  <c r="G2688" i="13"/>
  <c r="G2689" i="13"/>
  <c r="G2690" i="13"/>
  <c r="G2691" i="13"/>
  <c r="G2692" i="13"/>
  <c r="G2693" i="13"/>
  <c r="G2694" i="13"/>
  <c r="G2695" i="13"/>
  <c r="G2696" i="13"/>
  <c r="G2697" i="13"/>
  <c r="G2699" i="13"/>
  <c r="G2700" i="13"/>
  <c r="G2701" i="13"/>
  <c r="G2702" i="13"/>
  <c r="G2704" i="13"/>
  <c r="G2705" i="13"/>
  <c r="G2706" i="13"/>
  <c r="G2707" i="13"/>
  <c r="G2708" i="13"/>
  <c r="G2709" i="13"/>
  <c r="G2710" i="13"/>
  <c r="G2712" i="13"/>
  <c r="G2713" i="13"/>
  <c r="G2714" i="13"/>
  <c r="G2715" i="13"/>
  <c r="G2716" i="13"/>
  <c r="G2717" i="13"/>
  <c r="G2718" i="13"/>
  <c r="G2719" i="13"/>
  <c r="G2720" i="13"/>
  <c r="G2721" i="13"/>
  <c r="G2722" i="13"/>
  <c r="G2723" i="13"/>
  <c r="G2724" i="13"/>
  <c r="G2725" i="13"/>
  <c r="G2726" i="13"/>
  <c r="G2727" i="13"/>
  <c r="G2730" i="13"/>
  <c r="G2732" i="13"/>
  <c r="G2733" i="13"/>
  <c r="G2734" i="13"/>
  <c r="G2735" i="13"/>
  <c r="G2736" i="13"/>
  <c r="G2737" i="13"/>
  <c r="G2738" i="13"/>
  <c r="G2739" i="13"/>
  <c r="G2740" i="13"/>
  <c r="G2742" i="13"/>
  <c r="G2743" i="13"/>
  <c r="G2744" i="13"/>
  <c r="G2745" i="13"/>
  <c r="G2746" i="13"/>
  <c r="G2747" i="13"/>
  <c r="G2748" i="13"/>
  <c r="G2749" i="13"/>
  <c r="G2751" i="13"/>
  <c r="G2752" i="13"/>
  <c r="G2753" i="13"/>
  <c r="G2754" i="13"/>
  <c r="G2755" i="13"/>
  <c r="G2756" i="13"/>
  <c r="G2757" i="13"/>
  <c r="G2758" i="13"/>
  <c r="G2759" i="13"/>
  <c r="G2760" i="13"/>
  <c r="G2761" i="13"/>
  <c r="G2762" i="13"/>
  <c r="G2763" i="13"/>
  <c r="G2764" i="13"/>
  <c r="G2765" i="13"/>
  <c r="G2766" i="13"/>
  <c r="G2767" i="13"/>
  <c r="G2768" i="13"/>
  <c r="G2769" i="13"/>
  <c r="G2770" i="13"/>
  <c r="G2772" i="13"/>
  <c r="G2773" i="13"/>
  <c r="G2774" i="13"/>
  <c r="G2775" i="13"/>
  <c r="G2776" i="13"/>
  <c r="G2777" i="13"/>
  <c r="G2778" i="13"/>
  <c r="G2779" i="13"/>
  <c r="G2780" i="13"/>
  <c r="G2781" i="13"/>
  <c r="G2782" i="13"/>
  <c r="G2783" i="13"/>
  <c r="G2784" i="13"/>
  <c r="G2785" i="13"/>
  <c r="G2786" i="13"/>
  <c r="G2787" i="13"/>
  <c r="G2788" i="13"/>
  <c r="G2789" i="13"/>
  <c r="G2790" i="13"/>
  <c r="G2791" i="13"/>
  <c r="G2792" i="13"/>
  <c r="G2793" i="13"/>
  <c r="G2794" i="13"/>
  <c r="G2795" i="13"/>
  <c r="G2796" i="13"/>
  <c r="G2797" i="13"/>
  <c r="G2798" i="13"/>
  <c r="G2799" i="13"/>
  <c r="G2800" i="13"/>
  <c r="G2801" i="13"/>
  <c r="G2802" i="13"/>
  <c r="G2803" i="13"/>
  <c r="G2804" i="13"/>
  <c r="G2805" i="13"/>
  <c r="G2806" i="13"/>
  <c r="G2807" i="13"/>
  <c r="G2808" i="13"/>
  <c r="G2809" i="13"/>
  <c r="G2810" i="13"/>
  <c r="G2811" i="13"/>
  <c r="G2813" i="13"/>
  <c r="G2814" i="13"/>
  <c r="G2815" i="13"/>
  <c r="G2816" i="13"/>
  <c r="G2817" i="13"/>
  <c r="G2819" i="13"/>
  <c r="G2820" i="13"/>
  <c r="G2821" i="13"/>
  <c r="G2822" i="13"/>
  <c r="G2823" i="13"/>
  <c r="G2824" i="13"/>
  <c r="G2825" i="13"/>
  <c r="G2826" i="13"/>
  <c r="G2827" i="13"/>
  <c r="G2828" i="13"/>
  <c r="G2829" i="13"/>
  <c r="G2830" i="13"/>
  <c r="G2831" i="13"/>
  <c r="G2832" i="13"/>
  <c r="G2834" i="13"/>
  <c r="G2835" i="13"/>
  <c r="G2836" i="13"/>
  <c r="G2837" i="13"/>
  <c r="G2838" i="13"/>
  <c r="G2839" i="13"/>
  <c r="G2840" i="13"/>
  <c r="G2841" i="13"/>
  <c r="G2842" i="13"/>
  <c r="G2843" i="13"/>
  <c r="G2844" i="13"/>
  <c r="G2845" i="13"/>
  <c r="G2846" i="13"/>
  <c r="G2847" i="13"/>
  <c r="G2848" i="13"/>
  <c r="G2849" i="13"/>
  <c r="G2850" i="13"/>
  <c r="G2851" i="13"/>
  <c r="G2852" i="13"/>
  <c r="G2853" i="13"/>
  <c r="G2854" i="13"/>
  <c r="G2855" i="13"/>
  <c r="G2856" i="13"/>
  <c r="G2857" i="13"/>
  <c r="G2858" i="13"/>
  <c r="G2859" i="13"/>
  <c r="G2860" i="13"/>
  <c r="G2861" i="13"/>
  <c r="G2862" i="13"/>
  <c r="G2863" i="13"/>
  <c r="G2864" i="13"/>
  <c r="G2865" i="13"/>
  <c r="G2866" i="13"/>
  <c r="G2867" i="13"/>
  <c r="G2868" i="13"/>
  <c r="G2869" i="13"/>
  <c r="G2870" i="13"/>
  <c r="G2871" i="13"/>
  <c r="G2872" i="13"/>
  <c r="G2873" i="13"/>
  <c r="G2874" i="13"/>
  <c r="G2875" i="13"/>
  <c r="G2876" i="13"/>
  <c r="G2877" i="13"/>
  <c r="G2878" i="13"/>
  <c r="G2879" i="13"/>
  <c r="G2881" i="13"/>
  <c r="G2882" i="13"/>
  <c r="G2883" i="13"/>
  <c r="G2886" i="13"/>
  <c r="G2887" i="13"/>
  <c r="G2888" i="13"/>
  <c r="G2889" i="13"/>
  <c r="G2890" i="13"/>
  <c r="G2891" i="13"/>
  <c r="G2892" i="13"/>
  <c r="G2893" i="13"/>
  <c r="G2894" i="13"/>
  <c r="G2895" i="13"/>
  <c r="G2896" i="13"/>
  <c r="G2897" i="13"/>
  <c r="G2898" i="13"/>
  <c r="G2899" i="13"/>
  <c r="G2900" i="13"/>
  <c r="G2901" i="13"/>
  <c r="G2902" i="13"/>
  <c r="G2903" i="13"/>
  <c r="G2904" i="13"/>
  <c r="G2905" i="13"/>
  <c r="G2906" i="13"/>
  <c r="G2907" i="13"/>
  <c r="G2908" i="13"/>
  <c r="G2909" i="13"/>
  <c r="G2910" i="13"/>
  <c r="G2911" i="13"/>
  <c r="G2912" i="13"/>
  <c r="G2913" i="13"/>
  <c r="G2914" i="13"/>
  <c r="G2915" i="13"/>
  <c r="F2918" i="13"/>
  <c r="G2918" i="13"/>
  <c r="F2919" i="13"/>
  <c r="G2919" i="13"/>
  <c r="F2920" i="13"/>
  <c r="G2920" i="13"/>
  <c r="F2921" i="13"/>
  <c r="G2921" i="13"/>
  <c r="G2923" i="13"/>
  <c r="G2924" i="13"/>
  <c r="G2925" i="13"/>
  <c r="G2927" i="13"/>
  <c r="G2928" i="13"/>
  <c r="G2929" i="13"/>
  <c r="G2930" i="13"/>
  <c r="G2931" i="13"/>
  <c r="G2932" i="13"/>
  <c r="G2933" i="13"/>
  <c r="G2934" i="13"/>
  <c r="G2935" i="13"/>
  <c r="G2936" i="13"/>
  <c r="G2937" i="13"/>
  <c r="G2938" i="13"/>
  <c r="G2939" i="13"/>
  <c r="G2940" i="13"/>
  <c r="G2941" i="13"/>
  <c r="G2942" i="13"/>
  <c r="G2943" i="13"/>
  <c r="G2944" i="13"/>
  <c r="G2945" i="13"/>
  <c r="G2946" i="13"/>
  <c r="G2947" i="13"/>
  <c r="G2948" i="13"/>
  <c r="G2949" i="13"/>
  <c r="G2950" i="13"/>
  <c r="G2951" i="13"/>
  <c r="G2952" i="13"/>
  <c r="G2953" i="13"/>
  <c r="E2955" i="13"/>
  <c r="F2955" i="13"/>
  <c r="G2955" i="13" s="1"/>
  <c r="E2956" i="13"/>
  <c r="F2956" i="13"/>
  <c r="G2956" i="13"/>
  <c r="E2957" i="13"/>
  <c r="F2957" i="13"/>
  <c r="G2957" i="13" s="1"/>
  <c r="E2958" i="13"/>
  <c r="F2958" i="13"/>
  <c r="G2958" i="13"/>
  <c r="E2959" i="13"/>
  <c r="F2959" i="13"/>
  <c r="G2959" i="13" s="1"/>
  <c r="G2961" i="13"/>
  <c r="G2962" i="13"/>
  <c r="E2964" i="13"/>
  <c r="F2964" i="13"/>
  <c r="G2964" i="13"/>
  <c r="E2965" i="13"/>
  <c r="F2965" i="13"/>
  <c r="G2965" i="13" s="1"/>
  <c r="E2966" i="13"/>
  <c r="F2966" i="13"/>
  <c r="G2966" i="13"/>
  <c r="E2967" i="13"/>
  <c r="F2967" i="13"/>
  <c r="G2967" i="13" s="1"/>
  <c r="E2968" i="13"/>
  <c r="F2968" i="13"/>
  <c r="G2968" i="13"/>
  <c r="G2970" i="13"/>
  <c r="G2971" i="13"/>
  <c r="G2972" i="13"/>
  <c r="G2973" i="13"/>
  <c r="G2974" i="13"/>
  <c r="G2975" i="13"/>
  <c r="G2976" i="13"/>
  <c r="G2977" i="13"/>
  <c r="G2978" i="13"/>
  <c r="G2979" i="13"/>
  <c r="G2980" i="13"/>
  <c r="G2981" i="13"/>
  <c r="G2982" i="13"/>
  <c r="G2983" i="13"/>
  <c r="G2984" i="13"/>
  <c r="G2986" i="13"/>
  <c r="G2987" i="13"/>
  <c r="G2988" i="13"/>
  <c r="G2989" i="13"/>
  <c r="G2990" i="13"/>
  <c r="G2991" i="13"/>
  <c r="G2992" i="13"/>
  <c r="G2993" i="13"/>
  <c r="G2994" i="13"/>
  <c r="G2995" i="13"/>
  <c r="G2996" i="13"/>
  <c r="G2998" i="13"/>
  <c r="G2999" i="13"/>
  <c r="G3000" i="13"/>
  <c r="G3001" i="13"/>
  <c r="G3002" i="13"/>
  <c r="G3003" i="13"/>
  <c r="G3004" i="13"/>
  <c r="G3005" i="13"/>
  <c r="G3007" i="13"/>
  <c r="G3008" i="13"/>
  <c r="G3009" i="13"/>
  <c r="G3010" i="13"/>
  <c r="G3011" i="13"/>
  <c r="G3012" i="13"/>
  <c r="G3013" i="13"/>
  <c r="G3014" i="13"/>
  <c r="G3015" i="13"/>
  <c r="G3016" i="13"/>
  <c r="G3018" i="13"/>
  <c r="G3019" i="13"/>
  <c r="G3020" i="13"/>
  <c r="G3021" i="13"/>
  <c r="G3023" i="13"/>
  <c r="G3024" i="13"/>
  <c r="G3025" i="13"/>
  <c r="G3028" i="13"/>
  <c r="G3029" i="13"/>
  <c r="G3030" i="13"/>
  <c r="G3031" i="13"/>
  <c r="G3032" i="13"/>
  <c r="G3033" i="13"/>
  <c r="G3034" i="13"/>
  <c r="G3035" i="13"/>
  <c r="G3036" i="13"/>
  <c r="G3037" i="13"/>
  <c r="G3038" i="13"/>
  <c r="G3039" i="13"/>
  <c r="G3041" i="13"/>
  <c r="G3042" i="13"/>
  <c r="G3043" i="13"/>
  <c r="G3044" i="13"/>
  <c r="G3045" i="13"/>
  <c r="G3046" i="13"/>
  <c r="G3047" i="13"/>
  <c r="G3048" i="13"/>
  <c r="G3049" i="13"/>
  <c r="G3051" i="13"/>
  <c r="G3052" i="13"/>
  <c r="G3053" i="13"/>
  <c r="G3054" i="13"/>
  <c r="G3055" i="13"/>
  <c r="G3056" i="13"/>
  <c r="G3057" i="13"/>
  <c r="G3058" i="13"/>
  <c r="G3059" i="13"/>
  <c r="G3060" i="13"/>
  <c r="G3061" i="13"/>
  <c r="G3062" i="13"/>
  <c r="G3063" i="13"/>
  <c r="G3066" i="13"/>
  <c r="G3067" i="13"/>
  <c r="G3069" i="13"/>
  <c r="G3070" i="13"/>
  <c r="G3071" i="13"/>
  <c r="G3072" i="13"/>
  <c r="G3073" i="13"/>
  <c r="F3075" i="13"/>
  <c r="G3075" i="13"/>
  <c r="F3076" i="13"/>
  <c r="G3076" i="13"/>
  <c r="F3077" i="13"/>
  <c r="G3077" i="13"/>
  <c r="F3078" i="13"/>
  <c r="G3078" i="13"/>
  <c r="F3079" i="13"/>
  <c r="G3079" i="13"/>
  <c r="F3080" i="13"/>
  <c r="G3080" i="13"/>
  <c r="F3081" i="13"/>
  <c r="G3081" i="13"/>
  <c r="G3082" i="13"/>
  <c r="G3083" i="13"/>
  <c r="G3084" i="13"/>
  <c r="G3085" i="13"/>
  <c r="G3086" i="13"/>
  <c r="G3087" i="13"/>
  <c r="G3088" i="13"/>
  <c r="G3089" i="13"/>
  <c r="G3090" i="13"/>
  <c r="G3091" i="13"/>
  <c r="G3093" i="13"/>
  <c r="G3094" i="13"/>
  <c r="G3095" i="13"/>
  <c r="G3096" i="13"/>
  <c r="G3097" i="13"/>
  <c r="G3098" i="13"/>
  <c r="G3099" i="13"/>
  <c r="G3100" i="13"/>
  <c r="G3101" i="13"/>
  <c r="G3102" i="13"/>
  <c r="G3103" i="13"/>
  <c r="G3104" i="13"/>
  <c r="G3105" i="13"/>
  <c r="G3106" i="13"/>
  <c r="G3107" i="13"/>
  <c r="G3108" i="13"/>
  <c r="G3109" i="13"/>
  <c r="G3110" i="13"/>
  <c r="G3111" i="13"/>
  <c r="G3112" i="13"/>
  <c r="G3113" i="13"/>
  <c r="G3115" i="13"/>
  <c r="G3117" i="13"/>
  <c r="G3118" i="13"/>
  <c r="G3119" i="13"/>
  <c r="G3120" i="13"/>
  <c r="G3121" i="13"/>
  <c r="G3122" i="13"/>
  <c r="G3123" i="13"/>
  <c r="G3124" i="13"/>
  <c r="G3125" i="13"/>
  <c r="G3126" i="13"/>
  <c r="G3127" i="13"/>
  <c r="G3128" i="13"/>
  <c r="G3129" i="13"/>
  <c r="G3130" i="13"/>
  <c r="G3132" i="13"/>
  <c r="G3134" i="13"/>
  <c r="G3135" i="13"/>
  <c r="G3136" i="13"/>
  <c r="G3137" i="13"/>
  <c r="G3138" i="13"/>
  <c r="G3139" i="13"/>
  <c r="G3140" i="13"/>
  <c r="G3142" i="13"/>
  <c r="G3143" i="13"/>
  <c r="E3147" i="13"/>
  <c r="F3147" i="13"/>
  <c r="G3147" i="13" s="1"/>
  <c r="E3148" i="13"/>
  <c r="F3148" i="13"/>
  <c r="G3148" i="13"/>
  <c r="E3149" i="13"/>
  <c r="F3149" i="13"/>
  <c r="G3149" i="13" s="1"/>
  <c r="E3150" i="13"/>
  <c r="F3150" i="13"/>
  <c r="G3150" i="13"/>
  <c r="E3151" i="13"/>
  <c r="F3151" i="13"/>
  <c r="G3151" i="13" s="1"/>
  <c r="G3152" i="13"/>
  <c r="G3153" i="13"/>
  <c r="G3155" i="13"/>
  <c r="G3156" i="13"/>
  <c r="G3157" i="13"/>
  <c r="G3159" i="13"/>
  <c r="G3160" i="13"/>
  <c r="G3161" i="13"/>
  <c r="G3162" i="13"/>
  <c r="G3166" i="13"/>
  <c r="G3167" i="13"/>
  <c r="G3168" i="13"/>
  <c r="G3170" i="13"/>
  <c r="G3172" i="13"/>
  <c r="G3173" i="13"/>
  <c r="G3174" i="13"/>
  <c r="G3175" i="13"/>
  <c r="G3176" i="13"/>
  <c r="G3177" i="13"/>
  <c r="G3178" i="13"/>
  <c r="G3179" i="13"/>
  <c r="G3180" i="13"/>
  <c r="G3181" i="13"/>
  <c r="G3182" i="13"/>
  <c r="G3183" i="13"/>
  <c r="G3185" i="13"/>
  <c r="G3186" i="13"/>
  <c r="G3187" i="13"/>
  <c r="G3188" i="13"/>
  <c r="G3189" i="13"/>
  <c r="G3190" i="13"/>
  <c r="G3191" i="13"/>
  <c r="G3192" i="13"/>
  <c r="G3193" i="13"/>
  <c r="G3194" i="13"/>
  <c r="G3195" i="13"/>
  <c r="G3196" i="13"/>
  <c r="G3197" i="13"/>
  <c r="G3198" i="13"/>
  <c r="G3199" i="13"/>
  <c r="G3200" i="13"/>
  <c r="G3201" i="13"/>
  <c r="G3202" i="13"/>
  <c r="G3203" i="13"/>
  <c r="G3205" i="13"/>
  <c r="G3206" i="13"/>
  <c r="E3208" i="13"/>
  <c r="F3208" i="13"/>
  <c r="G3208" i="13" s="1"/>
  <c r="E3209" i="13"/>
  <c r="F3209" i="13"/>
  <c r="G3209" i="13"/>
  <c r="E3210" i="13"/>
  <c r="F3210" i="13"/>
  <c r="G3210" i="13" s="1"/>
  <c r="E3211" i="13"/>
  <c r="F3211" i="13"/>
  <c r="G3211" i="13"/>
  <c r="E3212" i="13"/>
  <c r="F3212" i="13"/>
  <c r="G3212" i="13" s="1"/>
  <c r="G3213" i="13"/>
  <c r="G3214" i="13"/>
  <c r="G3215" i="13"/>
  <c r="G3218" i="13"/>
  <c r="G3219" i="13"/>
  <c r="G3220" i="13"/>
  <c r="G3221" i="13"/>
  <c r="G3222" i="13"/>
  <c r="G3223" i="13"/>
  <c r="G3224" i="13"/>
  <c r="G3225" i="13"/>
  <c r="G3226" i="13"/>
  <c r="G3227" i="13"/>
  <c r="G3228" i="13"/>
  <c r="G3229" i="13"/>
  <c r="G3230" i="13"/>
  <c r="G3233" i="13"/>
  <c r="G3234" i="13"/>
  <c r="G3236" i="13"/>
  <c r="G3237" i="13"/>
  <c r="G3238" i="13"/>
  <c r="G3239" i="13"/>
  <c r="G3240" i="13"/>
  <c r="G3241" i="13"/>
  <c r="G3242" i="13"/>
  <c r="G3243" i="13"/>
  <c r="G3244" i="13"/>
  <c r="G3245" i="13"/>
  <c r="G3246" i="13"/>
  <c r="G3247" i="13"/>
  <c r="G3248" i="13"/>
  <c r="G3249" i="13"/>
  <c r="G3250" i="13"/>
  <c r="G3251" i="13"/>
  <c r="G3252" i="13"/>
  <c r="G3253" i="13"/>
  <c r="G3254" i="13"/>
  <c r="G3255" i="13"/>
  <c r="G3256" i="13"/>
  <c r="G3258" i="13"/>
  <c r="G3261" i="13"/>
  <c r="G3262" i="13"/>
  <c r="G3263" i="13"/>
  <c r="G3264" i="13"/>
  <c r="G3265" i="13"/>
  <c r="G3266" i="13"/>
  <c r="G3267" i="13"/>
  <c r="G3268" i="13"/>
  <c r="G3269" i="13"/>
  <c r="G3270" i="13"/>
  <c r="G3271" i="13"/>
  <c r="G3272" i="13"/>
  <c r="G3273" i="13"/>
  <c r="G3274" i="13"/>
  <c r="G3275" i="13"/>
  <c r="G3276" i="13"/>
  <c r="G3277" i="13"/>
  <c r="G3278" i="13"/>
  <c r="G3279" i="13"/>
  <c r="G3280" i="13"/>
  <c r="G3281" i="13"/>
  <c r="G3282" i="13"/>
  <c r="G3283" i="13"/>
  <c r="G3284" i="13"/>
  <c r="G3285" i="13"/>
  <c r="G3286" i="13"/>
  <c r="G3287" i="13"/>
  <c r="G3289" i="13"/>
  <c r="G3290" i="13"/>
  <c r="G3291" i="13"/>
  <c r="G3292" i="13"/>
  <c r="G3293" i="13"/>
  <c r="G3294" i="13"/>
  <c r="G3295" i="13"/>
  <c r="G3296" i="13"/>
  <c r="G3297" i="13"/>
  <c r="G3298" i="13"/>
  <c r="G3299" i="13"/>
  <c r="G3300" i="13"/>
  <c r="G3301" i="13"/>
  <c r="G3302" i="13"/>
  <c r="G3303" i="13"/>
  <c r="G3304" i="13"/>
  <c r="G3305" i="13"/>
  <c r="G3306" i="13"/>
  <c r="G3307" i="13"/>
  <c r="G3308" i="13"/>
  <c r="G3310" i="13"/>
  <c r="G3311" i="13"/>
  <c r="G3312" i="13"/>
  <c r="G3313" i="13"/>
  <c r="G3314" i="13"/>
  <c r="G3315" i="13"/>
  <c r="G3316" i="13"/>
  <c r="G3317" i="13"/>
  <c r="G3318" i="13"/>
  <c r="G3320" i="13"/>
  <c r="G3321" i="13"/>
  <c r="G3322" i="13"/>
  <c r="G3323" i="13"/>
  <c r="G3324" i="13"/>
  <c r="G3325" i="13"/>
  <c r="G3326" i="13"/>
  <c r="G3327" i="13"/>
  <c r="G3328" i="13"/>
  <c r="G3329" i="13"/>
  <c r="E3331" i="13"/>
  <c r="F3331" i="13"/>
  <c r="G3331" i="13"/>
  <c r="E3332" i="13"/>
  <c r="F3332" i="13"/>
  <c r="G3332" i="13" s="1"/>
  <c r="E3333" i="13"/>
  <c r="F3333" i="13"/>
  <c r="G3333" i="13"/>
  <c r="G3335" i="13"/>
  <c r="G3336" i="13"/>
  <c r="G3337" i="13"/>
  <c r="G3339" i="13"/>
  <c r="G3340" i="13"/>
  <c r="G3342" i="13"/>
  <c r="G3343" i="13"/>
  <c r="G3344" i="13"/>
  <c r="G3345" i="13"/>
  <c r="G3346" i="13"/>
  <c r="G3348" i="13"/>
  <c r="G3349" i="13"/>
  <c r="G3350" i="13"/>
  <c r="G3351" i="13"/>
  <c r="G3352" i="13"/>
  <c r="G3353" i="13"/>
  <c r="G3354" i="13"/>
  <c r="G3355" i="13"/>
  <c r="G3358" i="13"/>
  <c r="G3359" i="13"/>
  <c r="G3360" i="13"/>
  <c r="G3362" i="13"/>
  <c r="G3363" i="13"/>
  <c r="G3365" i="13"/>
  <c r="G3366" i="13"/>
  <c r="E3368" i="13"/>
  <c r="F3368" i="13"/>
  <c r="G3368" i="13"/>
  <c r="E3369" i="13"/>
  <c r="F3369" i="13"/>
  <c r="G3369" i="13" s="1"/>
  <c r="E3370" i="13"/>
  <c r="F3370" i="13"/>
  <c r="G3370" i="13"/>
  <c r="E3371" i="13"/>
  <c r="F3371" i="13"/>
  <c r="G3371" i="13" s="1"/>
  <c r="E3372" i="13"/>
  <c r="F3372" i="13"/>
  <c r="G3372" i="13"/>
  <c r="F3373" i="13"/>
  <c r="G3373" i="13"/>
  <c r="E3374" i="13"/>
  <c r="F3374" i="13"/>
  <c r="G3374" i="13" s="1"/>
  <c r="G3377" i="13"/>
  <c r="G3378" i="13"/>
  <c r="G3379" i="13"/>
  <c r="G3380" i="13"/>
  <c r="G3383" i="13"/>
  <c r="G3385" i="13"/>
  <c r="G3386" i="13"/>
  <c r="G3387" i="13"/>
  <c r="G3389" i="13"/>
  <c r="G3390" i="13"/>
  <c r="G3391" i="13"/>
  <c r="G3392" i="13"/>
  <c r="G3395" i="13"/>
  <c r="G3396" i="13"/>
  <c r="G3397" i="13"/>
  <c r="G3398" i="13"/>
  <c r="G3399" i="13"/>
  <c r="G3400" i="13"/>
  <c r="G3401" i="13"/>
  <c r="G3402" i="13"/>
  <c r="G3403" i="13"/>
  <c r="G3404" i="13"/>
  <c r="G3405" i="13"/>
  <c r="G3406" i="13"/>
  <c r="G3407" i="13"/>
  <c r="G3408" i="13"/>
  <c r="G3409" i="13"/>
  <c r="G3410" i="13"/>
  <c r="G3412" i="13"/>
  <c r="G3413" i="13"/>
  <c r="G3414" i="13"/>
  <c r="G3415" i="13"/>
  <c r="G3416" i="13"/>
  <c r="G3417" i="13"/>
  <c r="G3418" i="13"/>
  <c r="G3419" i="13"/>
  <c r="G3420" i="13"/>
  <c r="G3421" i="13"/>
  <c r="G3422" i="13"/>
  <c r="G3423" i="13"/>
  <c r="G3424" i="13"/>
  <c r="G3425" i="13"/>
  <c r="G3426" i="13"/>
  <c r="G3428" i="13"/>
  <c r="G3429" i="13"/>
  <c r="G3430" i="13"/>
  <c r="G3431" i="13"/>
  <c r="F3432" i="13"/>
  <c r="G3432" i="13"/>
  <c r="G3433" i="13"/>
  <c r="G3434" i="13"/>
  <c r="G3435" i="13"/>
  <c r="G3436" i="13"/>
  <c r="E3438" i="13"/>
  <c r="F3438" i="13"/>
  <c r="G3438" i="13" s="1"/>
  <c r="E3439" i="13"/>
  <c r="F3439" i="13"/>
  <c r="G3439" i="13"/>
  <c r="E3440" i="13"/>
  <c r="F3440" i="13"/>
  <c r="G3440" i="13" s="1"/>
  <c r="E3441" i="13"/>
  <c r="F3441" i="13"/>
  <c r="G3441" i="13"/>
  <c r="E3442" i="13"/>
  <c r="F3442" i="13"/>
  <c r="G3442" i="13" s="1"/>
  <c r="E3443" i="13"/>
  <c r="F3443" i="13"/>
  <c r="G3443" i="13"/>
  <c r="G3444" i="13"/>
  <c r="G3445" i="13"/>
  <c r="G3446" i="13"/>
  <c r="G3447" i="13"/>
  <c r="G3448" i="13"/>
  <c r="G3449" i="13"/>
  <c r="G3450" i="13"/>
  <c r="G3451" i="13"/>
  <c r="G3452" i="13"/>
  <c r="G3453" i="13"/>
  <c r="G3454" i="13"/>
  <c r="G3455" i="13"/>
  <c r="G3456" i="13"/>
  <c r="G3457" i="13"/>
  <c r="G3458" i="13"/>
  <c r="G3459" i="13"/>
  <c r="G3460" i="13"/>
  <c r="G3461" i="13"/>
  <c r="G3462" i="13"/>
  <c r="G3463" i="13"/>
  <c r="G3465" i="13"/>
  <c r="G3466" i="13"/>
  <c r="G3468" i="13"/>
  <c r="G3469" i="13"/>
  <c r="G3470" i="13"/>
  <c r="G3471" i="13"/>
  <c r="G3472" i="13"/>
  <c r="G3473" i="13"/>
  <c r="G3474" i="13"/>
  <c r="G3475" i="13"/>
  <c r="G3476" i="13"/>
  <c r="E3479" i="13"/>
  <c r="G3479" i="13" s="1"/>
  <c r="E3480" i="13"/>
  <c r="G3480" i="13" s="1"/>
  <c r="E3481" i="13"/>
  <c r="G3481" i="13" s="1"/>
  <c r="E3482" i="13"/>
  <c r="F3482" i="13"/>
  <c r="G3482" i="13"/>
  <c r="E3483" i="13"/>
  <c r="G3483" i="13"/>
  <c r="E3484" i="13"/>
  <c r="F3484" i="13"/>
  <c r="G3484" i="13" s="1"/>
  <c r="E3485" i="13"/>
  <c r="F3485" i="13"/>
  <c r="G3485" i="13"/>
  <c r="E3486" i="13"/>
  <c r="F3486" i="13"/>
  <c r="G3486" i="13" s="1"/>
  <c r="G3488" i="13"/>
  <c r="G3490" i="13"/>
  <c r="G3491" i="13"/>
  <c r="G3492" i="13"/>
  <c r="G3493" i="13"/>
  <c r="G3494" i="13"/>
  <c r="G3495" i="13"/>
  <c r="G3496" i="13"/>
  <c r="G3497" i="13"/>
  <c r="G3498" i="13"/>
  <c r="G3499" i="13"/>
  <c r="G3500" i="13"/>
  <c r="G3501" i="13"/>
  <c r="G3502" i="13"/>
  <c r="G3503" i="13"/>
  <c r="G3504" i="13"/>
  <c r="G3505" i="13"/>
  <c r="G3506" i="13"/>
  <c r="G3507" i="13"/>
  <c r="G3508" i="13"/>
  <c r="G3509" i="13"/>
  <c r="G3510" i="13"/>
  <c r="G3511" i="13"/>
  <c r="G3512" i="13"/>
  <c r="G3513" i="13"/>
  <c r="G3514" i="13"/>
  <c r="G3515" i="13"/>
  <c r="G3516" i="13"/>
  <c r="G3517" i="13"/>
  <c r="G3518" i="13"/>
  <c r="G3519" i="13"/>
  <c r="G3520" i="13"/>
  <c r="G3521" i="13"/>
  <c r="G3522" i="13"/>
  <c r="G3523" i="13"/>
  <c r="G3524" i="13"/>
  <c r="G3525" i="13"/>
  <c r="G3526" i="13"/>
  <c r="G3527" i="13"/>
  <c r="G3528" i="13"/>
  <c r="G3531" i="13"/>
  <c r="G3533" i="13"/>
  <c r="G3534" i="13"/>
  <c r="G3535" i="13"/>
  <c r="G3536" i="13"/>
  <c r="G3537" i="13"/>
  <c r="G3539" i="13"/>
  <c r="G3540" i="13"/>
  <c r="F3541" i="13"/>
  <c r="G3541" i="13" s="1"/>
  <c r="G3543" i="13"/>
  <c r="G3544" i="13"/>
  <c r="G3545" i="13"/>
  <c r="G3546" i="13"/>
  <c r="G3547" i="13"/>
  <c r="G3548" i="13"/>
  <c r="G3549" i="13"/>
  <c r="G3550" i="13"/>
  <c r="G3551" i="13"/>
  <c r="G3552" i="13"/>
  <c r="G3553" i="13"/>
  <c r="G3554" i="13"/>
  <c r="G3555" i="13"/>
  <c r="G3556" i="13"/>
  <c r="G3557" i="13"/>
  <c r="G3558" i="13"/>
  <c r="G3559" i="13"/>
  <c r="G3560" i="13"/>
  <c r="G3561" i="13"/>
  <c r="G3562" i="13"/>
  <c r="G3563" i="13"/>
  <c r="G3564" i="13"/>
  <c r="G3565" i="13"/>
  <c r="G3566" i="13"/>
  <c r="G3567" i="13"/>
  <c r="G3568" i="13"/>
  <c r="G3569" i="13"/>
  <c r="G3570" i="13"/>
  <c r="G3571" i="13"/>
  <c r="G3572" i="13"/>
  <c r="G3573" i="13"/>
  <c r="G3574" i="13"/>
  <c r="G3575" i="13"/>
  <c r="G3576" i="13"/>
  <c r="G3577" i="13"/>
  <c r="G3578" i="13"/>
  <c r="G3580" i="13"/>
  <c r="G3581" i="13"/>
  <c r="G3582" i="13"/>
  <c r="G3583" i="13"/>
  <c r="G3584" i="13"/>
  <c r="G3585" i="13"/>
  <c r="G3586" i="13"/>
  <c r="G3587" i="13"/>
  <c r="G3588" i="13"/>
  <c r="G3590" i="13"/>
  <c r="G3591" i="13"/>
  <c r="G3592" i="13"/>
  <c r="G3593" i="13"/>
  <c r="G3594" i="13"/>
  <c r="G3595" i="13"/>
  <c r="G3596" i="13"/>
  <c r="G3597" i="13"/>
  <c r="G3598" i="13"/>
  <c r="G3599" i="13"/>
  <c r="G3600" i="13"/>
  <c r="G3601" i="13"/>
  <c r="G3602" i="13"/>
  <c r="G3603" i="13"/>
  <c r="G3604" i="13"/>
  <c r="G3605" i="13"/>
  <c r="G3606" i="13"/>
  <c r="G3607" i="13"/>
  <c r="G3608" i="13"/>
  <c r="G3609" i="13"/>
  <c r="G3610" i="13"/>
  <c r="G3611" i="13"/>
  <c r="G3612" i="13"/>
  <c r="G3613" i="13"/>
  <c r="G3614" i="13"/>
  <c r="G3615" i="13"/>
  <c r="G3616" i="13"/>
  <c r="G3617" i="13"/>
  <c r="G3618" i="13"/>
  <c r="G3619" i="13"/>
  <c r="G3620" i="13"/>
  <c r="G3621" i="13"/>
  <c r="G3622" i="13"/>
  <c r="G3623" i="13"/>
  <c r="G3626" i="13"/>
  <c r="G3627" i="13"/>
  <c r="G3630" i="13"/>
  <c r="G3631" i="13"/>
  <c r="G3632" i="13"/>
  <c r="G3633" i="13"/>
  <c r="G3634" i="13"/>
  <c r="G3635" i="13"/>
  <c r="G3636" i="13"/>
  <c r="G3637" i="13"/>
  <c r="G3638" i="13"/>
  <c r="G3639" i="13"/>
  <c r="G3642" i="13"/>
  <c r="G3643" i="13"/>
  <c r="G3644" i="13"/>
  <c r="G3645" i="13"/>
  <c r="G3646" i="13"/>
  <c r="G3647" i="13"/>
  <c r="G3648" i="13"/>
  <c r="G3649" i="13"/>
  <c r="G3650" i="13"/>
  <c r="G3651" i="13"/>
  <c r="G3652" i="13"/>
  <c r="G3653" i="13"/>
  <c r="G3654" i="13"/>
  <c r="G3655" i="13"/>
  <c r="G3657" i="13"/>
  <c r="G3658" i="13"/>
  <c r="G3659" i="13"/>
  <c r="G3660" i="13"/>
  <c r="G3661" i="13"/>
  <c r="G3662" i="13"/>
  <c r="G3663" i="13"/>
  <c r="G3664" i="13"/>
  <c r="G3665" i="13"/>
  <c r="G3666" i="13"/>
  <c r="G3667" i="13"/>
  <c r="G3668" i="13"/>
  <c r="G3669" i="13"/>
  <c r="G3670" i="13"/>
  <c r="G3671" i="13"/>
  <c r="G3672" i="13"/>
  <c r="G3673" i="13"/>
  <c r="G3674" i="13"/>
  <c r="G3675" i="13"/>
  <c r="G3676" i="13"/>
  <c r="G3677" i="13"/>
  <c r="G3678" i="13"/>
  <c r="G3679" i="13"/>
  <c r="G3680" i="13"/>
  <c r="G3681" i="13"/>
  <c r="G3682" i="13"/>
  <c r="G3683" i="13"/>
  <c r="G3684" i="13"/>
  <c r="G3685" i="13"/>
  <c r="G3687" i="13"/>
  <c r="G3688" i="13"/>
  <c r="G3689" i="13"/>
  <c r="G3690" i="13"/>
  <c r="G3691" i="13"/>
  <c r="G3693" i="13"/>
  <c r="G3694" i="13"/>
  <c r="G3695" i="13"/>
  <c r="G3696" i="13"/>
  <c r="G3697" i="13"/>
  <c r="G3698" i="13"/>
  <c r="G3699" i="13"/>
  <c r="G3700" i="13"/>
  <c r="G3701" i="13"/>
  <c r="G3702" i="13"/>
  <c r="G3703" i="13"/>
  <c r="G3704" i="13"/>
  <c r="G3705" i="13"/>
  <c r="G3706" i="13"/>
  <c r="G3707" i="13"/>
  <c r="G3709" i="13"/>
  <c r="G3710" i="13"/>
  <c r="G3711" i="13"/>
  <c r="G3713" i="13"/>
  <c r="G3714" i="13"/>
  <c r="G3715" i="13"/>
  <c r="G3716" i="13"/>
  <c r="G3717" i="13"/>
  <c r="G3718" i="13"/>
  <c r="G3719" i="13"/>
  <c r="G3720" i="13"/>
  <c r="G3721" i="13"/>
  <c r="G3723" i="13"/>
  <c r="G3724" i="13"/>
  <c r="G3725" i="13"/>
  <c r="G3726" i="13"/>
  <c r="G3727" i="13"/>
  <c r="G3728" i="13"/>
  <c r="G3729" i="13"/>
  <c r="G3730" i="13"/>
  <c r="G3731" i="13"/>
  <c r="G3732" i="13"/>
  <c r="G3734" i="13"/>
  <c r="G3735" i="13"/>
  <c r="G3736" i="13"/>
  <c r="G3737" i="13"/>
  <c r="G3738" i="13"/>
  <c r="G3739" i="13"/>
  <c r="G3740" i="13"/>
  <c r="G3741" i="13"/>
  <c r="G3742" i="13"/>
  <c r="G3744" i="13"/>
  <c r="G3745" i="13"/>
  <c r="G3747" i="13"/>
  <c r="G3748" i="13"/>
  <c r="G3749" i="13"/>
  <c r="G3751" i="13"/>
  <c r="G3752" i="13"/>
  <c r="G3753" i="13"/>
  <c r="G3754" i="13"/>
  <c r="G3755" i="13"/>
  <c r="G3756" i="13"/>
  <c r="G3757" i="13"/>
  <c r="G3758" i="13"/>
  <c r="G3759" i="13"/>
  <c r="E3760" i="13"/>
  <c r="G3760" i="13"/>
  <c r="G3763" i="13"/>
  <c r="G3764" i="13"/>
  <c r="G3765" i="13"/>
  <c r="G3766" i="13"/>
  <c r="G3767" i="13"/>
  <c r="G3768" i="13"/>
  <c r="G3769" i="13"/>
  <c r="G3770" i="13"/>
  <c r="G3771" i="13"/>
  <c r="G3772" i="13"/>
  <c r="G3773" i="13"/>
  <c r="G3774" i="13"/>
  <c r="G3775" i="13"/>
  <c r="G3776" i="13"/>
  <c r="G3777" i="13"/>
  <c r="G3778" i="13"/>
  <c r="G3780" i="13"/>
  <c r="G3781" i="13"/>
  <c r="G3783" i="13"/>
  <c r="G3785" i="13"/>
  <c r="G3786" i="13"/>
  <c r="G3788" i="13"/>
  <c r="G3789" i="13"/>
  <c r="G3790" i="13"/>
  <c r="G3791" i="13"/>
  <c r="G3792" i="13"/>
  <c r="G3793" i="13"/>
  <c r="G3794" i="13"/>
  <c r="G3796" i="13"/>
  <c r="G3797" i="13"/>
  <c r="G3799" i="13"/>
  <c r="G3800" i="13"/>
  <c r="G3801" i="13"/>
  <c r="G3802" i="13"/>
  <c r="G3803" i="13"/>
  <c r="G3804" i="13"/>
  <c r="G3805" i="13"/>
  <c r="G3807" i="13"/>
  <c r="G3808" i="13"/>
  <c r="G3809" i="13"/>
  <c r="G3810" i="13"/>
  <c r="G3812" i="13"/>
  <c r="G3813" i="13"/>
  <c r="G3814" i="13"/>
  <c r="G3815" i="13"/>
  <c r="G3817" i="13"/>
  <c r="G3818" i="13"/>
  <c r="G3819" i="13"/>
  <c r="G3820" i="13"/>
  <c r="G3821" i="13"/>
  <c r="G3822" i="13"/>
  <c r="G3823" i="13"/>
  <c r="G3826" i="13"/>
  <c r="G3827" i="13"/>
  <c r="G3828" i="13"/>
  <c r="G3829" i="13"/>
  <c r="G3830" i="13"/>
  <c r="G3831" i="13"/>
  <c r="G3832" i="13"/>
  <c r="G3833" i="13"/>
  <c r="G3834" i="13"/>
  <c r="G3835" i="13"/>
  <c r="G3836" i="13"/>
  <c r="G3837" i="13"/>
  <c r="G3838" i="13"/>
  <c r="G3839" i="13"/>
  <c r="G3840" i="13"/>
  <c r="G3841" i="13"/>
  <c r="G3842" i="13"/>
  <c r="G3843" i="13"/>
  <c r="G3844" i="13"/>
  <c r="G3845" i="13"/>
  <c r="G3846" i="13"/>
  <c r="G3847" i="13"/>
  <c r="G3848" i="13"/>
  <c r="G3849" i="13"/>
  <c r="G3850" i="13"/>
  <c r="G3851" i="13"/>
  <c r="G3852" i="13"/>
  <c r="G3853" i="13"/>
  <c r="G3854" i="13"/>
  <c r="G3855" i="13"/>
  <c r="G3856" i="13"/>
  <c r="G3857" i="13"/>
  <c r="G3858" i="13"/>
  <c r="G3859" i="13"/>
  <c r="G3860" i="13"/>
  <c r="G3861" i="13"/>
  <c r="G3862" i="13"/>
  <c r="G3863" i="13"/>
  <c r="G3864" i="13"/>
  <c r="G3865" i="13"/>
  <c r="G3866" i="13"/>
  <c r="G3867" i="13"/>
  <c r="G3869" i="13"/>
  <c r="G3870" i="13"/>
  <c r="G3871" i="13"/>
  <c r="G3872" i="13"/>
  <c r="G3873" i="13"/>
  <c r="G3874" i="13"/>
  <c r="G3875" i="13"/>
  <c r="G3877" i="13"/>
  <c r="G3878" i="13"/>
  <c r="G3879" i="13"/>
  <c r="G3880" i="13"/>
  <c r="E3883" i="13"/>
  <c r="F3883" i="13"/>
  <c r="G3883" i="13"/>
  <c r="E3884" i="13"/>
  <c r="F3884" i="13"/>
  <c r="G3884" i="13" s="1"/>
  <c r="E3885" i="13"/>
  <c r="F3885" i="13"/>
  <c r="G3885" i="13"/>
  <c r="E3886" i="13"/>
  <c r="F3886" i="13"/>
  <c r="G3886" i="13" s="1"/>
  <c r="E3887" i="13"/>
  <c r="F3887" i="13"/>
  <c r="G3887" i="13"/>
  <c r="G3888" i="13"/>
  <c r="G3889" i="13"/>
  <c r="G3892" i="13"/>
  <c r="G3893" i="13"/>
  <c r="G3894" i="13"/>
  <c r="G3895" i="13"/>
  <c r="G3896" i="13"/>
  <c r="G3897" i="13"/>
  <c r="G3898" i="13"/>
  <c r="G3899" i="13"/>
  <c r="G3900" i="13"/>
  <c r="G3901" i="13"/>
  <c r="G3902" i="13"/>
  <c r="G3903" i="13"/>
  <c r="G3904" i="13"/>
  <c r="G3906" i="13"/>
  <c r="G3907" i="13"/>
  <c r="G3908" i="13"/>
  <c r="G3909" i="13"/>
  <c r="G3910" i="13"/>
  <c r="G3911" i="13"/>
  <c r="G3912" i="13"/>
  <c r="G3913" i="13"/>
  <c r="G3914" i="13"/>
  <c r="G3915" i="13"/>
  <c r="G3916" i="13"/>
  <c r="G3917" i="13"/>
  <c r="G3918" i="13"/>
  <c r="G3920" i="13"/>
  <c r="G3921" i="13"/>
  <c r="G3922" i="13"/>
  <c r="G3923" i="13"/>
  <c r="G3924" i="13"/>
  <c r="G3925" i="13"/>
  <c r="G3926" i="13"/>
  <c r="G3927" i="13"/>
  <c r="G3928" i="13"/>
  <c r="G3929" i="13"/>
  <c r="G3930" i="13"/>
  <c r="G3931" i="13"/>
  <c r="G3932" i="13"/>
  <c r="G3933" i="13"/>
  <c r="G3934" i="13"/>
  <c r="G3935" i="13"/>
  <c r="G3936" i="13"/>
  <c r="G3937" i="13"/>
  <c r="G3938" i="13"/>
  <c r="G3939" i="13"/>
  <c r="G3940" i="13"/>
  <c r="G3941" i="13"/>
  <c r="G3942" i="13"/>
  <c r="G3943" i="13"/>
  <c r="G3944" i="13"/>
  <c r="G3946" i="13"/>
  <c r="G3947" i="13"/>
  <c r="G3948" i="13"/>
  <c r="G3949" i="13"/>
  <c r="G3950" i="13"/>
  <c r="G3951" i="13"/>
  <c r="G3952" i="13"/>
  <c r="G3953" i="13"/>
  <c r="G3954" i="13"/>
  <c r="G3955" i="13"/>
  <c r="G3956" i="13"/>
  <c r="G3957" i="13"/>
  <c r="G3958" i="13"/>
  <c r="G3959" i="13"/>
  <c r="G3960" i="13"/>
  <c r="G3961" i="13"/>
  <c r="G3962" i="13"/>
  <c r="G3963" i="13"/>
  <c r="G3964" i="13"/>
  <c r="G3965" i="13"/>
  <c r="G3966" i="13"/>
  <c r="G3967" i="13"/>
  <c r="G3968" i="13"/>
  <c r="G3969" i="13"/>
  <c r="G3970" i="13"/>
  <c r="G3971" i="13"/>
  <c r="G3972" i="13"/>
  <c r="G3973" i="13"/>
  <c r="G3974" i="13"/>
  <c r="G3975" i="13"/>
  <c r="G3976" i="13"/>
  <c r="G3977" i="13"/>
  <c r="G3978" i="13"/>
  <c r="G3979" i="13"/>
  <c r="G3980" i="13"/>
  <c r="G3981" i="13"/>
  <c r="G3982" i="13"/>
  <c r="G3983" i="13"/>
  <c r="G3984" i="13"/>
  <c r="G3985" i="13"/>
  <c r="G3986" i="13"/>
  <c r="G3987" i="13"/>
  <c r="G3988" i="13"/>
  <c r="G3989" i="13"/>
  <c r="G3990" i="13"/>
  <c r="G3991" i="13"/>
  <c r="G3992" i="13"/>
  <c r="G3993" i="13"/>
  <c r="G3994" i="13"/>
  <c r="G3996" i="13"/>
  <c r="G3997" i="13"/>
  <c r="G3998" i="13"/>
  <c r="G3999" i="13"/>
  <c r="G4000" i="13"/>
  <c r="G4001" i="13"/>
  <c r="G4002" i="13"/>
  <c r="G4003" i="13"/>
  <c r="G4004" i="13"/>
  <c r="G4005" i="13"/>
  <c r="G4006" i="13"/>
  <c r="G4007" i="13"/>
  <c r="G4008" i="13"/>
  <c r="G4009" i="13"/>
  <c r="G4010" i="13"/>
  <c r="G4011" i="13"/>
  <c r="G4012" i="13"/>
  <c r="G4013" i="13"/>
  <c r="G4014" i="13"/>
  <c r="G4015" i="13"/>
  <c r="G4016" i="13"/>
  <c r="G4017" i="13"/>
  <c r="G4018" i="13"/>
  <c r="G4019" i="13"/>
  <c r="G4020" i="13"/>
  <c r="G4021" i="13"/>
  <c r="G4022" i="13"/>
  <c r="G4023" i="13"/>
  <c r="G4024" i="13"/>
  <c r="G4025" i="13"/>
  <c r="G4026" i="13"/>
  <c r="G4027" i="13"/>
  <c r="G4028" i="13"/>
  <c r="G4029" i="13"/>
  <c r="G4030" i="13"/>
  <c r="G4031" i="13"/>
  <c r="G4032" i="13"/>
  <c r="G4033" i="13"/>
  <c r="G4034" i="13"/>
  <c r="G4035" i="13"/>
  <c r="G4036" i="13"/>
  <c r="G4037" i="13"/>
  <c r="G4038" i="13"/>
  <c r="G4039" i="13"/>
  <c r="G4040" i="13"/>
  <c r="G4041" i="13"/>
  <c r="G4042" i="13"/>
  <c r="G4043" i="13"/>
  <c r="G4044" i="13"/>
  <c r="G4045" i="13"/>
  <c r="G4046" i="13"/>
  <c r="G4047" i="13"/>
  <c r="G4048" i="13"/>
  <c r="G4049" i="13"/>
  <c r="G4050" i="13"/>
  <c r="G4051" i="13"/>
  <c r="G4052" i="13"/>
  <c r="G4055" i="13"/>
  <c r="G4056" i="13"/>
  <c r="G4057" i="13"/>
  <c r="G4058" i="13"/>
  <c r="G4059" i="13"/>
  <c r="G4060" i="13"/>
  <c r="G4061" i="13"/>
  <c r="G4062" i="13"/>
  <c r="G4063" i="13"/>
  <c r="G4064" i="13"/>
  <c r="G4065" i="13"/>
  <c r="G4066" i="13"/>
  <c r="G4067" i="13"/>
  <c r="G4068" i="13"/>
  <c r="G4069" i="13"/>
  <c r="G4070" i="13"/>
  <c r="G4071" i="13"/>
  <c r="G4072" i="13"/>
  <c r="G4073" i="13"/>
  <c r="G4074" i="13"/>
  <c r="G4075" i="13"/>
  <c r="G4076" i="13"/>
  <c r="G4077" i="13"/>
  <c r="G4078" i="13"/>
  <c r="G4079" i="13"/>
  <c r="G4080" i="13"/>
  <c r="G4081" i="13"/>
  <c r="G4083" i="13"/>
  <c r="G4084" i="13"/>
  <c r="G4085" i="13"/>
  <c r="G4086" i="13"/>
  <c r="G4089" i="13"/>
  <c r="G4090" i="13"/>
  <c r="G4091" i="13"/>
  <c r="G4092" i="13"/>
  <c r="G4093" i="13"/>
  <c r="G4095" i="13"/>
  <c r="G4096" i="13"/>
  <c r="G4097" i="13"/>
  <c r="G4099" i="13"/>
  <c r="G4100" i="13"/>
  <c r="G4101" i="13"/>
  <c r="G4103" i="13"/>
  <c r="G4104" i="13"/>
  <c r="G4105" i="13"/>
  <c r="G4106" i="13"/>
  <c r="G4108" i="13"/>
  <c r="G4109" i="13"/>
  <c r="G4110" i="13"/>
  <c r="G4111" i="13"/>
  <c r="G4112" i="13"/>
  <c r="G4113" i="13"/>
  <c r="G4114" i="13"/>
  <c r="G4115" i="13"/>
  <c r="G4116" i="13"/>
  <c r="G4117" i="13"/>
  <c r="G4118" i="13"/>
  <c r="G4119" i="13"/>
  <c r="G4120" i="13"/>
  <c r="G4121" i="13"/>
  <c r="G4123" i="13"/>
  <c r="E4126" i="13"/>
  <c r="F4126" i="13"/>
  <c r="G4126" i="13" s="1"/>
  <c r="E4127" i="13"/>
  <c r="F4127" i="13"/>
  <c r="G4127" i="13"/>
  <c r="E4128" i="13"/>
  <c r="F4128" i="13"/>
  <c r="G4128" i="13" s="1"/>
  <c r="E4129" i="13"/>
  <c r="F4129" i="13"/>
  <c r="G4129" i="13"/>
  <c r="G4131" i="13"/>
  <c r="G4132" i="13"/>
  <c r="G4134" i="13"/>
  <c r="G4135" i="13"/>
  <c r="E4137" i="13"/>
  <c r="F4137" i="13"/>
  <c r="G4137" i="13" s="1"/>
  <c r="E4138" i="13"/>
  <c r="F4138" i="13"/>
  <c r="G4138" i="13"/>
  <c r="E4139" i="13"/>
  <c r="F4139" i="13"/>
  <c r="G4139" i="13" s="1"/>
  <c r="E4140" i="13"/>
  <c r="F4140" i="13"/>
  <c r="G4140" i="13"/>
  <c r="E4141" i="13"/>
  <c r="F4141" i="13"/>
  <c r="G4141" i="13" s="1"/>
  <c r="E4142" i="13"/>
  <c r="F4142" i="13"/>
  <c r="G4142" i="13"/>
  <c r="E4143" i="13"/>
  <c r="F4143" i="13"/>
  <c r="G4143" i="13" s="1"/>
  <c r="E4144" i="13"/>
  <c r="F4144" i="13"/>
  <c r="G4144" i="13"/>
  <c r="E4145" i="13"/>
  <c r="F4145" i="13"/>
  <c r="G4145" i="13" s="1"/>
  <c r="E4146" i="13"/>
  <c r="F4146" i="13"/>
  <c r="G4146" i="13"/>
  <c r="E4147" i="13"/>
  <c r="F4147" i="13"/>
  <c r="G4147" i="13" s="1"/>
  <c r="E4148" i="13"/>
  <c r="F4148" i="13"/>
  <c r="G4148" i="13"/>
  <c r="E4149" i="13"/>
  <c r="F4149" i="13"/>
  <c r="G4149" i="13" s="1"/>
  <c r="E4150" i="13"/>
  <c r="F4150" i="13"/>
  <c r="G4150" i="13"/>
  <c r="G4152" i="13"/>
  <c r="G4153" i="13"/>
  <c r="G4154" i="13"/>
  <c r="G4157" i="13"/>
  <c r="G4158" i="13"/>
  <c r="G4159" i="13"/>
  <c r="G4160" i="13"/>
  <c r="G4161" i="13"/>
  <c r="G4162" i="13"/>
  <c r="G4163" i="13"/>
  <c r="G4164" i="13"/>
  <c r="G4165" i="13"/>
  <c r="G4166" i="13"/>
  <c r="G4167" i="13"/>
  <c r="G4168" i="13"/>
  <c r="G4169" i="13"/>
  <c r="G4170" i="13"/>
  <c r="G4171" i="13"/>
  <c r="G4172" i="13"/>
  <c r="G4173" i="13"/>
  <c r="G4174" i="13"/>
  <c r="G4175" i="13"/>
  <c r="G4176" i="13"/>
  <c r="G4177" i="13"/>
  <c r="G4178" i="13"/>
  <c r="G4179" i="13"/>
  <c r="G4180" i="13"/>
  <c r="G4182" i="13"/>
  <c r="G4183" i="13"/>
  <c r="G4184" i="13"/>
  <c r="G4185" i="13"/>
  <c r="G4186" i="13"/>
  <c r="G4187" i="13"/>
  <c r="G4188" i="13"/>
  <c r="G4189" i="13"/>
  <c r="G4190" i="13"/>
  <c r="G4191" i="13"/>
  <c r="G4192" i="13"/>
  <c r="G4193" i="13"/>
  <c r="G4194" i="13"/>
  <c r="G4195" i="13"/>
  <c r="G4196" i="13"/>
  <c r="G4197" i="13"/>
  <c r="G4198" i="13"/>
  <c r="G4199" i="13"/>
  <c r="G4200" i="13"/>
  <c r="G4201" i="13"/>
  <c r="G4202" i="13"/>
  <c r="G4203" i="13"/>
  <c r="G4204" i="13"/>
  <c r="G4205" i="13"/>
  <c r="G4206" i="13"/>
  <c r="G4207" i="13"/>
  <c r="G4208" i="13"/>
  <c r="G4209" i="13"/>
  <c r="G4210" i="13"/>
  <c r="G4213" i="13"/>
  <c r="G4214" i="13"/>
  <c r="G4215" i="13"/>
  <c r="G4216" i="13"/>
  <c r="G4217" i="13"/>
  <c r="G4218" i="13"/>
  <c r="G4219" i="13"/>
  <c r="G4220" i="13"/>
  <c r="G4221" i="13"/>
  <c r="G4222" i="13"/>
  <c r="G4223" i="13"/>
  <c r="G4225" i="13"/>
  <c r="G4226" i="13"/>
  <c r="G4227" i="13"/>
  <c r="G4228" i="13"/>
  <c r="G4229" i="13"/>
  <c r="G4230" i="13"/>
  <c r="G4231" i="13"/>
  <c r="G4232" i="13"/>
  <c r="G4233" i="13"/>
  <c r="G4234" i="13"/>
  <c r="G4235" i="13"/>
  <c r="G4236" i="13"/>
  <c r="G4237" i="13"/>
  <c r="G4238" i="13"/>
  <c r="G4239" i="13"/>
  <c r="G4240" i="13"/>
  <c r="G4241" i="13"/>
  <c r="G4242" i="13"/>
  <c r="G4243" i="13"/>
  <c r="G4244" i="13"/>
  <c r="G4245" i="13"/>
  <c r="G4246" i="13"/>
  <c r="G4247" i="13"/>
  <c r="G4248" i="13"/>
  <c r="G4249" i="13"/>
  <c r="G4250" i="13"/>
  <c r="G4251" i="13"/>
  <c r="G4252" i="13"/>
  <c r="G4253" i="13"/>
  <c r="G4254" i="13"/>
  <c r="G4255" i="13"/>
  <c r="G4256" i="13"/>
  <c r="G4257" i="13"/>
  <c r="G4258" i="13"/>
  <c r="G4259" i="13"/>
  <c r="G4261" i="13"/>
  <c r="G4262" i="13"/>
  <c r="G4263" i="13"/>
  <c r="G4264" i="13"/>
  <c r="G4266" i="13"/>
  <c r="G4267" i="13"/>
  <c r="G4268" i="13"/>
  <c r="G4269" i="13"/>
  <c r="G4270" i="13"/>
  <c r="G4271" i="13"/>
  <c r="G4272" i="13"/>
  <c r="G4273" i="13"/>
  <c r="G4274" i="13"/>
  <c r="G4275" i="13"/>
  <c r="G4276" i="13"/>
  <c r="G4277" i="13"/>
  <c r="G4278" i="13"/>
  <c r="G4279" i="13"/>
  <c r="G4280" i="13"/>
  <c r="G4281" i="13"/>
  <c r="G4282" i="13"/>
  <c r="G4283" i="13"/>
  <c r="G4284" i="13"/>
  <c r="G4285" i="13"/>
  <c r="G4287" i="13"/>
  <c r="G4288" i="13"/>
  <c r="G4289" i="13"/>
  <c r="G4290" i="13"/>
  <c r="G4291" i="13"/>
  <c r="G4292" i="13"/>
  <c r="G4293" i="13"/>
  <c r="G4294" i="13"/>
  <c r="G4295" i="13"/>
  <c r="G4297" i="13"/>
  <c r="G4298" i="13"/>
  <c r="G4300" i="13"/>
  <c r="G4301" i="13"/>
  <c r="G4302" i="13"/>
  <c r="G4303" i="13"/>
  <c r="G4304" i="13"/>
  <c r="G4305" i="13"/>
  <c r="G4306" i="13"/>
  <c r="G4307" i="13"/>
  <c r="G4309" i="13"/>
  <c r="G4310" i="13"/>
  <c r="G4311" i="13"/>
  <c r="G4312" i="13"/>
  <c r="G4313" i="13"/>
  <c r="G4314" i="13"/>
  <c r="G4315" i="13"/>
  <c r="G4316" i="13"/>
  <c r="G4317" i="13"/>
  <c r="G4318" i="13"/>
  <c r="G4319" i="13"/>
  <c r="G4320" i="13"/>
  <c r="G4321" i="13"/>
  <c r="G4322" i="13"/>
  <c r="G4323" i="13"/>
  <c r="G4324" i="13"/>
  <c r="G4326" i="13"/>
  <c r="G4327" i="13"/>
  <c r="G4328" i="13"/>
  <c r="G4329" i="13"/>
  <c r="G4331" i="13"/>
  <c r="G4332" i="13"/>
  <c r="G4333" i="13"/>
  <c r="G4334" i="13"/>
  <c r="G4335" i="13"/>
  <c r="G4336" i="13"/>
  <c r="G4337" i="13"/>
  <c r="G4339" i="13"/>
  <c r="G4340" i="13"/>
  <c r="G4341" i="13"/>
  <c r="G4342" i="13"/>
  <c r="G4343" i="13"/>
  <c r="G4344" i="13"/>
  <c r="G4346" i="13"/>
  <c r="G4347" i="13"/>
  <c r="G4348" i="13"/>
  <c r="F4350" i="13"/>
  <c r="G4350" i="13" s="1"/>
  <c r="G4352" i="13"/>
  <c r="G4354" i="13"/>
  <c r="G4355" i="13"/>
  <c r="G4356" i="13"/>
  <c r="G4357" i="13"/>
  <c r="G4358" i="13"/>
  <c r="G4360" i="13"/>
  <c r="G4361" i="13"/>
  <c r="G4362" i="13"/>
  <c r="G4363" i="13"/>
  <c r="G4364" i="13"/>
  <c r="G4365" i="13"/>
  <c r="G4366" i="13"/>
  <c r="G4367" i="13"/>
  <c r="G4368" i="13"/>
  <c r="G4369" i="13"/>
  <c r="G4370" i="13"/>
  <c r="G4371" i="13"/>
  <c r="G4372" i="13"/>
  <c r="G4373" i="13"/>
  <c r="G4374" i="13"/>
  <c r="G4375" i="13"/>
  <c r="C6404" i="14" l="1"/>
  <c r="C6403" i="14"/>
  <c r="C6402" i="14"/>
  <c r="C6405" i="14"/>
  <c r="F4376" i="13"/>
  <c r="G4359" i="13" l="1"/>
  <c r="G4353" i="13"/>
  <c r="F4351" i="13"/>
  <c r="G4351" i="13" s="1"/>
  <c r="G4349" i="13"/>
  <c r="G4345" i="13"/>
  <c r="G4338" i="13"/>
  <c r="G4330" i="13"/>
  <c r="G4325" i="13"/>
  <c r="G4308" i="13"/>
  <c r="G4299" i="13"/>
  <c r="G4296" i="13"/>
  <c r="G4286" i="13"/>
  <c r="G4265" i="13"/>
  <c r="G4260" i="13"/>
  <c r="G4224" i="13"/>
  <c r="G4212" i="13"/>
  <c r="G4211" i="13"/>
  <c r="G4181" i="13"/>
  <c r="G4156" i="13"/>
  <c r="G4155" i="13"/>
  <c r="G4151" i="13"/>
  <c r="F4136" i="13"/>
  <c r="E4136" i="13"/>
  <c r="G4133" i="13"/>
  <c r="G4130" i="13"/>
  <c r="F4125" i="13"/>
  <c r="E4125" i="13"/>
  <c r="G4124" i="13"/>
  <c r="G4122" i="13"/>
  <c r="G4107" i="13"/>
  <c r="G4102" i="13"/>
  <c r="G4098" i="13"/>
  <c r="G4094" i="13"/>
  <c r="G4088" i="13"/>
  <c r="G4087" i="13"/>
  <c r="G4082" i="13"/>
  <c r="G4054" i="13"/>
  <c r="G4053" i="13"/>
  <c r="G3995" i="13"/>
  <c r="G3945" i="13"/>
  <c r="G3919" i="13"/>
  <c r="G3905" i="13"/>
  <c r="G3891" i="13"/>
  <c r="G3890" i="13"/>
  <c r="F3882" i="13"/>
  <c r="E3882" i="13"/>
  <c r="G3881" i="13"/>
  <c r="G3876" i="13"/>
  <c r="G3868" i="13"/>
  <c r="G3825" i="13"/>
  <c r="G3824" i="13"/>
  <c r="G3816" i="13"/>
  <c r="G3811" i="13"/>
  <c r="G3806" i="13"/>
  <c r="G3798" i="13"/>
  <c r="G3795" i="13"/>
  <c r="G3787" i="13"/>
  <c r="G3784" i="13"/>
  <c r="G3782" i="13"/>
  <c r="G3779" i="13"/>
  <c r="E3762" i="13"/>
  <c r="G3762" i="13" s="1"/>
  <c r="G3761" i="13"/>
  <c r="G3750" i="13"/>
  <c r="G3746" i="13"/>
  <c r="G3743" i="13"/>
  <c r="G3733" i="13"/>
  <c r="G3722" i="13"/>
  <c r="G3712" i="13"/>
  <c r="G3708" i="13"/>
  <c r="G3692" i="13"/>
  <c r="G3686" i="13"/>
  <c r="G3656" i="13"/>
  <c r="G3641" i="13"/>
  <c r="G3640" i="13"/>
  <c r="G3629" i="13"/>
  <c r="G3628" i="13"/>
  <c r="G3625" i="13"/>
  <c r="G3624" i="13"/>
  <c r="G3589" i="13"/>
  <c r="G3579" i="13"/>
  <c r="G3542" i="13"/>
  <c r="G3538" i="13"/>
  <c r="G3532" i="13"/>
  <c r="G3530" i="13"/>
  <c r="G3529" i="13"/>
  <c r="G3489" i="13"/>
  <c r="G3487" i="13"/>
  <c r="E3478" i="13"/>
  <c r="G3478" i="13" s="1"/>
  <c r="G3477" i="13"/>
  <c r="G3467" i="13"/>
  <c r="G3464" i="13"/>
  <c r="G3437" i="13"/>
  <c r="G3427" i="13"/>
  <c r="G3411" i="13"/>
  <c r="G3394" i="13"/>
  <c r="G3393" i="13"/>
  <c r="G3388" i="13"/>
  <c r="G3384" i="13"/>
  <c r="G3382" i="13"/>
  <c r="G3381" i="13"/>
  <c r="G3376" i="13"/>
  <c r="G3375" i="13"/>
  <c r="F3367" i="13"/>
  <c r="E3367" i="13"/>
  <c r="G3364" i="13"/>
  <c r="G3361" i="13"/>
  <c r="G3357" i="13"/>
  <c r="G3356" i="13"/>
  <c r="G3347" i="13"/>
  <c r="G3341" i="13"/>
  <c r="G3338" i="13"/>
  <c r="G3334" i="13"/>
  <c r="F3330" i="13"/>
  <c r="E3330" i="13"/>
  <c r="G3319" i="13"/>
  <c r="G3309" i="13"/>
  <c r="G3288" i="13"/>
  <c r="G3260" i="13"/>
  <c r="G3259" i="13"/>
  <c r="G3257" i="13"/>
  <c r="G3235" i="13"/>
  <c r="G3232" i="13"/>
  <c r="G3231" i="13"/>
  <c r="G3217" i="13"/>
  <c r="G3216" i="13"/>
  <c r="F3207" i="13"/>
  <c r="E3207" i="13"/>
  <c r="G3204" i="13"/>
  <c r="G3184" i="13"/>
  <c r="G3171" i="13"/>
  <c r="G3169" i="13"/>
  <c r="G3165" i="13"/>
  <c r="G3164" i="13"/>
  <c r="G3163" i="13"/>
  <c r="G3158" i="13"/>
  <c r="G3154" i="13"/>
  <c r="F3146" i="13"/>
  <c r="E3146" i="13"/>
  <c r="G3145" i="13"/>
  <c r="G3144" i="13"/>
  <c r="G3141" i="13"/>
  <c r="G3133" i="13"/>
  <c r="G3131" i="13"/>
  <c r="G3116" i="13"/>
  <c r="G3114" i="13"/>
  <c r="G3092" i="13"/>
  <c r="F3074" i="13"/>
  <c r="G3074" i="13" s="1"/>
  <c r="G3068" i="13"/>
  <c r="G3065" i="13"/>
  <c r="G3064" i="13"/>
  <c r="G3050" i="13"/>
  <c r="G3040" i="13"/>
  <c r="G3027" i="13"/>
  <c r="G3026" i="13"/>
  <c r="G3022" i="13"/>
  <c r="G3017" i="13"/>
  <c r="G3006" i="13"/>
  <c r="G2997" i="13"/>
  <c r="G2985" i="13"/>
  <c r="G2969" i="13"/>
  <c r="F2963" i="13"/>
  <c r="E2963" i="13"/>
  <c r="G2960" i="13"/>
  <c r="F2954" i="13"/>
  <c r="E2954" i="13"/>
  <c r="G2926" i="13"/>
  <c r="G2922" i="13"/>
  <c r="F2917" i="13"/>
  <c r="G2917" i="13" s="1"/>
  <c r="G2916" i="13"/>
  <c r="G2885" i="13"/>
  <c r="G2884" i="13"/>
  <c r="G2880" i="13"/>
  <c r="G2833" i="13"/>
  <c r="G2818" i="13"/>
  <c r="G2812" i="13"/>
  <c r="G2771" i="13"/>
  <c r="G2750" i="13"/>
  <c r="G2741" i="13"/>
  <c r="G2731" i="13"/>
  <c r="G2729" i="13"/>
  <c r="G2728" i="13"/>
  <c r="F2711" i="13"/>
  <c r="G2711" i="13" s="1"/>
  <c r="G2703" i="13"/>
  <c r="G2698" i="13"/>
  <c r="G2686" i="13"/>
  <c r="F2677" i="13"/>
  <c r="E2677" i="13"/>
  <c r="G2675" i="13"/>
  <c r="G2671" i="13"/>
  <c r="G2663" i="13"/>
  <c r="G2662" i="13"/>
  <c r="G2660" i="13"/>
  <c r="G2659" i="13"/>
  <c r="G2657" i="13"/>
  <c r="F2654" i="13"/>
  <c r="E2654" i="13"/>
  <c r="G2627" i="13"/>
  <c r="G2626" i="13"/>
  <c r="G2624" i="13"/>
  <c r="G2613" i="13"/>
  <c r="G2574" i="13"/>
  <c r="G2570" i="13"/>
  <c r="G2534" i="13"/>
  <c r="F2531" i="13"/>
  <c r="E2531" i="13"/>
  <c r="G2526" i="13"/>
  <c r="G2520" i="13"/>
  <c r="G2519" i="13"/>
  <c r="G2516" i="13"/>
  <c r="G2509" i="13"/>
  <c r="G2502" i="13"/>
  <c r="G2483" i="13"/>
  <c r="F2476" i="13"/>
  <c r="E2476" i="13"/>
  <c r="G2460" i="13"/>
  <c r="F2458" i="13"/>
  <c r="G2458" i="13" s="1"/>
  <c r="G2456" i="13"/>
  <c r="G2455" i="13"/>
  <c r="G2415" i="13"/>
  <c r="G2411" i="13"/>
  <c r="G2405" i="13"/>
  <c r="G2404" i="13"/>
  <c r="G2391" i="13"/>
  <c r="G2390" i="13"/>
  <c r="F2353" i="13"/>
  <c r="E2353" i="13"/>
  <c r="G2352" i="13"/>
  <c r="G2351" i="13"/>
  <c r="G2344" i="13"/>
  <c r="G2343" i="13"/>
  <c r="G2334" i="13"/>
  <c r="F2290" i="13"/>
  <c r="G2290" i="13" s="1"/>
  <c r="G2289" i="13"/>
  <c r="G2272" i="13"/>
  <c r="G2267" i="13"/>
  <c r="G2266" i="13"/>
  <c r="G2265" i="13"/>
  <c r="G2251" i="13"/>
  <c r="G2247" i="13"/>
  <c r="G2218" i="13"/>
  <c r="G2190" i="13"/>
  <c r="G2167" i="13"/>
  <c r="G2166" i="13"/>
  <c r="G2158" i="13"/>
  <c r="G2137" i="13"/>
  <c r="G2094" i="13"/>
  <c r="G2073" i="13"/>
  <c r="F2065" i="13"/>
  <c r="G2065" i="13" s="1"/>
  <c r="G2057" i="13"/>
  <c r="G2035" i="13"/>
  <c r="G2029" i="13"/>
  <c r="G2022" i="13"/>
  <c r="G1967" i="13"/>
  <c r="G1946" i="13"/>
  <c r="F1905" i="13"/>
  <c r="G1905" i="13" s="1"/>
  <c r="G1904" i="13"/>
  <c r="G1893" i="13"/>
  <c r="G1891" i="13"/>
  <c r="G1890" i="13"/>
  <c r="F1883" i="13"/>
  <c r="E1883" i="13"/>
  <c r="G1881" i="13"/>
  <c r="G1875" i="13"/>
  <c r="G1858" i="13"/>
  <c r="G1848" i="13"/>
  <c r="G1844" i="13"/>
  <c r="G1818" i="13"/>
  <c r="F1810" i="13"/>
  <c r="G1810" i="13" s="1"/>
  <c r="G1809" i="13"/>
  <c r="G1808" i="13"/>
  <c r="G1805" i="13"/>
  <c r="G1779" i="13"/>
  <c r="G1771" i="13"/>
  <c r="G1759" i="13"/>
  <c r="G1753" i="13"/>
  <c r="G1752" i="13"/>
  <c r="G1743" i="13"/>
  <c r="G1742" i="13"/>
  <c r="G1719" i="13"/>
  <c r="G1714" i="13"/>
  <c r="G1709" i="13"/>
  <c r="G1693" i="13"/>
  <c r="G1692" i="13"/>
  <c r="G1647" i="13"/>
  <c r="G1610" i="13"/>
  <c r="G1608" i="13"/>
  <c r="G1592" i="13"/>
  <c r="G1565" i="13"/>
  <c r="G1560" i="13"/>
  <c r="G1555" i="13"/>
  <c r="G1516" i="13"/>
  <c r="G1490" i="13"/>
  <c r="G1488" i="13"/>
  <c r="G1483" i="13"/>
  <c r="G1481" i="13"/>
  <c r="G1472" i="13"/>
  <c r="G1468" i="13"/>
  <c r="F1431" i="13"/>
  <c r="E1431" i="13"/>
  <c r="G1429" i="13"/>
  <c r="G1409" i="13"/>
  <c r="G1408" i="13"/>
  <c r="G1406" i="13"/>
  <c r="G1405" i="13"/>
  <c r="G1395" i="13"/>
  <c r="F1381" i="13"/>
  <c r="E1381" i="13"/>
  <c r="G1380" i="13"/>
  <c r="G1370" i="13"/>
  <c r="G1367" i="13"/>
  <c r="F1359" i="13"/>
  <c r="E1359" i="13"/>
  <c r="G1358" i="13"/>
  <c r="G1305" i="13"/>
  <c r="G1304" i="13"/>
  <c r="G1301" i="13"/>
  <c r="G1298" i="13"/>
  <c r="G1283" i="13"/>
  <c r="G1280" i="13"/>
  <c r="F1277" i="13"/>
  <c r="E1277" i="13"/>
  <c r="G1276" i="13"/>
  <c r="G1275" i="13"/>
  <c r="G1269" i="13"/>
  <c r="G1237" i="13"/>
  <c r="G1234" i="13"/>
  <c r="G1223" i="13"/>
  <c r="F1212" i="13"/>
  <c r="E1212" i="13"/>
  <c r="G1210" i="13"/>
  <c r="F1205" i="13"/>
  <c r="E1205" i="13"/>
  <c r="G1202" i="13"/>
  <c r="G1198" i="13"/>
  <c r="G1197" i="13"/>
  <c r="F1186" i="13"/>
  <c r="E1186" i="13"/>
  <c r="G1178" i="13"/>
  <c r="G1175" i="13"/>
  <c r="G1171" i="13"/>
  <c r="F1165" i="13"/>
  <c r="E1165" i="13"/>
  <c r="G1136" i="13"/>
  <c r="G1097" i="13"/>
  <c r="G1096" i="13"/>
  <c r="F1087" i="13"/>
  <c r="E1087" i="13"/>
  <c r="F1070" i="13"/>
  <c r="E1070" i="13"/>
  <c r="G1057" i="13"/>
  <c r="G1056" i="13"/>
  <c r="G1054" i="13"/>
  <c r="G1044" i="13"/>
  <c r="G1024" i="13"/>
  <c r="G1003" i="13"/>
  <c r="G1002" i="13"/>
  <c r="G1000" i="13"/>
  <c r="G988" i="13"/>
  <c r="G960" i="13"/>
  <c r="G949" i="13"/>
  <c r="G943" i="13"/>
  <c r="G934" i="13"/>
  <c r="G927" i="13"/>
  <c r="G918" i="13"/>
  <c r="G905" i="13"/>
  <c r="G878" i="13"/>
  <c r="G874" i="13"/>
  <c r="G872" i="13"/>
  <c r="G871" i="13"/>
  <c r="G849" i="13"/>
  <c r="G848" i="13"/>
  <c r="G811" i="13"/>
  <c r="G807" i="13"/>
  <c r="G806" i="13"/>
  <c r="G805" i="13"/>
  <c r="G801" i="13"/>
  <c r="G800" i="13"/>
  <c r="G796" i="13"/>
  <c r="F795" i="13"/>
  <c r="E795" i="13"/>
  <c r="G774" i="13"/>
  <c r="F760" i="13"/>
  <c r="E760" i="13"/>
  <c r="G756" i="13"/>
  <c r="G749" i="13"/>
  <c r="G748" i="13"/>
  <c r="G740" i="13"/>
  <c r="G738" i="13"/>
  <c r="G707" i="13"/>
  <c r="G682" i="13"/>
  <c r="G677" i="13"/>
  <c r="G673" i="13"/>
  <c r="G665" i="13"/>
  <c r="G653" i="13"/>
  <c r="G647" i="13"/>
  <c r="G630" i="13"/>
  <c r="G629" i="13"/>
  <c r="G625" i="13"/>
  <c r="G624" i="13"/>
  <c r="G612" i="13"/>
  <c r="G607" i="13"/>
  <c r="G583" i="13"/>
  <c r="G581" i="13"/>
  <c r="G579" i="13"/>
  <c r="F548" i="13"/>
  <c r="E548" i="13"/>
  <c r="G532" i="13"/>
  <c r="G528" i="13"/>
  <c r="G509" i="13"/>
  <c r="G504" i="13"/>
  <c r="G496" i="13"/>
  <c r="G494" i="13"/>
  <c r="G484" i="13"/>
  <c r="G482" i="13"/>
  <c r="G480" i="13"/>
  <c r="G479" i="13"/>
  <c r="G478" i="13"/>
  <c r="G463" i="13"/>
  <c r="G462" i="13"/>
  <c r="G448" i="13"/>
  <c r="G434" i="13"/>
  <c r="G424" i="13"/>
  <c r="G423" i="13"/>
  <c r="G422" i="13"/>
  <c r="G383" i="13"/>
  <c r="G382" i="13"/>
  <c r="G381" i="13"/>
  <c r="G372" i="13"/>
  <c r="G345" i="13"/>
  <c r="G337" i="13"/>
  <c r="G315" i="13"/>
  <c r="G313" i="13"/>
  <c r="G291" i="13"/>
  <c r="G290" i="13"/>
  <c r="G281" i="13"/>
  <c r="G265" i="13"/>
  <c r="G245" i="13"/>
  <c r="G243" i="13"/>
  <c r="G225" i="13"/>
  <c r="F216" i="13"/>
  <c r="E216" i="13"/>
  <c r="G214" i="13"/>
  <c r="G196" i="13"/>
  <c r="G189" i="13"/>
  <c r="G185" i="13"/>
  <c r="G181" i="13"/>
  <c r="G174" i="13"/>
  <c r="G173" i="13"/>
  <c r="G165" i="13"/>
  <c r="G78" i="13"/>
  <c r="G62" i="13"/>
  <c r="G61" i="13"/>
  <c r="G60" i="13"/>
  <c r="G59" i="13"/>
  <c r="G57" i="13"/>
  <c r="G53" i="13"/>
  <c r="G50" i="13"/>
  <c r="G48" i="13"/>
  <c r="G44" i="13"/>
  <c r="G43" i="13"/>
  <c r="F36" i="13"/>
  <c r="E36" i="13"/>
  <c r="G35" i="13"/>
  <c r="G34" i="13"/>
  <c r="F24" i="13"/>
  <c r="E24" i="13"/>
  <c r="G23" i="13"/>
  <c r="G22" i="13"/>
  <c r="G18" i="13"/>
  <c r="F11" i="13"/>
  <c r="E11" i="13"/>
  <c r="F3" i="13"/>
  <c r="C4378" i="13" s="1"/>
  <c r="E3" i="13"/>
  <c r="G2531" i="13" l="1"/>
  <c r="G2677" i="13"/>
  <c r="G2954" i="13"/>
  <c r="G2963" i="13"/>
  <c r="G3146" i="13"/>
  <c r="G3207" i="13"/>
  <c r="G3330" i="13"/>
  <c r="G3367" i="13"/>
  <c r="G216" i="13"/>
  <c r="G548" i="13"/>
  <c r="G795" i="13"/>
  <c r="G1087" i="13"/>
  <c r="G1186" i="13"/>
  <c r="G1205" i="13"/>
  <c r="G1359" i="13"/>
  <c r="G1381" i="13"/>
  <c r="G1431" i="13"/>
  <c r="G2353" i="13"/>
  <c r="G4136" i="13"/>
  <c r="G11" i="13"/>
  <c r="G24" i="13"/>
  <c r="G36" i="13"/>
  <c r="G760" i="13"/>
  <c r="G1070" i="13"/>
  <c r="G1165" i="13"/>
  <c r="G1212" i="13"/>
  <c r="G1277" i="13"/>
  <c r="G1883" i="13"/>
  <c r="G2476" i="13"/>
  <c r="G2654" i="13"/>
  <c r="G3882" i="13"/>
  <c r="G4125" i="13"/>
  <c r="C4377" i="13"/>
  <c r="G3" i="13"/>
  <c r="C6400" i="12"/>
  <c r="G22" i="11"/>
  <c r="F21" i="11"/>
  <c r="E21" i="11"/>
  <c r="G21" i="11" s="1"/>
  <c r="G20" i="11"/>
  <c r="G19" i="11"/>
  <c r="G18" i="11"/>
  <c r="G17" i="11"/>
  <c r="G16" i="11"/>
  <c r="G15" i="11"/>
  <c r="G14" i="11"/>
  <c r="G13" i="11"/>
  <c r="G12" i="11"/>
  <c r="G11" i="11"/>
  <c r="G10" i="11"/>
  <c r="G9" i="11"/>
  <c r="F8" i="11"/>
  <c r="G8" i="11" s="1"/>
  <c r="E8" i="11"/>
  <c r="G7" i="11"/>
  <c r="G6" i="11"/>
  <c r="G5" i="11"/>
  <c r="G4" i="11"/>
  <c r="G3" i="11"/>
  <c r="G22" i="10"/>
  <c r="F21" i="10"/>
  <c r="G21" i="10" s="1"/>
  <c r="E21" i="10"/>
  <c r="G20" i="10"/>
  <c r="F19" i="10"/>
  <c r="G19" i="10" s="1"/>
  <c r="E19" i="10"/>
  <c r="G18" i="10"/>
  <c r="G17" i="10"/>
  <c r="G16" i="10"/>
  <c r="F15" i="10"/>
  <c r="G15" i="10" s="1"/>
  <c r="E15" i="10"/>
  <c r="F14" i="10"/>
  <c r="E14" i="10"/>
  <c r="G14" i="10" s="1"/>
  <c r="F13" i="10"/>
  <c r="G13" i="10" s="1"/>
  <c r="E13" i="10"/>
  <c r="G12" i="10"/>
  <c r="G11" i="10"/>
  <c r="G10" i="10"/>
  <c r="G9" i="10"/>
  <c r="G8" i="10"/>
  <c r="G7" i="10"/>
  <c r="G6" i="10"/>
  <c r="G5" i="10"/>
  <c r="G4" i="10"/>
  <c r="F3" i="10"/>
  <c r="G3" i="10" s="1"/>
  <c r="E3" i="10"/>
  <c r="C4382" i="13" l="1"/>
  <c r="C4381" i="13"/>
  <c r="C4380" i="13"/>
  <c r="C6406" i="12"/>
  <c r="C6401" i="12"/>
  <c r="C6404" i="12"/>
  <c r="C6403" i="12"/>
  <c r="C4379" i="13" l="1"/>
  <c r="C6402" i="12"/>
  <c r="C6405" i="12"/>
</calcChain>
</file>

<file path=xl/sharedStrings.xml><?xml version="1.0" encoding="utf-8"?>
<sst xmlns="http://schemas.openxmlformats.org/spreadsheetml/2006/main" count="83671" uniqueCount="4733">
  <si>
    <t>Aberdeen City</t>
  </si>
  <si>
    <t>Scotland</t>
  </si>
  <si>
    <t>Aberdeenshire</t>
  </si>
  <si>
    <t>Adur</t>
  </si>
  <si>
    <t>South East</t>
  </si>
  <si>
    <t>Allerdale</t>
  </si>
  <si>
    <t>North West</t>
  </si>
  <si>
    <t>Amber Valley</t>
  </si>
  <si>
    <t>East Midlands</t>
  </si>
  <si>
    <t>Angus</t>
  </si>
  <si>
    <t>Antrim</t>
  </si>
  <si>
    <t>Northern Ireland</t>
  </si>
  <si>
    <t>Ards</t>
  </si>
  <si>
    <t>Argyll and Bute</t>
  </si>
  <si>
    <t>Armagh</t>
  </si>
  <si>
    <t>Arun</t>
  </si>
  <si>
    <t>Ashfield</t>
  </si>
  <si>
    <t>Ashford</t>
  </si>
  <si>
    <t>Aylesbury Vale</t>
  </si>
  <si>
    <t>Babergh</t>
  </si>
  <si>
    <t>East of England</t>
  </si>
  <si>
    <t>Ballymena</t>
  </si>
  <si>
    <t>Ballymoney</t>
  </si>
  <si>
    <t>Banbridge</t>
  </si>
  <si>
    <t>Barking and Dagenham</t>
  </si>
  <si>
    <t>London</t>
  </si>
  <si>
    <t>Barnet</t>
  </si>
  <si>
    <t>Barnsley</t>
  </si>
  <si>
    <t>Yorkshire and Humber</t>
  </si>
  <si>
    <t>Barrow-in-Furness</t>
  </si>
  <si>
    <t>Basildon</t>
  </si>
  <si>
    <t>Basingstoke and Deane</t>
  </si>
  <si>
    <t>Bassetlaw</t>
  </si>
  <si>
    <t>Bath and North East Somerset</t>
  </si>
  <si>
    <t>South West</t>
  </si>
  <si>
    <t>Bedford Borough</t>
  </si>
  <si>
    <t>Belfast</t>
  </si>
  <si>
    <t>Bexley</t>
  </si>
  <si>
    <t>Birmingham</t>
  </si>
  <si>
    <t>West Midlands</t>
  </si>
  <si>
    <t>Blaby</t>
  </si>
  <si>
    <t>Blackburn with Darwen</t>
  </si>
  <si>
    <t>Blackpool</t>
  </si>
  <si>
    <t>Blaenau Gwent</t>
  </si>
  <si>
    <t>Wales</t>
  </si>
  <si>
    <t>Bolsover</t>
  </si>
  <si>
    <t>Bolton</t>
  </si>
  <si>
    <t>Boston</t>
  </si>
  <si>
    <t>Bournemouth</t>
  </si>
  <si>
    <t>Bracknell Forest</t>
  </si>
  <si>
    <t>Bradford</t>
  </si>
  <si>
    <t>Braintree</t>
  </si>
  <si>
    <t>Breckland</t>
  </si>
  <si>
    <t>Brent</t>
  </si>
  <si>
    <t>Brentwood</t>
  </si>
  <si>
    <t>Bridgend</t>
  </si>
  <si>
    <t>Brighton and Hove</t>
  </si>
  <si>
    <t>Bristol</t>
  </si>
  <si>
    <t>Broadland</t>
  </si>
  <si>
    <t>Bromley</t>
  </si>
  <si>
    <t>Bromsgrove</t>
  </si>
  <si>
    <t>Broxbourne</t>
  </si>
  <si>
    <t>Broxtowe</t>
  </si>
  <si>
    <t>Buckinghamshire</t>
  </si>
  <si>
    <t>Burnley</t>
  </si>
  <si>
    <t>Bury</t>
  </si>
  <si>
    <t>Caerphilly</t>
  </si>
  <si>
    <t>Calderdale</t>
  </si>
  <si>
    <t>Cambridge</t>
  </si>
  <si>
    <t>Cambridgeshire</t>
  </si>
  <si>
    <t>Camden</t>
  </si>
  <si>
    <t>Cannock Chase</t>
  </si>
  <si>
    <t>Canterbury</t>
  </si>
  <si>
    <t>Cardiff</t>
  </si>
  <si>
    <t>Carlisle</t>
  </si>
  <si>
    <t>Carmarthenshire</t>
  </si>
  <si>
    <t>Carrickfergus</t>
  </si>
  <si>
    <t>Castle Point</t>
  </si>
  <si>
    <t>Castlereagh</t>
  </si>
  <si>
    <t>Central Bedfordshire</t>
  </si>
  <si>
    <t>Ceredigion</t>
  </si>
  <si>
    <t>Charnwood</t>
  </si>
  <si>
    <t>Chelmsford</t>
  </si>
  <si>
    <t>Cheltenham</t>
  </si>
  <si>
    <t>Cherwell</t>
  </si>
  <si>
    <t>Cheshire East</t>
  </si>
  <si>
    <t>Cheshire West and Chester</t>
  </si>
  <si>
    <t>Chesterfield</t>
  </si>
  <si>
    <t>Chichester</t>
  </si>
  <si>
    <t>Chiltern</t>
  </si>
  <si>
    <t>Chorley</t>
  </si>
  <si>
    <t>Christchurch</t>
  </si>
  <si>
    <t>City of Edinburgh</t>
  </si>
  <si>
    <t>City of London</t>
  </si>
  <si>
    <t>Clackmannanshire</t>
  </si>
  <si>
    <t>Colchester</t>
  </si>
  <si>
    <t>Coleraine</t>
  </si>
  <si>
    <t>Conwy</t>
  </si>
  <si>
    <t>Cookstown</t>
  </si>
  <si>
    <t>Copeland</t>
  </si>
  <si>
    <t>Corby</t>
  </si>
  <si>
    <t>Cornwall</t>
  </si>
  <si>
    <t>Cotswold</t>
  </si>
  <si>
    <t>Coventry</t>
  </si>
  <si>
    <t>Craigavon</t>
  </si>
  <si>
    <t>Craven</t>
  </si>
  <si>
    <t>Crawley</t>
  </si>
  <si>
    <t>Croydon</t>
  </si>
  <si>
    <t>Cumbria</t>
  </si>
  <si>
    <t>Dacorum</t>
  </si>
  <si>
    <t>Darlington</t>
  </si>
  <si>
    <t>North East</t>
  </si>
  <si>
    <t>Dartford</t>
  </si>
  <si>
    <t>Daventry</t>
  </si>
  <si>
    <t>Denbighshire</t>
  </si>
  <si>
    <t>Derby</t>
  </si>
  <si>
    <t>Derbyshire</t>
  </si>
  <si>
    <t>Derbyshire Dales</t>
  </si>
  <si>
    <t>Derry City</t>
  </si>
  <si>
    <t>Devon</t>
  </si>
  <si>
    <t>Doncaster</t>
  </si>
  <si>
    <t>Dorset</t>
  </si>
  <si>
    <t>Dover</t>
  </si>
  <si>
    <t>Down</t>
  </si>
  <si>
    <t>Dudley</t>
  </si>
  <si>
    <t>Dumfries and Galloway</t>
  </si>
  <si>
    <t>Dundee City</t>
  </si>
  <si>
    <t>Dungannon</t>
  </si>
  <si>
    <t>Durham</t>
  </si>
  <si>
    <t>Ealing</t>
  </si>
  <si>
    <t>East Ayrshire</t>
  </si>
  <si>
    <t>East Cambridgeshire</t>
  </si>
  <si>
    <t>East Devon</t>
  </si>
  <si>
    <t>East Dorset</t>
  </si>
  <si>
    <t>South west</t>
  </si>
  <si>
    <t>East Dunbartonshire</t>
  </si>
  <si>
    <t>East Hampshire</t>
  </si>
  <si>
    <t>East Hertfordshire</t>
  </si>
  <si>
    <t>East Lindsey</t>
  </si>
  <si>
    <t>East Lothian</t>
  </si>
  <si>
    <t>East Northamptonshire</t>
  </si>
  <si>
    <t>East Renfrewshire</t>
  </si>
  <si>
    <t>East Riding of Yorkshire</t>
  </si>
  <si>
    <t>East Staffordshire</t>
  </si>
  <si>
    <t>East Sussex</t>
  </si>
  <si>
    <t>Eastbourne</t>
  </si>
  <si>
    <t>Eastleigh</t>
  </si>
  <si>
    <t>Eden</t>
  </si>
  <si>
    <t xml:space="preserve">Eilean Siar </t>
  </si>
  <si>
    <t>Elmbridge</t>
  </si>
  <si>
    <t>Enfield</t>
  </si>
  <si>
    <t>Epping Forest</t>
  </si>
  <si>
    <t>Epsom and Ewell</t>
  </si>
  <si>
    <t>Erewash</t>
  </si>
  <si>
    <t>Essex</t>
  </si>
  <si>
    <t>Exeter</t>
  </si>
  <si>
    <t>Falkirk</t>
  </si>
  <si>
    <t>Fareham</t>
  </si>
  <si>
    <t>Fenland</t>
  </si>
  <si>
    <t>Fermanagh</t>
  </si>
  <si>
    <t>Fife</t>
  </si>
  <si>
    <t>Flintshire</t>
  </si>
  <si>
    <t>Forest Heath</t>
  </si>
  <si>
    <t>Forest of Dean</t>
  </si>
  <si>
    <t>Fylde</t>
  </si>
  <si>
    <t>North west</t>
  </si>
  <si>
    <t>Gateshead</t>
  </si>
  <si>
    <t>Gedling</t>
  </si>
  <si>
    <t>Glasgow City</t>
  </si>
  <si>
    <t>Gloucester</t>
  </si>
  <si>
    <t>Gloucestershire</t>
  </si>
  <si>
    <t>Gosport</t>
  </si>
  <si>
    <t>Gravesham</t>
  </si>
  <si>
    <t>Great Yarmouth</t>
  </si>
  <si>
    <t>Greater London Authority</t>
  </si>
  <si>
    <t>Greenwich</t>
  </si>
  <si>
    <t>Guildford</t>
  </si>
  <si>
    <t>Gwynedd</t>
  </si>
  <si>
    <t>Hackney</t>
  </si>
  <si>
    <t>Halton</t>
  </si>
  <si>
    <t>Hambleton</t>
  </si>
  <si>
    <t>Hammersmith and Fulham</t>
  </si>
  <si>
    <t>Hampshire</t>
  </si>
  <si>
    <t>Harborough</t>
  </si>
  <si>
    <t>Haringey</t>
  </si>
  <si>
    <t>Harlow</t>
  </si>
  <si>
    <t>Harrogate</t>
  </si>
  <si>
    <t>Harrow</t>
  </si>
  <si>
    <t>Hart</t>
  </si>
  <si>
    <t>Hartlepool</t>
  </si>
  <si>
    <t>Hastings</t>
  </si>
  <si>
    <t>Havant</t>
  </si>
  <si>
    <t>Havering</t>
  </si>
  <si>
    <t>Herefordshire</t>
  </si>
  <si>
    <t>Hertfordshire</t>
  </si>
  <si>
    <t>Hertsmere</t>
  </si>
  <si>
    <t>Highland</t>
  </si>
  <si>
    <t>Hillingdon</t>
  </si>
  <si>
    <t>Hinckley and Bosworth</t>
  </si>
  <si>
    <t>Horsham</t>
  </si>
  <si>
    <t>Hounslow</t>
  </si>
  <si>
    <t>Huntingdonshire</t>
  </si>
  <si>
    <t>Hyndburn</t>
  </si>
  <si>
    <t>Inverclyde</t>
  </si>
  <si>
    <t>Ipswich</t>
  </si>
  <si>
    <t>Isle of Anglesey</t>
  </si>
  <si>
    <t>Isle of Wight</t>
  </si>
  <si>
    <t>Isles of Scilly</t>
  </si>
  <si>
    <t>Islington</t>
  </si>
  <si>
    <t>Kensington and Chelsea</t>
  </si>
  <si>
    <t>Kent</t>
  </si>
  <si>
    <t>Kettering</t>
  </si>
  <si>
    <t>King's Lynn and West Norfolk</t>
  </si>
  <si>
    <t>Kingston upon Hull, City of</t>
  </si>
  <si>
    <t>Kingston upon Thames</t>
  </si>
  <si>
    <t>Kirklees</t>
  </si>
  <si>
    <t>Knowsley</t>
  </si>
  <si>
    <t>Lambeth</t>
  </si>
  <si>
    <t>Lancashire</t>
  </si>
  <si>
    <t>Lancaster</t>
  </si>
  <si>
    <t>Larne</t>
  </si>
  <si>
    <t>Leeds</t>
  </si>
  <si>
    <t>Leicester</t>
  </si>
  <si>
    <t>Leicestershire</t>
  </si>
  <si>
    <t>Lewes</t>
  </si>
  <si>
    <t>Lewisham</t>
  </si>
  <si>
    <t>Lichfield</t>
  </si>
  <si>
    <t>Limavady</t>
  </si>
  <si>
    <t xml:space="preserve">Lincoln </t>
  </si>
  <si>
    <t>Lincolnshire</t>
  </si>
  <si>
    <t>Lisburn</t>
  </si>
  <si>
    <t>Liverpool</t>
  </si>
  <si>
    <t>Luton</t>
  </si>
  <si>
    <t>Magherafelt</t>
  </si>
  <si>
    <t>Maidstone</t>
  </si>
  <si>
    <t>Maldon</t>
  </si>
  <si>
    <t>Malvern Hills</t>
  </si>
  <si>
    <t>Manchester</t>
  </si>
  <si>
    <t>Mansfield</t>
  </si>
  <si>
    <t>Medway</t>
  </si>
  <si>
    <t>Melton</t>
  </si>
  <si>
    <t>Mendip</t>
  </si>
  <si>
    <t>Merthyr Tydfil</t>
  </si>
  <si>
    <t>Merton</t>
  </si>
  <si>
    <t>Mid Devon</t>
  </si>
  <si>
    <t>Mid Suffolk</t>
  </si>
  <si>
    <t>Mid Sussex</t>
  </si>
  <si>
    <t>Middlesbrough</t>
  </si>
  <si>
    <t>Midlothian</t>
  </si>
  <si>
    <t>Milton Keynes</t>
  </si>
  <si>
    <t>Mole Valley</t>
  </si>
  <si>
    <t>Monmouthshire</t>
  </si>
  <si>
    <t>Moray</t>
  </si>
  <si>
    <t>Moyle</t>
  </si>
  <si>
    <t>Neath Port Talbot</t>
  </si>
  <si>
    <t>New Forest</t>
  </si>
  <si>
    <t>Newark and Sherwood</t>
  </si>
  <si>
    <t>Newcastle upon Tyne</t>
  </si>
  <si>
    <t>Newcastle-under-Lyme</t>
  </si>
  <si>
    <t>Newham</t>
  </si>
  <si>
    <t>Newport</t>
  </si>
  <si>
    <t>Newry and Mourne</t>
  </si>
  <si>
    <t>Newtownabbey</t>
  </si>
  <si>
    <t>Norfolk</t>
  </si>
  <si>
    <t>North Ayrshire</t>
  </si>
  <si>
    <t>North Devon</t>
  </si>
  <si>
    <t>North Dorset</t>
  </si>
  <si>
    <t>North Down</t>
  </si>
  <si>
    <t>North East Derbyshire</t>
  </si>
  <si>
    <t>North East Lincolnshire</t>
  </si>
  <si>
    <t>North Hertfordshire</t>
  </si>
  <si>
    <t>North Kesteven</t>
  </si>
  <si>
    <t>North Lanarkshire</t>
  </si>
  <si>
    <t>North Lincolnshire</t>
  </si>
  <si>
    <t>North Norfolk</t>
  </si>
  <si>
    <t>North Somerset</t>
  </si>
  <si>
    <t>North Tyneside</t>
  </si>
  <si>
    <t>North Warwickshire</t>
  </si>
  <si>
    <t>North West Leicestershire</t>
  </si>
  <si>
    <t>North Yorkshire</t>
  </si>
  <si>
    <t>Northampton</t>
  </si>
  <si>
    <t>Northamptonshire</t>
  </si>
  <si>
    <t>Northumberland</t>
  </si>
  <si>
    <t>Norwich</t>
  </si>
  <si>
    <t>Nottingham</t>
  </si>
  <si>
    <t>Nottinghamshire</t>
  </si>
  <si>
    <t>Nuneaton and Bedworth</t>
  </si>
  <si>
    <t>Oadby and Wigston</t>
  </si>
  <si>
    <t>Oldham</t>
  </si>
  <si>
    <t>Omagh</t>
  </si>
  <si>
    <t>Orkney Islands</t>
  </si>
  <si>
    <t>Oxford</t>
  </si>
  <si>
    <t>Oxfordshire</t>
  </si>
  <si>
    <t>Pembrokeshire</t>
  </si>
  <si>
    <t>Pendle</t>
  </si>
  <si>
    <t>Perth and Kinross</t>
  </si>
  <si>
    <t>Peterborough</t>
  </si>
  <si>
    <t>Plymouth</t>
  </si>
  <si>
    <t>Poole</t>
  </si>
  <si>
    <t>Portsmouth</t>
  </si>
  <si>
    <t>Powys</t>
  </si>
  <si>
    <t>Preston</t>
  </si>
  <si>
    <t>Purbeck</t>
  </si>
  <si>
    <t>Reading</t>
  </si>
  <si>
    <t>Redbridge</t>
  </si>
  <si>
    <t>Redcar and Cleveland</t>
  </si>
  <si>
    <t>Redditch</t>
  </si>
  <si>
    <t>Reigate and Banstead</t>
  </si>
  <si>
    <t>Renfrewshire</t>
  </si>
  <si>
    <t>Rhondda, Cynon, Taff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</si>
  <si>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</si>
  <si>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</si>
  <si>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</si>
  <si>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</si>
  <si>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</si>
  <si>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</si>
  <si>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</si>
  <si>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</si>
  <si>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</si>
  <si>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</si>
  <si>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</si>
  <si>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</si>
  <si>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</si>
  <si>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</si>
  <si>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</si>
  <si>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</si>
  <si>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</si>
  <si>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</si>
  <si>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</si>
  <si>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</si>
  <si>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</si>
  <si>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</si>
  <si>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</si>
  <si>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Shepway</t>
  </si>
  <si>
    <t>Shetland Islands</t>
  </si>
  <si>
    <t>Shropshire</t>
  </si>
  <si>
    <t>Slough</t>
  </si>
  <si>
    <t>Solihull</t>
  </si>
  <si>
    <t>Somerset</t>
  </si>
  <si>
    <t>South Ayrshire</t>
  </si>
  <si>
    <t>South Bucks</t>
  </si>
  <si>
    <t>South Cambridgeshire</t>
  </si>
  <si>
    <t>South Derbyshire</t>
  </si>
  <si>
    <t>South Gloucestershire</t>
  </si>
  <si>
    <t>South Hams</t>
  </si>
  <si>
    <t>South Holland</t>
  </si>
  <si>
    <t>South Kesteven</t>
  </si>
  <si>
    <t>South Lakeland</t>
  </si>
  <si>
    <t>South Lanarkshire</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</si>
  <si>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</si>
  <si>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</si>
  <si>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</si>
  <si>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</si>
  <si>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</si>
  <si>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</si>
  <si>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</si>
  <si>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</si>
  <si>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</si>
  <si>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</si>
  <si>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</si>
  <si>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</si>
  <si>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</si>
  <si>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</si>
  <si>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</si>
  <si>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t>
  </si>
  <si>
    <t>Staffordshire Moorlands</t>
  </si>
  <si>
    <t>Stevenage</t>
  </si>
  <si>
    <t>Stirling</t>
  </si>
  <si>
    <t>Stockport</t>
  </si>
  <si>
    <t>Stockton-on-Tees</t>
  </si>
  <si>
    <t>Stoke-on-Trent</t>
  </si>
  <si>
    <t>Strabane</t>
  </si>
  <si>
    <t>Stratford-on-Avon</t>
  </si>
  <si>
    <t>Stroud</t>
  </si>
  <si>
    <t>Suffolk</t>
  </si>
  <si>
    <t>Suffolk Coastal</t>
  </si>
  <si>
    <t>Sunderland</t>
  </si>
  <si>
    <t>Surrey</t>
  </si>
  <si>
    <t>Surrey Heath</t>
  </si>
  <si>
    <t>Sutton</t>
  </si>
  <si>
    <t>Swale</t>
  </si>
  <si>
    <t>Swansea</t>
  </si>
  <si>
    <t>Swindon</t>
  </si>
  <si>
    <t>Tameside</t>
  </si>
  <si>
    <t>Tamworth</t>
  </si>
  <si>
    <t>Tandridge</t>
  </si>
  <si>
    <t>Taunton Deane</t>
  </si>
  <si>
    <t>Teignbridge</t>
  </si>
  <si>
    <t>Telford and Wrekin</t>
  </si>
  <si>
    <t>Tendring</t>
  </si>
  <si>
    <t>Test Valley</t>
  </si>
  <si>
    <t>Tewkesbury</t>
  </si>
  <si>
    <t>Thanet</t>
  </si>
  <si>
    <t>Three Rivers</t>
  </si>
  <si>
    <t>Thurrock</t>
  </si>
  <si>
    <t>Tonbridge and Malling</t>
  </si>
  <si>
    <t>Torbay</t>
  </si>
  <si>
    <t>Torfaen</t>
  </si>
  <si>
    <t>Tower Hamlets</t>
  </si>
  <si>
    <t>Trafford</t>
  </si>
  <si>
    <t>Tunbridge Wells</t>
  </si>
  <si>
    <t>Uttlesford</t>
  </si>
  <si>
    <t>Vale of White Horse</t>
  </si>
  <si>
    <t>Wakefield</t>
  </si>
  <si>
    <t>Walsall</t>
  </si>
  <si>
    <t>Waltham Forest</t>
  </si>
  <si>
    <t>Wandsworth</t>
  </si>
  <si>
    <t>Warrington</t>
  </si>
  <si>
    <t>Warwick</t>
  </si>
  <si>
    <t>Warwickshire</t>
  </si>
  <si>
    <t>Watford</t>
  </si>
  <si>
    <t>Waverley</t>
  </si>
  <si>
    <t>Wealden</t>
  </si>
  <si>
    <t>Wellingborough</t>
  </si>
  <si>
    <t>Welwyn Hatfield</t>
  </si>
  <si>
    <t>West Berkshire</t>
  </si>
  <si>
    <t>West Devon</t>
  </si>
  <si>
    <t>West Dunbartonshire</t>
  </si>
  <si>
    <t>West Lancashire</t>
  </si>
  <si>
    <t>West Lindsey</t>
  </si>
  <si>
    <t>West Lothian</t>
  </si>
  <si>
    <t>West Oxfordshire</t>
  </si>
  <si>
    <t>West Somerset</t>
  </si>
  <si>
    <t>West Sussex</t>
  </si>
  <si>
    <t>Westminster</t>
  </si>
  <si>
    <t>Weymouth and Portland</t>
  </si>
  <si>
    <t>Wigan</t>
  </si>
  <si>
    <t>Wiltshire</t>
  </si>
  <si>
    <t>Winchester</t>
  </si>
  <si>
    <t>Windsor and Maidenhead</t>
  </si>
  <si>
    <t>Wirral</t>
  </si>
  <si>
    <t>Woking</t>
  </si>
  <si>
    <t>Wokingham</t>
  </si>
  <si>
    <t>Wolverhampton</t>
  </si>
  <si>
    <t>Worcester</t>
  </si>
  <si>
    <t>Worcestershire</t>
  </si>
  <si>
    <t>Wrexham</t>
  </si>
  <si>
    <t>Wychavon</t>
  </si>
  <si>
    <t>Wycombe</t>
  </si>
  <si>
    <t>Wyre</t>
  </si>
  <si>
    <t>Wyre Forest</t>
  </si>
  <si>
    <t>York</t>
  </si>
  <si>
    <t>Region</t>
  </si>
  <si>
    <t>Council</t>
  </si>
  <si>
    <t>Name</t>
  </si>
  <si>
    <t>Job Title</t>
  </si>
  <si>
    <t>2009-10</t>
  </si>
  <si>
    <t>2010-11</t>
  </si>
  <si>
    <t>Total Remuneration</t>
  </si>
  <si>
    <t>% Change</t>
  </si>
  <si>
    <t>Chief Executive</t>
  </si>
  <si>
    <t>Assistant Chief Executive</t>
  </si>
  <si>
    <t>Director of Corporate Services</t>
  </si>
  <si>
    <t>K. Green</t>
  </si>
  <si>
    <t>Director of Neighbourhood Services</t>
  </si>
  <si>
    <t>Deputy Chief Executive</t>
  </si>
  <si>
    <t>Director of Children's services</t>
  </si>
  <si>
    <t>Director of Commercial Services</t>
  </si>
  <si>
    <t>Director of City Strategy</t>
  </si>
  <si>
    <t>Director of Adults, Children &amp; Education</t>
  </si>
  <si>
    <t>Director of Communities &amp; Neighbourhoods</t>
  </si>
  <si>
    <t>Director of Customer &amp; Business Support Services</t>
  </si>
  <si>
    <t>Director of People &amp; Improvement</t>
  </si>
  <si>
    <t>Director of Resources</t>
  </si>
  <si>
    <t>Unknown title</t>
  </si>
  <si>
    <t>-</t>
  </si>
  <si>
    <t>Director of Leisure Services</t>
  </si>
  <si>
    <t>Mr I Miller</t>
  </si>
  <si>
    <t>Corporate Director</t>
  </si>
  <si>
    <t>K Satterford</t>
  </si>
  <si>
    <t>Managing Director</t>
  </si>
  <si>
    <t>Strategic &amp; Performance Director</t>
  </si>
  <si>
    <t>Strategic Director 1</t>
  </si>
  <si>
    <t>Strategic Director 2</t>
  </si>
  <si>
    <t>Mrs T Haines</t>
  </si>
  <si>
    <t>Direct of Adult &amp; Community Services</t>
  </si>
  <si>
    <t>Director of Environmental Services</t>
  </si>
  <si>
    <t>Director of Financial Services</t>
  </si>
  <si>
    <t>Head of Urban Environment</t>
  </si>
  <si>
    <t>Head of Financial Services</t>
  </si>
  <si>
    <t>Mr Simon Warren</t>
  </si>
  <si>
    <t>Director: Children &amp; Young People</t>
  </si>
  <si>
    <t>Director: Regeneration &amp; Environment</t>
  </si>
  <si>
    <t>Director: Pensions</t>
  </si>
  <si>
    <t>Director: Customer &amp; Shared Services</t>
  </si>
  <si>
    <t>Director: Adults &amp; Community</t>
  </si>
  <si>
    <t>Chief Legal Officer</t>
  </si>
  <si>
    <t>Chief Financial Officer</t>
  </si>
  <si>
    <t>Mr Richard Carr</t>
  </si>
  <si>
    <t>Susan Law</t>
  </si>
  <si>
    <t>Heather Thwaites</t>
  </si>
  <si>
    <t>Strategic Director - Strategy &amp; Corporate Affairs</t>
  </si>
  <si>
    <t>Stuart Rowbotham</t>
  </si>
  <si>
    <t>Graham Ebers</t>
  </si>
  <si>
    <t>Strategic Director - Commissioning</t>
  </si>
  <si>
    <t>Strategic Director - Place Based Service Delivery</t>
  </si>
  <si>
    <t>Strategic Director - Resources</t>
  </si>
  <si>
    <t>Mark Moon</t>
  </si>
  <si>
    <t>Andy Couldrick</t>
  </si>
  <si>
    <t>Strategic Director - People Delivery Based Services</t>
  </si>
  <si>
    <t>Andrew Moulton</t>
  </si>
  <si>
    <t>Director of Transformation</t>
  </si>
  <si>
    <t>Susanne Nelson-Wehrmeyer</t>
  </si>
  <si>
    <t>Manager - Governance &amp; Democratic Services</t>
  </si>
  <si>
    <t>Strategic Director</t>
  </si>
  <si>
    <t>Interim Chief Executive</t>
  </si>
  <si>
    <t>Director of Technical Services</t>
  </si>
  <si>
    <t>Director of Finance</t>
  </si>
  <si>
    <t>Interim Director of Adult Social Services</t>
  </si>
  <si>
    <t>Director of Adult Social Services (retired)</t>
  </si>
  <si>
    <t>Director Law, HR and Asset Management</t>
  </si>
  <si>
    <t>Ian Trenholm</t>
  </si>
  <si>
    <t>David Oram</t>
  </si>
  <si>
    <t>Strat. Director of Environment</t>
  </si>
  <si>
    <t>Head of Families &amp; Young People</t>
  </si>
  <si>
    <t>Strategic Director of Resources</t>
  </si>
  <si>
    <t>Head of Safeguarding</t>
  </si>
  <si>
    <t>Strategic Director of Children's Services</t>
  </si>
  <si>
    <t>Strategic Director of Adult &amp; Comm Services</t>
  </si>
  <si>
    <t>Head of Education &amp; Children's Services</t>
  </si>
  <si>
    <t>Head of Legal Services</t>
  </si>
  <si>
    <t>Director of Governance</t>
  </si>
  <si>
    <t>Director of Policy</t>
  </si>
  <si>
    <t>A Kerr</t>
  </si>
  <si>
    <t>Director Community Services</t>
  </si>
  <si>
    <t>Director Children and Education</t>
  </si>
  <si>
    <t>Director Neighborhood and Planning</t>
  </si>
  <si>
    <t>Joyce Redfearn</t>
  </si>
  <si>
    <t>Bernard Walker</t>
  </si>
  <si>
    <t>Executive Director</t>
  </si>
  <si>
    <t>Kevin Lawson</t>
  </si>
  <si>
    <t>Executive Director - Service Director</t>
  </si>
  <si>
    <t>Borough Solicitor</t>
  </si>
  <si>
    <t>Nick Hudson</t>
  </si>
  <si>
    <t>David Smith</t>
  </si>
  <si>
    <t>Gillian Bishop</t>
  </si>
  <si>
    <t>Paul McKevitt</t>
  </si>
  <si>
    <t xml:space="preserve">Executive Director </t>
  </si>
  <si>
    <t>Service Director Corporate Services &amp; Section 151 Officer</t>
  </si>
  <si>
    <t>Left during year</t>
  </si>
  <si>
    <t>left during year</t>
  </si>
  <si>
    <t>T Grainger</t>
  </si>
  <si>
    <t>Mike More</t>
  </si>
  <si>
    <t>Barbara Moorhouse</t>
  </si>
  <si>
    <t>Strategic Director of Finance &amp; Performance</t>
  </si>
  <si>
    <t>David Loseby</t>
  </si>
  <si>
    <t>Head of Procurement</t>
  </si>
  <si>
    <t>Strategic Director City Management</t>
  </si>
  <si>
    <t>Strategic Director Built Environment</t>
  </si>
  <si>
    <t>Director of Adult Social Services</t>
  </si>
  <si>
    <t>Strategic Director for Children &amp; Young People</t>
  </si>
  <si>
    <t>Kieran Stigant</t>
  </si>
  <si>
    <t>Mark Hammond</t>
  </si>
  <si>
    <t>John Dixon</t>
  </si>
  <si>
    <t>Executive Director Adults &amp; Children</t>
  </si>
  <si>
    <t>Diane Ashby</t>
  </si>
  <si>
    <t>Executive Director Customers &amp; Change</t>
  </si>
  <si>
    <t>Richard Hornby</t>
  </si>
  <si>
    <t>Executive Director Finance &amp; Performance</t>
  </si>
  <si>
    <t>County Fire Officer</t>
  </si>
  <si>
    <t>Director of Adults' Services</t>
  </si>
  <si>
    <t>Director of Business Change</t>
  </si>
  <si>
    <t>Director of Children's Services</t>
  </si>
  <si>
    <t>Director of Communities &amp; Infrastructure</t>
  </si>
  <si>
    <t>Director of Learning</t>
  </si>
  <si>
    <t>Director of Resources &amp; Performance</t>
  </si>
  <si>
    <t>Director Operations Infrastructure</t>
  </si>
  <si>
    <t>Director Policy &amp; Partnerships</t>
  </si>
  <si>
    <t>Head of Capital &amp; Asset Management</t>
  </si>
  <si>
    <t>Head of Human Resources</t>
  </si>
  <si>
    <t>Head of Legal &amp; Democratic Services</t>
  </si>
  <si>
    <t>Head of Strategic Partnerships</t>
  </si>
  <si>
    <t>Strategic Director (Development)</t>
  </si>
  <si>
    <t>Strategic Director (Environment)</t>
  </si>
  <si>
    <t>Strategic Director (Resources)</t>
  </si>
  <si>
    <t>G Hope</t>
  </si>
  <si>
    <t>G Ford</t>
  </si>
  <si>
    <t>Depute Chief Executive</t>
  </si>
  <si>
    <t>J Dickson</t>
  </si>
  <si>
    <t>M Gill</t>
  </si>
  <si>
    <t>David McMillan</t>
  </si>
  <si>
    <t>Terence Lanagan</t>
  </si>
  <si>
    <t>Executive Director of Educational Services</t>
  </si>
  <si>
    <t>Joyce White</t>
  </si>
  <si>
    <t>Executive Director of Corporate Services</t>
  </si>
  <si>
    <t>Elaine Melrose</t>
  </si>
  <si>
    <t>Executive Director Housing, Environmental and Economic Development Services</t>
  </si>
  <si>
    <t>unknown title</t>
  </si>
  <si>
    <t>Corporate Director - Children &amp; Young People</t>
  </si>
  <si>
    <t>Corporate Director - Environment</t>
  </si>
  <si>
    <t>Corporate Director - Community Services</t>
  </si>
  <si>
    <t>Michel Saminaden</t>
  </si>
  <si>
    <t>Bob Jewell</t>
  </si>
  <si>
    <t>Director (Finance &amp; Operations)</t>
  </si>
  <si>
    <t>Chris Conway</t>
  </si>
  <si>
    <t>Director (Strategy &amp; Development)</t>
  </si>
  <si>
    <t>Director of Community &amp; Environmental Services</t>
  </si>
  <si>
    <t>Salary £113,378, Expense allowance £6,540, Benefits in kind £6,587, Pension contributions £18,615</t>
  </si>
  <si>
    <t>Executive Director - Services</t>
  </si>
  <si>
    <t>Executive Director - Resources</t>
  </si>
  <si>
    <t>Jim Graham</t>
  </si>
  <si>
    <t>Strategic Director - Children, Young People &amp; Families</t>
  </si>
  <si>
    <t>Strategic Director - Customers, Workforce &amp; Governance</t>
  </si>
  <si>
    <t>Strategic Director - Environment &amp; Economy</t>
  </si>
  <si>
    <t>Chief Fire Officer</t>
  </si>
  <si>
    <t>Diana Terris</t>
  </si>
  <si>
    <t>Executive Director Neighbourhoods &amp; Community Services</t>
  </si>
  <si>
    <t>Executive Director Environment &amp; Regeneration</t>
  </si>
  <si>
    <t>Executive Director of Children &amp; Young People's Services</t>
  </si>
  <si>
    <t>Assistant Director Universal Services</t>
  </si>
  <si>
    <t>Assistant Director Business Planning &amp; Resources</t>
  </si>
  <si>
    <t>Chief Finance Officer</t>
  </si>
  <si>
    <t>Assistant Director Sustainable Transportation</t>
  </si>
  <si>
    <t>Solicitor to the Council</t>
  </si>
  <si>
    <t>Assistant Director Neighbourhood &amp; Cultural Services</t>
  </si>
  <si>
    <t>Former Assistant Director Community Support</t>
  </si>
  <si>
    <t>Former Assistant Director Environment &amp; Public Protection Services</t>
  </si>
  <si>
    <t>G Jones</t>
  </si>
  <si>
    <t>Chief Executive &amp; Director of Administration</t>
  </si>
  <si>
    <t>P Robinson</t>
  </si>
  <si>
    <t>N Powlson</t>
  </si>
  <si>
    <t>Assistant Director of Administration (Professional Services)</t>
  </si>
  <si>
    <t>C Buss</t>
  </si>
  <si>
    <t>Director of Finance &amp; Deputy Chief Executive</t>
  </si>
  <si>
    <t>P Brennan</t>
  </si>
  <si>
    <t>Director of Leisure and Amenity Services</t>
  </si>
  <si>
    <t>R Evans</t>
  </si>
  <si>
    <t>Director of Housing</t>
  </si>
  <si>
    <t>D Warwick</t>
  </si>
  <si>
    <t>Assistant Director of Administration (Support &amp; Democratic Services)</t>
  </si>
  <si>
    <t>Economic Development Officer</t>
  </si>
  <si>
    <t>W Meyers</t>
  </si>
  <si>
    <t>Assistant Director of Technical Services (Environmental Services &amp; Community Safety)</t>
  </si>
  <si>
    <t>Head of IT and Business Communications</t>
  </si>
  <si>
    <t>Borough Valuer and Estates Surveyor</t>
  </si>
  <si>
    <t>Head of Policy</t>
  </si>
  <si>
    <t>Head of Corporate Human Resources</t>
  </si>
  <si>
    <t>P Martin</t>
  </si>
  <si>
    <t>Chief Executive and Director of Administration</t>
  </si>
  <si>
    <t>Andrew Kilburn</t>
  </si>
  <si>
    <t>Martin Esom</t>
  </si>
  <si>
    <t>Executive Director of Children &amp; Young People Services</t>
  </si>
  <si>
    <t>Executive Director of Environment and Regeneration</t>
  </si>
  <si>
    <t>Director of People, Policy and Performance</t>
  </si>
  <si>
    <t>Director of Governance and Law</t>
  </si>
  <si>
    <t>Paul Sheehan</t>
  </si>
  <si>
    <t>Executive Director - Children's Services</t>
  </si>
  <si>
    <t>Executive Director - Neighbourhood Services</t>
  </si>
  <si>
    <t>Executive Director - Regeneration Services</t>
  </si>
  <si>
    <t>Assistant Director - Law &amp; Constitutional Services - Monitoring Officer</t>
  </si>
  <si>
    <t>Assistant Director- Finance - Section 151 officer</t>
  </si>
  <si>
    <t>employee</t>
  </si>
  <si>
    <t>agency staff</t>
  </si>
  <si>
    <t>Joanne Roney</t>
  </si>
  <si>
    <t>Corporate Director - Regeneration and Economic Growth</t>
  </si>
  <si>
    <t>Corporate Director - Communities</t>
  </si>
  <si>
    <t>Corporate Director - Family Services</t>
  </si>
  <si>
    <t>Corporate Director - Corporate Performance</t>
  </si>
  <si>
    <t>Director of Adult Services</t>
  </si>
  <si>
    <t>Head of Paid Service</t>
  </si>
  <si>
    <t>Chief Finance Officer (Section 151 Officer)</t>
  </si>
  <si>
    <t>Director of Regeneration &amp; Sustainability</t>
  </si>
  <si>
    <t>Deputy Chief Executive/Corporate Director (Transformation &amp; Resources)</t>
  </si>
  <si>
    <t>Corporate Director (Communities &amp; Wellbeing)</t>
  </si>
  <si>
    <t>K A Collins</t>
  </si>
  <si>
    <t>Corporate Director- Children, Schools &amp; Families</t>
  </si>
  <si>
    <t>Corporate Director - Resources</t>
  </si>
  <si>
    <t>Corporate Director - Adults Health &amp; Wellbeing</t>
  </si>
  <si>
    <t>Corporate Director - Development &amp; Renewal</t>
  </si>
  <si>
    <t>Former Assistant Chief Executive</t>
  </si>
  <si>
    <t>Assistant Chief Executive - Resources</t>
  </si>
  <si>
    <t>Chief Education Officer</t>
  </si>
  <si>
    <t>Elizabeth Raikes</t>
  </si>
  <si>
    <t>Caroline Taylor</t>
  </si>
  <si>
    <t>Carol Tozer</t>
  </si>
  <si>
    <t>Charles Uzzell</t>
  </si>
  <si>
    <t>Environment Commissioner</t>
  </si>
  <si>
    <t>Clare Tanner</t>
  </si>
  <si>
    <t>Operational Commissioner</t>
  </si>
  <si>
    <t>Director of Health &amp; Housing</t>
  </si>
  <si>
    <t>Director of Planning, Transport and Leisure</t>
  </si>
  <si>
    <t>Graham Farrant</t>
  </si>
  <si>
    <t>Director of Community Well Being</t>
  </si>
  <si>
    <t>Director of Sustainable Communities</t>
  </si>
  <si>
    <t>Director of Finance &amp; Corporate Governance</t>
  </si>
  <si>
    <t>Director - Corporate Resources</t>
  </si>
  <si>
    <t>Director - Environment &amp; Community</t>
  </si>
  <si>
    <t>Director of Legal, Public Protection &amp; Housing</t>
  </si>
  <si>
    <t>Director of Environmental and Economic Regeneration</t>
  </si>
  <si>
    <t>Director of Finance, ICT &amp; Property</t>
  </si>
  <si>
    <t>Director of Social Services</t>
  </si>
  <si>
    <t>Director of Economic Development &amp; Regeneration</t>
  </si>
  <si>
    <t>Deputy Chief Executive &amp; Director of Finance &amp; Corporate Services (Chief Financial Officer)</t>
  </si>
  <si>
    <t>Victor Brownlees</t>
  </si>
  <si>
    <t>Single Status Project Director</t>
  </si>
  <si>
    <t>Head of ICT &amp; Procurement</t>
  </si>
  <si>
    <t>Head of Community Protection</t>
  </si>
  <si>
    <t>S Weigel</t>
  </si>
  <si>
    <t>Chief Finance and Section 151 Officer</t>
  </si>
  <si>
    <t>Corporate Director Community Services &amp; Deputy Chief Executive</t>
  </si>
  <si>
    <t>Assistant Director Financial Operations</t>
  </si>
  <si>
    <t>Stephen Pleasant</t>
  </si>
  <si>
    <t>Executive Director, Services for Children &amp; Young People</t>
  </si>
  <si>
    <t>Executive Director, Economy &amp; Environment</t>
  </si>
  <si>
    <t>Executive Director, Community Services</t>
  </si>
  <si>
    <t>Executive Director, Executive Support (Deputy Chief Executive</t>
  </si>
  <si>
    <t>Executive Director of Governance, Borough Solicitor (Deputy Chief Executive)</t>
  </si>
  <si>
    <t>Executive Director, Finance</t>
  </si>
  <si>
    <t>Executive Director, Pensions</t>
  </si>
  <si>
    <t>Gavin Jones</t>
  </si>
  <si>
    <t>Group Director Children</t>
  </si>
  <si>
    <t>Group Director Business Transformation</t>
  </si>
  <si>
    <t>Director of Housing &amp; Leisure</t>
  </si>
  <si>
    <t>Director of Law &amp; Democratic Services</t>
  </si>
  <si>
    <t>Corporate Director (Regeneration &amp; Housing)</t>
  </si>
  <si>
    <t>Corporate Director (Environment)</t>
  </si>
  <si>
    <t>Corporate Director (Education)</t>
  </si>
  <si>
    <t>Corporate Director (Social Services)</t>
  </si>
  <si>
    <t>Head of Planning</t>
  </si>
  <si>
    <t>Head of Environmental Protection</t>
  </si>
  <si>
    <t>Paul Martin</t>
  </si>
  <si>
    <t>Ian Birnbaum</t>
  </si>
  <si>
    <t>Strategic Director - Adult Social Services &amp; Housing</t>
  </si>
  <si>
    <t>Strategic Director - Environment &amp; Leisure</t>
  </si>
  <si>
    <t>Executive Head of Policy &amp; Communications</t>
  </si>
  <si>
    <t>Executive Head of Human Resources</t>
  </si>
  <si>
    <t>Executive Head of Community Safety</t>
  </si>
  <si>
    <t>D McNulty</t>
  </si>
  <si>
    <t>A Roberts</t>
  </si>
  <si>
    <t>Strategic Director of Children, Schools &amp; Families</t>
  </si>
  <si>
    <t>S Mitchell</t>
  </si>
  <si>
    <t>Strategic Director of Adult Social Care</t>
  </si>
  <si>
    <t>J Fisher</t>
  </si>
  <si>
    <t>Strategic Director of Change &amp; Efficiency</t>
  </si>
  <si>
    <t>T Pugh</t>
  </si>
  <si>
    <t>Strategic Director of Environment &amp; Infrastructure</t>
  </si>
  <si>
    <t>Y Rees</t>
  </si>
  <si>
    <t>Strategic Director of Customers &amp; Communities</t>
  </si>
  <si>
    <t>S Kemp</t>
  </si>
  <si>
    <t>P Walker</t>
  </si>
  <si>
    <t>Head of Finance</t>
  </si>
  <si>
    <t>Dave Smith</t>
  </si>
  <si>
    <t>Executive Director of Adult Services</t>
  </si>
  <si>
    <t>Executive Director of Children's Services</t>
  </si>
  <si>
    <t>Executive Director of City Services</t>
  </si>
  <si>
    <t>Andrea Hill</t>
  </si>
  <si>
    <t>Anna McCreadie</t>
  </si>
  <si>
    <t>Director of Adult &amp; Human Services</t>
  </si>
  <si>
    <t>Graham Dixon</t>
  </si>
  <si>
    <t>Director of Resource Management</t>
  </si>
  <si>
    <t>Lucy Robinson</t>
  </si>
  <si>
    <t>Director of Economy Skills &amp; Environment</t>
  </si>
  <si>
    <t>Andy Fry</t>
  </si>
  <si>
    <t>Director of Public Protection, Social Inclusion and Diversity and Chief Fire Officer</t>
  </si>
  <si>
    <t>Eric Whitfield</t>
  </si>
  <si>
    <t>Head of Scrutiny and Monitoring</t>
  </si>
  <si>
    <t>Geoff Dobson</t>
  </si>
  <si>
    <t>Head of Strategic Finance (Section 151 Officer)</t>
  </si>
  <si>
    <t>Strategic Director A</t>
  </si>
  <si>
    <t>Strategic Director B</t>
  </si>
  <si>
    <t>J van de Laarschot</t>
  </si>
  <si>
    <t>Director of Adult &amp; Neighbourhood Services</t>
  </si>
  <si>
    <t>Director of City Renewal</t>
  </si>
  <si>
    <t>Director of Business Services</t>
  </si>
  <si>
    <t>Director of Children &amp; Young People's Services</t>
  </si>
  <si>
    <t>Managing Director NSRP &amp; Director of Regeneration</t>
  </si>
  <si>
    <t>T McCartney</t>
  </si>
  <si>
    <t>Corporate Director, Resource &amp; Deputy Chief Executive</t>
  </si>
  <si>
    <t>Corporate Director, Children, Education &amp; Social Care</t>
  </si>
  <si>
    <t>Corporate Director, Development &amp; Neighbourhood Services</t>
  </si>
  <si>
    <t>Director of Law and Democracy</t>
  </si>
  <si>
    <t>Neil Schneider</t>
  </si>
  <si>
    <t>E Boylan</t>
  </si>
  <si>
    <t>Corporate Director &amp; Deputy Chief Executive</t>
  </si>
  <si>
    <t>Director</t>
  </si>
  <si>
    <t>Service Director</t>
  </si>
  <si>
    <t>Bob Jack</t>
  </si>
  <si>
    <t>Janice Hewitt</t>
  </si>
  <si>
    <t>Linda Kinney</t>
  </si>
  <si>
    <t>Rebecca Maxwell</t>
  </si>
  <si>
    <t>Ron Hilton</t>
  </si>
  <si>
    <t>Nick Bell</t>
  </si>
  <si>
    <t>S Baker</t>
  </si>
  <si>
    <t>Chief Executive Officer</t>
  </si>
  <si>
    <t>Executive Director &amp; Chief Financial Officer</t>
  </si>
  <si>
    <t>Executive Director &amp; Monitoring Officer</t>
  </si>
  <si>
    <t>Carole Hudson</t>
  </si>
  <si>
    <t>Director of Urban Regeneration and Housing</t>
  </si>
  <si>
    <t>Director of Environmental Protection</t>
  </si>
  <si>
    <t>Director of Children and Young People</t>
  </si>
  <si>
    <t>Director of Adult Social Care and Health</t>
  </si>
  <si>
    <t>Assistant Chief Executive (Finance)</t>
  </si>
  <si>
    <t>Assistant Chief Executive (Legal and Administrative Services)</t>
  </si>
  <si>
    <t>Assistant Chief Executive (Asset Management and Construction Procurement)</t>
  </si>
  <si>
    <t>Chief Executive 4NW</t>
  </si>
  <si>
    <t>Chief Policy and Partnership Officer</t>
  </si>
  <si>
    <t>Head of Legal, Democratic Services and Regulatory Services</t>
  </si>
  <si>
    <t>A Shepperd</t>
  </si>
  <si>
    <t>E Kelly</t>
  </si>
  <si>
    <t>D Collins</t>
  </si>
  <si>
    <t>Strategic Director of Communities, Law &amp; Governance</t>
  </si>
  <si>
    <t>G Davies</t>
  </si>
  <si>
    <t>Strategic Director of Environment and Housing</t>
  </si>
  <si>
    <t>S White</t>
  </si>
  <si>
    <t>R Bowen</t>
  </si>
  <si>
    <t>D Whitfield</t>
  </si>
  <si>
    <t>Finance Director</t>
  </si>
  <si>
    <t>Rob Tinlin</t>
  </si>
  <si>
    <t>Paul Greenhalgh</t>
  </si>
  <si>
    <t>Corporate Director, Children &amp; Learning</t>
  </si>
  <si>
    <t>Sally Holland</t>
  </si>
  <si>
    <t>Corporate Director, Corporate Support Services</t>
  </si>
  <si>
    <t>Simon Leftley</t>
  </si>
  <si>
    <t>Corporate Director, Adult &amp; Community Services</t>
  </si>
  <si>
    <t>Andrew Lewis</t>
  </si>
  <si>
    <t>Corporate Director, Enterprise, Tourism &amp; Environment</t>
  </si>
  <si>
    <t>Joanna Ruffle</t>
  </si>
  <si>
    <t>Head of Services, Human Resources</t>
  </si>
  <si>
    <t>John Williams</t>
  </si>
  <si>
    <t>Head of Services, Legal &amp; Democratic Services</t>
  </si>
  <si>
    <t>Brad Roynon</t>
  </si>
  <si>
    <t>Dawn Baxendale</t>
  </si>
  <si>
    <t>Executive Director of Corporate Policy &amp; Economic Development</t>
  </si>
  <si>
    <t>Mark Heath</t>
  </si>
  <si>
    <t>Lorraine Brown</t>
  </si>
  <si>
    <t>Executive Director of Environment</t>
  </si>
  <si>
    <t>Penny Furness-Smith</t>
  </si>
  <si>
    <t>Nick Murphy</t>
  </si>
  <si>
    <t>Clive Webster</t>
  </si>
  <si>
    <t>Executive Director of Children's Services &amp; Learning</t>
  </si>
  <si>
    <t>M Swales</t>
  </si>
  <si>
    <t>Corporate Director Children Adults &amp; Families</t>
  </si>
  <si>
    <t>Corporate Director Business &amp; Area Management</t>
  </si>
  <si>
    <t>Executive Director Neighbourhood Services</t>
  </si>
  <si>
    <t>Head of Social Inclusion and Achievement</t>
  </si>
  <si>
    <t>Head of Enterprise and Regeneration</t>
  </si>
  <si>
    <t>Head of Sustainable Communities</t>
  </si>
  <si>
    <t>Head of Strategic Partnership</t>
  </si>
  <si>
    <t>Strategic Director (Place &amp; Performance)</t>
  </si>
  <si>
    <t>Strategic Director (Operations &amp; Customer Focus)</t>
  </si>
  <si>
    <t>Director of Services Delivery</t>
  </si>
  <si>
    <t>Director of Community Engagement and Corporate Services</t>
  </si>
  <si>
    <t>A Strang</t>
  </si>
  <si>
    <t>L Hardie</t>
  </si>
  <si>
    <t>Executive Director and Depute Chief Executive</t>
  </si>
  <si>
    <t>R McIlwain</t>
  </si>
  <si>
    <t>N Anderson</t>
  </si>
  <si>
    <t>L Forde</t>
  </si>
  <si>
    <t>C McDowall</t>
  </si>
  <si>
    <t>L Freeland</t>
  </si>
  <si>
    <t>H Stevenson</t>
  </si>
  <si>
    <t>Corporate Director - Monitoring Officer</t>
  </si>
  <si>
    <t>Monitoring Officer</t>
  </si>
  <si>
    <t>A Deeks</t>
  </si>
  <si>
    <t>Director of Corporate Resources</t>
  </si>
  <si>
    <t>Director of Community Services</t>
  </si>
  <si>
    <t>Director of Community Care and Housing</t>
  </si>
  <si>
    <t>Director of Planning, Transport &amp; Strat. Env.</t>
  </si>
  <si>
    <t>Director of Operations</t>
  </si>
  <si>
    <t>Mrs Paula Jones</t>
  </si>
  <si>
    <t>Head of Legal and Democratic Services</t>
  </si>
  <si>
    <t>Executive Director (Operational Services)</t>
  </si>
  <si>
    <t>Executive Director (Corporate Services)</t>
  </si>
  <si>
    <t>Director of Services</t>
  </si>
  <si>
    <t>D J Anderson</t>
  </si>
  <si>
    <t>H M Garland</t>
  </si>
  <si>
    <t>Executive Director - Children &amp; Communities</t>
  </si>
  <si>
    <t>E Howat</t>
  </si>
  <si>
    <t>Executive Director - Corporate Services</t>
  </si>
  <si>
    <t>Sheila Wheeler</t>
  </si>
  <si>
    <t>Service Director for Children's Social Care</t>
  </si>
  <si>
    <t>Service Director for Highways and Passenger Transport</t>
  </si>
  <si>
    <t>Service Director for Transformation</t>
  </si>
  <si>
    <t>Director for People</t>
  </si>
  <si>
    <t>Director for Places</t>
  </si>
  <si>
    <t>Ruth Bagley</t>
  </si>
  <si>
    <t>Strategic Director, Education and Children's Service</t>
  </si>
  <si>
    <t>Strategic Director for Improvement and Development</t>
  </si>
  <si>
    <t>Corporate Director of Community and Wellbeing</t>
  </si>
  <si>
    <t>Strategic Director of Green and Built Environment</t>
  </si>
  <si>
    <t>Kim Ryley</t>
  </si>
  <si>
    <t>Assistant Chief Executive Performance &amp; Partnerships</t>
  </si>
  <si>
    <t>Assistant Chief Executive Legal &amp; Democratic Services</t>
  </si>
  <si>
    <t>Director of Children &amp; Young Peoples Services</t>
  </si>
  <si>
    <t>Shared staff with Orkney Islands</t>
  </si>
  <si>
    <t>John Mothersole</t>
  </si>
  <si>
    <t>Executive Director of Resources</t>
  </si>
  <si>
    <t>Executive Director - Place</t>
  </si>
  <si>
    <t>Executive Director - Communities</t>
  </si>
  <si>
    <t>Director of Community &amp; Planning Services</t>
  </si>
  <si>
    <t>Director of Corp Resources</t>
  </si>
  <si>
    <t>M Carney</t>
  </si>
  <si>
    <t>Strategic Director (Communities)</t>
  </si>
  <si>
    <t>Strategic Director (Children, Schools &amp; Families)</t>
  </si>
  <si>
    <t>Strategic Director (Social Care &amp; Wellbeing)</t>
  </si>
  <si>
    <t>Head of Corporate finance and ICT</t>
  </si>
  <si>
    <t>Head of Corporate Legal Services</t>
  </si>
  <si>
    <t>Director of Young People &amp; Families</t>
  </si>
  <si>
    <t>Planning and Economic Regeneration Director</t>
  </si>
  <si>
    <t>Adult Social Care Director</t>
  </si>
  <si>
    <t>Leisure &amp; Tourism Director</t>
  </si>
  <si>
    <t>D Hume</t>
  </si>
  <si>
    <t>TM Logan</t>
  </si>
  <si>
    <t>JG Rodger</t>
  </si>
  <si>
    <t>Director of Education &amp; Lifelong Learning</t>
  </si>
  <si>
    <t>IM Lindley</t>
  </si>
  <si>
    <t>Director of Planning &amp; Economic Development</t>
  </si>
  <si>
    <t>AC Lowe</t>
  </si>
  <si>
    <t>Director of Social Work</t>
  </si>
  <si>
    <t>AG Brown</t>
  </si>
  <si>
    <t>Doctor M A Fraser</t>
  </si>
  <si>
    <t>Executive Director Adult &amp; Community Services</t>
  </si>
  <si>
    <t>Executive Director Finance &amp; Corporate Services</t>
  </si>
  <si>
    <t>B Spicer</t>
  </si>
  <si>
    <t>Strategic Director of Customer and Support Services</t>
  </si>
  <si>
    <t>Former Strategic Director of Customer and Support Services</t>
  </si>
  <si>
    <t>Strategic Director of Community, Health and Social Care</t>
  </si>
  <si>
    <t>Strategic Director of Regeneration</t>
  </si>
  <si>
    <t>Former Strategic Director of Environment and Community Safety</t>
  </si>
  <si>
    <t>Director of People's/Director of Children &amp; Young People's Services</t>
  </si>
  <si>
    <t>Director of Adult Social Care, Health &amp; Housing</t>
  </si>
  <si>
    <t>Director of Housing and Community Services</t>
  </si>
  <si>
    <t>Director of Administration and Leisure</t>
  </si>
  <si>
    <t>Head of Democratic and Legal Services</t>
  </si>
  <si>
    <t>M Kimber</t>
  </si>
  <si>
    <t>T Cray</t>
  </si>
  <si>
    <t>Strategic Director Neighbourhoods and Adult Services</t>
  </si>
  <si>
    <t>K Battersby</t>
  </si>
  <si>
    <t>A Bedford</t>
  </si>
  <si>
    <t>Strategic Director of Financial Services</t>
  </si>
  <si>
    <t>J Thacker</t>
  </si>
  <si>
    <t>Strategic Director of Children &amp; Young Peoples Services</t>
  </si>
  <si>
    <t>Roger Ellis</t>
  </si>
  <si>
    <t>Executive Director: Environmental Management, Legal &amp; Democratic Services, Human Resource &amp; Business Partnerships</t>
  </si>
  <si>
    <t>Executive Director: Performance &amp; Transformation, Finance &amp; Procurement, Customer &amp; Communications</t>
  </si>
  <si>
    <t>150,000+</t>
  </si>
  <si>
    <t>Gillian Norton</t>
  </si>
  <si>
    <t>Mark Maidment</t>
  </si>
  <si>
    <t>Director of Finance and Corporate Services</t>
  </si>
  <si>
    <t>Cathy Kerr</t>
  </si>
  <si>
    <t>Director of Adult &amp; Community Services</t>
  </si>
  <si>
    <t>Paul Chadwick</t>
  </si>
  <si>
    <t>Director of Environment</t>
  </si>
  <si>
    <t>Nick Whitfield</t>
  </si>
  <si>
    <t>Director of Development</t>
  </si>
  <si>
    <t>Group Director Corporate Services (Deputy Chief Executive)</t>
  </si>
  <si>
    <t>Group Director Environmental Services</t>
  </si>
  <si>
    <t>Group Director Community &amp; Children's Services</t>
  </si>
  <si>
    <t>Director of Legal &amp; Democratic Services</t>
  </si>
  <si>
    <t>Director of Human Resources</t>
  </si>
  <si>
    <t>David Martin</t>
  </si>
  <si>
    <t>Robert Naylor</t>
  </si>
  <si>
    <t>Paul Gannon</t>
  </si>
  <si>
    <t>Shona MacDougall</t>
  </si>
  <si>
    <t>Sandra Black</t>
  </si>
  <si>
    <t>Mary Crearie</t>
  </si>
  <si>
    <t>Director of Housing and Property Services</t>
  </si>
  <si>
    <t>Bob Darracott</t>
  </si>
  <si>
    <t>Director of Planning and Transport</t>
  </si>
  <si>
    <t>Peter MacLeod</t>
  </si>
  <si>
    <t>Director of Services to the Community</t>
  </si>
  <si>
    <t>Head of Finance and Procurement</t>
  </si>
  <si>
    <t>Head of Legal</t>
  </si>
  <si>
    <t>Director of Environment and Planning</t>
  </si>
  <si>
    <t>Director of Regeneration Services</t>
  </si>
  <si>
    <t>Director of Area Management</t>
  </si>
  <si>
    <t>Roger Hampson</t>
  </si>
  <si>
    <t>Director of Finance and Resources</t>
  </si>
  <si>
    <t>Director of Environment, Regeneration and Community Safety</t>
  </si>
  <si>
    <t>Borough Solicitor and Secretary</t>
  </si>
  <si>
    <t>Director Adult Social Services</t>
  </si>
  <si>
    <t>Dave Peasley</t>
  </si>
  <si>
    <t>Anna Wright</t>
  </si>
  <si>
    <t>Director of Education and Children's Services</t>
  </si>
  <si>
    <t>Anita Cacchioli</t>
  </si>
  <si>
    <t>Director of Environment, Culture and Sport</t>
  </si>
  <si>
    <t>Avril Wilson</t>
  </si>
  <si>
    <t>Director of Housing and Community Care</t>
  </si>
  <si>
    <t>John Painter</t>
  </si>
  <si>
    <t>Head of Central Administration</t>
  </si>
  <si>
    <t>Festival Director</t>
  </si>
  <si>
    <t>Corporate Director of Community and Business Services</t>
  </si>
  <si>
    <t>Strategic Director - Finance and Infrastructure</t>
  </si>
  <si>
    <t>Strategic Director - Law and Governance</t>
  </si>
  <si>
    <t>Strategic Director - Communities, Skills and Learning</t>
  </si>
  <si>
    <t>Director - Performance, Partnerships and Communications</t>
  </si>
  <si>
    <t>Section 151 Officer &amp; Strategic Director</t>
  </si>
  <si>
    <t>Director of Regeneration &amp; Strategic Director</t>
  </si>
  <si>
    <t>City Solicitor &amp; Strategic Director</t>
  </si>
  <si>
    <t>Port Manager</t>
  </si>
  <si>
    <t>Director of Children's Services &amp; Strategic Director</t>
  </si>
  <si>
    <t>Strategic Director - Adult Social Care</t>
  </si>
  <si>
    <t>Strategic Director - Children</t>
  </si>
  <si>
    <t>Barry Keel</t>
  </si>
  <si>
    <t>Director of Services for Children  and Young People</t>
  </si>
  <si>
    <t>Director for Community Services</t>
  </si>
  <si>
    <t>Director for Corporate Support</t>
  </si>
  <si>
    <t>Director for Development &amp; Regeneration</t>
  </si>
  <si>
    <t>G Beasley</t>
  </si>
  <si>
    <t>Executive Director - Strategic Resources</t>
  </si>
  <si>
    <t>Executive Director - Operations</t>
  </si>
  <si>
    <t>Executive Director - Children Services</t>
  </si>
  <si>
    <t>Director - Commercial Services</t>
  </si>
  <si>
    <t>Director of Adult - Social Services</t>
  </si>
  <si>
    <t>Bernadette Malone</t>
  </si>
  <si>
    <t>Depute Chief Executive &amp; Executive Director The Environment Service</t>
  </si>
  <si>
    <t>David Burke</t>
  </si>
  <si>
    <t>Executive Director Housing &amp; Community Care</t>
  </si>
  <si>
    <t>John Fyffe</t>
  </si>
  <si>
    <t>Executive Director Education &amp; Children's Services</t>
  </si>
  <si>
    <t>D B Parry-Jones</t>
  </si>
  <si>
    <t>Director of Education &amp; Children's Services</t>
  </si>
  <si>
    <t>Director of Finance &amp; Leisure</t>
  </si>
  <si>
    <t>Director of Social Care &amp; Housing</t>
  </si>
  <si>
    <t>Director of Transportation &amp; Environment</t>
  </si>
  <si>
    <t>Joanna Simons</t>
  </si>
  <si>
    <t>Assistant Chief Executive (Strategy)</t>
  </si>
  <si>
    <t>Assistant Chief Executive &amp; Chief Finance Officer</t>
  </si>
  <si>
    <t>Director for Environment &amp; Economy</t>
  </si>
  <si>
    <t>Director for Children, Young People &amp; Families</t>
  </si>
  <si>
    <t>Director for Social &amp; Community Services</t>
  </si>
  <si>
    <t>Head of Service - Southern Area, Young People &amp; Access to Education</t>
  </si>
  <si>
    <t>Monitoring Officer and Head of Law &amp; Governance</t>
  </si>
  <si>
    <t>Head of Transport</t>
  </si>
  <si>
    <t>Head of Strategy &amp; Transformation</t>
  </si>
  <si>
    <t>Director, City Regeneration</t>
  </si>
  <si>
    <t>Director, City Services</t>
  </si>
  <si>
    <t>Director of Finance and Efficiency</t>
  </si>
  <si>
    <t>Alistair Buchan</t>
  </si>
  <si>
    <t>Elaine Grieve</t>
  </si>
  <si>
    <t>Brian Thomson</t>
  </si>
  <si>
    <t>Director of Development &amp; Environment Services</t>
  </si>
  <si>
    <t>Nigel Mills</t>
  </si>
  <si>
    <t>Director of Marine Services</t>
  </si>
  <si>
    <t>Leslie Manson</t>
  </si>
  <si>
    <t>Director of Education &amp; Recreation Services</t>
  </si>
  <si>
    <t>C Parker</t>
  </si>
  <si>
    <t>Chief Executive, Head of Paid Service and Clerk to GMWDA</t>
  </si>
  <si>
    <t>Executive Director: People, Communities and Society, Director of Adults' Social Services</t>
  </si>
  <si>
    <t>Executive Director: Economy, Places and Skills</t>
  </si>
  <si>
    <t>Executive Director: Performance, Services &amp; Capacity</t>
  </si>
  <si>
    <t>Chief Education Officer &amp; Director of Children's Social Services</t>
  </si>
  <si>
    <t>Borough Treasurer and Chief Financial Officer (Section 151 Officer)</t>
  </si>
  <si>
    <t>Chief of Staff</t>
  </si>
  <si>
    <t>Borough Solicitor and Monitoring Officer</t>
  </si>
  <si>
    <t>Assistant Director - Community Services</t>
  </si>
  <si>
    <t>Information Systems Manager</t>
  </si>
  <si>
    <t>M Burrows</t>
  </si>
  <si>
    <t>Director of CYP</t>
  </si>
  <si>
    <t>Director of ASCH</t>
  </si>
  <si>
    <t>Director of Corp Serv</t>
  </si>
  <si>
    <t>Director of Communities</t>
  </si>
  <si>
    <t>Service Director (Finance)</t>
  </si>
  <si>
    <t>Jane Todd</t>
  </si>
  <si>
    <t>Deputy Chief Executive and Corporate Director, Director - Resources</t>
  </si>
  <si>
    <t>Director Corporate Partnerships</t>
  </si>
  <si>
    <t>Director of Regeneration &amp; Development</t>
  </si>
  <si>
    <t>Assistant Director Neighbourhood Development</t>
  </si>
  <si>
    <t>Assistant Director City Development</t>
  </si>
  <si>
    <t>Steve Stewart</t>
  </si>
  <si>
    <t>Paul Moffat</t>
  </si>
  <si>
    <t>Corporate Director of Children's Services</t>
  </si>
  <si>
    <t>Daljit Lally</t>
  </si>
  <si>
    <t>Corporate Director of Adult Services</t>
  </si>
  <si>
    <t>Corporate Director of Finance</t>
  </si>
  <si>
    <t>Steven Mason</t>
  </si>
  <si>
    <t>Alex Bennett</t>
  </si>
  <si>
    <t>Acting Chief Fire Officer</t>
  </si>
  <si>
    <t>Executive Director of Performance</t>
  </si>
  <si>
    <t>Richard Robson</t>
  </si>
  <si>
    <t>Executive Director of Place</t>
  </si>
  <si>
    <t>P Blantern</t>
  </si>
  <si>
    <t>Charlie MacNally</t>
  </si>
  <si>
    <t>Corporate Director of Health &amp; Adult Social Services</t>
  </si>
  <si>
    <t>Paul Burnett</t>
  </si>
  <si>
    <t>Corporate Director of Children &amp; Young People's Services</t>
  </si>
  <si>
    <t>Tony Ciaburro</t>
  </si>
  <si>
    <t>Corporate Director for Environment, Growth &amp; Commissioning</t>
  </si>
  <si>
    <t>Assistant Chief Executive Policy &amp; Partnership</t>
  </si>
  <si>
    <t>Director of HR and OD</t>
  </si>
  <si>
    <t>Director of Environment &amp; Culture</t>
  </si>
  <si>
    <t>Director of Finance &amp; Support</t>
  </si>
  <si>
    <t>Director of Planning &amp; Regeneration</t>
  </si>
  <si>
    <t>Head of Housing Needs &amp; Support</t>
  </si>
  <si>
    <t>Richard Flinton</t>
  </si>
  <si>
    <t>Assistant Chief Executive (Policy, Performance and Partnerships)</t>
  </si>
  <si>
    <t>Assistant Chief Executive (Human Resources and Organisational Development)</t>
  </si>
  <si>
    <t>Assistant Chief Executive (Legal and Democratic Services)</t>
  </si>
  <si>
    <t>Corporate Director of Business and Environmental Services</t>
  </si>
  <si>
    <t>Corporate Director of Children and Young People's Services</t>
  </si>
  <si>
    <t>Corporate Director of Adult and Community Services</t>
  </si>
  <si>
    <t>Corporate Director of Finance and Central Services</t>
  </si>
  <si>
    <t>Head of Street Management</t>
  </si>
  <si>
    <t>Acting Deputy Chief Executive (Strategic Director of Children, Young People &amp; Learning)</t>
  </si>
  <si>
    <t>Strategic Director of Community Services</t>
  </si>
  <si>
    <t>Strategic Director of Finance &amp; Resources</t>
  </si>
  <si>
    <t>Head of Regeneration, Development &amp; Regulatory Services</t>
  </si>
  <si>
    <t>Head of Legal, Governance &amp; Commercial Services</t>
  </si>
  <si>
    <t>Head of Adult Social Care</t>
  </si>
  <si>
    <t>Acting Strategic Director of Children, Young People &amp; Learning (Head of Education, Enterprise &amp; Economy)</t>
  </si>
  <si>
    <t>Head of Business Management</t>
  </si>
  <si>
    <t>Head of Economy &amp; Employment</t>
  </si>
  <si>
    <t>Director of Adult Social Services &amp; Housing</t>
  </si>
  <si>
    <t>Director of Development &amp; Environment</t>
  </si>
  <si>
    <t>Director of Finance &amp; Resource</t>
  </si>
  <si>
    <t>Deputy Chief Executive &amp; Section 151 Officer</t>
  </si>
  <si>
    <t>Strategic Director - Communities</t>
  </si>
  <si>
    <t>Strategic Director - Environment</t>
  </si>
  <si>
    <t>Strategic Director - Information</t>
  </si>
  <si>
    <t>Service Director Children, Strategy &amp; Partnerships</t>
  </si>
  <si>
    <t>Service Director Adult Social Care</t>
  </si>
  <si>
    <t>Service Director Neighbourhood &amp; Environment</t>
  </si>
  <si>
    <t>Service Director Finance</t>
  </si>
  <si>
    <t>Service Director Human Resources</t>
  </si>
  <si>
    <t>Service Director Asset Management &amp; Culture</t>
  </si>
  <si>
    <t>Service Director Transition &amp; Development</t>
  </si>
  <si>
    <t>Service Director Legal &amp; Democratic</t>
  </si>
  <si>
    <t>Service Director Highways &amp; Planning</t>
  </si>
  <si>
    <t>Gavin Whitefield</t>
  </si>
  <si>
    <t>Russell Ellerby</t>
  </si>
  <si>
    <t>Mary Castles</t>
  </si>
  <si>
    <t>Executive Director of Housing &amp; Social Work Service</t>
  </si>
  <si>
    <t>Alistair Crichton</t>
  </si>
  <si>
    <t>Executive Director of Finance &amp; Customer Services</t>
  </si>
  <si>
    <t>Paul Jukes</t>
  </si>
  <si>
    <t>Executive Director of Environmental Services</t>
  </si>
  <si>
    <t>John O'Hagan</t>
  </si>
  <si>
    <t>Christine Pollock</t>
  </si>
  <si>
    <t>Executive Director of Learning &amp; Leisure Services</t>
  </si>
  <si>
    <t>Mary Fegan</t>
  </si>
  <si>
    <t>Head of Social Work Services (Chief Social Worker)</t>
  </si>
  <si>
    <t>John Campbell</t>
  </si>
  <si>
    <t>Norma Atlay</t>
  </si>
  <si>
    <t>Strategic Director of Finance Policy and Governance</t>
  </si>
  <si>
    <t>John Robinson</t>
  </si>
  <si>
    <t>Strategic Director of Customer Services</t>
  </si>
  <si>
    <t>David Scholes</t>
  </si>
  <si>
    <t>Strategic Director of Planning Housing and Enterprise</t>
  </si>
  <si>
    <t>A Hunter</t>
  </si>
  <si>
    <t>Executive Director Community Services</t>
  </si>
  <si>
    <t>Executive Director Regeneration</t>
  </si>
  <si>
    <t>Executive Director Business Services</t>
  </si>
  <si>
    <t>M Goodwin</t>
  </si>
  <si>
    <t>M Mansell</t>
  </si>
  <si>
    <t>S Pitcher</t>
  </si>
  <si>
    <t>Elma Murray</t>
  </si>
  <si>
    <t>Alasdair Herbert</t>
  </si>
  <si>
    <t>Corporate director, Finance &amp; Infrastructure</t>
  </si>
  <si>
    <t>Carol Kirk</t>
  </si>
  <si>
    <t>Corporate Director, Education &amp; Skills</t>
  </si>
  <si>
    <t>D White</t>
  </si>
  <si>
    <t>L Christensen</t>
  </si>
  <si>
    <t>P Adams</t>
  </si>
  <si>
    <t>Director of Corporate Resource &amp; Cultural Services</t>
  </si>
  <si>
    <t>H Bodmer</t>
  </si>
  <si>
    <t>M Jackson</t>
  </si>
  <si>
    <t>Director of Environment, Transport and Development</t>
  </si>
  <si>
    <t>N Williams</t>
  </si>
  <si>
    <t>P Brittain</t>
  </si>
  <si>
    <t>J Hannam</t>
  </si>
  <si>
    <t>Head of Customer Service and Communications</t>
  </si>
  <si>
    <t>V McNeill</t>
  </si>
  <si>
    <t>Head of law and Monitoring Officer</t>
  </si>
  <si>
    <t>Corporate Director (Young People &amp; Performance)</t>
  </si>
  <si>
    <t>Corporate Director (Care &amp; Customers)</t>
  </si>
  <si>
    <t>K Bromley Derry</t>
  </si>
  <si>
    <t>C Dutton</t>
  </si>
  <si>
    <t>Executive Director Regeneration, Planning and Property</t>
  </si>
  <si>
    <t>R Heaton</t>
  </si>
  <si>
    <t>Executive Director Resources</t>
  </si>
  <si>
    <t>G Betts</t>
  </si>
  <si>
    <t>Executive Director Adults, Community and Leisure</t>
  </si>
  <si>
    <t>J Duckworth</t>
  </si>
  <si>
    <t>Acting Executive Director Children and Young People</t>
  </si>
  <si>
    <t>Executive Director Environment</t>
  </si>
  <si>
    <t>Executive Director: Resources &amp; Support Services</t>
  </si>
  <si>
    <t>Executive Director: Operational Services</t>
  </si>
  <si>
    <t>Barry Rowland</t>
  </si>
  <si>
    <t>Executive Director of Environment &amp; Regeneration</t>
  </si>
  <si>
    <t>Executive Director of Adult &amp; Cultural Services</t>
  </si>
  <si>
    <t>Director of Finance &amp; Resources</t>
  </si>
  <si>
    <t>Strategic Director for Communities</t>
  </si>
  <si>
    <t>SJ Phillips</t>
  </si>
  <si>
    <t>Director of Social Services, Health and Housing</t>
  </si>
  <si>
    <t>Director of Education and Lifelong Learning</t>
  </si>
  <si>
    <t>Director of Transition</t>
  </si>
  <si>
    <t>Chief Officer - Children &amp; Young People</t>
  </si>
  <si>
    <t>Corporate Director, Children &amp; Young People's Services</t>
  </si>
  <si>
    <t>Corporate Director, Community Wellbeing</t>
  </si>
  <si>
    <t>Director of Strategy, Chief Executives</t>
  </si>
  <si>
    <t>D Hill</t>
  </si>
  <si>
    <t>K Lawrie</t>
  </si>
  <si>
    <t>D MacKay</t>
  </si>
  <si>
    <t>Director Education &amp; Children Services</t>
  </si>
  <si>
    <t>C Anderson</t>
  </si>
  <si>
    <t>Director Communities &amp; Wellbeing</t>
  </si>
  <si>
    <t>J Blair</t>
  </si>
  <si>
    <t>Director Corporate Resources</t>
  </si>
  <si>
    <t>Director of Social Care</t>
  </si>
  <si>
    <t>Director of Children, Families and Learning</t>
  </si>
  <si>
    <t>Director of Regeneration</t>
  </si>
  <si>
    <t>Ged Curran</t>
  </si>
  <si>
    <t>Caroline Holland</t>
  </si>
  <si>
    <t>Simon Williams</t>
  </si>
  <si>
    <t>Director of Community and Housing</t>
  </si>
  <si>
    <t>Yvette Stanley</t>
  </si>
  <si>
    <t>Director of Children, Schools and Families</t>
  </si>
  <si>
    <t>Chris Lee</t>
  </si>
  <si>
    <t>Director of Environment &amp; Regeneration</t>
  </si>
  <si>
    <t>Chris Pope OBE</t>
  </si>
  <si>
    <t>Director of Customer Community Services</t>
  </si>
  <si>
    <t>Director of Integrated Adult Services</t>
  </si>
  <si>
    <t>Director for Services</t>
  </si>
  <si>
    <t>Group Manager - Neighbourhood Services</t>
  </si>
  <si>
    <t>Director of Regeneration, Community &amp; Culture</t>
  </si>
  <si>
    <t>Assistant Director Customer First, Leisure, Democracy &amp; Governance</t>
  </si>
  <si>
    <t>Assistant Director Lifelong Learning</t>
  </si>
  <si>
    <t>Assistant Director Development, Economy &amp; Transport</t>
  </si>
  <si>
    <t>Assistant Director Front Line Services</t>
  </si>
  <si>
    <t>Assistant Director Communications, Performance &amp; Partnerships</t>
  </si>
  <si>
    <t>Assistant Director Housing &amp; Corporate Services</t>
  </si>
  <si>
    <t>Head of Medway Renaissance</t>
  </si>
  <si>
    <t>Assistant Director Organisational Services</t>
  </si>
  <si>
    <t>Assistant Director Children's Care</t>
  </si>
  <si>
    <t>Sir Howard Bernstein</t>
  </si>
  <si>
    <t>Chief Executive of the Council and Clerk of the Greater Manchester Integrated Transport Authority</t>
  </si>
  <si>
    <t>Richard Paver</t>
  </si>
  <si>
    <t>City Treasurer of the Council and the Treasurer of the Greater Manchester Integrated Transport Authority</t>
  </si>
  <si>
    <t>Deputy Chief Executive (Regeneration)</t>
  </si>
  <si>
    <t>Deputy Chief Executive (Performance)</t>
  </si>
  <si>
    <t>Strategic Director of Directorate of Transformation</t>
  </si>
  <si>
    <t>Strategic Director of Adults</t>
  </si>
  <si>
    <t>Chief Executive of New East Manchester Ltd</t>
  </si>
  <si>
    <t>City Solicitor of the Council and Monitoring Officer of the Greater Manchester Integrated Transport Authority</t>
  </si>
  <si>
    <t>Director of Change, Planning &amp; the Environment</t>
  </si>
  <si>
    <t>Director of Regeneration &amp; Communities</t>
  </si>
  <si>
    <t>T Holden</t>
  </si>
  <si>
    <t>Interim Corporate Director Housing &amp; Community Living</t>
  </si>
  <si>
    <t>Corporate Director Environment &amp; Regeneration</t>
  </si>
  <si>
    <t>Corporate Director Customer &amp; Corporate Services</t>
  </si>
  <si>
    <t>Interim Assistant Chief Executive</t>
  </si>
  <si>
    <t>Redundancy</t>
  </si>
  <si>
    <t>David McElhinney</t>
  </si>
  <si>
    <t>Colin Hilton</t>
  </si>
  <si>
    <t>Stuart Smith</t>
  </si>
  <si>
    <t>John Kelly</t>
  </si>
  <si>
    <t>Cath Green</t>
  </si>
  <si>
    <t>City Solicitor &amp; Monitoring Officer</t>
  </si>
  <si>
    <t>Tony McArdle</t>
  </si>
  <si>
    <t>Executive Director - Children's Group</t>
  </si>
  <si>
    <t>Executive Director - Resources and Community Safety</t>
  </si>
  <si>
    <t>Executive Director - Development Services</t>
  </si>
  <si>
    <t>Director of Customer Strategies</t>
  </si>
  <si>
    <t>Director of Housing &amp; Community Services</t>
  </si>
  <si>
    <t>Director of Development &amp; Environmental Services</t>
  </si>
  <si>
    <t>B Quirk</t>
  </si>
  <si>
    <t>Executive Director for Children and Young People</t>
  </si>
  <si>
    <t>Executive Director for Customer Services</t>
  </si>
  <si>
    <t>Executive Director for Resources</t>
  </si>
  <si>
    <t>Executive Director for Community Services</t>
  </si>
  <si>
    <t>Director of Programme Management and Property</t>
  </si>
  <si>
    <t>Head of Law and Monitoring Officer</t>
  </si>
  <si>
    <t>Director of Children's Social Care</t>
  </si>
  <si>
    <t>Director of Finance and Community Services</t>
  </si>
  <si>
    <t>Director of Planning and Environmental Services</t>
  </si>
  <si>
    <t>John Sinnott</t>
  </si>
  <si>
    <t>Director of Children &amp; Young People Service</t>
  </si>
  <si>
    <t>Director of Adults &amp; Communities</t>
  </si>
  <si>
    <t>Director of Environment &amp; Transport</t>
  </si>
  <si>
    <t>County Solicitor</t>
  </si>
  <si>
    <t>Gareth Williams</t>
  </si>
  <si>
    <t>Director of Corporate Governance</t>
  </si>
  <si>
    <t>Director Change &amp; Programme Management</t>
  </si>
  <si>
    <t>Strategic Director Children</t>
  </si>
  <si>
    <t>Strategic Director Adults &amp; Communities</t>
  </si>
  <si>
    <t>Chief Operating Officer</t>
  </si>
  <si>
    <t>S Lock</t>
  </si>
  <si>
    <t>Thomas Riiordan</t>
  </si>
  <si>
    <t>Alan Gay</t>
  </si>
  <si>
    <t>Director of Resources &amp; Acting Deputy Chief Executive</t>
  </si>
  <si>
    <t>Assistant Chief Executive (Planning, Policy &amp; Improvement)</t>
  </si>
  <si>
    <t>Assistant Chief Executive (Corporate Governance)</t>
  </si>
  <si>
    <t>Director of Environment &amp; Neighbourhoods</t>
  </si>
  <si>
    <t>Sandie Keene</t>
  </si>
  <si>
    <t>Director Adult Social Care</t>
  </si>
  <si>
    <t>M Cullinan</t>
  </si>
  <si>
    <t>G Noall</t>
  </si>
  <si>
    <t>Head of Democratic Services</t>
  </si>
  <si>
    <t>S Milce</t>
  </si>
  <si>
    <t>Head of Council Housing</t>
  </si>
  <si>
    <t>R Muckle</t>
  </si>
  <si>
    <t>Corporate Director (Finance &amp; Performance)</t>
  </si>
  <si>
    <t>P Loker</t>
  </si>
  <si>
    <t>Corporate Director (Community Services)</t>
  </si>
  <si>
    <t>G Fitzgerald</t>
  </si>
  <si>
    <t>Executive Director for Children &amp; Young People</t>
  </si>
  <si>
    <t>Executive Director of Adults and Community Services</t>
  </si>
  <si>
    <t>County Secretary &amp; Solicitors</t>
  </si>
  <si>
    <t>Executive Director for the Environment</t>
  </si>
  <si>
    <t>Executive Director of Policy</t>
  </si>
  <si>
    <t>Derrick Anderson</t>
  </si>
  <si>
    <t>Mike Suarez</t>
  </si>
  <si>
    <t>Executive Director - Finance &amp; Resources</t>
  </si>
  <si>
    <t>Phyllis Dunipace</t>
  </si>
  <si>
    <t>Executive Director - Children &amp; Young People's Services</t>
  </si>
  <si>
    <t>Deborah Jones</t>
  </si>
  <si>
    <t>Jo Cleary</t>
  </si>
  <si>
    <t>Executive Director - Adult &amp; Community Services</t>
  </si>
  <si>
    <t>S M Ramsey</t>
  </si>
  <si>
    <t>Executive Director Wellbeing Services</t>
  </si>
  <si>
    <t>Executive Director of Corporate Resources</t>
  </si>
  <si>
    <t>Executive Director of Children and Family Services</t>
  </si>
  <si>
    <t>Executive Director of Neighbourhood Services</t>
  </si>
  <si>
    <t>Director of Health and Social Care</t>
  </si>
  <si>
    <t>Borough Treasurer</t>
  </si>
  <si>
    <t>Director for Children and Young People</t>
  </si>
  <si>
    <t>Director for Wellbeing and Communities</t>
  </si>
  <si>
    <t>Director for Place</t>
  </si>
  <si>
    <t>Director for Environment, Transportation and Property</t>
  </si>
  <si>
    <t>Director of Organisational Development</t>
  </si>
  <si>
    <t>Bruce McDonald</t>
  </si>
  <si>
    <t>Interim Director of Learning &amp; Children's Services</t>
  </si>
  <si>
    <t>Director of Place &amp; Regeneration</t>
  </si>
  <si>
    <t>Head of Democratic Services &amp; Partnerships</t>
  </si>
  <si>
    <t>Head of Organisational Development &amp; Strategic Business</t>
  </si>
  <si>
    <t>N Yates</t>
  </si>
  <si>
    <t>Chief Executive Hull Forward</t>
  </si>
  <si>
    <t>BSF Project Director</t>
  </si>
  <si>
    <t>Corporate Director - Business Support</t>
  </si>
  <si>
    <t>Head of Learning, Participation and Skills</t>
  </si>
  <si>
    <t>Head of Safeguarding and Family Support</t>
  </si>
  <si>
    <t>Head of Social Care and Housing</t>
  </si>
  <si>
    <t>Head of Economic Development and Regeneration</t>
  </si>
  <si>
    <t>Head of Customer Services</t>
  </si>
  <si>
    <t>Head of City Safe</t>
  </si>
  <si>
    <t>Deputy Chief Executive/Executive Director Finance &amp; Resources</t>
  </si>
  <si>
    <t>Executive Director Revenue &amp; Customer Services</t>
  </si>
  <si>
    <t>D Cook</t>
  </si>
  <si>
    <t>Peter Gilroy</t>
  </si>
  <si>
    <t>Katherine Kerswell</t>
  </si>
  <si>
    <t>Group Managing Director</t>
  </si>
  <si>
    <t>Oliver Mills</t>
  </si>
  <si>
    <t>Managing Director of Adult Social Services</t>
  </si>
  <si>
    <t>Amanda Honey</t>
  </si>
  <si>
    <t>Managing Director of Communities</t>
  </si>
  <si>
    <t>David Cockburn</t>
  </si>
  <si>
    <t>Rosalind Turner</t>
  </si>
  <si>
    <t>Managing Director Children, Families &amp; Education</t>
  </si>
  <si>
    <t>Mike Austerberry</t>
  </si>
  <si>
    <t>Executive Director, Environment, Highways &amp; Waste</t>
  </si>
  <si>
    <t>Acting Director of Finance</t>
  </si>
  <si>
    <t>Director of Law &amp; Governance</t>
  </si>
  <si>
    <t>Director Personnel and Development</t>
  </si>
  <si>
    <t>Interim Director Property</t>
  </si>
  <si>
    <t>Interim Director Commercial Services</t>
  </si>
  <si>
    <t>Director of Strategic Development &amp; Public Access</t>
  </si>
  <si>
    <t>Head of Communications &amp; Media Centre</t>
  </si>
  <si>
    <t>Derek Myers</t>
  </si>
  <si>
    <t>Town Clerk and Chief Executive</t>
  </si>
  <si>
    <t>Nicholas Holgate</t>
  </si>
  <si>
    <t>Executive Director of Finance, Information Systems and Property</t>
  </si>
  <si>
    <t>Anne-Marie Carrie</t>
  </si>
  <si>
    <t>Executive Director of Family and Children's Services</t>
  </si>
  <si>
    <t>Tot Brill</t>
  </si>
  <si>
    <t>Executive Director of Transport, Environment and Leisure Services</t>
  </si>
  <si>
    <t>Jean Daintith</t>
  </si>
  <si>
    <t>Executive Director of Housing, Health and Adult Social Care</t>
  </si>
  <si>
    <t>Jonathan Bore</t>
  </si>
  <si>
    <t>Executive Director of Planning and Borough Development</t>
  </si>
  <si>
    <t>Tony Redpath</t>
  </si>
  <si>
    <t>Director of Strategy and Service Improvement</t>
  </si>
  <si>
    <t>George Bishop</t>
  </si>
  <si>
    <t>Director of Personnel and General Services</t>
  </si>
  <si>
    <t>John Foster</t>
  </si>
  <si>
    <t>Corporate Director of Environment &amp; Regeneration</t>
  </si>
  <si>
    <t>Corporate Director of Housing &amp; Adult Social Services</t>
  </si>
  <si>
    <t>Corporate Director of Resources</t>
  </si>
  <si>
    <t>Director of Children's &amp; Young People's Services</t>
  </si>
  <si>
    <t>Project Director - Schools Re-organisation</t>
  </si>
  <si>
    <t>PFI Programme Director</t>
  </si>
  <si>
    <t>Director of Economy &amp; Environment</t>
  </si>
  <si>
    <t>Acting Director of Community Services</t>
  </si>
  <si>
    <t>J Mundell</t>
  </si>
  <si>
    <t>A Fawcett</t>
  </si>
  <si>
    <t>Corporate Director Regeneration &amp; Environment</t>
  </si>
  <si>
    <t>A  Henderson</t>
  </si>
  <si>
    <t>Corporate Director Education &amp; Communities</t>
  </si>
  <si>
    <t>R Murphy</t>
  </si>
  <si>
    <t>Corporate Director Community Care &amp; Health Partnership</t>
  </si>
  <si>
    <t>P Wallace</t>
  </si>
  <si>
    <t>Corporate Director Organisational Improvement &amp; Resources</t>
  </si>
  <si>
    <t>E Paterson</t>
  </si>
  <si>
    <t>Deputy Managing Director/Director for Community Services</t>
  </si>
  <si>
    <t>David Monks</t>
  </si>
  <si>
    <t>Director of Central Services</t>
  </si>
  <si>
    <t>Director of Commerce and Technology</t>
  </si>
  <si>
    <t>Director of Environment and Community Services</t>
  </si>
  <si>
    <t>Director of Corporate Resources (Section 151 Officer)</t>
  </si>
  <si>
    <t>Director Development &amp; Environment</t>
  </si>
  <si>
    <t>Steve Atkinson</t>
  </si>
  <si>
    <t>H Dunnachie</t>
  </si>
  <si>
    <t>Corporate Director for Central Services &amp; Deputy Chief Executive</t>
  </si>
  <si>
    <t>Deputy Director, Finance</t>
  </si>
  <si>
    <t>Head of Corporate Communications</t>
  </si>
  <si>
    <t>Corporate Director for Planning, Environment, Education and Community Services &amp; Deputy Chief Executive</t>
  </si>
  <si>
    <t>Deputy Director, Education</t>
  </si>
  <si>
    <t>Head of Transportation and Planning</t>
  </si>
  <si>
    <t>Head of ICT and Business Services</t>
  </si>
  <si>
    <t>Deputy Director, Social Care Health &amp; Housing</t>
  </si>
  <si>
    <t>Deputy Director, Children's Services</t>
  </si>
  <si>
    <t>Head of Commissioning, Contracts &amp; Supply</t>
  </si>
  <si>
    <t>Director of Finance &amp; Business Services</t>
  </si>
  <si>
    <t>Stephen Barron</t>
  </si>
  <si>
    <t>Director of Housing &amp; Property</t>
  </si>
  <si>
    <t>Stuart Black</t>
  </si>
  <si>
    <t>Alistair Dodds</t>
  </si>
  <si>
    <t>Hugh Fraser</t>
  </si>
  <si>
    <t>Director of Education Culture and Sport</t>
  </si>
  <si>
    <t>Alan Geddes</t>
  </si>
  <si>
    <t>Depute Chief Executive &amp; Director of Finance</t>
  </si>
  <si>
    <t>Neil Giles</t>
  </si>
  <si>
    <t>Director of Transport, Environmental and Community Services</t>
  </si>
  <si>
    <t>Michelle Morris</t>
  </si>
  <si>
    <t>Director of Resources/Section 151 Officer</t>
  </si>
  <si>
    <t>C Tapster</t>
  </si>
  <si>
    <t>J Wood</t>
  </si>
  <si>
    <t>Director of Environment and Commercial Services</t>
  </si>
  <si>
    <t>J Harris</t>
  </si>
  <si>
    <t>Director of Children, Schools &amp; Families</t>
  </si>
  <si>
    <t>M Parsons</t>
  </si>
  <si>
    <t>Director Resources &amp; Performance</t>
  </si>
  <si>
    <t>S Pickup</t>
  </si>
  <si>
    <t>Director Health &amp; Community Services</t>
  </si>
  <si>
    <t>R Wilsher</t>
  </si>
  <si>
    <t>Director Community Protection (CFO)</t>
  </si>
  <si>
    <t>K Pettitt</t>
  </si>
  <si>
    <t>J Mills</t>
  </si>
  <si>
    <t>Deputy Chief Fire Officer</t>
  </si>
  <si>
    <t>J Donovan</t>
  </si>
  <si>
    <t>Deputy Director (Chief Education Officer)</t>
  </si>
  <si>
    <t>J Sellgren</t>
  </si>
  <si>
    <t>C Bull</t>
  </si>
  <si>
    <t>C Coppell</t>
  </si>
  <si>
    <t>Group Director of Social Care and Learning</t>
  </si>
  <si>
    <t>Group Director of Culture and Communities</t>
  </si>
  <si>
    <t>Group Director of Finance and Commerce</t>
  </si>
  <si>
    <t>Assistant Chief Executive- Legal and Democratic Services</t>
  </si>
  <si>
    <t>Corporate Director A</t>
  </si>
  <si>
    <t>Corporate Director B</t>
  </si>
  <si>
    <t>Head of Resources</t>
  </si>
  <si>
    <t>Head of Regeneration</t>
  </si>
  <si>
    <t>Head of Customer and Support Services</t>
  </si>
  <si>
    <t>Paul Walker</t>
  </si>
  <si>
    <t>Director of Child &amp; Adult</t>
  </si>
  <si>
    <t>Director of Regeneration &amp; Neighbourhoods</t>
  </si>
  <si>
    <t>Chief Solicitor</t>
  </si>
  <si>
    <t>Michael Lockwood</t>
  </si>
  <si>
    <t>Corporate Director - Place Shaping</t>
  </si>
  <si>
    <t>Corporate Director - Community and Environment</t>
  </si>
  <si>
    <t>Director of Legal &amp; Governance Services</t>
  </si>
  <si>
    <t>Corporate Director - Adults and Housing</t>
  </si>
  <si>
    <t>Corporate Director - Finance</t>
  </si>
  <si>
    <t>Mr P A Lewis</t>
  </si>
  <si>
    <t>Mr K Crompton</t>
  </si>
  <si>
    <t>Director of Urban Environment</t>
  </si>
  <si>
    <t>Director of Adult, Culture &amp; Community Services</t>
  </si>
  <si>
    <t>Assistant Chief Executive - People &amp; Organisational Development</t>
  </si>
  <si>
    <t>Andrew Smith</t>
  </si>
  <si>
    <t>John Coughlan</t>
  </si>
  <si>
    <t>Director of Children's Services and Deputy Chief Executive</t>
  </si>
  <si>
    <t>Carolyn Williamson</t>
  </si>
  <si>
    <t>County Treasurer</t>
  </si>
  <si>
    <t>Director of Economic Development</t>
  </si>
  <si>
    <t>Director of Property, Business and Regulatory Services</t>
  </si>
  <si>
    <t>Director of Culture, Communities and Rural Affairs</t>
  </si>
  <si>
    <t>Includes termination benefits</t>
  </si>
  <si>
    <t>Geoff Alltimes</t>
  </si>
  <si>
    <t>Jane West</t>
  </si>
  <si>
    <t>Director of Finance &amp; Corporate Services</t>
  </si>
  <si>
    <t>Nigel Pallace</t>
  </si>
  <si>
    <t>Director of Environment Services</t>
  </si>
  <si>
    <t>James Reilly</t>
  </si>
  <si>
    <t>Andrew Christie</t>
  </si>
  <si>
    <t>Lyn Carpenter</t>
  </si>
  <si>
    <t>Director of Residents' Services</t>
  </si>
  <si>
    <t>Michael Cogher</t>
  </si>
  <si>
    <t>Frank Hansen</t>
  </si>
  <si>
    <t>Assistant Director (Strategy, Performance &amp; Procurement)</t>
  </si>
  <si>
    <t>Includes redundancies</t>
  </si>
  <si>
    <t>David Parr</t>
  </si>
  <si>
    <t>Strategic Director: Adults &amp; Community</t>
  </si>
  <si>
    <t>Strategic Director: Young People</t>
  </si>
  <si>
    <t>Strategic Director: Environment &amp; Economy</t>
  </si>
  <si>
    <t>Strategic Director: Resources</t>
  </si>
  <si>
    <t>Operational Director: Community</t>
  </si>
  <si>
    <t>Operational Director: Complex Needs</t>
  </si>
  <si>
    <t>Operational Director: Prevention &amp; Commissioning</t>
  </si>
  <si>
    <t>Operational Director: Environment &amp; Regulatory Services</t>
  </si>
  <si>
    <t>Operational Director: Finance</t>
  </si>
  <si>
    <t>Operational Director: ICT Services</t>
  </si>
  <si>
    <t>Operational Director: Legal &amp; Democratic</t>
  </si>
  <si>
    <t>Operational Director: Policy &amp; Performance</t>
  </si>
  <si>
    <t>Tim Shields</t>
  </si>
  <si>
    <t>Belinda Black</t>
  </si>
  <si>
    <t>Corporate Director of Customer and Corporate Services</t>
  </si>
  <si>
    <t>Corporate Director of Finance and Resources</t>
  </si>
  <si>
    <t>Corporate Director of Legal and Democratic Services</t>
  </si>
  <si>
    <t>Director of Partnerships</t>
  </si>
  <si>
    <t>Head of Service</t>
  </si>
  <si>
    <t>M Ney</t>
  </si>
  <si>
    <t>C Perry</t>
  </si>
  <si>
    <t>J Comber</t>
  </si>
  <si>
    <t>Director of Regeneration, Enterprise &amp; Skills</t>
  </si>
  <si>
    <t>G Palmer</t>
  </si>
  <si>
    <t>Director of Culture and Community</t>
  </si>
  <si>
    <t>Director of Adults and Older People Services</t>
  </si>
  <si>
    <t>Director of HR &amp; Organisational Improvement</t>
  </si>
  <si>
    <t>Director of Community Safety &amp; Environment</t>
  </si>
  <si>
    <t>Head of Law &amp; Governance</t>
  </si>
  <si>
    <t>L Boland</t>
  </si>
  <si>
    <t>J Jacobs</t>
  </si>
  <si>
    <t>Executive Director of Communities and Intelligence &amp; Head of Paid Service</t>
  </si>
  <si>
    <t>M Clarke</t>
  </si>
  <si>
    <t>N Coleman</t>
  </si>
  <si>
    <t>Director of London 2012</t>
  </si>
  <si>
    <t>M Roberts</t>
  </si>
  <si>
    <t>Executive Director of Secretariat</t>
  </si>
  <si>
    <t>F Fletcher-Smith</t>
  </si>
  <si>
    <t>Executive Director of Development and Environment</t>
  </si>
  <si>
    <t>S Milton</t>
  </si>
  <si>
    <t>Deputy Mayor and Chief of Staff</t>
  </si>
  <si>
    <t>G Harri</t>
  </si>
  <si>
    <t>Director of External Relations</t>
  </si>
  <si>
    <t>D Ritterband</t>
  </si>
  <si>
    <t>Director of Marketing</t>
  </si>
  <si>
    <t>A Browne</t>
  </si>
  <si>
    <t>Advisor for Economic Development</t>
  </si>
  <si>
    <t>P Chesters</t>
  </si>
  <si>
    <t>Advisor for Health and Youth Opportunities</t>
  </si>
  <si>
    <t>K Ranger</t>
  </si>
  <si>
    <t>Advisor for Transport</t>
  </si>
  <si>
    <t>N Griffin</t>
  </si>
  <si>
    <t>Director (Communities)</t>
  </si>
  <si>
    <t>Director (Transformation and Finance)</t>
  </si>
  <si>
    <t>Director (Business)</t>
  </si>
  <si>
    <t>Director (Housing and Environment)</t>
  </si>
  <si>
    <t>Salary £81,042, Allowances £1,683, Benefits in kind £3,448, Pension contributions £29,946</t>
  </si>
  <si>
    <t>Director of Economic Regeneration</t>
  </si>
  <si>
    <t>Director of Law &amp; Administration</t>
  </si>
  <si>
    <t>Group Director Environment</t>
  </si>
  <si>
    <t>Director of Commissioning &amp; Partnership</t>
  </si>
  <si>
    <t>Group Director Business Management</t>
  </si>
  <si>
    <t>Group Director Community Safety</t>
  </si>
  <si>
    <t>Mr P Bungard</t>
  </si>
  <si>
    <t>Chief Executive (Head of Paid Service)</t>
  </si>
  <si>
    <t>Includes severance</t>
  </si>
  <si>
    <t>George Black</t>
  </si>
  <si>
    <t>Lynn Brown</t>
  </si>
  <si>
    <t>Executive Director of Financial Services</t>
  </si>
  <si>
    <t>Ian Drummond</t>
  </si>
  <si>
    <t>Maureen McKenna</t>
  </si>
  <si>
    <t>Executive Director of Education Services</t>
  </si>
  <si>
    <t>Robert Booth</t>
  </si>
  <si>
    <t>Executive Director of Land and Environmental Services</t>
  </si>
  <si>
    <t>David Crawford</t>
  </si>
  <si>
    <t>Executive Director of Social Care Services</t>
  </si>
  <si>
    <t>Steve Inch</t>
  </si>
  <si>
    <t>Iain Scott</t>
  </si>
  <si>
    <t>Colin Edgar</t>
  </si>
  <si>
    <t>Head of Communication and Organisational Development</t>
  </si>
  <si>
    <t>Dawn Corbett</t>
  </si>
  <si>
    <t>Head of Corporate Policy and Service Reform</t>
  </si>
  <si>
    <t>Thomas McCabe</t>
  </si>
  <si>
    <t>Head of Service Development</t>
  </si>
  <si>
    <t>Jim Cunningham</t>
  </si>
  <si>
    <t>Assistant Director of Development and Regeneration Services</t>
  </si>
  <si>
    <t>Wendy O'Donnell</t>
  </si>
  <si>
    <t>Area Education Manager</t>
  </si>
  <si>
    <t>Roger Kelly</t>
  </si>
  <si>
    <t>Strategic Director, Finance &amp; ICT</t>
  </si>
  <si>
    <t>Strategic Director, Legal &amp; Corporate Services</t>
  </si>
  <si>
    <t>Group Director, Community Based Services</t>
  </si>
  <si>
    <t>Group Director, Learning and Children</t>
  </si>
  <si>
    <t>Group Director, Local Environmental Services</t>
  </si>
  <si>
    <t>Group Director, Development &amp; Enterprise</t>
  </si>
  <si>
    <t>Director of Lifelong Learning</t>
  </si>
  <si>
    <t>Ronald Hinds</t>
  </si>
  <si>
    <t>Kenneth Greer</t>
  </si>
  <si>
    <t>Executive Director Education</t>
  </si>
  <si>
    <t>Stephen Moore</t>
  </si>
  <si>
    <t>Executive Director Social Work</t>
  </si>
  <si>
    <t>Steven Grimmond</t>
  </si>
  <si>
    <t>Stuart Nichol</t>
  </si>
  <si>
    <t>Executive Director Environment &amp; Development</t>
  </si>
  <si>
    <t>Michael Enston</t>
  </si>
  <si>
    <t>Executive Director Performance &amp; Organisational Support</t>
  </si>
  <si>
    <t>Bruce Clark</t>
  </si>
  <si>
    <t>Chief Executive A</t>
  </si>
  <si>
    <t>Chief Executive B</t>
  </si>
  <si>
    <t>Corporate Director and Chief Finance Officer</t>
  </si>
  <si>
    <t>Deputy Chief Executive Officer</t>
  </si>
  <si>
    <t>Mary Pitcaithly</t>
  </si>
  <si>
    <t>Margaret Anderson</t>
  </si>
  <si>
    <t>Acting Director of Social Work Services</t>
  </si>
  <si>
    <t>Maureen Campbell</t>
  </si>
  <si>
    <t>Rose Mary Glackin</t>
  </si>
  <si>
    <t>Acting Director of Law &amp; Administration Services (Monitoring Officer)</t>
  </si>
  <si>
    <t>Alexander Jannetta</t>
  </si>
  <si>
    <t>Stuart Ritchie</t>
  </si>
  <si>
    <t>Director of Corporate &amp; Neighbourhood Services</t>
  </si>
  <si>
    <t>Julia Swan</t>
  </si>
  <si>
    <t>Director of Education Services</t>
  </si>
  <si>
    <t>Executive Director- Environment, Sustainability &amp; Highways</t>
  </si>
  <si>
    <t>Mr Graham Tombs</t>
  </si>
  <si>
    <t>Mr Robert Overall</t>
  </si>
  <si>
    <t>Ms Joanna Killian</t>
  </si>
  <si>
    <t>Miss Jennifer Owen</t>
  </si>
  <si>
    <t>Mr Keir Lynch</t>
  </si>
  <si>
    <t>Mrs Margaret Lee</t>
  </si>
  <si>
    <t>Executive Director for Finance</t>
  </si>
  <si>
    <t>Mr Andrew Fairchild</t>
  </si>
  <si>
    <t>Director for Customer Services</t>
  </si>
  <si>
    <t>Salary (incl fees &amp; allowances) £93,516, Expense allowances £4,251, Benefits in kind £4,553, Pension contributions £15,430</t>
  </si>
  <si>
    <t>Salary (incl fees &amp; allowances) £85,014, Benefits in kind £2,039, Pension contributions £14,027</t>
  </si>
  <si>
    <t>Salary (incl fees &amp; allowances) £98,915, Pension contribution £26,509</t>
  </si>
  <si>
    <t>Salary (incl fees &amp; allowances) £98,914, Pension contribution £26,509</t>
  </si>
  <si>
    <t>Salary (incl fees &amp; allowances) £111,469, Pension contributions £15,516</t>
  </si>
  <si>
    <t>Salary (incl fees &amp; allowances) £93,633, Pension contribution £21,676</t>
  </si>
  <si>
    <t>Salary (incl fees &amp; allowances) £84,221, Pension contribution £19,497</t>
  </si>
  <si>
    <t>Salary (incl fees &amp; allowances) £83,459, Pension contribution £19,321</t>
  </si>
  <si>
    <t>Including severance</t>
  </si>
  <si>
    <t>Peter Haywood</t>
  </si>
  <si>
    <t>Acting Chief Executive</t>
  </si>
  <si>
    <t>Rob Leak</t>
  </si>
  <si>
    <t>Director of Health, Housing &amp; Adult Social Care</t>
  </si>
  <si>
    <t>Director of Finance, Resources &amp; Customer Services</t>
  </si>
  <si>
    <t>Director of Schools &amp; Children's Services</t>
  </si>
  <si>
    <t>Strategic Director - Resources (S151 Officer)</t>
  </si>
  <si>
    <t>Strategic Director - Services</t>
  </si>
  <si>
    <t>Malcolm Burr</t>
  </si>
  <si>
    <t>Becky Shaw</t>
  </si>
  <si>
    <t>Cheryl Miller</t>
  </si>
  <si>
    <t>Sean Nolan</t>
  </si>
  <si>
    <t>Director of Adult Social Care</t>
  </si>
  <si>
    <t>Director of Transport and Environment</t>
  </si>
  <si>
    <t>Interim Director of Governance and Community Services</t>
  </si>
  <si>
    <t>Nigel Pearson</t>
  </si>
  <si>
    <t>Director of Children, Family &amp; Adult Services</t>
  </si>
  <si>
    <t>Director of Planning &amp; Economic Regeneration</t>
  </si>
  <si>
    <t>Director of Environment &amp; Neighbourhood Services</t>
  </si>
  <si>
    <t>Director of Policy, Partnerships &amp; Improvement</t>
  </si>
  <si>
    <t>Lorraine McMillan</t>
  </si>
  <si>
    <t>Julie Murray</t>
  </si>
  <si>
    <t>Director of Community Health &amp; Care Partnership</t>
  </si>
  <si>
    <t>Norman Williamson</t>
  </si>
  <si>
    <t>Alan Blackie</t>
  </si>
  <si>
    <t>Monica Patterson</t>
  </si>
  <si>
    <t>Alex McCrorie</t>
  </si>
  <si>
    <t>Don Ledingham</t>
  </si>
  <si>
    <t>Pete Collins</t>
  </si>
  <si>
    <t>Nigel Howells</t>
  </si>
  <si>
    <t>Director of Internal Services</t>
  </si>
  <si>
    <t>Gerry Cornes</t>
  </si>
  <si>
    <t>John Simmons</t>
  </si>
  <si>
    <t>Diane Campbell</t>
  </si>
  <si>
    <t>Director of Corporate &amp; Customer Services</t>
  </si>
  <si>
    <t>Derek Cunningham</t>
  </si>
  <si>
    <t>Annette Bruton</t>
  </si>
  <si>
    <t>Stewart Carruth</t>
  </si>
  <si>
    <t>Pete Leonard</t>
  </si>
  <si>
    <t>Director of Housing and Environment</t>
  </si>
  <si>
    <t>Fred McBride</t>
  </si>
  <si>
    <t>Director of Social Care and Wellbeing</t>
  </si>
  <si>
    <t>Gordon McIntosh</t>
  </si>
  <si>
    <t>Director of Enterprise Planning and Infrastructure</t>
  </si>
  <si>
    <t>Sue Bruce</t>
  </si>
  <si>
    <t>Colin Mackenzie</t>
  </si>
  <si>
    <t>Frances Backwell</t>
  </si>
  <si>
    <t>Ritchie Johnson</t>
  </si>
  <si>
    <t>Director of Housing and Social Work</t>
  </si>
  <si>
    <t>Christine Gore</t>
  </si>
  <si>
    <t>Iain Gabriel</t>
  </si>
  <si>
    <t>Director of Infrastructure Services</t>
  </si>
  <si>
    <t>R Ashton</t>
  </si>
  <si>
    <t>E Lowson</t>
  </si>
  <si>
    <t>C McMahon</t>
  </si>
  <si>
    <t>R Peat</t>
  </si>
  <si>
    <t>D Sawers</t>
  </si>
  <si>
    <t>Sally Loudon</t>
  </si>
  <si>
    <t>Corporate Resources Director</t>
  </si>
  <si>
    <t>Services Director</t>
  </si>
  <si>
    <t>Head of Planning and Development</t>
  </si>
  <si>
    <t>Corporate Director Adult and Community Services</t>
  </si>
  <si>
    <t>Corporate Director Children's Services</t>
  </si>
  <si>
    <t>Corporate Director Customer Services</t>
  </si>
  <si>
    <t>Stella Manzie</t>
  </si>
  <si>
    <t xml:space="preserve">N Walkley </t>
  </si>
  <si>
    <t>B Reynolds</t>
  </si>
  <si>
    <t>Executive Director for Environment and Development</t>
  </si>
  <si>
    <t>R McCulloch-Graham</t>
  </si>
  <si>
    <t>I Flinday</t>
  </si>
  <si>
    <t>Director of Health Integration</t>
  </si>
  <si>
    <t>Director of Environment and Transport</t>
  </si>
  <si>
    <t>Assistant Director of Building Control &amp; Structures</t>
  </si>
  <si>
    <t>Assistant Director Inclusion</t>
  </si>
  <si>
    <t>Principle Inspector - Challenge Intervention</t>
  </si>
  <si>
    <t>Director of Planning Housing and Regeneration</t>
  </si>
  <si>
    <t>Director of Environment and Operations</t>
  </si>
  <si>
    <t>Assistant Director Regeneration</t>
  </si>
  <si>
    <t>Deputy Director of Adult Social Services</t>
  </si>
  <si>
    <t>Director of Strategy</t>
  </si>
  <si>
    <t>Assistant Director Human Resources</t>
  </si>
  <si>
    <t>Assistant Director Customer Services and Libraries</t>
  </si>
  <si>
    <t>Assistant Director Legal</t>
  </si>
  <si>
    <t>Assistant Director Corporate Programs and Estates</t>
  </si>
  <si>
    <t>Assistant Director Social Care</t>
  </si>
  <si>
    <t>Assistant Director Barnet Communications</t>
  </si>
  <si>
    <t>Assistant Director Environment</t>
  </si>
  <si>
    <t>Assistant Director Transformation and Resources</t>
  </si>
  <si>
    <t>Assistant Director Planning and Development</t>
  </si>
  <si>
    <t xml:space="preserve">Assistant Director Strategy </t>
  </si>
  <si>
    <t>Assistant Director Policy Planning and Performance</t>
  </si>
  <si>
    <t>Assistant Director Commercial Assurance</t>
  </si>
  <si>
    <t>Head of Revenues and Benefits</t>
  </si>
  <si>
    <t>Assistant Director Financial Services</t>
  </si>
  <si>
    <t>Executive Director Children Young People &amp; Families</t>
  </si>
  <si>
    <t>Deputy Chief Executive&amp; Executive Director of Finance &amp; Property</t>
  </si>
  <si>
    <t>Borough Secretary</t>
  </si>
  <si>
    <t>Executive Director Adult Social Services</t>
  </si>
  <si>
    <t>Executive Director Development</t>
  </si>
  <si>
    <t>Assistant Chief Executive Human Resources</t>
  </si>
  <si>
    <t>Bala Mahendran</t>
  </si>
  <si>
    <t>Head of Corporate Services</t>
  </si>
  <si>
    <t>Head of Street Scene and Leisure Services</t>
  </si>
  <si>
    <t xml:space="preserve">Corporate Director </t>
  </si>
  <si>
    <t xml:space="preserve">Director of Corporate Services </t>
  </si>
  <si>
    <t>John Everitt</t>
  </si>
  <si>
    <t>Strategic Director Children's Services</t>
  </si>
  <si>
    <t>Strategic Director Support Services</t>
  </si>
  <si>
    <t>Strategic Director Service Delivery</t>
  </si>
  <si>
    <t>Council Solicitor</t>
  </si>
  <si>
    <t>Divisional Director Improvement &amp; Performance</t>
  </si>
  <si>
    <t>Divisional Director Finance</t>
  </si>
  <si>
    <t>Philip Simpkins</t>
  </si>
  <si>
    <t xml:space="preserve">Salary £170,000; Pension Contribution £32,470 </t>
  </si>
  <si>
    <t>Salary £130,846; Benefits in kind £975; Pension Contribution £24,992</t>
  </si>
  <si>
    <t>Executive Director Adult Services</t>
  </si>
  <si>
    <t xml:space="preserve">Salary £130,846; Benefits in kind £962; Pension contribution £24,992 </t>
  </si>
  <si>
    <t>Salary £138,722; Benefits in kind £6,147; Pension contribution £26,496</t>
  </si>
  <si>
    <t>Salary £123,216; Benefits in kind £316; Pension contribution £23,534</t>
  </si>
  <si>
    <t>Assistant Chief Executive Governance</t>
  </si>
  <si>
    <t xml:space="preserve">Salary £85,633; Benefits in kind £1,287; Pension contribution £16,356 </t>
  </si>
  <si>
    <t>Assistant Chief Executive HR &amp; OD</t>
  </si>
  <si>
    <t>Salary £86,363; Benefits in kind £1,225; Pension contribution £16,495</t>
  </si>
  <si>
    <t>Operational Director - CSD</t>
  </si>
  <si>
    <t>Will Tuckley</t>
  </si>
  <si>
    <t>Deborah Absalom</t>
  </si>
  <si>
    <t>Peter Ellershaw</t>
  </si>
  <si>
    <t>Director of Environment and Regeneration Services</t>
  </si>
  <si>
    <t>Director of Social and Community Services</t>
  </si>
  <si>
    <t xml:space="preserve">Salary £140,671; Benefits in Kind £5,989; Pension contribution £28,620 </t>
  </si>
  <si>
    <t>Director of Customer Services</t>
  </si>
  <si>
    <t xml:space="preserve">Director of Finance </t>
  </si>
  <si>
    <t>Salary £99,039; Benefits in Kind £5,266; Pension contribution £19,808</t>
  </si>
  <si>
    <t>Stephen Hughes</t>
  </si>
  <si>
    <t>Salary £198,925; Pension Contribution £29,565</t>
  </si>
  <si>
    <t>Salary £145,814; Expenses £94; Pension Contribution £23,622</t>
  </si>
  <si>
    <t>Salary £145,814; Pension Contribution £23,141</t>
  </si>
  <si>
    <t>Salary £145,814; Pension Contribution £23,622</t>
  </si>
  <si>
    <t>Salary £89,125; Expenses £87; Benefits in Kind £3,776; Pension Contribution £16,711</t>
  </si>
  <si>
    <t>Salary £81,928; Expenses £117; Benefits in Kind £4,986; Pension Contribution £15,361</t>
  </si>
  <si>
    <t>Graham Burgess</t>
  </si>
  <si>
    <t>Deputy Chief Executive - Community &amp; Personal</t>
  </si>
  <si>
    <t>Salary £126,000; Pension contribution £19,000</t>
  </si>
  <si>
    <t>Deputy Chief Executive - Regeneration &amp; Technical</t>
  </si>
  <si>
    <t>Salary £123,000; Pension Contribution £19,000</t>
  </si>
  <si>
    <t>Salary £113,000; Pension contribution £17,000</t>
  </si>
  <si>
    <t xml:space="preserve">Strategic Director of Social Care &amp; Health </t>
  </si>
  <si>
    <t xml:space="preserve">Strategic Director of Regeneration &amp; Environment </t>
  </si>
  <si>
    <t>Salary £79,000; Compensation for loss of office £20,000; Pension contribution £12,000</t>
  </si>
  <si>
    <t>Salary £104,000; Benefits in Kind £4,000; Pension contribution £16,000</t>
  </si>
  <si>
    <t>Salary £118,000; Pension Contribution £18,000</t>
  </si>
  <si>
    <t>Director of Culture, Leisure &amp; Sport</t>
  </si>
  <si>
    <t>Salary £92,000; Pension Contribution £13,000</t>
  </si>
  <si>
    <t>Salary £143,832; Expenses £963; Benefits in Kind £1,254; Pension contribution £23,301</t>
  </si>
  <si>
    <t>Director of Children's Adults and Families</t>
  </si>
  <si>
    <t>Salary £126,525; Expenses £963; Benefits in Kind £669; Pension contribution £20,497</t>
  </si>
  <si>
    <t>Director of Places</t>
  </si>
  <si>
    <t>Salary £110,027; Expenses £963; Benefits in Kind £282; Pension contribution £17,824</t>
  </si>
  <si>
    <t>Salary £111,866; Expenses £148; Benefits in Kind £1,132; Pension contribution £25,394; Compensation £25,084</t>
  </si>
  <si>
    <t>Corporate Director Community Services</t>
  </si>
  <si>
    <t>Salary £89,958; Expenses £3,490; Benefits in Kind £433; Pension contribution £18,967</t>
  </si>
  <si>
    <t>Sean Harriss</t>
  </si>
  <si>
    <t>Salary £170,000; Pension Contribution £26,860</t>
  </si>
  <si>
    <t>Salary £132,500; Pension Contribution £20,935</t>
  </si>
  <si>
    <t>Salary £130,000; Pension Contribution £20,540</t>
  </si>
  <si>
    <t>Director of Development and Regeneration</t>
  </si>
  <si>
    <t>Director of Adult and Community Services</t>
  </si>
  <si>
    <t>Salary £110,000; Pension Contribution £17,380</t>
  </si>
  <si>
    <t>Director of Chief Executive's Department</t>
  </si>
  <si>
    <t>Executive Director Business and Improvement</t>
  </si>
  <si>
    <t>Salary £146,486; Expenses £3,509</t>
  </si>
  <si>
    <t>Executive Director Environment and Economic Services</t>
  </si>
  <si>
    <t>Salary £104,673; Expenses £1,352; Pension Contribution £18,797</t>
  </si>
  <si>
    <t>Executive Director Children and Families Services</t>
  </si>
  <si>
    <t>Salary £103,850; Expenses £2,302; Pension Contribution £18,797</t>
  </si>
  <si>
    <t>Executive Director Adult and Community Services</t>
  </si>
  <si>
    <t>Salary £103,397; Expenses £1,320; Pension Contribution £18,797</t>
  </si>
  <si>
    <t>Salary £77,675; Expenses £1,954; Bonus £8,821; Pension Contribution £15,656</t>
  </si>
  <si>
    <t>Salary £75,283; Expenses £3,564; Bonus £8,821; Pension Contribution £15,203</t>
  </si>
  <si>
    <t>Salary £86,580; Expenses £885; Bonus £13,392; Pension Contribution £18,198</t>
  </si>
  <si>
    <t>T Wheadon</t>
  </si>
  <si>
    <t>Salary £161,500; Expenses £1,400; Pension Contribution £24,300</t>
  </si>
  <si>
    <t>Salary £115,800; Expenses £400; Pension Contribution £17,900</t>
  </si>
  <si>
    <t xml:space="preserve">Director of Children, Young People and Learning </t>
  </si>
  <si>
    <t>Director of Environment, Culture and Communities</t>
  </si>
  <si>
    <t>Salary £116,500; Expenses £600; Pension Contribution £17,500</t>
  </si>
  <si>
    <t>Salary £102,400; Expenses £100; Pension Contribution £15,900</t>
  </si>
  <si>
    <t>Salary £87,500; Expenses £100; Pension Contribution £13,500</t>
  </si>
  <si>
    <t>Tony Reeves</t>
  </si>
  <si>
    <t>Salary £196,908; Expenses £1,239; Pension Contribution £29,087</t>
  </si>
  <si>
    <t>Strategic Director - Adult and Community Services</t>
  </si>
  <si>
    <t>Salary £118,486; Expenses £1,239; Pension Contribution £17,323</t>
  </si>
  <si>
    <t>Strategic Director - Children and Young People</t>
  </si>
  <si>
    <t>Salary £135,961; Expenses £1,239; Pension Contribution £20,094</t>
  </si>
  <si>
    <t>Strategic Director - Culture, Tourism and Sport</t>
  </si>
  <si>
    <t>Strategic Director - Regeneration and Culture</t>
  </si>
  <si>
    <t>Salary £130,780; Expenses £1,300; Pension Contribution £19,155</t>
  </si>
  <si>
    <t>Strategic Director - Environment &amp; Sport</t>
  </si>
  <si>
    <t>Salary £114,283; Expenses £1,239; Pension Contribution £16,692</t>
  </si>
  <si>
    <t>Salary £130,000; Benefits £2,000; Pension Contribution £17,000</t>
  </si>
  <si>
    <t>Salary £90,000; Benefits £4,000; Pension Contribution £9,000</t>
  </si>
  <si>
    <t>Salary £90,367; Benefits £2,169; Pension Contribution £18,164</t>
  </si>
  <si>
    <t>G Daniel</t>
  </si>
  <si>
    <t>Salary £203,853; Pension Contribution £28,793</t>
  </si>
  <si>
    <t>Salary £140,508; Pension Contribution £20,795</t>
  </si>
  <si>
    <t>Salary £108,084; Pension Contribution £15,996</t>
  </si>
  <si>
    <t>Salary £93,601; Pension Contribution £11,648</t>
  </si>
  <si>
    <t>Head of Planning and Regulation</t>
  </si>
  <si>
    <t>Salary £131,178; Expenses £495; Benefits £10,267; Pension Contribution £27,529</t>
  </si>
  <si>
    <t>Corporate Director - Children</t>
  </si>
  <si>
    <t>Salary £104,068; Expenses £251; Benefits £4,817; Pension Contribution £21,854</t>
  </si>
  <si>
    <t xml:space="preserve">Salary £101,857; Expenses £266; Benefits £8,987; Pension Contribution £21,390 </t>
  </si>
  <si>
    <t>Corporate Director - Wellbeing</t>
  </si>
  <si>
    <t>Salary £101,857; Benefits £5,926; Pension Contribution £21,390</t>
  </si>
  <si>
    <t>Assistant Chief Executive - Legal and Regulatory Services</t>
  </si>
  <si>
    <t>Salary £93,120; Expenses £423; Benefits £7,641; Pension Contribution £19,555</t>
  </si>
  <si>
    <t>Assistant Chief Executive - Performance</t>
  </si>
  <si>
    <t>Salary £88,458; Expenses £874; Benefits £8,478; Pension Contribution £18,576</t>
  </si>
  <si>
    <t>I Barradell</t>
  </si>
  <si>
    <t>Director of Strategy and Governance</t>
  </si>
  <si>
    <t>Salary £43,300; Compensation £125,100; Pension Contribution £7,100</t>
  </si>
  <si>
    <t>Director of Culture and Enterprise</t>
  </si>
  <si>
    <t xml:space="preserve">Director of Environment </t>
  </si>
  <si>
    <t>Salary £44,100; Compensation £169,300; Pension Contribution £5,700</t>
  </si>
  <si>
    <t>Salary £92,800; Compensation £258,000; Pension Contribution £8,700</t>
  </si>
  <si>
    <t>J Ormondroyd</t>
  </si>
  <si>
    <t>Salary £189,533; Pension Contribution £32,600</t>
  </si>
  <si>
    <t>Salary £128,335; Pension Contribution £22,074</t>
  </si>
  <si>
    <t>Strategic Director City Development</t>
  </si>
  <si>
    <t>Salary £112,597; Pension Contribution £19,367</t>
  </si>
  <si>
    <t>Salary £109,110; Expenses £454; Pension Contribution £20,700</t>
  </si>
  <si>
    <t>D Patterson</t>
  </si>
  <si>
    <t>Salary £177,135; Pension Contribution £25,160</t>
  </si>
  <si>
    <t xml:space="preserve">Director of Resources </t>
  </si>
  <si>
    <t>Salary £138,937; Pension Contribution £20,424</t>
  </si>
  <si>
    <t>Director of Legal and Democratic Services</t>
  </si>
  <si>
    <t>Assistant Chief Executive HR</t>
  </si>
  <si>
    <t>Salary £112,089; Pension Contribution £15,948</t>
  </si>
  <si>
    <t>Director of Renewal and Recreation</t>
  </si>
  <si>
    <t>Salary £116,839; Pension Contribution £17,175</t>
  </si>
  <si>
    <t>Salary £112,565; Expenses £5,230; Pension Contribution £16,598</t>
  </si>
  <si>
    <t>Director of Children and Young People Services</t>
  </si>
  <si>
    <t>Salary £134,389; Pension Contribution £19,749</t>
  </si>
  <si>
    <t xml:space="preserve">Chief Executive </t>
  </si>
  <si>
    <t>Salary £114,215; Pension Contribution £17,932</t>
  </si>
  <si>
    <t>Salary £108,129; Pension Contribution £19,319</t>
  </si>
  <si>
    <t>Salary £86,418; Pension Contribution £14,826</t>
  </si>
  <si>
    <t>Chris Williams</t>
  </si>
  <si>
    <t>Strategic Director - Business and Customer Transformation</t>
  </si>
  <si>
    <t>Steve Rumbelow</t>
  </si>
  <si>
    <t>Salary £112,728; Elections £6,806; Pension Contribution £15,898</t>
  </si>
  <si>
    <t>M Sanders</t>
  </si>
  <si>
    <t>Salary £111,856; Pension Contribution £17,561</t>
  </si>
  <si>
    <t>Executive Director - Adult Services</t>
  </si>
  <si>
    <t>Salary £101,022; Pension Contribution £15,860</t>
  </si>
  <si>
    <t>Executive Director - Environment &amp; Development</t>
  </si>
  <si>
    <t>Director of Finance &amp; E-Government</t>
  </si>
  <si>
    <t>Salary £92,087; Pension Contribution £14,458</t>
  </si>
  <si>
    <t>Salary £97,631; Expenses £2,387; Pension Contribution £20,502</t>
  </si>
  <si>
    <t xml:space="preserve">Director of Education </t>
  </si>
  <si>
    <t>Salary £97,631; Expenses £1,118; Pension Contribution £20,502</t>
  </si>
  <si>
    <t>Salary £147,000; Expenses £1,000; Pension Contribution £22,000</t>
  </si>
  <si>
    <t>Salary £92,000; Pension Contribution £14,000</t>
  </si>
  <si>
    <t xml:space="preserve">Director of Children and Young People </t>
  </si>
  <si>
    <t>Director of Economy and Environment</t>
  </si>
  <si>
    <t>Director of Safer and Stronger</t>
  </si>
  <si>
    <t>Director of Adults, Health and Social Care</t>
  </si>
  <si>
    <t>Salary £117,000; Expenses £1,000; Pension Contribution £17,000</t>
  </si>
  <si>
    <t>A Jackson</t>
  </si>
  <si>
    <t>D Horspool</t>
  </si>
  <si>
    <t>S Payne</t>
  </si>
  <si>
    <t>L Bisset</t>
  </si>
  <si>
    <t>Mark Lloyd</t>
  </si>
  <si>
    <t>Salary £195,966; Pension Contribution £37,234</t>
  </si>
  <si>
    <t>Executive Director Children and Young People's Services</t>
  </si>
  <si>
    <t>Executive Director Community and Adult Services</t>
  </si>
  <si>
    <t>Salary £120,240; Pension Contribution £22,846</t>
  </si>
  <si>
    <t>Corporate Director Finance Property and Performance</t>
  </si>
  <si>
    <t>Salary £122,155; Pension Contribution £23,209</t>
  </si>
  <si>
    <t>Executive Director Environmental Services</t>
  </si>
  <si>
    <t>Corporate Director Customer Service and Transformation</t>
  </si>
  <si>
    <t>Salary £199,961; Bonus £5,000; Pension £31,908</t>
  </si>
  <si>
    <t xml:space="preserve">Director of Culture and Environment </t>
  </si>
  <si>
    <t>Salary £154,010; Bonus £5,000; Pension £23,378</t>
  </si>
  <si>
    <t>Director of Children, Schools, and Families</t>
  </si>
  <si>
    <t>Salary £152,110; Bonus £4,000; Pension £22,864</t>
  </si>
  <si>
    <t>Salary £150,535; Bonus £4,500; Pension £23,995</t>
  </si>
  <si>
    <t xml:space="preserve">Salary £105,300; Bonus £3,000; Pension £16,074 </t>
  </si>
  <si>
    <t>Assistant Director - Education Access and Inclusion</t>
  </si>
  <si>
    <t>Salary £105,050; Bonus £3,000; Pension £15,751</t>
  </si>
  <si>
    <t>Assistant Director - Adult Social Care</t>
  </si>
  <si>
    <t>Salary £105,050; Bonus £3,000; Pension £15,946</t>
  </si>
  <si>
    <t>Salary £104,938; Bonus £3,000; Pension £15,924</t>
  </si>
  <si>
    <t>Salary £104,821; Bonus £4,000; Pension £15,618</t>
  </si>
  <si>
    <t>Salary £103,991; Bonus £3,000; Pension £15,498</t>
  </si>
  <si>
    <t>Assistant Director - Corporate ICT</t>
  </si>
  <si>
    <t>Salary £101,476; Bonus £3,000; Pension £15,263</t>
  </si>
  <si>
    <t>Salary £100,033; Bonus £2,500; Pension £15,040</t>
  </si>
  <si>
    <t>Assistant Director - Achievement, Children, Schools and Families</t>
  </si>
  <si>
    <t>Salary £99,451; Bonus £4,000; Pension £14,814</t>
  </si>
  <si>
    <t>Deputy Director of Finance</t>
  </si>
  <si>
    <t>Salary £98,202; Bonus £3,500; Expenses £9,820; Pension £16,165</t>
  </si>
  <si>
    <t>Salary £97,003; Bonus £4,000; Pension £14,565</t>
  </si>
  <si>
    <t>Assistant Director - Children's Social Care</t>
  </si>
  <si>
    <t>Salary £95,516; Bonus £3,000; Pension £14,338</t>
  </si>
  <si>
    <t>Assistant Director - Revenues</t>
  </si>
  <si>
    <t>Salary £94,635; Bonus £2,500; Pension £14,100</t>
  </si>
  <si>
    <t>Assistant Director - Housing Management</t>
  </si>
  <si>
    <t>Salary £92,268; Bonus £3,000; Pension £13,744</t>
  </si>
  <si>
    <t>Salary £92,070; Bonus £3,000; Pension £13,582</t>
  </si>
  <si>
    <t>Salary £73,320; Bonus £3,000; Expenses £12,277; Pension £12,421</t>
  </si>
  <si>
    <t>Salary £114,823; Benefits £963; Pension £22,581</t>
  </si>
  <si>
    <t>Salary £135,000; Pension £26,000</t>
  </si>
  <si>
    <t>Chief of Corporate Services</t>
  </si>
  <si>
    <t>Salary £131,497; Taxable benefits £152; Pension £27,614</t>
  </si>
  <si>
    <t>Corporate Director Social</t>
  </si>
  <si>
    <t>Salary £131,235; Taxable benefits £171; Pension £27,559</t>
  </si>
  <si>
    <t>Corporate Director Built Environment</t>
  </si>
  <si>
    <t>Salary £107,088; Pension £22,488</t>
  </si>
  <si>
    <t>Chief Officer Shared Services</t>
  </si>
  <si>
    <t>Salary £99,741; Pension £20,946</t>
  </si>
  <si>
    <t>Chief Officer Housing and Neighbourhood Renewal</t>
  </si>
  <si>
    <t>Salary £83,991; Benefits £250; Pension £17,638</t>
  </si>
  <si>
    <t>Chief Officer Infrastructure</t>
  </si>
  <si>
    <t xml:space="preserve">Chief Officer Strategic Planning and Environment </t>
  </si>
  <si>
    <t>Chief Officer Social Projects and Development</t>
  </si>
  <si>
    <t>Chief Officer Adult Services</t>
  </si>
  <si>
    <t>Salary £83,991; Pension £17,638</t>
  </si>
  <si>
    <t>Chief Officer Children Services</t>
  </si>
  <si>
    <t>Chief Officer Direct Services</t>
  </si>
  <si>
    <t>Salary £104,000; Benefits £9,000; Pension £18,000</t>
  </si>
  <si>
    <t>Salary £82,000; Benefits £7,000; Pension £14,000</t>
  </si>
  <si>
    <t>M V James</t>
  </si>
  <si>
    <t>Salary £165,349; Expenses £2,234; Pension £21,595</t>
  </si>
  <si>
    <t>Salary £118,410; Expenses £2,326; Pension £15,512</t>
  </si>
  <si>
    <t>Director of Social Care, Health and Housing</t>
  </si>
  <si>
    <t>Salary £118,410; Expenses £1,517; Pension £15,512</t>
  </si>
  <si>
    <t>Salary £118,410; Expenses £1,399; Pension £15,512</t>
  </si>
  <si>
    <t>Salary £103,609; Expenses £1,383; Pension £13,573</t>
  </si>
  <si>
    <t>Head of Education Services</t>
  </si>
  <si>
    <t>Salary £94,938; Expenses £1,405; Pension £11,306</t>
  </si>
  <si>
    <t>David Marchant</t>
  </si>
  <si>
    <t>Salary £159,873; Pension £20,327</t>
  </si>
  <si>
    <t>Salary £102,995; Expenses £158; Pension £13,492</t>
  </si>
  <si>
    <t>Salary £98,461; Benefits £5,328; Pension £12,879</t>
  </si>
  <si>
    <t>Gary Alderson</t>
  </si>
  <si>
    <t>Salary £129,385; Expenses £942; Pension £28,032</t>
  </si>
  <si>
    <t>Matt Browmer</t>
  </si>
  <si>
    <t>S151 Officer</t>
  </si>
  <si>
    <t>Richard Carr</t>
  </si>
  <si>
    <t>Richard Ellis</t>
  </si>
  <si>
    <t>Director of Customer &amp; Shared Services</t>
  </si>
  <si>
    <t>Salary £131,739; Expenses £649; Pension £28,579</t>
  </si>
  <si>
    <t>Edwina Grant</t>
  </si>
  <si>
    <t>Salary £157,987; Expenses £1,833; Pension £34,328</t>
  </si>
  <si>
    <t xml:space="preserve">Julie Ogley </t>
  </si>
  <si>
    <t>Salary £144,669; Pension £31,411</t>
  </si>
  <si>
    <t>Salary £105,523; Benefits £1,257; Pension £16,017</t>
  </si>
  <si>
    <t>Salary £85,578; Benefits £1,470; Pension £12,986</t>
  </si>
  <si>
    <t>Director of Highways Property and Works</t>
  </si>
  <si>
    <t>Salary £85,578; Benefits £1,559; Pension £12,986</t>
  </si>
  <si>
    <t>Director of Environmental Services and Housing</t>
  </si>
  <si>
    <t>Salary £85,578; Benefits £1,611; Pension £12,986</t>
  </si>
  <si>
    <t>Director of Loughborough Regeneration</t>
  </si>
  <si>
    <t>Director of Partnerships and Customer Services</t>
  </si>
  <si>
    <t xml:space="preserve">Director of Development </t>
  </si>
  <si>
    <t>S Packham</t>
  </si>
  <si>
    <t>Salary £129,444; Pension £617; Benefits £1,286</t>
  </si>
  <si>
    <t>Salary £123,723; Pension £15,589; Benefits £6,043</t>
  </si>
  <si>
    <t>Salary £108,696; Pension £13,696; Benefits £7,802</t>
  </si>
  <si>
    <t>Salary £108,696; Pension £13,696; Benefits £6,739</t>
  </si>
  <si>
    <t>Director of Leisure and Cultural Services</t>
  </si>
  <si>
    <t>Salary £92,454; Pension £11,649; Benefits £4,397</t>
  </si>
  <si>
    <t>Salary £111,234; Pension £13,260; Benefits £1,357</t>
  </si>
  <si>
    <t>Director of Safer Communities</t>
  </si>
  <si>
    <t>Salary £98,637; Pension £12,428; Benefits £2,334</t>
  </si>
  <si>
    <t>Salary £108,696; Pension £13,696; Benefits £7,397</t>
  </si>
  <si>
    <t>Salary £108,083; Expenses £1,347; Benefits £1,267; Other Payments £10,061; Pension £17,308</t>
  </si>
  <si>
    <t>Assistant Director - Customer Access and Service Transformation</t>
  </si>
  <si>
    <t>Salary £89,104; Expenses £732; Benefits £1,239; Pension £13,054</t>
  </si>
  <si>
    <t>Salary £89,104; Expenses £699; Benefits £1,239; Pension £13,054</t>
  </si>
  <si>
    <t>Erika Wenzel</t>
  </si>
  <si>
    <t>Salary £189,260; Expenses £1,075; Pension £35,983</t>
  </si>
  <si>
    <t>Strategic Director Places</t>
  </si>
  <si>
    <t>Salary £121,923; Expenses £1,751; Pension £25,360</t>
  </si>
  <si>
    <t>Director of Children and Families Services</t>
  </si>
  <si>
    <t>Salary £111,661; Expenses £642; Pension £23,225</t>
  </si>
  <si>
    <t>Director of Adult and Community Health Services</t>
  </si>
  <si>
    <t>Salary £111,667; Expenses £580; Pension £23,227</t>
  </si>
  <si>
    <t>Head of Policy and Strategy</t>
  </si>
  <si>
    <t>Salary £73,822; Compensation £30,000; Pension £8,271</t>
  </si>
  <si>
    <t>Head of HR and Organisational Development</t>
  </si>
  <si>
    <t>Salary £90,314; Expenses £746; Pension £18,785</t>
  </si>
  <si>
    <t>Director of Finance and Business Services</t>
  </si>
  <si>
    <t>Salary £90,320; Expenses £132; Pension £18,787</t>
  </si>
  <si>
    <t>Projects and Performance Manager</t>
  </si>
  <si>
    <t>Salary £65,779; Expenses £1,937; Compensation £30,000; Pension £10,170</t>
  </si>
  <si>
    <t>Head of Environmental Services</t>
  </si>
  <si>
    <t>Salary £83,234; Expenses £1,429; Pension £17,313</t>
  </si>
  <si>
    <t>Mr S Robinson</t>
  </si>
  <si>
    <t>Salary £193,000; Benefits £2,000; Pension £40,000</t>
  </si>
  <si>
    <t>Salary £111,933; Benefits £947; Pension £23,282</t>
  </si>
  <si>
    <t>Director of Regeneration and Culture</t>
  </si>
  <si>
    <t>Salary £124,994; Benefits £370; Pension £25,999</t>
  </si>
  <si>
    <t>Head of Achievement &amp; Wellbeing</t>
  </si>
  <si>
    <t>Head of Facilities and Assets Management</t>
  </si>
  <si>
    <t>Salary £86,466; Pension £17,985</t>
  </si>
  <si>
    <t>Salary £83,062; Benefits £1,356; Pension £17,883</t>
  </si>
  <si>
    <t>Head of ICT &amp; Customer Services</t>
  </si>
  <si>
    <t>Salary £83,661; Benefits £1,233; Pension £17,402</t>
  </si>
  <si>
    <t>Head of Social Care Provision</t>
  </si>
  <si>
    <t>Salary £82,994; Benefits £1,239; Pension £17,263</t>
  </si>
  <si>
    <t xml:space="preserve">Head of Planning and Transport </t>
  </si>
  <si>
    <t>Salary £85,978; Benefits £1,233; Pension £17,883</t>
  </si>
  <si>
    <t>Head of Strategy &amp; Commissioning</t>
  </si>
  <si>
    <t>Salary £82,332; Benefits £1,239; Pension £17,125</t>
  </si>
  <si>
    <t>Salary £87,972; Benefits £1,314; Pension £18,298</t>
  </si>
  <si>
    <t>Head of Regulatory Services</t>
  </si>
  <si>
    <t>Salary £84,438; Benefits £1,233; Pension £18,170</t>
  </si>
  <si>
    <t>Salary £87,332; Benefits £1,346; Pension £18,165</t>
  </si>
  <si>
    <t>Head of Strategic Housing and Spatial Planning</t>
  </si>
  <si>
    <t>Salary £82,994; Benefits £1,546; Pension £17,263</t>
  </si>
  <si>
    <t>Head of Waste Management and Street Scene</t>
  </si>
  <si>
    <t>Salary £84,148; Pension £17,985</t>
  </si>
  <si>
    <t>Salary £103,503; Benefits £468; Pension £20,659</t>
  </si>
  <si>
    <t>Salary £83,942; Expenses £98; Benefits £606; Pension £17,326</t>
  </si>
  <si>
    <t>Salary £115,557; Benefits £5,574; Pension £13,405</t>
  </si>
  <si>
    <t>Salary £85,162; Benefits £5,574; Pension £9,879</t>
  </si>
  <si>
    <t xml:space="preserve">Director of Home and Community </t>
  </si>
  <si>
    <t xml:space="preserve">Salary £85,000; Benefits £5,574; Pension £9,860 </t>
  </si>
  <si>
    <t>Director of Health and Wellbeing</t>
  </si>
  <si>
    <t>Salary £107,036; Benefits £4,864; Pension £8,638</t>
  </si>
  <si>
    <t>Director of Employment and Property</t>
  </si>
  <si>
    <t>Salary £85,069; Benefits £5,574; Pension £9,868</t>
  </si>
  <si>
    <t>Salary £106,379; Expenses £306; Benefits £388; Pension £24,988</t>
  </si>
  <si>
    <t>Salary £123,212; Expenses £11,628; Pension £23,164</t>
  </si>
  <si>
    <t>Director of Partnerships Planning and Policy</t>
  </si>
  <si>
    <t>Salary £90,000; Expenses £6,011; Pension £16,920</t>
  </si>
  <si>
    <t>Salary £90,000; Expenses £4,963; Benefits £285; Pension £16,920</t>
  </si>
  <si>
    <t>Director of People and Places</t>
  </si>
  <si>
    <t>Salary £90,000; Expenses £5,201; Pension £16,920</t>
  </si>
  <si>
    <t>Salary £63,999; Compensation £110,227; Pension £8,734</t>
  </si>
  <si>
    <t xml:space="preserve">Strategic Director </t>
  </si>
  <si>
    <t>Salary £50,419; Compensation £154,411; Pension £6,979</t>
  </si>
  <si>
    <t>Salary £51,653; Compensation £55,903; Pension £6,768</t>
  </si>
  <si>
    <t>Salary £42,007; Compensation £54,862; Pension £5,567</t>
  </si>
  <si>
    <t>Director City Development</t>
  </si>
  <si>
    <t>Director Corporate Services</t>
  </si>
  <si>
    <t>Director Finance</t>
  </si>
  <si>
    <t>Director Services for Communities</t>
  </si>
  <si>
    <t>Includes termination costs</t>
  </si>
  <si>
    <t>Peter Jeffs</t>
  </si>
  <si>
    <t>Dicon Pearse</t>
  </si>
  <si>
    <t>Head of Policy &amp; Performance</t>
  </si>
  <si>
    <t>F Lees</t>
  </si>
  <si>
    <t>G Short</t>
  </si>
  <si>
    <t>Executive Director of Educational and Social Services</t>
  </si>
  <si>
    <t>E Morton</t>
  </si>
  <si>
    <t>Deputy Chief Executive and Executive Director of Neighbourhood Services</t>
  </si>
  <si>
    <t>A McPhee</t>
  </si>
  <si>
    <t>Executive Director of Finance and Corporate Support</t>
  </si>
  <si>
    <t>C Houston</t>
  </si>
  <si>
    <t>Chief Internal Auditor</t>
  </si>
  <si>
    <t>Martin Smith</t>
  </si>
  <si>
    <t>Ian O'Donnell</t>
  </si>
  <si>
    <t>Executive Director for Corporate Resources</t>
  </si>
  <si>
    <t>Pat Hayes</t>
  </si>
  <si>
    <t>Executive Director for Regeneration &amp; Housing</t>
  </si>
  <si>
    <t>Keith Townsend</t>
  </si>
  <si>
    <t>Executive Director for Environment and Customer Services</t>
  </si>
  <si>
    <t>George Garlick</t>
  </si>
  <si>
    <t>Corporate Director - Adults, Wellbeing and Health</t>
  </si>
  <si>
    <t>Corporate Director - Children and Young People's Service</t>
  </si>
  <si>
    <t>Corporate Director - Neighbourhood Services</t>
  </si>
  <si>
    <t>Corporate Director - Regeneration and Economic Development</t>
  </si>
  <si>
    <t>David K Dorward</t>
  </si>
  <si>
    <t>Patricia McIlquham</t>
  </si>
  <si>
    <t>Depute Chief Executive (Support Services)</t>
  </si>
  <si>
    <t>Marjory Stewart</t>
  </si>
  <si>
    <t>Jim Collins</t>
  </si>
  <si>
    <t>Director of Education</t>
  </si>
  <si>
    <t>Alan Baird</t>
  </si>
  <si>
    <t>Elaine Zwirlein</t>
  </si>
  <si>
    <t>Michael P Galloway</t>
  </si>
  <si>
    <t>Gavin Stevenson</t>
  </si>
  <si>
    <t>Alex Haswell</t>
  </si>
  <si>
    <t>Director Chief Executive Service</t>
  </si>
  <si>
    <t>Gordon Lawson</t>
  </si>
  <si>
    <t>Director Support Services</t>
  </si>
  <si>
    <t>Justin Tracy</t>
  </si>
  <si>
    <t>Director Community &amp; Customer Services</t>
  </si>
  <si>
    <t>Colin Grant</t>
  </si>
  <si>
    <t>Director School Service</t>
  </si>
  <si>
    <t>John Alexander</t>
  </si>
  <si>
    <t>Director Social Work Service</t>
  </si>
  <si>
    <t>Tony Fitzpatrick</t>
  </si>
  <si>
    <t>Director Economic Regeneration</t>
  </si>
  <si>
    <t>Alistair Speedie</t>
  </si>
  <si>
    <t>Director Sustainable Development</t>
  </si>
  <si>
    <t>Geoff Lewis</t>
  </si>
  <si>
    <t>Managing Director DG First</t>
  </si>
  <si>
    <t>Colin Scott</t>
  </si>
  <si>
    <t>Chief/Deputy Chief Fire Officer</t>
  </si>
  <si>
    <t>J Polychronakis</t>
  </si>
  <si>
    <t>Interim Director of Finance, ICT &amp; Procurement</t>
  </si>
  <si>
    <t>Director of the Urban Environment</t>
  </si>
  <si>
    <t>Compensated for loss of office</t>
  </si>
  <si>
    <t>Debbie Ward</t>
  </si>
  <si>
    <t>Director for Adult &amp; Community Services</t>
  </si>
  <si>
    <t>Paul Kent</t>
  </si>
  <si>
    <t>John Nash</t>
  </si>
  <si>
    <t>Director for Children's Services</t>
  </si>
  <si>
    <t>Miles Butler</t>
  </si>
  <si>
    <t>Director for Environment</t>
  </si>
  <si>
    <t>Elaine Taylor</t>
  </si>
  <si>
    <t>Director for Corporate Resources</t>
  </si>
  <si>
    <t>David Jenkins</t>
  </si>
  <si>
    <t>R Vincent</t>
  </si>
  <si>
    <t>Interim Executive Director of Adult &amp; Community Services</t>
  </si>
  <si>
    <t>Mr Nick Hodgson</t>
  </si>
  <si>
    <t>Strategic Director of Adult Care</t>
  </si>
  <si>
    <t>Strategic Director of Environmental Services</t>
  </si>
  <si>
    <t>Strategic Director Policy &amp; Community Safety</t>
  </si>
  <si>
    <t>Strategic Director Cultural &amp; Community Services</t>
  </si>
  <si>
    <t>Director of Property</t>
  </si>
  <si>
    <t>Director of Communications &amp; Access to Services</t>
  </si>
  <si>
    <t>A Wilkinson</t>
  </si>
  <si>
    <t>Strategic Director of Adult, Health and Housing</t>
  </si>
  <si>
    <t>Strategic Director of Children and Young People</t>
  </si>
  <si>
    <t>Corporate Director - Lifelong Learning</t>
  </si>
  <si>
    <t>Corporate Director - Social Services &amp; Housing</t>
  </si>
  <si>
    <t>Corporate Director - Governance and Efficiency</t>
  </si>
  <si>
    <t>Executive Director (Head of Paid Service)</t>
  </si>
  <si>
    <t>Regeneration Director</t>
  </si>
  <si>
    <t>Project Director</t>
  </si>
  <si>
    <t>Ada Burns</t>
  </si>
  <si>
    <t>Assistant Chief Executive - Regeneration</t>
  </si>
  <si>
    <t>Director - Finance &amp; Governance</t>
  </si>
  <si>
    <t>Director - Performance Improvement &amp; Transformation</t>
  </si>
  <si>
    <t>Head of Street Care</t>
  </si>
  <si>
    <t>Head of Public Protection</t>
  </si>
  <si>
    <t>Jill Stannard</t>
  </si>
  <si>
    <t>Diane Wood</t>
  </si>
  <si>
    <t>Richard Parry</t>
  </si>
  <si>
    <t>Corporate Director - Adults &amp; Local Services</t>
  </si>
  <si>
    <t>Marie Fallon</t>
  </si>
  <si>
    <t>Corporate director - Environment</t>
  </si>
  <si>
    <t>Dominic Harrison</t>
  </si>
  <si>
    <t>Corporate Director - Safer &amp; Stronger</t>
  </si>
  <si>
    <t>Jim Savege</t>
  </si>
  <si>
    <t>Angela Harwood</t>
  </si>
  <si>
    <t>Legal &amp; Democratic Services</t>
  </si>
  <si>
    <t>Kate McLaughlin-Flynn</t>
  </si>
  <si>
    <t>Assistant Director - Finance</t>
  </si>
  <si>
    <t>Salary, fees &amp; allowances £93,506, Pension contributions £16,843</t>
  </si>
  <si>
    <t>Salary, fees &amp; allowances 93,506, Pension contributions £16,843</t>
  </si>
  <si>
    <t>Jon Rouse</t>
  </si>
  <si>
    <t>Hannah Miller</t>
  </si>
  <si>
    <t>Deputy Chief Executive &amp; Executive Director of Adult Services &amp; Housing</t>
  </si>
  <si>
    <t>Nathan Elvery</t>
  </si>
  <si>
    <t>Deputy Chief Executive &amp; Executive Director of Corporate Resources &amp; Customer Services</t>
  </si>
  <si>
    <t>Emma Peters</t>
  </si>
  <si>
    <t>Executive Director of Planning, Regeneration &amp; Conservation</t>
  </si>
  <si>
    <t>Dave Hill</t>
  </si>
  <si>
    <t>Executive Director of Children, Young People &amp; Learners</t>
  </si>
  <si>
    <t>Tom Jeffrey</t>
  </si>
  <si>
    <t>Executive Director of Community Services</t>
  </si>
  <si>
    <t>Damian Roberts</t>
  </si>
  <si>
    <t>Director Step Change Croydon</t>
  </si>
  <si>
    <t>Pam Parkes</t>
  </si>
  <si>
    <t>Director of Human Resources &amp; Organisational Development</t>
  </si>
  <si>
    <t>Julie Belvir</t>
  </si>
  <si>
    <t>Director of Democratic Legal Services &amp; Monitoring Officer</t>
  </si>
  <si>
    <t>Martin Reeves</t>
  </si>
  <si>
    <t>Director of Children, Learning &amp; Young People</t>
  </si>
  <si>
    <t>Director of External Partnerships</t>
  </si>
  <si>
    <t>Director of City Services &amp; Development</t>
  </si>
  <si>
    <t>Director of Customer &amp; Workforce Services</t>
  </si>
  <si>
    <t>Director of Finance &amp; Legal Services</t>
  </si>
  <si>
    <t>Kevin Lavery</t>
  </si>
  <si>
    <t>Corporate Director for Adult Care and Support</t>
  </si>
  <si>
    <t>Corporate Director for Communities</t>
  </si>
  <si>
    <t>Head of Legal and Democratic Services (Monitoring Officer)</t>
  </si>
  <si>
    <t>Corporate Director for Environment, Planning and Economy</t>
  </si>
  <si>
    <t>Corporate Director for Children, Schools and Families</t>
  </si>
  <si>
    <t>Head of Customer Services/ICT</t>
  </si>
  <si>
    <t>Head of Special Project</t>
  </si>
  <si>
    <t>Acting Corporate Director/Head of Finance</t>
  </si>
  <si>
    <t>Acting Corporate Director/Head of Legal &amp; Democratic Services</t>
  </si>
  <si>
    <t>Angela Leitch</t>
  </si>
  <si>
    <t>C Duffield</t>
  </si>
  <si>
    <t>C Bilsland</t>
  </si>
  <si>
    <t>Chamberlain</t>
  </si>
  <si>
    <t>M Bowron</t>
  </si>
  <si>
    <t>Police Commissioner</t>
  </si>
  <si>
    <t>N Kenyon</t>
  </si>
  <si>
    <t>Managing Director Barbican Centre</t>
  </si>
  <si>
    <t>Director Environment Services</t>
  </si>
  <si>
    <t>Director of Libraries, Archives and Guildhall Art Gallery</t>
  </si>
  <si>
    <t>City Planning Officer</t>
  </si>
  <si>
    <t>Comptroller &amp; City Solicitor</t>
  </si>
  <si>
    <t>Salary (inc fees &amp; allowances) £200,000, Pension contributions £45,800</t>
  </si>
  <si>
    <t>Salary (inc fees &amp; allowances) £189,890, Pension contributions £46,373</t>
  </si>
  <si>
    <t>Included lump sum termination payments</t>
  </si>
  <si>
    <t>Salary (including fees &amp; allowances) £96,000, Pension contributions £24,000</t>
  </si>
  <si>
    <t>S Hunter</t>
  </si>
  <si>
    <t>Head of Law &amp; Administration</t>
  </si>
  <si>
    <t>I Lorimer</t>
  </si>
  <si>
    <t>H Robertson</t>
  </si>
  <si>
    <t>Salary, fees &amp; allowances £102,933, Non-cash expenses £886, Pension contributions £19,043</t>
  </si>
  <si>
    <t>Salary, fees &amp; allowances £102,933, Non-cash expenses £3,822, Pension contributions £19,043</t>
  </si>
  <si>
    <t>Salary, fees &amp; allowances £108,087, Pension contributions £19,996</t>
  </si>
  <si>
    <t>Salary, fees &amp; allowances £90,918, Non-cash expenses £2,847, Pension contributions £16,820</t>
  </si>
  <si>
    <t>Douglas Hendry</t>
  </si>
  <si>
    <t>Sandy McTaggart</t>
  </si>
  <si>
    <t>T Aitchison</t>
  </si>
  <si>
    <t>G Tee</t>
  </si>
  <si>
    <t>D Anderson</t>
  </si>
  <si>
    <t>J Inch</t>
  </si>
  <si>
    <t>D McGougan</t>
  </si>
  <si>
    <t>M Turley</t>
  </si>
  <si>
    <t>M Miller</t>
  </si>
  <si>
    <t>Chief Social Work Officer</t>
  </si>
  <si>
    <t>Includes redundancy payments</t>
  </si>
  <si>
    <t>Including Company Car Buyout</t>
  </si>
  <si>
    <t>Temporary employee or interim manager</t>
  </si>
  <si>
    <t>Director of Housing and Social Services</t>
  </si>
  <si>
    <t>Director of People and Improvement</t>
  </si>
  <si>
    <t>£90,000-£99-000 in Headcount</t>
  </si>
  <si>
    <t>Salary including fees &amp; allowances £140,487; Benefits in kind £395; Pension contributions £21,576</t>
  </si>
  <si>
    <t>Salary including fees &amp; allow £110,641; Expenses £160; Benefits in kind £395; Pension contributions £16,655</t>
  </si>
  <si>
    <t>Salary incl fees &amp; allowances £107,592; Benefits in kind £7,108; Pension contributions £11,984</t>
  </si>
  <si>
    <t>Chief Finance and Performance Officer</t>
  </si>
  <si>
    <t>Salary £80,016; Other payments £552; Pension contributions £17,764</t>
  </si>
  <si>
    <t>Salary £109,040; Other payments £48; Pension contributions £24,207</t>
  </si>
  <si>
    <t>Salary £93,996; Other payments £432; Pension contributions £20,867</t>
  </si>
  <si>
    <t>Salary £94,655; Other payments £766; Pension contributions £21,013</t>
  </si>
  <si>
    <t>Salary £94,320; Other payments £882; Pension contributions £20,939</t>
  </si>
  <si>
    <t>Salary £183,010; Pension contribution £33,989</t>
  </si>
  <si>
    <t>Salary £124,296; Pension contribution £22,995</t>
  </si>
  <si>
    <t>Salary £118,225; Pension contribution £21,741</t>
  </si>
  <si>
    <t>Salary £105,045; Pension contribution £19,827</t>
  </si>
  <si>
    <t>Salary £108,077; Pension contribution £20,382</t>
  </si>
  <si>
    <t>Director of Planning, Economy &amp; Performance</t>
  </si>
  <si>
    <t>Salary incl allowances &amp; benefits £54,330; Loss of office £53,989; Pension contributions £39,479</t>
  </si>
  <si>
    <t>Salary incl allowances &amp; benefits £72,440; Loss of office £51,197; Pension contributions £114,397</t>
  </si>
  <si>
    <t>Salary incl fees &amp; allowances £134,755; Expenses allowances £1,989, Employer's pension contribution £27,161; the post of Chief Executive was held by three individuals during 2009-10, including, on an acting-up basis, the Director of Regeneration and Environment.</t>
  </si>
  <si>
    <t>Salary incl fees &amp; allowances £111,439; Expenses allowances £1,823; Termination benefits £94,469; Employer's pension contribution £18,790</t>
  </si>
  <si>
    <t>Salary incl fees &amp; allowances £77,047; Expenses Allowances £1,989; Termination Benefits £101,843; Employer's pension contribution £20,498</t>
  </si>
  <si>
    <t>Salary incl fees &amp; allowances £113,817; Expenses allowances £1,989; Employer's pension contribution £24,527,</t>
  </si>
  <si>
    <t>Salary incl fees &amp; allowances £96,055; Termination benefits £42,839; Employer's pension contribution £20,146</t>
  </si>
  <si>
    <t>Salary incl fees &amp; allowances £113,817; Expenses allowances £1,989; Employer's pension contribution £20,498</t>
  </si>
  <si>
    <t>Salary incl fees &amp; allowances £89,077; Expenses allowances £963; Employer's pension contribution £16,050</t>
  </si>
  <si>
    <t>Salary incl fees &amp; allowances £86,712; Expenses allowances £1,053; Employer's pension contribution £16,115</t>
  </si>
  <si>
    <t>Salary incl fees &amp; allowances £86,712; Expenses allowances £963; Employer's pension contribution £15,348</t>
  </si>
  <si>
    <t>Salary incl fees &amp; allowances £157,187; Pension contribution £24,094</t>
  </si>
  <si>
    <t>Salary incl fees &amp; allowances £112,727; Performance related pay £9,579; Expenses £5; Pension contribution £18,708</t>
  </si>
  <si>
    <t>Salary incl fees &amp; allowances £103,094; Performance related pay £9,305; Expenses £3; Pension contribution £17,241</t>
  </si>
  <si>
    <t>Salary incl fees &amp; allowances £103,387; Performances related pay £8,788; Expenses £4; Pension contribution 17,162</t>
  </si>
  <si>
    <t>Salary incl fees &amp; allowances £103,092; Performance related pay £8,271; Pension contribution £17,083</t>
  </si>
  <si>
    <t>Salary incl fees &amp; allowances £89,714l; Performance related pay £5,286; Expenses £4; Pension contribution £14,579</t>
  </si>
  <si>
    <t>Salary incl fees &amp; allowances £88,276; Performance related pay £7,503; Pension contribution £15,588</t>
  </si>
  <si>
    <t>Deputy Chief Executive and Director of Corporate Services</t>
  </si>
  <si>
    <t>Salary £123,334; Allowances £726; Pension contributions £21,706</t>
  </si>
  <si>
    <t>Salary £112,848; Allowances £2,556; Pension contributions £19,861</t>
  </si>
  <si>
    <t>Salary £112,848; Allowances £1,823; Pension contributions £19,861</t>
  </si>
  <si>
    <t>Salary £112,848; Allowances £1,424; Pension contributions £19,861</t>
  </si>
  <si>
    <t>Salary £64,182; Allowances £929; Compensation for loss of office £152,339; Pension contributions £11,296</t>
  </si>
  <si>
    <t>Salary £107,205; Allowances £297; Pensions contribution £18,868</t>
  </si>
  <si>
    <t>Retired March 2010 and their services were allocated to other directorates</t>
  </si>
  <si>
    <t>Head of Adult Services</t>
  </si>
  <si>
    <t>For 2010-11 the post was filled by contract manager who is not an employee of RBWM</t>
  </si>
  <si>
    <t>Head of ICT Services</t>
  </si>
  <si>
    <t>Salary incl fees &amp; allowances£140,000; Performance related pay £5,292; Benefits in kind £2,112; Pension Contribution £24,350</t>
  </si>
  <si>
    <t>Salary incl fees &amp; allowances £131,617; Performance related pay £4,871; Benefits in kind £3,119; Pension contribution £21,098</t>
  </si>
  <si>
    <t>Salary incl fees &amp; allowances £28,711; Pension contribution £4,221 - were in post for 4.5 months. Annualised salary £76,000.</t>
  </si>
  <si>
    <t>Salary incl fees &amp; allowances £90,395; Benefits in kind £2,342; Pension contributions £13,632</t>
  </si>
  <si>
    <t>Salary incl fees &amp; allowances £117,500; Performance related pay £4,629; Benefits in kind £937; Pension contributions £18,524; in 2009-10 was only in post 9.3 months, annualised salary is £117,500</t>
  </si>
  <si>
    <t>Salary incl fees &amp; allowances £85,850; Performance related pay £2,050; Benefits in kind £1,247; Pension contributions £12,803</t>
  </si>
  <si>
    <t>Salary incl fees &amp; allowances £91,494; Performance related pay £2,999; Benefits in kind £3,306; Pension contributions £13,649</t>
  </si>
  <si>
    <t>Salary incl fees &amp; allowances £80,800; Performance related pay £3,054; Benefits in kind £2,780; Pension contributions £12,851</t>
  </si>
  <si>
    <t>Salary £94,000; Taxable expenses &amp; benefits £4,000; Pension payments £18,000</t>
  </si>
  <si>
    <t>Salary £96,000; Taxable expenses &amp; benefits £3,000; Pension payments £18,000</t>
  </si>
  <si>
    <t>Salary £20,000; Taxable expenses &amp; benefits £8,000; Compensation for loss of office £71,000; Pension payments £4,000</t>
  </si>
  <si>
    <t>K Robinson</t>
  </si>
  <si>
    <t>Director Transport, Environment and Leisure</t>
  </si>
  <si>
    <t>Salary incl fees &amp; allowances £130,556; Expense allowances £86; Pension contributions £19,583</t>
  </si>
  <si>
    <t>Salary incl fees &amp; allowances £130,556; Expense allowances £1,391; Pension contributions £19,583</t>
  </si>
  <si>
    <t>Salary incl fees &amp; allowances £130,556; pension contributions £19,583</t>
  </si>
  <si>
    <t>Salary incl fees &amp; allowances £122,477; pension contributions £18,272</t>
  </si>
  <si>
    <t>Director Economic Development Planning Housing</t>
  </si>
  <si>
    <t>Salary £110,690; Compensation for loss of employment £74,368; Election fees £152; Pension contribution £17,252</t>
  </si>
  <si>
    <t>Salary £101,851; Compensation for loss of employment £53,819; Election fees £600; Leased car &amp; other taxable benefits £54; Pension contribution £15,889</t>
  </si>
  <si>
    <t>Salary £132,503; Election fees £152; Pension contribution £20,671</t>
  </si>
  <si>
    <t>Salary £121,222; Election fees £600; Leased car &amp; other taxable benefits £80; Pension contribution £18,910</t>
  </si>
  <si>
    <t>Salary £115,449; Leased car &amp; other taxable benefits £149; Pension contribution £20,786</t>
  </si>
  <si>
    <t>Salary £99,392; Leased car &amp; other taxable benefits £6,031; Pension contribution £15,487</t>
  </si>
  <si>
    <t>Salary (incl fees &amp; allowances) £200,379; Expenses allowances £164; Pension contributions £32,061</t>
  </si>
  <si>
    <t>Salary (incl fees &amp; allowances) £124,851; Bonuses £11,098; Benefits in kind £2,808; Pension contributions £19,976</t>
  </si>
  <si>
    <t>Salary (incl fees &amp; allowances) £107,835; Bonuses £11,990; Benefits in kind £4,725; Pension contributions £11,299</t>
  </si>
  <si>
    <t>Salary (incl fees &amp; allowances) £124,851; Bonuses £11,098; Benefits in kind £5,175; Pension contributions £20,355</t>
  </si>
  <si>
    <t>Salary (incl fees &amp; allowances) £164,426</t>
  </si>
  <si>
    <t>Director FSR Programme</t>
  </si>
  <si>
    <t>Salary, fees and allowances £164,905; Expense allowances £9,046; Benefits in kind £926; Pension contribution £32,816</t>
  </si>
  <si>
    <t>Salary, fees and allowances £232,408; Expense allowances £1,991; Compensation for loss of employment £140,000; Pension contribution £22,834</t>
  </si>
  <si>
    <t>Salary, fees and allowances £97,417; Compensation for loss of employment £188,963;  Pension contribution £19,386</t>
  </si>
  <si>
    <t>Salary, fees and allowances £126,431; Pension contribution £25,160</t>
  </si>
  <si>
    <t>Salary, fees and allowances £132,453; Pension contribution £26,355</t>
  </si>
  <si>
    <t>Salary, fees and allowances £120,000; Pension contribution £25,560</t>
  </si>
  <si>
    <t>Salary, fees and allowances £105,000; Benefits in kind £157; Pension contribution £20,895</t>
  </si>
  <si>
    <t>Salary, fees and allowances £92,892; Expense allowances £3,024; Pension contribution £18,486</t>
  </si>
  <si>
    <t>Salary, fees and allowances £111,250; Benefits in kind £3; Pension contribution £22,139</t>
  </si>
  <si>
    <t>Salary, fees and allowances £105,000; Benefits in kind £8; Pension contribution £20,895</t>
  </si>
  <si>
    <t>Salary, fees and allowances £101,536; Benefits in kind £7; Pension contribution £20,206</t>
  </si>
  <si>
    <t>Salary, fees and allowances £104,000; Pension contribution £20,696</t>
  </si>
  <si>
    <t>Salary, fees and allowances £120,000; Pension contribution £23,880</t>
  </si>
  <si>
    <t>Salary, fees and allowances £95,559; Benefits in kind £32; Pension contribution £19,016</t>
  </si>
  <si>
    <t>Salary, fees and allowances £85,000; Benefits in kind £14; Pension contribution £16,915</t>
  </si>
  <si>
    <t>Salary, fees and allowances £89,000; Pension contribution £17,711</t>
  </si>
  <si>
    <t>Salary £73,812; Honorarium £4,843; Benefit in kind £4,279; Pension contribution £17,526</t>
  </si>
  <si>
    <t>Salary £73,812; Supplements £5,447; Honorarium £4,843; Benefits in kind £326; Compensation for loss of office £110,000; Pension contribution £16,817</t>
  </si>
  <si>
    <t>Salary £73,812; Supplements £6,083; Honorarium £8,857; Pension contribution £16,744 - Shared 50 per cent with Cotswold Council</t>
  </si>
  <si>
    <t>Salary £101,691; Honorarium £15,000; Benefit in kind £4,220; Pension contribution £24,833 -  Shared 50 per cent with Cotswold Council</t>
  </si>
  <si>
    <t>Director of Resources and Deputy Chief Executive</t>
  </si>
  <si>
    <t>Executive Manager - Human Resources</t>
  </si>
  <si>
    <t>Left during 2009-10</t>
  </si>
  <si>
    <t>Salary £113,367; Expenses £433; Benefits in kind £6,420; Pension contribution £21,053</t>
  </si>
  <si>
    <t>Salary (incl fees &amp; allowances) £138,418; Pension contribution £20,279</t>
  </si>
  <si>
    <t>Salary (incl fees &amp; allowances) £105,177; Pension contribution £15,379</t>
  </si>
  <si>
    <t>Salary (incl fees &amp; allowances) £101,177; Benefits in kind £3,801; Pension contributions £15,379</t>
  </si>
  <si>
    <t>Salary (incl fees &amp; allowances) £98,080; Pension contributions £14,300</t>
  </si>
  <si>
    <t>Might include staff in schools</t>
  </si>
  <si>
    <t>Left during year - Might include staff in schools</t>
  </si>
  <si>
    <t>Chief Community and Environmental Services officer</t>
  </si>
  <si>
    <t>Richard Masters</t>
  </si>
  <si>
    <t>Chief Partnership and Performance officer</t>
  </si>
  <si>
    <t>Terence Osborne</t>
  </si>
  <si>
    <t>Salary £107,000; Expenses £2,000; Pension contributions £26,000</t>
  </si>
  <si>
    <t>Salary £82,000; Expenses £1,000; Pension contributions £18,000</t>
  </si>
  <si>
    <t>Salary £83,000; Expenses £1,000; Pension contributions £19,000</t>
  </si>
  <si>
    <t>Salary, fees and allowances £31,111; Expenses allowances £378; Pension Contributions £8,368. Left June 2010</t>
  </si>
  <si>
    <t>Salary, fees and allowances £21,617; Expenses allowances £85; Pension Contributions £5,815. Left June 2010</t>
  </si>
  <si>
    <t>Post removed from 1 June 2010. Responsibilities amalgamated with Director of Community and Environmental Services</t>
  </si>
  <si>
    <t>Salary (incl fees &amp; allowances) £119,179; Benefits in kind £8,881; Pension contributions £25,613</t>
  </si>
  <si>
    <t>Salary (incl fees &amp; allowances) £96,011; Pension contribution £19,597</t>
  </si>
  <si>
    <t>Salary (incl fees &amp; allowances) £91,576; Benefits in kind £5,126; Pension contributions £19,597</t>
  </si>
  <si>
    <t>Left 21 July 2009</t>
  </si>
  <si>
    <t>Strategic Director Resources</t>
  </si>
  <si>
    <t>Salary (incl fees &amp; allowances) £172,866; Expense allowances £5,102; Benefits in kind £1,239; Pension contributions £24,893</t>
  </si>
  <si>
    <t>Salary (incl fees &amp; allowances) £135,284; Expense allowances £2,033; Benefits in kind £1,239; Pension contributions £19,481</t>
  </si>
  <si>
    <t>Salary (incl fees &amp; allowances) £127,027; Expense allowances £318; Benefits in kind £1,239; Pension contributions £18,292</t>
  </si>
  <si>
    <t>Salary (incl fees &amp; allowances) £123,178; Expense allowances £1,168; Benefits in kind £1,239; Pension contributions £17,738</t>
  </si>
  <si>
    <t>Salary (incl fees &amp; allowances) £127,027; Expense allowances £1,028; Benefits in kind £1,239; Pension contributions £12,292</t>
  </si>
  <si>
    <t>Salary (incl fees &amp; allowances) £113,647; Expense allowances £1,410; Pension contributions £16,365</t>
  </si>
  <si>
    <t>Strategic Director Adult, Health and Community Services</t>
  </si>
  <si>
    <t>Former Assistant Director Property and Facilities</t>
  </si>
  <si>
    <t>Former Strategic Director Corporate Services</t>
  </si>
  <si>
    <t>Former Assistant Director Neighbourhoods and Cultural Services</t>
  </si>
  <si>
    <t>Former Executive Director Neighbourhood and Community</t>
  </si>
  <si>
    <t>Former Chief Finance Officer (Agency Contract Worker)</t>
  </si>
  <si>
    <t>Former Assistant Director Partnerships and Performance</t>
  </si>
  <si>
    <t>Salary (incl fees &amp; allowances) £165,866; Expenses allowances £1,239; Pension contribution £31,414</t>
  </si>
  <si>
    <t>Salary (incl fees &amp; allowances) £120,496; Expenses allowances £489; Pension contribution £23,041</t>
  </si>
  <si>
    <t>Salary (incl fees &amp; allowances) £103,099; Expenses allowances £884; Pension contribution £19,794</t>
  </si>
  <si>
    <t>Salary (incl fees &amp; allowances) £88,897; Expenses allowances £1,378; Pension contribution £16,990</t>
  </si>
  <si>
    <t>Salary (incl fees &amp; allowances) £85,497; Expenses allowances £3,852; Pension contribution £17,015</t>
  </si>
  <si>
    <t>Salary (incl fees &amp; allowances) £86,108; Expenses allowances £404; Pension contribution £16,524</t>
  </si>
  <si>
    <t>Salary (incl fees &amp; allowances) £84,769; Expenses allowances £1,239; Pension contribution £16,191</t>
  </si>
  <si>
    <t>Assistant Director Regeneration Development &amp; Housing</t>
  </si>
  <si>
    <t>Salary (incl fees &amp; allowances) £82,641; Expenses allowances £1,987; Pension contribution £16,721</t>
  </si>
  <si>
    <t>Assistant Director Technical Services (Planning Services)</t>
  </si>
  <si>
    <t>Salary (incl fees &amp; allowances) £161,890; Bonuses £14,520; Expense allowances/Medical Insurance £2,109; Pension contribution £33,902</t>
  </si>
  <si>
    <t>Salary (incl fees &amp; allowances) £174,271; Expense allowances/Medical Insurance £1,954; Pension contribution £33,483</t>
  </si>
  <si>
    <t>Salary (incl fees &amp; allowances) £152,521; Bonuses £13,464; Expenses allowances/Medical Insurance £2,295; Pension contribution £31,973</t>
  </si>
  <si>
    <t>Salary (incl fees &amp; allowances) £152,273; Bonuses £13,564; Expenses allowances/Medical Insurance £2,109; Pension contribution £31,910</t>
  </si>
  <si>
    <t>Salary (incl fees &amp; allowances) £146,111; Bonuses £12,655; Expenses allowances/Medical Insurance £674; Pension contribution £30,290</t>
  </si>
  <si>
    <t>Salary (incl fees &amp; allowances) £134,868; Bonuses £10,357; Expense allowances/Medical Insurance £2,031; Pension contribution £27,979</t>
  </si>
  <si>
    <t>Salary (incl fees &amp; allowances) £118,027; Bonuses £10,424; Expense allowances/Medical Insurance £2,683; Pension contribution £24,915</t>
  </si>
  <si>
    <t>Salary (incl fees &amp; allowances) £102,912; Bonuses £8,233; Expense allowances/Medical Insurance £2,295; Pension contribution £21,554</t>
  </si>
  <si>
    <t>Salary (incl fees &amp; allowances) £103,492; Bonuses £7,573; Pension contribution £21,102</t>
  </si>
  <si>
    <t>Salary (incl fees &amp; allowances) £93,892; Bonuses £7,227; Expense allowances/Medical Insurance £1,997; Pension contribution £19,592</t>
  </si>
  <si>
    <t>Salary (incl fees &amp; allowances) £93,958; Bonuses £7,261; Pension contribution £19,232</t>
  </si>
  <si>
    <t>Salary (incl fees &amp; allowances) £89,676; Bonuses £7,624; Expenses/Medical Insurance £2,146; Pension contribution £18,895</t>
  </si>
  <si>
    <t>Salary (incl fees &amp; allowances) £139,325; Taxable Expenses £1,039; Pension contribution £29,957</t>
  </si>
  <si>
    <t>Salary (incl fees &amp; allowances) £121,175; Taxable expenses £19; Pension contribution £25,800</t>
  </si>
  <si>
    <t>Salary (incl fees &amp; allowances) £104,185; Pension contribution £22,206</t>
  </si>
  <si>
    <t>Salary, fees and allowances £114,328; Bonuses £7,260; Expenses allowances £5,532; Pension contribution £15,160</t>
  </si>
  <si>
    <t>Salary, fees and allowances £114,328; Bonuses £5,887; Expenses allowances £2,692; Pension contribution £14,992</t>
  </si>
  <si>
    <t>Salary, fees and allowances £114,328; Expenses allowances £2,571; Pension contribution £14,274</t>
  </si>
  <si>
    <t>Salary, fees and allowances £114,328, Expenses allowances £2,670; Pension contribution £14,274</t>
  </si>
  <si>
    <t>Salary, fees and allowances £90,086; Expense allowances £8; Pension contribution £10,991</t>
  </si>
  <si>
    <t>Salary, fees and allowances £90,086; Bonuses £7,878; Expense allowances £30; Pension contribution £11,955</t>
  </si>
  <si>
    <t>Corporate Director - Corporate Services and Monitoring Officer</t>
  </si>
  <si>
    <t>Left 30 September 2009</t>
  </si>
  <si>
    <t>Salary (incl fees &amp; allowances) £193,343; Pension contribution £27,108</t>
  </si>
  <si>
    <t>Salary (incl fees &amp; allowances) £120,000; Pension contribution £17,640</t>
  </si>
  <si>
    <t>Salary (incl fees &amp; allowances) £145,447; Expense allowances £1,089; Pension contribution £21,381</t>
  </si>
  <si>
    <t>Salary (incl fees &amp; allowances) £92,926; Expense allowances £13; Pension contributions £13,660</t>
  </si>
  <si>
    <t>Vale of Glamorgan</t>
  </si>
  <si>
    <t>Salary, fees &amp; allowances £141,469; Expense allowances £1,345; Pension contribution £30,416</t>
  </si>
  <si>
    <t>Salary, fees &amp; allowances £104,425; Expense allowances £1,239; Pension contribution £22,451</t>
  </si>
  <si>
    <t>Salary, fees &amp; allowances £104,213; Pension contribution £22,406</t>
  </si>
  <si>
    <t>Salary, fees &amp; allowances £104,213; Expense allowances £1,345; Pension contribution £22,406</t>
  </si>
  <si>
    <t>Salary, fees &amp; allowances £104,213; Expense allowances £1,239; Pension contribution £22,406</t>
  </si>
  <si>
    <t>Salary, fees &amp; allowances £104,213; Expense allowances £506; Pension contributions £22,406</t>
  </si>
  <si>
    <t>Salary, fees and allowances £102,151; Benefits in kind £2,738; Pension contribution £12,769</t>
  </si>
  <si>
    <t>Salary £112,316; Pension contribution £15,211</t>
  </si>
  <si>
    <t>Salary £93,397; Pension contribution £12,616</t>
  </si>
  <si>
    <t>J Callender</t>
  </si>
  <si>
    <t>Corporate Director (Children and Young People Service)</t>
  </si>
  <si>
    <t>Salary (incl fees &amp; allowances) £108,000; Benefits in kind £2,000; Pension contributions £16,000. Replaced the previous post of Adult Social Services</t>
  </si>
  <si>
    <t>Salary (incl fees &amp; allowances) £92,000; Benefits in kind £2,000; Pension contributions £14,000</t>
  </si>
  <si>
    <t>Deputy Chief Executive/Corporate Director (Prosperity, Planning and Development)</t>
  </si>
  <si>
    <t>Salary (incl fees &amp; allowances) £69,000; Bonuses £3,000; Benefits in kind £1,000; Pension contributions £10,000. Retired on 17 October 2010</t>
  </si>
  <si>
    <t>Salary (incl fees &amp; allowances) £83,000; Benefits in kind £2,000; Pension contributions £12,000 Appointed on 26 July 2010</t>
  </si>
  <si>
    <t>Assistant Chief Executive (Legal)</t>
  </si>
  <si>
    <t>Corporate Director - Communities, Localities &amp; Culture</t>
  </si>
  <si>
    <t>Salary, fees and allowances £186,336; Expenses £192; Pension contribution £29,055</t>
  </si>
  <si>
    <t>Salary, fees and allowances £124,912; Pension contribution £19,250</t>
  </si>
  <si>
    <t>Salary, fees and allowances £141,487; Pension contribution £21,869</t>
  </si>
  <si>
    <t>Salary, fees and allowances £139,766; Pension contribution £21,597</t>
  </si>
  <si>
    <t>Salary, fees and allowances £124,913; Expenses £208; Pension contribution £19,250</t>
  </si>
  <si>
    <t>Salary, fees and allowances £135,758; Pension contribution £20,964</t>
  </si>
  <si>
    <t>Salary, fees and allowances £123,937; Pension contribution £19,096</t>
  </si>
  <si>
    <t>Chief Officer - Operational Services</t>
  </si>
  <si>
    <t>Strategic Director - Children and Young people</t>
  </si>
  <si>
    <t>Salary £151,000; Expenses £1,000; Pension contribution £23,000</t>
  </si>
  <si>
    <t>Salary £109,000; Expenses £1,000; Pension contribution £16,000</t>
  </si>
  <si>
    <t>Salary £125,000; Expenses £1,000; Pension contribution £19,000</t>
  </si>
  <si>
    <t>Salary £91,000; Expenses £1,000; Pension contribution £14,000</t>
  </si>
  <si>
    <t>Central Services Director</t>
  </si>
  <si>
    <t>Salary, fees &amp; allowances £108,000; Benefits in kind £4,000, Pension contribution £18,000</t>
  </si>
  <si>
    <t>Salary, fees &amp; allowances £84,000; Benefits in kind £5,000, Pension contribution £13,000</t>
  </si>
  <si>
    <t>Salary, fees &amp; allowances £85,000; Benefits in kind £3,000; Pension contribution £13,000</t>
  </si>
  <si>
    <t>Salary, fees &amp; allowances £85,000; Benefits in kind £4,000; Pension contribution £14,000</t>
  </si>
  <si>
    <t>Salary, fees &amp; allowances £85,000; Benefits in kind £5,000; Pension contribution £13,000</t>
  </si>
  <si>
    <t>Salary, fees &amp; allowances £127,362; Pension contribution £16,047</t>
  </si>
  <si>
    <t>Salary, fees &amp; allowances £126,643; Pension contribution £15,957</t>
  </si>
  <si>
    <t>Salary, fees &amp; allowances £92,777; Pension contribution £11,689</t>
  </si>
  <si>
    <t>Salary £116,181; Expenses allowances £1,239; Pension contribution £23,325</t>
  </si>
  <si>
    <t>Salary £90,861; Benefit in kind £3,144; Pension contribution £17,445</t>
  </si>
  <si>
    <t>Salary £87,136; Expenses allowances £1,239; Pension contribution £16,730</t>
  </si>
  <si>
    <t>Director Customer Services and Business Transformation</t>
  </si>
  <si>
    <t>Director Environmental Services</t>
  </si>
  <si>
    <t>Left during 2010-11</t>
  </si>
  <si>
    <t>Salary, fees &amp; allowances £118,353; Other cash benefits £5,000; Pension contribution £16,684</t>
  </si>
  <si>
    <t>Salary, fees &amp; allowances £90,099; Other cash benefits £4,356; Pension contribution £12,637</t>
  </si>
  <si>
    <t>Salary, fees &amp; allowances £84,219; Other cash benefits £4,000; Pension contribution £11,848</t>
  </si>
  <si>
    <t>Salary, fees &amp; allowances £84,029; Other cash benefits £4,000, Pension contribution £11,848. Left during 2010-11</t>
  </si>
  <si>
    <t>Strategic Director Operations</t>
  </si>
  <si>
    <t>Salary (incl fees &amp; allowances) £119,000; Car allowances &amp; other expenses £6,000; Pension contributions £22,000</t>
  </si>
  <si>
    <t>Salary (incl fees &amp; allowances) £85,000; Car allowances &amp; other expenses £6,000; Pension contributions £16,000</t>
  </si>
  <si>
    <t>Salary (including fees &amp; allowances) £118,971; Pension contributions £19,380</t>
  </si>
  <si>
    <t>Salary (including fees &amp; allowances) £118,897; Pension contributions £19,380</t>
  </si>
  <si>
    <t>Salary (including fees &amp; allowances) £107,519; Pension contributions £17,533</t>
  </si>
  <si>
    <t>Chief Housing Officer</t>
  </si>
  <si>
    <t>Leisure Development Manager</t>
  </si>
  <si>
    <t>Operations Manager - Environmental</t>
  </si>
  <si>
    <t>Salary, fees &amp; allowances £100,786; Expenses allowances £4,317; Pension contributions £15,118</t>
  </si>
  <si>
    <t>Unnamed employee</t>
  </si>
  <si>
    <t>Director of Planning</t>
  </si>
  <si>
    <t>Salary (including fees &amp; allowances) £128,106; Expense allowances £224; Benefits in kind £4,307; Pension contributions £21,138</t>
  </si>
  <si>
    <t>Salary (including fees &amp; allowances) £94,151; Benefits in kind £3,819; Pension contributions £15,535</t>
  </si>
  <si>
    <t>Salary (including fees &amp; allowances) £83,540; Expense allowances £79; Benefits in kind £4,302; Pension contributions £13,784</t>
  </si>
  <si>
    <t>Salary, fees &amp; allowances £106,773; Expenses allowances £1,419; Pension contributions £18,767</t>
  </si>
  <si>
    <t>Salary, fees &amp; allowances £85,865; Expense allowances £1,303; Pension contributions £15,011</t>
  </si>
  <si>
    <t>Salary, fees &amp; allowances £15,276; Expenses allowances £340; Compensation for loss of office £74,000; Pension contributions £98,421</t>
  </si>
  <si>
    <t>Salary £166,929; Pension contributions £25,540</t>
  </si>
  <si>
    <t>Salary, fees &amp; allowances £133,277; Pension contributions £20,391</t>
  </si>
  <si>
    <t>Salary, fees &amp; allowances £123,804; Pension contributions £18,942</t>
  </si>
  <si>
    <t>Salary, fees &amp; allowances £93,238; Pension contribution £14,449</t>
  </si>
  <si>
    <t>Salary, fees &amp; allowances £120,030; Pension contribution £18,906</t>
  </si>
  <si>
    <t>Salary, fees &amp; allowances £114,517; Pension contributions £17,521</t>
  </si>
  <si>
    <t>Salary, fees &amp; allowances £110,850; Pension contributions £16,960</t>
  </si>
  <si>
    <t>Deputy Chief Executive and Group Director Environment &amp; Regeneration</t>
  </si>
  <si>
    <t>Acting Head of Legal</t>
  </si>
  <si>
    <t>Remuneration (including fees &amp; allowances) £120,000; Pension contributions £24,600</t>
  </si>
  <si>
    <t>Remuneration (including fees &amp; allowances) £110,000; Expense allowances £119; Pension contributions £22,550</t>
  </si>
  <si>
    <t>Remuneration (including fees &amp; allowances) £107,500; Expense allowances £159; Pension contributions £22,038</t>
  </si>
  <si>
    <t>Remuneration (including fees &amp; allowances) £102,500; Expense allowances £159; Pension contributions £21,013</t>
  </si>
  <si>
    <t>Remuneration (including fees &amp; allowances) £100,000; Pension contributions £20,500</t>
  </si>
  <si>
    <t>Remuneration (including fees &amp; allowances) £24,167; Expense allowances £53; Compensation for loss of office £80,989; Pension contributions £4,954</t>
  </si>
  <si>
    <t>Remuneration (including fees &amp; allowances) £36,250; Expense allowances £80; Compensation for loss of office £63,185; Pension contributions £7,555</t>
  </si>
  <si>
    <t>Head of Internal Audit</t>
  </si>
  <si>
    <t>Includes compensation for loss of office</t>
  </si>
  <si>
    <t>Salary (including fees &amp; allowances) £135,000; Pension contributions £43,200</t>
  </si>
  <si>
    <t>Salary (including fees &amp; allowances) £96,066; Benefits in kind £1,382; Pension contributions £30,099</t>
  </si>
  <si>
    <t>Salary, fees &amp; allowances £130,374; Pension contributions £27,849</t>
  </si>
  <si>
    <t>Salary, fees &amp; allowances £97,828; Pension contributions £20,714</t>
  </si>
  <si>
    <t>Salary, fees &amp; allowances £90,107; Pension contributions £19,373</t>
  </si>
  <si>
    <t>Salary, fees &amp; allowances £129,773; Pension contributions £27,849</t>
  </si>
  <si>
    <t>Salary, fees &amp; allowances £94,131; Pension contributions £17,466</t>
  </si>
  <si>
    <t>Salary, fees &amp; allowances £115,746; Pension contributions £24,885</t>
  </si>
  <si>
    <t>Salary, fees &amp; allowances £94,396; Pension contributions £20,224</t>
  </si>
  <si>
    <t>Head of Community Services</t>
  </si>
  <si>
    <t>Salary (including fees and allowances) £54,000; Benefits in kind £4,000; Pension Contributions £8,000. Left 4 January 2011. Post deleted.</t>
  </si>
  <si>
    <t>Salary (including fees and allowances) £69,000; Expenses £1,000; Benefits in kind £3,000; Pension Contributions £11,000. Left 3 November 2010</t>
  </si>
  <si>
    <t>Salary (including fees and allowances) £68,000; Expenses £1,000; Benefits in kind £5,000; Pension Contributions £11,000 Appointed to new role on 4 January 2011. Post deleted.</t>
  </si>
  <si>
    <t>A Charlton</t>
  </si>
  <si>
    <t>Salary £143,850; Pension contributions £21,290</t>
  </si>
  <si>
    <t>Salary £128,438; Pension contributions £19,009</t>
  </si>
  <si>
    <t>Salary £100,000; Pension contributions £14,800</t>
  </si>
  <si>
    <t>Strategic Director of Transformation</t>
  </si>
  <si>
    <t>Director of Financial Resources</t>
  </si>
  <si>
    <t>Keith Beardmor</t>
  </si>
  <si>
    <t>Acting Director of Children's Services</t>
  </si>
  <si>
    <t>Salary (including fees &amp; allowances) £193,148; Benefits in kind £7,905; Pension contributions £28,494</t>
  </si>
  <si>
    <t>Salary (including fees &amp; allowances) £115,268; Pension contributions £16,684</t>
  </si>
  <si>
    <t>Salary (including fees &amp; allowances) £109,907; Pension contributions £15,907</t>
  </si>
  <si>
    <t>Salary, fees and allowances £218,592; Pension contributions £49,183</t>
  </si>
  <si>
    <t>Salary, fees and allowances  £112,388; Pension contributions £25,287</t>
  </si>
  <si>
    <t>Salary, fees and allowances  £126,733; End of employment payment £63,866, Pension contributions £28,515</t>
  </si>
  <si>
    <t>Salary, fees and allowances  £122,011; Pension contributions £27,453</t>
  </si>
  <si>
    <t>Salary, fees and allowances  £117,497; Expense allowances £222; Pension contributions £25,027</t>
  </si>
  <si>
    <t>Salary, fees and allowances  £88,944; End of employment payment £66,710; Pension contributions £20,012</t>
  </si>
  <si>
    <t>Salary, fees and allowances £90,522; Pension contributions £20,367</t>
  </si>
  <si>
    <t>Salary, fees and allowances £138,306; Benefits in kind £1,008; Pension contributions £19,081</t>
  </si>
  <si>
    <t>Salary, fees and allowances  £110,568.96; Pension contributions £26,609.16</t>
  </si>
  <si>
    <t>Salary (Including fees &amp; allowances) £113,095; Expenses allowances £611; Pension contributions £17,599</t>
  </si>
  <si>
    <t>Salary (Including fees &amp; allowances) £80,688; Expenses £3,790; Compensation for loss of office £96,089; Pension contributions £12,586</t>
  </si>
  <si>
    <t>Salary (Including fees &amp; allowances) £80,682; Expenses allowances £4,344; Compensation for loss of office £64,060; Pension contributions £12,586</t>
  </si>
  <si>
    <t>C Harman</t>
  </si>
  <si>
    <t>Interim Chief Executive and Council Manager</t>
  </si>
  <si>
    <t>Left 31 October 2009. Annualised salary £165,000</t>
  </si>
  <si>
    <t>Director of Adult Social Care, Health and Communities</t>
  </si>
  <si>
    <t>Director RENEW North Staffordshire</t>
  </si>
  <si>
    <t>Director Central Services</t>
  </si>
  <si>
    <t>Director Housing, Environmental and Neighbourhood Services</t>
  </si>
  <si>
    <t>Salary (including fees &amp; allowances) £145,528; Expense allowances £1,162; Benefits in kind £1,239; Pension contributions £23,121</t>
  </si>
  <si>
    <t>Salary (including fees &amp; allowances) £128,336; Pension contributions £20,534</t>
  </si>
  <si>
    <t>Salary (including fees &amp; allowances) £125,983; Expense allowances £262; Benefits in kind £1,239; Pension contributions £20,157</t>
  </si>
  <si>
    <t>Salary (including fees &amp; allowances) £98,741; Expense allowances £100; Benefits in kind £1,239; Pension contributions £10,061</t>
  </si>
  <si>
    <t>Salary (including fees &amp; allowances )£161,093; Expense allowances £1,227; Benefits in kind £229; Pension contributions £26,652</t>
  </si>
  <si>
    <t>Salary (including fees &amp; allowances) £131,987; Expense allowances £1,129; Benefits in kind £111; Pension contributions £22,306</t>
  </si>
  <si>
    <t>Salary (including fees &amp; allowances) £127,017; Expense allowances £1,639; Benefits in kind £214; Pension contributions £21,461</t>
  </si>
  <si>
    <t>Salary (including fees &amp; allowances) £125,451; Expense allowances £835; Benefits in kind £111; Pension contributions £21,201</t>
  </si>
  <si>
    <t>Salary (including fees &amp; allowances) £96,942; Pension contributions £15,996</t>
  </si>
  <si>
    <t>J R Shultz</t>
  </si>
  <si>
    <t>Left on the 5 April 2010. Annualised Salary £160,424</t>
  </si>
  <si>
    <t>Salary, fees &amp; allowances £137,000; Expense £3,000; Benefits in kind £1,000; Pension contribution £18,000</t>
  </si>
  <si>
    <t>Salary, fees &amp; allowances £120,000; Expenses £3,000; Benefits in kind £12,000; Pension contribution £17,000</t>
  </si>
  <si>
    <t>Salary, fees &amp; allowances £115,000; Benefits in kind £3,000; Pension contribution £17,000</t>
  </si>
  <si>
    <t>Salary, fees &amp; allowances £93,000; Benefits in kind £2,000; Pension contributions £14,000</t>
  </si>
  <si>
    <t>Salary, fees &amp; allowances £91,000; Benefits in kind £4,000; Pension contribution £14,000</t>
  </si>
  <si>
    <t>Salary, fees &amp; allowances £89,000; Expenses £1,000; Pension contribution £13,000</t>
  </si>
  <si>
    <t>Salary, fees &amp; allowances £90,000; Benefits in kind £3,000; Pension contribution £13,000</t>
  </si>
  <si>
    <t>Salary, fees &amp; allowances £88,000; Benefits in kind £5,000; Pension contribution £13,000</t>
  </si>
  <si>
    <t>Salary, fees &amp; allowances £88,000; Pension contribution £13,000</t>
  </si>
  <si>
    <t>Salary, fees &amp; allowances £87,000; Benefits in kind £2,000; Pension contribution £13,000</t>
  </si>
  <si>
    <t>Salary, fees &amp; allowances £86,000; Benefits in kind £1,000; Pension contribution £13,000</t>
  </si>
  <si>
    <t>Salary, fees &amp; allowances £86,000; Benefits in kind £3,000; Pension contribution £13,000</t>
  </si>
  <si>
    <t>Salary, fees &amp; allowances £105,315; Expense allowances £139; Pension contributions £19,483</t>
  </si>
  <si>
    <t>Salary, fees &amp; allowances £94,248; Expenses allowances £548; Pension contributions £17,436</t>
  </si>
  <si>
    <t>Salary, fees &amp; allowances £91,846; Expenses allowances £541; Pension contributions £16,991</t>
  </si>
  <si>
    <t>Salary, fees &amp; allowances £91,846; Pension contributions £16,991</t>
  </si>
  <si>
    <t>Strategic Director (Community)</t>
  </si>
  <si>
    <t>Salary, fees &amp; allowances £110,730; Expenses allowances £299; Other emoluments £7,571; Pension contributions £32,297</t>
  </si>
  <si>
    <t>Salary, fees &amp; allowances £91,222; Expense allowances £299; Other emoluments £3,625; Pension contributions £25,893</t>
  </si>
  <si>
    <t>Salary, fees &amp; allowances £30,793; Expense allowances £100; Other emoluments £1,677; Pension contributions £7,124. Left 31 July 2010</t>
  </si>
  <si>
    <t>Salary (including fees &amp; allowances) £97,401; Allowances £963; Pension contributions £23,181. This post is shared with Staffordshire Moorlands DC and they contribute £60,772 towards the cost of employing this person.</t>
  </si>
  <si>
    <t>Salary (including fees &amp; allowances) £111,802; Bonuses £11,739; Expenses £2,867; Pension contributions £19,519. This post is shared with High Peak BC and they contribute £72,694 to the cost of employing this person.</t>
  </si>
  <si>
    <t>Salary (including fees &amp; allowances) £151,628; Bonus £16,244; Expenses £8,467; Pension contributions £26,524. This post is shared with High Peak BC and they contribute £99,187 towards the cost of employing this person.</t>
  </si>
  <si>
    <t>Salary (including fees &amp; allowances) £106,802; Bonuses £11,214; Expenses £3,213; Pension contributions £18,646. This post is shared with High Peak BC and they contribute £69,938 to the cost of employing this person.</t>
  </si>
  <si>
    <t>Salary (including fees &amp; allowances) £117,664; Pension contributions £17,238</t>
  </si>
  <si>
    <t>Salary (including fees &amp; allowances) £48,963; Pension contributions £7,056</t>
  </si>
  <si>
    <t>Director of Communities and Chief Executive's Office</t>
  </si>
  <si>
    <t>Salary, fees &amp; allowances £43,114; Expense allowances £2,001; Pension contributions £7,373. Left August 2010</t>
  </si>
  <si>
    <t>Director of Children, Young People &amp; Families</t>
  </si>
  <si>
    <t>Director of Social Care &amp; Health</t>
  </si>
  <si>
    <t>Director of Development Services</t>
  </si>
  <si>
    <t>Salary, fees &amp; allowances £84,841; Compensation for loss of office £30,439; Pension contributions £8,329. Left August 2010</t>
  </si>
  <si>
    <t>Director of ICT</t>
  </si>
  <si>
    <t>Salary, fees &amp; allowances £41,193; Expense Allowances £1,422; Pension contributions £7,044. Left August 2010</t>
  </si>
  <si>
    <t>Salary, fees &amp; allowances £193,206; Pension contributions £31,678</t>
  </si>
  <si>
    <t>Salary, fees &amp; allowances £11,022; Pension contributions £1,708. Left April 2010</t>
  </si>
  <si>
    <t>Salary, fees &amp; allowances £121,241; Expenses allowances £4,909; Pension contributions £20,732</t>
  </si>
  <si>
    <t>Salary, fees &amp; allowances £84,583; Expenses allowances £3,399; Pension contributions £14,464. Started September 2010</t>
  </si>
  <si>
    <t>Salary, fees &amp; allowances £98,943; Expense allowances £4,424; Pension contributions £16,919</t>
  </si>
  <si>
    <t>Salary, fees &amp; allowances £55,110; Expenses allowances £2,428; Pension contributions £9,424. Left August 2010</t>
  </si>
  <si>
    <t>Salary, fees &amp; allowances £108,212; Benefits in kind £7,876; Pension contribution £16,589</t>
  </si>
  <si>
    <t>Salary, fees &amp; allowances £90,060; Benefits in kind £6,665; Pension contribution £13,218</t>
  </si>
  <si>
    <t>Salary £152,000; Additional payment £6,000; Pension contribution £28,000</t>
  </si>
  <si>
    <t>Salary £115,000; Additional payments £1,000; Pension contributions £21,000</t>
  </si>
  <si>
    <t>Salary £112,000; Pension contributions £20,000</t>
  </si>
  <si>
    <t>Salary £112,000; Additional payments £2,000; Pension contributions £20,000</t>
  </si>
  <si>
    <t>Salary £106,000; Additional payments £3,000; Pension contributions £20,000</t>
  </si>
  <si>
    <t>Salary £103,000; Pension contributions £19,000</t>
  </si>
  <si>
    <t>Salary £97,000; Additional payments £1,000; Redundancy £57,000; Pension contributions £18,000</t>
  </si>
  <si>
    <t>Salary £97,000; Additional payments £3,000; Pension contributions £18,000</t>
  </si>
  <si>
    <t>Salary (including fees and allowances) £126,357; Expenses allowances £1,273; Pension contributions £20,955</t>
  </si>
  <si>
    <t>Salary, fees &amp; allowances £105,000; Benefits in kind £7,000; Pension contributions £29,000</t>
  </si>
  <si>
    <t>Salary, fees &amp; allowances £83,000; Pension contributions £22,000</t>
  </si>
  <si>
    <t>Salary, fees &amp; allowances £82,000; Pension contributions £22,000</t>
  </si>
  <si>
    <t>Salary, fees &amp; allowances £80,000; Benefits in kind £5,000; Pension contributions £24,000</t>
  </si>
  <si>
    <t>B Coe</t>
  </si>
  <si>
    <t>Taxable salary £111,813; Pension contributions £17,907</t>
  </si>
  <si>
    <t>Taxable salary £88,682; Expenses £36; Pension contributions £14,350</t>
  </si>
  <si>
    <t>Strategic Director, Health &amp; Community Services and Chief Executive of the PCT</t>
  </si>
  <si>
    <t>Remuneration £182,089; Pension contributions £13,421</t>
  </si>
  <si>
    <t>Remuneration £173,787; Pension contributions £24,783</t>
  </si>
  <si>
    <t>Remuneration £160,383; Pension contributions £20,894</t>
  </si>
  <si>
    <t>Remuneration £155,755; Pension contributions £22,169</t>
  </si>
  <si>
    <t>Remuneration £150,694; Pension contributions £21,034</t>
  </si>
  <si>
    <t>Remuneration £145,310; Pension contributions £21,057</t>
  </si>
  <si>
    <t>Remuneration £143,744; Pension contributions £20,026</t>
  </si>
  <si>
    <t>Sue Cook</t>
  </si>
  <si>
    <t>Sue Hadley</t>
  </si>
  <si>
    <t>Children's Commissioning &amp; Learning Infrastructure</t>
  </si>
  <si>
    <t>Martin Hone</t>
  </si>
  <si>
    <t>Salary £115,341; Consolidated into future salary £1,152; Pension contributions £15,028</t>
  </si>
  <si>
    <t>Salary £86,139; Consolidated into future salary £861; Pension contributions £11,223</t>
  </si>
  <si>
    <t>Assistant Chief Executive of Strategy</t>
  </si>
  <si>
    <t>Joy Wilmot-Palmer</t>
  </si>
  <si>
    <t xml:space="preserve">Executive Director of Health &amp; Adult Social Care </t>
  </si>
  <si>
    <t>Head of Communications</t>
  </si>
  <si>
    <t>The post was deleted 31 August 2009</t>
  </si>
  <si>
    <t>Salary (including fees &amp; allowances) £116,471; Expense allowances £2,008; Pension contributions £22,246.  Left 3 December 2010</t>
  </si>
  <si>
    <t>Salary (including fees &amp; allowances) £38,018; Expense allowances £567; Compensation for loss of office £16,949; Pension contributions £7,261. Left on 31 August 2010</t>
  </si>
  <si>
    <t>Salary (including fees &amp; allowances) £110,830; Pension contributions £21,169</t>
  </si>
  <si>
    <t>Salary (including fees &amp; allowances) £126,663; Expense allowances £122; Benefits in kind £2,493; Pension contributions £24,193</t>
  </si>
  <si>
    <t>Salary (including fees &amp; allowances) £116,659; Pension contributions £22,282. Started 10 May 2010</t>
  </si>
  <si>
    <t>Salary (including fees &amp; allowances) £123,261; Expense allowances £1,435; Pension contributions £23,543</t>
  </si>
  <si>
    <t>Salary (including fees &amp; allowances) £123,261; Expense allowances £520; Pension contributions £23,543</t>
  </si>
  <si>
    <t>Salary (including fees &amp; allowances) £49,193; Expense allowances £295; Pension contributions £9,384</t>
  </si>
  <si>
    <t>Salary £117,616; Allowances £2,046; Pension contributions £17,407</t>
  </si>
  <si>
    <t>Salary £106,988; Allowances £1,775; Pension contribution £15,834</t>
  </si>
  <si>
    <t>Salary £35,375; Allowances £523; Compensation for loss of office £110,797; Pension contributions £5,236</t>
  </si>
  <si>
    <t>Executive Director Children and Young People</t>
  </si>
  <si>
    <t>Executive Director Regeneration and Resources</t>
  </si>
  <si>
    <t>Head of Corporate Governance</t>
  </si>
  <si>
    <t>Salary £94,758; Pension contributions £14,024; 2009-10 not a full year salary</t>
  </si>
  <si>
    <t>Salary £28,962; Allowances £436; Compensation for loss of office £80,536; Pension contributions £4,143</t>
  </si>
  <si>
    <t>Salary £101,688; Allowances £1,153; Pension contributions £15,050</t>
  </si>
  <si>
    <t>Salary £94,758; Allowances £965; Pension contribution £14,024</t>
  </si>
  <si>
    <t>Salary £94,758; Allowances £1,582; Pension contributions £14,024</t>
  </si>
  <si>
    <t>Salary (including fees &amp; allowances) £94,731; Benefits in kind £1,269; Pension contributions £15,300</t>
  </si>
  <si>
    <t>Salary (including fees &amp; allowances) £97,000; Expense allowances £1,000; Benefits in kind £4,000; Pension contribution £15,000</t>
  </si>
  <si>
    <t>P Dolan</t>
  </si>
  <si>
    <t>Salary (including fees &amp; allowances) £95,000; Benefits in kind £4,000; Pension contributions £15,000</t>
  </si>
  <si>
    <t>Corporate Director Resources &amp; Chief Executive</t>
  </si>
  <si>
    <t>Corporate Director Policy and Governance</t>
  </si>
  <si>
    <t>Corporate Director Environment and Community</t>
  </si>
  <si>
    <t>Salary £94,635; Expense allowances £1,263; Benefits in kind £285; Pension contributions £17,062.  From September 2010</t>
  </si>
  <si>
    <t>Salary £107,571; Expense allowances £181; Pension contributions £580. Post made redundant</t>
  </si>
  <si>
    <t>Salary £107,329; Expense allowances £738. Post made redundant</t>
  </si>
  <si>
    <t>Salary (including fees &amp; allowances) £107,184; Expense allowances £2,131; Benefits in kind £1,031; Pension contributions £25,483</t>
  </si>
  <si>
    <t>Salary (including fees &amp; allowances) £81,963; Expense allowances £1,388; Benefits in kind £1,013; Pension contributions £19,487</t>
  </si>
  <si>
    <t>Salary (including fees &amp; allowances) £87,025; Expense allowances £893; Benefits in kind £293; Pension contributions £20,690</t>
  </si>
  <si>
    <t>Salary (including fees &amp; allowances) £84,525; Expense allowances £36; Benefits in kind £67; Pension contributions £20,096</t>
  </si>
  <si>
    <t>Salary (including fees &amp; allowances) £88,925; Expense allowances £463; Benefits in kind £125; Pension contributions £17,866</t>
  </si>
  <si>
    <t>Salary £121,567; Expenses £1,225; Pension contributions £23,706</t>
  </si>
  <si>
    <t>Salary/fees £156,878; Expenses £271; Pension contributions £29,504</t>
  </si>
  <si>
    <t>Salary/fees £127,714; Expenses £298; Pension contributions £23,140</t>
  </si>
  <si>
    <t>Salary/fees £126,066; Expenses £271; Pension contributions £21,924</t>
  </si>
  <si>
    <t>Salary/fees £120,516; Expenses £271; Pension contributions £0</t>
  </si>
  <si>
    <t>Salary/fees £120,516; Expenses £271; Pension contributions £21,924</t>
  </si>
  <si>
    <t>Salary/fees £119,627; Pension contributions £21,623</t>
  </si>
  <si>
    <t>Salary/fees £117,177; Expenses £283; Pension contributions £21,321</t>
  </si>
  <si>
    <t>Salary/fees £120,516; Expenses £771; Pension contributions £21,924</t>
  </si>
  <si>
    <t>Salary, fees &amp; allowances £96,860; Expenses allowances £3,459; Pension contributions £17,948. Became Chief Executive on 1 Aug 2010</t>
  </si>
  <si>
    <t>Salary, fees &amp; allowances £83,562; Expenses allowances £1,596; Pension contributions £15,532</t>
  </si>
  <si>
    <t>Salary, fees &amp; allowances £111,000; Pension contributions £23,000</t>
  </si>
  <si>
    <t>Salary, fees &amp; allowances £89,000; Expenses allowances £1,000; Pension contributions £18,000</t>
  </si>
  <si>
    <t>Salary, fees &amp; allowances £85,000; Pension contributions £18,000</t>
  </si>
  <si>
    <t>Salary, fees &amp; allowances £80,873; Expenses allowances £414; Compensation for loss of office £23,997; Pension contributions £133,291</t>
  </si>
  <si>
    <t>Salary, fees &amp; allowances £58,481; Expenses allowances £263; Compensation for loss of office £30,000; Pension contributions £67,611</t>
  </si>
  <si>
    <t>No Staff above £100,000</t>
  </si>
  <si>
    <t>See West Devon for shared Chief Executive to which South Hams contribute half the cost.</t>
  </si>
  <si>
    <t>Salary £163,920; Pension contributions £27,539</t>
  </si>
  <si>
    <t>Salary £124,989; Pension contributions £20,998</t>
  </si>
  <si>
    <t>Salary £112,695; Pension contributions £18,933</t>
  </si>
  <si>
    <t>Salary £113,151; Pension contributions £18,933</t>
  </si>
  <si>
    <t>Salary £99,377; Pension contributions £16,695</t>
  </si>
  <si>
    <t>Salary, fees &amp; allowances £110,235; Expenses allowances £1,664; Pension contributions £21,936</t>
  </si>
  <si>
    <t>Salary, fees &amp; allowances £88,188; Expenses allowances £1,531; Pension contributions £17,549</t>
  </si>
  <si>
    <t>Salary, fees &amp; allowances £136,245; Expenses allowances (including redundancy) £28,540; Pension contributions £17,549; Post made redundant</t>
  </si>
  <si>
    <t>Salary, fees &amp; allowances £77,380; Expenses allowances (including redundancy) £31,908; Pension contributions £11,127; Post made redundant</t>
  </si>
  <si>
    <t>Salary £104,075; Benefits in kind £1,362; Pension contributions £22,584</t>
  </si>
  <si>
    <t>Salary £99,319; Benefits in kind £56; Pension contributions £21,552; date of commencement of services: 1 October 2009</t>
  </si>
  <si>
    <t>Salary, fees &amp; allowances £105,102; Benefits in kind £797; Pension contributions £22,489</t>
  </si>
  <si>
    <t>Salary, fees &amp; allowances £88,398; Benefits in kind £797; Pension contributions £18,907</t>
  </si>
  <si>
    <t>Salary, fees &amp; allowances £88,398; Benefits in kind £549; Pension contributions £18,853</t>
  </si>
  <si>
    <t>J G Peterkin</t>
  </si>
  <si>
    <t>Deputy Chief Executive and Executive Director-Development and Environment</t>
  </si>
  <si>
    <t>Gross salary and allowances £128,983; Taxable expenses £96; Benefits in kind £135; Pension contribution £22,575</t>
  </si>
  <si>
    <t>Gross salary and allowances £58,016; Pension contribution £9,707. Left 30 September 2010</t>
  </si>
  <si>
    <t>Gross salary and allowances £105,041; Benefits in kind £2,160; Pension contributions £19,089</t>
  </si>
  <si>
    <t>Gross salary and allowances £105,685; Pension contributions £19,089</t>
  </si>
  <si>
    <t>Alan Jones</t>
  </si>
  <si>
    <t>Corporate Director - Children's Services</t>
  </si>
  <si>
    <t>Salary (including fees &amp; allowances) £121,704; Pension contributions £18,377.28</t>
  </si>
  <si>
    <t xml:space="preserve">Salary (including fees &amp; allowances) £15,376.58; Pension contributions £2,369.59. Acted as Deputy Chief Executive for part of 2009-10. </t>
  </si>
  <si>
    <t>Salary (including fees &amp; allowances) £96,512.58; Benefits in kind £73.05; Pension contributions £14,573.38; Ceased employment 16 January 2011</t>
  </si>
  <si>
    <t>Salary (including fees &amp; allowances) £87,009; Benefits in kind £107.75; Pension contributions £13,138.32</t>
  </si>
  <si>
    <t>Salary (including fees &amp; allowances) £87,009.05; Benefits in kind £136.05; Pension contributions £13,138.32</t>
  </si>
  <si>
    <t>Salary, fees &amp; allowances £137,478; Expenses allowance £692; Pension contribution £25,070; Other emoluments £8,718</t>
  </si>
  <si>
    <t>Salary, fees &amp; allowances £100,937; Expenses allowances £692; Pension contributions £17,293; Other emoluments £480</t>
  </si>
  <si>
    <t>Salary, fees &amp; allowances £89,917; Expenses allowances £692; Pension contributions £15,735; Other emoluments £480</t>
  </si>
  <si>
    <t>Salary, fees &amp; allowances £88,193; Expenses allowances £692; Pension contributions £15,735; Other emoluments £480</t>
  </si>
  <si>
    <t>Salary, fees &amp; allowances £103,063; Expenses allowances £692; Pension contributions £18,036; Other emoluments £480</t>
  </si>
  <si>
    <t>Salaries, fees &amp; allowances £160,480; Pension contributions £24,550</t>
  </si>
  <si>
    <t>Salaries, fees &amp; allowances £126,330; Pension contributions £19,280</t>
  </si>
  <si>
    <t>Salaries, fees &amp; allowances £104,900; Pension contributions £15,940</t>
  </si>
  <si>
    <t>Salaries, fees &amp; allowances £115,320; Pension contributions £17,530</t>
  </si>
  <si>
    <t>Shelia Healy</t>
  </si>
  <si>
    <t>Left October 2009</t>
  </si>
  <si>
    <t>Left March 2010</t>
  </si>
  <si>
    <t>Salary £90,000; Expense allowances £1,827; Pension contributions £15,030; Started May 2009</t>
  </si>
  <si>
    <t>Salary £100,000; Expense allowances £1,752; Pension contributions £16,700</t>
  </si>
  <si>
    <t>Salary £135,000; Expense allowances £925; Pension contributions £22,545</t>
  </si>
  <si>
    <t>Salary £125,000; Expense allowances £1,390; Pension contributions £20,875</t>
  </si>
  <si>
    <t>Including one off redundancy and lump sum retirement payment</t>
  </si>
  <si>
    <t>Salary including fees and allowances £112,800; Pension contributions £15,086</t>
  </si>
  <si>
    <t>Acting Executive Director - Neighbourhoods and Community Care</t>
  </si>
  <si>
    <t>Assistant Chief Executive - Legal and Governance</t>
  </si>
  <si>
    <t>Assistant Chief Executive - Policy and Performance</t>
  </si>
  <si>
    <t>Left on 30 June 2009</t>
  </si>
  <si>
    <t>Left 2 August 2009</t>
  </si>
  <si>
    <t>Left on 9 August 2009</t>
  </si>
  <si>
    <t>Salary including fees and allowances £184,588; Pension contributions £33,226</t>
  </si>
  <si>
    <t>Salary including fees and allowances £135,368; Pension contributions £24,366; Joined council on 1 April 2009. They received additional pay of £1,452 during the year. Their full time equivalent salary was £129,217.</t>
  </si>
  <si>
    <t>Salary including fees and allowances £127,740; Pension contributions £22,993</t>
  </si>
  <si>
    <t>Salary including fees and allowances £123,066; Pension contributions £22,152; Joined council on 10 August 2009. Their full time equivalent salary was £116,902.</t>
  </si>
  <si>
    <t>Salary including fees and allowances £129,217; Pension contributions £23,259; Joined council on 10 August 2009, Their full time equivalent salary was £123,066.</t>
  </si>
  <si>
    <t>Salary including fees and allowances £141,516; Expenses allowances £23; Pension contributions £25,473</t>
  </si>
  <si>
    <t>Salary £133,683; Expenses £392; Pension contributions £20,594; Other Benefits/payments £3,487</t>
  </si>
  <si>
    <t>Salary £112,300; Expenses £275; Pension contributions £16,830</t>
  </si>
  <si>
    <t>Salary £112,300; Expenses £296; Pension contributions £16,830</t>
  </si>
  <si>
    <t>Salary (including fees &amp; allowances) £92,852; Benefits in kind £963; Pension contributions £20,242</t>
  </si>
  <si>
    <t>Salary (including fees &amp; allowances) £148,379; Expense allowances £390; Pension contributions £25,373</t>
  </si>
  <si>
    <t>Salary (including fees &amp; allowances) £107,091; Expense allowances £390; Pension contributions £18,313</t>
  </si>
  <si>
    <t>Salary (including fees &amp; allowances) £89,508; Expense allowances £98; Pension contributions £15,306</t>
  </si>
  <si>
    <t>Salary (including fees &amp; allowances) £98,460; Expense allowances £390; Pension contributions £16,837</t>
  </si>
  <si>
    <t>Salary (including fees &amp; allowances) £85,779; Expense allowances £390; Pension contributions £14,668</t>
  </si>
  <si>
    <t>Salary (including fees &amp; allowances) £89,508; Expense allowances £390; Pension contributions £15,306</t>
  </si>
  <si>
    <t>Salary (including fees &amp; allowances) £85,779; Expense allowances £5,112; Pension contributions £14,668</t>
  </si>
  <si>
    <t>Salary £98,534; Taxable benefits £3,821; Pension contributions £16,976</t>
  </si>
  <si>
    <t>Salaries, fees and allowances £123,136; Pension contributions £21,460</t>
  </si>
  <si>
    <t>Salaries, fees and allowances £101,394; Pension contributions £18,200</t>
  </si>
  <si>
    <t>Salaries, fees and allowances £91,106; Pension contributions £16,348</t>
  </si>
  <si>
    <t>Remuneration contained an element of voluntary severance or early retiral</t>
  </si>
  <si>
    <t>Remuneration contained an element of voluntary severance</t>
  </si>
  <si>
    <t>Salary £110,693; Expense allowances £1,184; Pension contributions £21,917</t>
  </si>
  <si>
    <t>Salary £94,330; Expense allowances £1,095; Pension contributions £18,677</t>
  </si>
  <si>
    <t>Salary £90,040; Expense allowances £1,091; Pension contributions £17,828</t>
  </si>
  <si>
    <t>Salary £87,401; Pension contributions £14,683</t>
  </si>
  <si>
    <t>Salary £91,404 Other emoluments £285; Pension contributions £15,356</t>
  </si>
  <si>
    <t>Salary £46,919; Other emoluments £15; Pension contributions £7,882. Left 16 December 2009</t>
  </si>
  <si>
    <t>Salary (including fees &amp; allowances) £182,458; Expense allowances £914; Pension contributions £27,020</t>
  </si>
  <si>
    <t>Salary (including fees &amp; allowances) £89,706; Expense allowances £927; Pension contributions £13,491</t>
  </si>
  <si>
    <t>Salary (including fees &amp; allowances) £115,981; Expense allowances £910; Pension contributions £17,480; Left council 31 March 2011</t>
  </si>
  <si>
    <t>Salary (including fees &amp; allowances) £116,121; Expense allowances £1,080; Pension contributions £17,480</t>
  </si>
  <si>
    <t>Salary (including fees &amp; allowances) £116,121; Expense allowances £901; Pension contributions £17,480</t>
  </si>
  <si>
    <t>Salary (including fees &amp; allowances) £97,863; Expense allowances £896; Pension contributions £14,777</t>
  </si>
  <si>
    <t>Salary, fees &amp; allowances £104,460; Expenses allowances £5,505; Pension contributions £21,101</t>
  </si>
  <si>
    <t>Salary, fees &amp; allowances £62,649; Expenses allowances £5,766; Compensation for loss of office £40,586; Pension contributions £12,560</t>
  </si>
  <si>
    <t>Salary (including fees &amp; allowances) £111,285; Expense allowances £162; Benefits in kind £963; Pension contributions £19,614</t>
  </si>
  <si>
    <t>Salary (including fees &amp; allowances) £83,408; Expense allowances £2,303; Benefits in kind £963; Pension contributions £14,462</t>
  </si>
  <si>
    <t>Salary and allowances £113,469; Expenses allowances £5,040; Pension contributions £22,519</t>
  </si>
  <si>
    <t>Salary, fees &amp; allowances £112,282; Lease car £5,784; Pension contributions £13,104</t>
  </si>
  <si>
    <t>Salary (including fees &amp; allowances) £90,848; Pension contributions £14,030</t>
  </si>
  <si>
    <t>Salary (including fees &amp; allowances) £103,232; Benefits in kind £2,340; Compensation for loss of office £45,000; Pension contributions £129,860; Left council 31 March 2011. As part of his voluntary retirement package the Council decided to award compensation for loss of office in the sum of £45,000, and added years of pension at a cost of £115,830. The post of Director of Administration &amp; Leisure was deleted after his early retirement.</t>
  </si>
  <si>
    <t>Salary (including fees &amp; allowances) £84,010; Expense allowances £530; Benefits in kind £5,970; Pension contributions £13,190</t>
  </si>
  <si>
    <t>Salary (including fees &amp; allowances) £84,010; Expense allowances £640; Benefits in kind £4,210; Pension contributions £13,190</t>
  </si>
  <si>
    <t>Salary (including fees &amp; allowances) £28,780; Expense allowances £60; Compensation for loss of employment £83,210; Benefits in kind £1,810; Pension contributions £4,520</t>
  </si>
  <si>
    <t>Remuneration £113,384.04; Pension contributions £19,388.64</t>
  </si>
  <si>
    <t>Remuneration £159,999.96; Pension contributions £27,360</t>
  </si>
  <si>
    <t>Salary &amp; allowances £94,000; Pension contributions £23,000; Other £5,000</t>
  </si>
  <si>
    <t>Salary £97,276; Other expenses £958; Local elections £2,448; Pension contributions £18,776</t>
  </si>
  <si>
    <t>Corporate Director (Internal Services)</t>
  </si>
  <si>
    <t>Salary including fees &amp; allowances £116,849; Bonuses £84; Expense allowances £289; Benefits in kind £1,369; Pension contributions £14,474</t>
  </si>
  <si>
    <t>Salary including fees &amp; allowances £16,253; Bonuses £103; Expense allowances £59; Benefits in kind £319; Compensation for loss of office £53,248; Pension contributions £2,013</t>
  </si>
  <si>
    <t>Salary £149,000; Expenses £3,000; Pension contributions £23,000</t>
  </si>
  <si>
    <t>Salary £121,000; Expenses £1,000; Pension contributions £19,000</t>
  </si>
  <si>
    <t>Salary £98,000; Pension contributions £15,000</t>
  </si>
  <si>
    <t>Salary £120,000; Pension contributions £19,000</t>
  </si>
  <si>
    <t>Salary, fees and allowances £90,011; Car allowances £966; Pension contributions £19,049</t>
  </si>
  <si>
    <t>Salary, fees and allowances £90,468; Car allowances £435; Pension contributions £18,915</t>
  </si>
  <si>
    <t>Salary, fees &amp; allowances £178,528; Expenses allowances £216; Pension contributions £42,115</t>
  </si>
  <si>
    <t>Salary, fees &amp; allowances £127,175; Pension contributions £29,873</t>
  </si>
  <si>
    <t>Salary, fees &amp; allowances £120,892; Expenses allowances £458; Pension contributions £28,893</t>
  </si>
  <si>
    <t>Salary, fees &amp; allowances £120,606; Pension contributions £28,893; Began post 14 May 2009</t>
  </si>
  <si>
    <t>Salary, fees &amp; allowances £128,723; Pension contributions £29,873</t>
  </si>
  <si>
    <t>Salary, fees &amp; allowances £84,010; Expenses allowances £391; Pension contributions £20,078</t>
  </si>
  <si>
    <t>Salary £88,257; Benefits in kind £6,155; Pension contributions £11,738</t>
  </si>
  <si>
    <t>Salary £71,559; Benefits in kind £3,488; Pension contributions £74,575</t>
  </si>
  <si>
    <t>Salary £142,000; Pension contributions £29,000</t>
  </si>
  <si>
    <t>Salary £122,000; Pension contributions £25,000</t>
  </si>
  <si>
    <t>Salary £113,000; Benefits in kind £1,000; Pension contributions £23,000</t>
  </si>
  <si>
    <t>Salary £113,000; Pension contributions £23,000</t>
  </si>
  <si>
    <t>Salary £92,000; Pension contributions £19,000</t>
  </si>
  <si>
    <t>Salary £92,000; Benefits in kind £1,000; Pension contributions £19,000</t>
  </si>
  <si>
    <t>Salary £103,000; Pension contributions £16,000</t>
  </si>
  <si>
    <t>Salary £38,000; Bonuses £2,000; Compensation for loss of office £65,000; Pension contributions £6,000</t>
  </si>
  <si>
    <t>Salary £97,000; Bonuses £5,000; Compensation for loss of office £99,000; Pension contributions £15,000</t>
  </si>
  <si>
    <t>Salary £104,000; Pension contributions £15,000</t>
  </si>
  <si>
    <t>Salary £42,000; Compensation for loss of office £65,000; Pension contributions £6,000</t>
  </si>
  <si>
    <t>Salary £74,000; Compensation for loss of office £83,000; Pension contributions £11,000</t>
  </si>
  <si>
    <t>Head of Customer and IT Services</t>
  </si>
  <si>
    <t>Head of Operations</t>
  </si>
  <si>
    <t>Salary (including fees &amp; allowances) £145,239; Benefits in kind £740; Pension contributions £21,350</t>
  </si>
  <si>
    <t>Salary (including fees &amp; allowances) £116,729; Recurring Payment £537; Benefits in kind £788; Pension contributions £17,238</t>
  </si>
  <si>
    <t>Salary (including fees &amp; allowances) £116,729; Benefits in kind £846 Pension contributions £17,159</t>
  </si>
  <si>
    <t>Salary (including fees &amp; allowances) £116,729; Benefits in kind £719; Pension contributions £17,159</t>
  </si>
  <si>
    <t>Salary (including fees &amp; allowances) £100,144; Recurring payment £539; Benefits in kind £784; Pension contributions £14,800</t>
  </si>
  <si>
    <t>Head of Human Resource (0.92 FTE)</t>
  </si>
  <si>
    <t>Salary (including fees &amp; allowances) £92,024; Benefits in kind £824; Pension contributions £13,528</t>
  </si>
  <si>
    <t>Director of Adult and Children's Services</t>
  </si>
  <si>
    <t>Salary (including fees &amp; allowances) £50,258; One off payment £34,923; Benefits in kind £282; Pension contributions £7,388</t>
  </si>
  <si>
    <t>Salary including fees &amp; allowances £181,542; Pension contributions £41,936</t>
  </si>
  <si>
    <t>Salary including fees &amp; allowances £135,483; Other emoluments £2,669; Pension contributions £31,851</t>
  </si>
  <si>
    <t>Salary including fees &amp; allowances £133,209; Other emoluments £2,135; Pension contributions £31,264</t>
  </si>
  <si>
    <t>Salary including fees &amp; allowances £131,205; Pension contributions £30,308</t>
  </si>
  <si>
    <t>Salary including fees &amp; allowances £94,032; Pension contributions £21,721</t>
  </si>
  <si>
    <t>Salary including fees &amp; allowances £123,192; Other emoluments £1,761; Pension contributions £28,864</t>
  </si>
  <si>
    <t>Salary (including fees &amp; allowances) £148,377; Pension contributions £21,811</t>
  </si>
  <si>
    <t>Salary (including fees &amp; allowances) £119,979; Pension contributions £17,637</t>
  </si>
  <si>
    <t>Salary (including fees &amp; allowances) £89,412; Pension contributions £13,144</t>
  </si>
  <si>
    <t>No staff above £100,000</t>
  </si>
  <si>
    <t>Salary (incl fees &amp; allowances) £118,000; Pension contributions £18,000</t>
  </si>
  <si>
    <t>Salary (incl fees &amp; allowances) £85,000; Pension contributions £15,000</t>
  </si>
  <si>
    <t>Salary (incl fees &amp; allowances) £92,000; Benefits in kind £9,000; Pension contributions £16,000</t>
  </si>
  <si>
    <t>Salary (incl fees &amp; allowances) £127,000; Pension contributions £30,000</t>
  </si>
  <si>
    <t>Salary (incl fees &amp; allowances) £98,000; Pension contributions £23,000</t>
  </si>
  <si>
    <t>Salary (incl fees &amp; allowances) £91,000; Benefits in kind £2,000; Pension contributions £21,000</t>
  </si>
  <si>
    <t>Salary (incl fees &amp; allowances) £81,000; Benefits in kind £2,000; Pension contributions £19,000</t>
  </si>
  <si>
    <t>Salary &amp; allowances £148,885; Pension contributions £28,437</t>
  </si>
  <si>
    <t>Salary &amp; allowances £109,430; Pension contributions £20,901</t>
  </si>
  <si>
    <t>Salary &amp; allowances £105,261; Pension contributions £20,105</t>
  </si>
  <si>
    <t>Salary &amp; allowances £103,176; Pension contributions £19,707</t>
  </si>
  <si>
    <t>Director of Social Services &amp; Strategic Director</t>
  </si>
  <si>
    <t>Salary (including fees &amp; allowances) £124,941; Pension contributions £22,079</t>
  </si>
  <si>
    <t>Salary (including fees &amp; allowances) £94,903; Pension contributions £16,703</t>
  </si>
  <si>
    <t>Salary (including fees &amp; allowances) £104,393; Pension contributions £18,509</t>
  </si>
  <si>
    <t>Salary (including fees &amp; allowances) £94,903; Pension contributions £16,771</t>
  </si>
  <si>
    <t>Salary (including fees &amp; allowances) £102,264; Pension contributions £18,019</t>
  </si>
  <si>
    <t>Salaries £182,505; Fees &amp; allowances £1,442; Pension contributions £27,376</t>
  </si>
  <si>
    <t>Salaries £129,699; Fees &amp; allowances £2,119; Pension contributions £19,455</t>
  </si>
  <si>
    <t>Salaries £114,987; Fees &amp; allowances £1,970; Pension contributions £17,196</t>
  </si>
  <si>
    <t>Salaries £110,240; Pension contributions £17,196</t>
  </si>
  <si>
    <t>Salaries £114,637; Pension contributions £17,196</t>
  </si>
  <si>
    <t>Salaries £84,606; Fees &amp; allowances £47; Pension contributions £12,691. In 2009-10 was joint Director with the PCT for 3 months.</t>
  </si>
  <si>
    <t>Salary £170,175; Election duties £5,000; Pension contributions £29,951</t>
  </si>
  <si>
    <t>Salary £121,192; Benefits in kind £109; Election duties £2,308; Pension contributions £21,330</t>
  </si>
  <si>
    <t>Salary £138,308; Pension contributions £24,342</t>
  </si>
  <si>
    <t>Salary (including fees &amp; allowances) £152,229; Allowances £698; Pension contributions £22,530;  Appointed to the post on 20 January 2010</t>
  </si>
  <si>
    <t>Salary £105,633; Consolidated into future salary £1,152; Pension contributions £13,775;  Left 28 February 2011, annualised salary £131,520</t>
  </si>
  <si>
    <t>Salary £93,000; Pension contributions £17,000;  The officer employed as the Assistant Chief Executive (Legal and Administrative Services) changed during September 2010.</t>
  </si>
  <si>
    <t>Salary, fees &amp; allowances £94,000; Benefits in kind £3,000; Pension contributions £13,000;  Joined the council on 1 August 2009</t>
  </si>
  <si>
    <t>Salary (including fees &amp; allowances) £124,151; Expense allowances £1,555; Benefits in kind £1,059; Pension contributions £19,026;  Appointed 24 May 2010, annualised salary £132,000</t>
  </si>
  <si>
    <t>Salary (including fees &amp; allowances) £122,940; Pension contributions £17,826;  Not in post full year 2009-10</t>
  </si>
  <si>
    <t>Salary £128,291; Pension contributions £19,320;  Began post 25 May 2009, annualised salary £130,543</t>
  </si>
  <si>
    <t>Salary £137,408; Pension contributions £20,720;  Began post 20 May 2009, annualised salary £140,000</t>
  </si>
  <si>
    <t>Salary, fees &amp; allowances £92,303; Pension contributions £19,732;  Left office end of June 2010</t>
  </si>
  <si>
    <t>Salary (incl fees &amp; allowances) £110,000; Bonuses £2,000; Benefits in kind £2,000; Pension contribution £17,000;  Appointed 22 June 2009</t>
  </si>
  <si>
    <t>Salary (incl fees &amp; allowances) £108,294; Bonuses £7,381; Expense allowances/Medical Insurance £1,874; Pension contribution £22,334;  This officer was promoted into the post in October 2010. The annualised remuneration in the new post was £120,290</t>
  </si>
  <si>
    <t>Salary (incl fees &amp; allowances) £106,807; Expense allowances/Medical Insurance £1,639; Pension contribution £20,605;  The Head of IT and Business communications started in November 2009. His annualised salary is £106,807.</t>
  </si>
  <si>
    <t>Salary incl fees &amp; allowances £112,447; Performance related pay £10,143; Expenses £44; Pension contribution £18,794;  The Strategic Director - People Delivery Based Services post was vacant for part of 2009/10 therefore the amount  relates to the part of the year the post was filled.</t>
  </si>
  <si>
    <t>Salary £110,235; Benefits in kind £418; Pension contributions £19,401</t>
  </si>
  <si>
    <t>Salary £90,323; Benefits in kind £171; Election duties £2,250; Pension contributions £15,897</t>
  </si>
  <si>
    <t>Salary, fees &amp; allowances £125,331; Pension contributions £23,186</t>
  </si>
  <si>
    <t>James Irons</t>
  </si>
  <si>
    <t>Salary, fees &amp; allowances £111,525; Pension contributions £20,632</t>
  </si>
  <si>
    <t>Salary, fees &amp; allowances £106,380; Pension contributions £19,680</t>
  </si>
  <si>
    <t>Ian Innes</t>
  </si>
  <si>
    <t>John Symon</t>
  </si>
  <si>
    <t>Salary, fees &amp; allowances £84,045; Pension contributions £15,548</t>
  </si>
  <si>
    <t>Salary, fees &amp; allowances £121,090; Expenses allowances £285; Benefits in kind £9,819; Pension contributions £28,766</t>
  </si>
  <si>
    <t>Salary, fees &amp; allowances £76,909; Expenses allowances £275; Benefits in kind £6,176; Pension contributions £17,321</t>
  </si>
  <si>
    <t>Salary, fees &amp; allowances £76,740; Expenses allowances £438; Benefits in kind £5,447; Pension contributions £17,321</t>
  </si>
  <si>
    <t>Executive Director Citizen and Community Services</t>
  </si>
  <si>
    <t>Taxable salary £159,462; Benefits in kind £10,361; Pension contributions £25,341</t>
  </si>
  <si>
    <t>Taxable salary £103,776; Benefits in kind £8,894; Pension contributions £16,492</t>
  </si>
  <si>
    <t>Taxable salary £90,458; Benefits in kind £6,638; Pension contributions £14,375</t>
  </si>
  <si>
    <t>Taxable salary £105,575; Benefits in kind £7,235; Pension contributions £16,777</t>
  </si>
  <si>
    <t>Taxable salary £105,575; Benefits in kind £9,726; Pension contributions £16,777</t>
  </si>
  <si>
    <t>Taxable salary £105,575; Benefits in kind £7,484; Pension contributions £16,777</t>
  </si>
  <si>
    <t>Additional employees might include teachers</t>
  </si>
  <si>
    <t>Salary (incl fees &amp; allowances) £182,431; Pension contributions £35,209</t>
  </si>
  <si>
    <t>Salary (incl fees &amp; allowances) £106,282; Expense allowances £27; Pension contributions £20,512</t>
  </si>
  <si>
    <t>Salary (incl fees &amp; allowances) £106,282; Pension contributions £20,512</t>
  </si>
  <si>
    <t>Salary (incl fees &amp; allowances) £128,194; Pension contributions £24,741</t>
  </si>
  <si>
    <t>Salary (incl fees &amp; allowances) £137,500; Pension contributions £26,538</t>
  </si>
  <si>
    <t>Salary (incl fees &amp; allowances) £97,180; Pension contributions £18,756</t>
  </si>
  <si>
    <t>Salary (incl fees &amp; allowances) £85,750; Pension contributions £16,550</t>
  </si>
  <si>
    <t>Salary (incl fees &amp; allowances) £28,475; Other emoluments £3,168; Compensation for loss of employment £63,280;  Pension contributions £5,496. Left July 2010</t>
  </si>
  <si>
    <t>Head of ICT Service</t>
  </si>
  <si>
    <t>Salary (incl fees &amp; allowances) £64,313; Compensation for loss of employment £97,293; Pension contributions £12,412. Left December 2010</t>
  </si>
  <si>
    <t>Head of Strategy</t>
  </si>
  <si>
    <t>Salary (incl fees &amp; allowances) £64,313; Compensation for loss of employment £31,430; Pension contributions £12,412. Left December 2010</t>
  </si>
  <si>
    <t>Head of Communications, Marketing &amp; Public Affairs</t>
  </si>
  <si>
    <t>Head of Partnership Working</t>
  </si>
  <si>
    <t>Salary (incl fees &amp; allowances) £55,738; Compensation for loss of employment £65,742; Pension contributions £10,757. Left December 2010</t>
  </si>
  <si>
    <t>Salary (incl fees &amp; allowances) £67,540; Expense allowances £36; Compensation for loss of employment £93,995; Pension contributions £13,035. Left January 2011</t>
  </si>
  <si>
    <t>Head of Sustainable Development</t>
  </si>
  <si>
    <t>Head of Property</t>
  </si>
  <si>
    <t>Salary (incl fees &amp; allowances) £60,221; Expense allowances £36; Other emoluments £2,464; Compensation for loss of employment £88,016, Pension contributions £11,579. Left December 2010</t>
  </si>
  <si>
    <t>Head of Shared Services</t>
  </si>
  <si>
    <t>Salary (incl fees &amp; allowances) £97,180; Pension contributions £18,756. Left March 2011</t>
  </si>
  <si>
    <t>Chief Fire Officer and Head of Community Safety</t>
  </si>
  <si>
    <t>Head of Community Safety</t>
  </si>
  <si>
    <t>Salary (incl fees &amp; allowances) £55,738; Compensation for loss of employment £85,751; Pension contributions £10,757. Left December 2010</t>
  </si>
  <si>
    <t>Director for Community Safety and Chief Finance Officer</t>
  </si>
  <si>
    <t>Head of Service - Northern Area, Raising Achievement</t>
  </si>
  <si>
    <t>Salary (incl fees &amp; allowances) £56,688; Pension contributions £10,941. Left October 2010</t>
  </si>
  <si>
    <t>Salary (incl fees &amp; allowances) £20,902; Other Emoluments £68; Pension contributions £4,452. Left June 2010</t>
  </si>
  <si>
    <t>Assistant Chief Fire Officer and Head of Service Support</t>
  </si>
  <si>
    <t>Salary (incl fees &amp; allowances) £20,739; Other Emoluments £201; Pension contributions £4,417. Left June 2010</t>
  </si>
  <si>
    <t>Salary (incl fees &amp; allowances) £36,878; Pension contributions £7,118. Left August 2010</t>
  </si>
  <si>
    <t>Salary, fees &amp; allowances £140,000; Pension contributions £28,280</t>
  </si>
  <si>
    <t>Salary, fees &amp; allowances £109,080; Pension contributions £22,034</t>
  </si>
  <si>
    <t>Salary, fees &amp; allowances £107,907; Pension contributions £21,797</t>
  </si>
  <si>
    <t>Salary, fees &amp; allowances £90,395; Pension contributions £18,223</t>
  </si>
  <si>
    <t>Salary, fees &amp; allowances £101,398; Expenses allowances £124; Benefits other than cash £20,685Shared by Shetland Islands Council</t>
  </si>
  <si>
    <t>Salary, fees &amp; allowances £84,031; Expense allowances £1; Benefits other than cash £17,142</t>
  </si>
  <si>
    <t>Salary, fees &amp; allowances £84,031; Expense allowances £23; Benefits other than cash £17,142</t>
  </si>
  <si>
    <t>Salary, fees &amp; allowances £84,031;Benefits other than cash £17,142</t>
  </si>
  <si>
    <t>Salary, fees &amp; allowances £186,000; Expenses allowances £2,000; Pension contributions £28,000</t>
  </si>
  <si>
    <t>Salary, fees &amp; allowances £128,000; Expenses allowances £1,000; Compensation for loss of office £66,000; Pension contributions £20,000; Left 28 Feb 2011</t>
  </si>
  <si>
    <t>Salary, fees &amp; allowances £138,000; Pension contributions £22,000; Appointed 6 April 2009</t>
  </si>
  <si>
    <t>Salary, fees &amp; allowances £132,000; Expenses allowances £1,000; Pension contributions £20,000</t>
  </si>
  <si>
    <t>Salary, fees &amp; allowances £131,000; Pension contributions £20,000; Appointed 6 April 2009</t>
  </si>
  <si>
    <t>Salary, fees &amp; allowances £100,000; Pension contributions £16,000;  Appointed 5 October 2009</t>
  </si>
  <si>
    <t>Salary, fees &amp; allowances £92,000; Expenses allowances £2,000; Pension contributions £14,000</t>
  </si>
  <si>
    <t>Left 31 May 2009 as a result of 2008-09 restructuring of the Executive Management Team</t>
  </si>
  <si>
    <t>Salary (incl fees &amp; allowances) £94,575; Benefits in kind £1,239; Pension contributions £20,215</t>
  </si>
  <si>
    <t>Assistant Director - Public Amenities</t>
  </si>
  <si>
    <t>Salary £35,564; Compensation for loss of office £17,472; Pension contributions £57,793; Left employment 31 March 2011</t>
  </si>
  <si>
    <t>Salary £184,338; Expense allowances £68; Pension contributions £32,087</t>
  </si>
  <si>
    <t>Salary £134,908; Expense allowances £12; Pension contributions £23,474</t>
  </si>
  <si>
    <t>Salary £126,267; Expense allowances £58; Pension contributions £21,989</t>
  </si>
  <si>
    <t>Salary £89,746; Pension contributions £15,616</t>
  </si>
  <si>
    <t>Salary £87,038; Pension contributions £15,145</t>
  </si>
  <si>
    <t>Salary £141,879; Expense allowances £25; Pension contributions £25,170</t>
  </si>
  <si>
    <t>Salary £144,653; Expense allowances £146; Pension contributions £25,170</t>
  </si>
  <si>
    <t>Salary £88,236; Expense allowances £136; Pension contributions £15,353</t>
  </si>
  <si>
    <t>Corporate Director - Adult, Support &amp; Health</t>
  </si>
  <si>
    <t>Corporate Director Communities</t>
  </si>
  <si>
    <t>Salary £165,000; Expense allowances £219; Pension contributions £28,710</t>
  </si>
  <si>
    <t>Director One Nottingham</t>
  </si>
  <si>
    <t>Salary £84,380; Pension contributions £14,682. Left October 2010</t>
  </si>
  <si>
    <t>Salary £67,622; Pension contributions £10,826</t>
  </si>
  <si>
    <t>Salary £131,058; Pension contributions £27,302</t>
  </si>
  <si>
    <t>Salary £94,692; Pension contributions £19,926</t>
  </si>
  <si>
    <t>Salary £94,835; Pension contributions £19,926</t>
  </si>
  <si>
    <t>Salary £57,636; Compensation for loss of office £66,517; Pension contributions £11,528</t>
  </si>
  <si>
    <t>Salary £68,977; Compensation for loss of office £87,106; Pension contributions £13,766</t>
  </si>
  <si>
    <t>Salary £82,103; Compensation for loss of office £17,972; Pension contributions £16,641</t>
  </si>
  <si>
    <t>Salary £172,498; Pension contributions £0</t>
  </si>
  <si>
    <t>Salary £169,450; Benefits in kind £7,221; Pension contributions £30,670</t>
  </si>
  <si>
    <t>Salary £111,342; Benefits in kind £5,869; Pension contributions £20,153</t>
  </si>
  <si>
    <t>Salary £92,437; Pension contributions £19,689; Appointment effective from 1 December 2010</t>
  </si>
  <si>
    <t>Director of People</t>
  </si>
  <si>
    <t>Director of Community Safety and Chief Fire Officer</t>
  </si>
  <si>
    <t>Brian Hesler</t>
  </si>
  <si>
    <t>Salary £133,000; Expenses allowances £2,000; Pension contributions £26,000</t>
  </si>
  <si>
    <t>Salary £133,000; Expenses allowances £1,000; Pension contributions £26,000</t>
  </si>
  <si>
    <t>Salary £124,000; Pension contributions £22,000</t>
  </si>
  <si>
    <t>Salary £122,000; Pension contributions £24,000</t>
  </si>
  <si>
    <t>Salary £118,000; Expense allowances £1,000; Pension contributions £21,000</t>
  </si>
  <si>
    <t>Salary £97,000; Expense allowances £2,000; Pension contributions £19,000</t>
  </si>
  <si>
    <t>K Kerswell</t>
  </si>
  <si>
    <t>Salary £138,000; Benefits in kind £1,000; Pension contributions £38,000</t>
  </si>
  <si>
    <t>Salary £83,000; Benefits in kind £1,000; Pension contribution £23,000</t>
  </si>
  <si>
    <t>Salary £111,000; Benefits in kind £1,000; Pension contributions £30,000</t>
  </si>
  <si>
    <t>Salary £105,000; Benefits in kind £1,000; Pension contributions £28,000</t>
  </si>
  <si>
    <t>Salary £102,000; Benefits in kind £1,000; Pension contributions £27,000</t>
  </si>
  <si>
    <t>Salary £80,000; Pension contributions £22,000</t>
  </si>
  <si>
    <t>Salary £83,000; Benefits in kind £1,000; Pension contributions £22,000</t>
  </si>
  <si>
    <t>Salary £85,000; Benefits in kind £1,000; Pension contributions £23,000</t>
  </si>
  <si>
    <t>John Marsden</t>
  </si>
  <si>
    <t>Salary £94,479; Expense allowances £93; Pension contributions £18,140</t>
  </si>
  <si>
    <t>Salary £98,267; Expense allowances £192; Pension contributions £18,867</t>
  </si>
  <si>
    <t>Salary £98,267; Pension contributions £18,867</t>
  </si>
  <si>
    <t>Salary £128,975; Expense allowances £165; Pension contributions £24,763</t>
  </si>
  <si>
    <t>Salary £118,739; Expense allowances £439; Pension contributions £22,798</t>
  </si>
  <si>
    <t>Salary £124,889; Expense allowances £165; Pension contributions £23,979</t>
  </si>
  <si>
    <t>In place for the full 2009-10 financial year</t>
  </si>
  <si>
    <t>Salary £104,147; Expense allowances £603; Pension contributions £19,996. Started 19 July 2010</t>
  </si>
  <si>
    <t>Left 30 June 2010</t>
  </si>
  <si>
    <t>Salary £117,938; Other £4,920; Pension contributions £22,998</t>
  </si>
  <si>
    <t>Salary £97,181; Expenses allowances £6,841; Pension contribution £14,869</t>
  </si>
  <si>
    <t>Salary £196,021; Pension contributions £28,690</t>
  </si>
  <si>
    <t>Andrew Kerr</t>
  </si>
  <si>
    <t>Salary £138,160; Benefits in kind £83; Pension contributions £20,862</t>
  </si>
  <si>
    <t>Salary £117,250; Benefits in kind £83; Pension contributions £17,705</t>
  </si>
  <si>
    <t>Salary £108,950; Benefits in kind £83; Pension contributions £16,451</t>
  </si>
  <si>
    <t>Salary £98,330; Benefits in kind £83; Pension contributions £14,848</t>
  </si>
  <si>
    <t>Salary £90,100; Pension contributions £13,605</t>
  </si>
  <si>
    <t>Salary £103,295; Pension contributions £15,597</t>
  </si>
  <si>
    <t>Strategic Director Development</t>
  </si>
  <si>
    <t>Head of Development, Strategy and Planning</t>
  </si>
  <si>
    <t>Head of Investment and Regeneration</t>
  </si>
  <si>
    <t>Head of Locality and Preventative Services</t>
  </si>
  <si>
    <t>Head of Clean Neighbourhoods</t>
  </si>
  <si>
    <t>Head of Cultural Services</t>
  </si>
  <si>
    <t>Salary £80,445; Pension contributions £10,259. Post deleted during October 2010</t>
  </si>
  <si>
    <t>Salary £144,817; Pension contributions £26,936</t>
  </si>
  <si>
    <t>Salary £103,865; Pension contributions £19,319</t>
  </si>
  <si>
    <t>Salary £104,634; Pension contributions £19,462</t>
  </si>
  <si>
    <t>Salary £107,883; Expenses allowances £8,224; Pension contributions £20,493</t>
  </si>
  <si>
    <t>Salary £84,407; Expenses allowances £8,073; Pension contributions £16,037</t>
  </si>
  <si>
    <t>Salary £79,407; Expenses allowances £8,073; Pension contributions £15,087</t>
  </si>
  <si>
    <t>Salary £79,407; Expenses allowances £6,857; Pension contributions £15,087</t>
  </si>
  <si>
    <t>Salary £129,699; Benefits in kind £5,140; Pension contributions £28,923</t>
  </si>
  <si>
    <t>Salary £103,276; Pension contributions £22,373</t>
  </si>
  <si>
    <t>Salary £103,140; Pension contributions £21,977</t>
  </si>
  <si>
    <t>Salary £85,500; Benefits in kind £4,059; Pension contributions £19,067</t>
  </si>
  <si>
    <t>Salary £85,464; Benefits in kind £7,865; Pension contributions £19,945</t>
  </si>
  <si>
    <t>Salary £84,000; Benefits in kind £4,927; Pension contributions £18,732</t>
  </si>
  <si>
    <t>Salary £78,000; Benefits in kind £4,680; Pension contributions £17,394</t>
  </si>
  <si>
    <t>Salary £78,000; Benefits in kind £9,038; Pension contributions £17,394</t>
  </si>
  <si>
    <t>Salary £81,000; Benefits in kind £8,675; Pension contributions £18,063</t>
  </si>
  <si>
    <t>Service Director Community, Planning &amp; Resources</t>
  </si>
  <si>
    <t>Salary £23,537; Compensation for loss of office £47,763; Pension contributions £256,166</t>
  </si>
  <si>
    <t>Salary £80,271; Benefits in kind £3,886; Compensation for loss of office £46,503; Pension contributions £18,024</t>
  </si>
  <si>
    <t>Salary £57,360; Benefits in kind £5,864; Compensation for loss of office £39,185; Pension contributions £13,865</t>
  </si>
  <si>
    <t>Remuneration £161,239; Pension contributions £16,591</t>
  </si>
  <si>
    <t>Remuneration £165,470; Pension contributions £11,043</t>
  </si>
  <si>
    <t>Remuneration £122,233; Pension contributions £12,712</t>
  </si>
  <si>
    <t>Remuneration £122,133; Pension contributions £12,702</t>
  </si>
  <si>
    <t>Remuneration £121,931; Pension contributions £12,712</t>
  </si>
  <si>
    <t>Remuneration £121,932; Pension contributions £12,681</t>
  </si>
  <si>
    <t>Salary £117,205; Pension contributions £25,584</t>
  </si>
  <si>
    <t>Salary £83,370; Benefits in kind £4,000; Pension contributions £18,842</t>
  </si>
  <si>
    <t>Salary £87,370; Pension contributions £18,842</t>
  </si>
  <si>
    <t>Salary £82,333; Pension contributions £17,703</t>
  </si>
  <si>
    <t>Salary £150,000; Expense allowances £3,057; Pension contributions £31,610</t>
  </si>
  <si>
    <t>Salary £125,000; Expense allowances £721; Pension contributions £27,249</t>
  </si>
  <si>
    <t>Salary £120,000; Expense allowances £1,078; Pension contributions £26,160</t>
  </si>
  <si>
    <t>Salary £120,000; Expense allowances £466; Pension contributions £26,160</t>
  </si>
  <si>
    <t>Salary £120,000; Expense allowances £8; Pension contributions £26,160</t>
  </si>
  <si>
    <t>Salary £84,319; Expense allowances £1,916; Pension contributions £17,964</t>
  </si>
  <si>
    <t>Salary £109,000; Benefits in kind £1,900; Termination payments £216,156; Pension contributions £22,018</t>
  </si>
  <si>
    <t>Salary £91,871; Other payments £2,545; Pension contributions £13,218</t>
  </si>
  <si>
    <t>Salary £89,736.21; Expenses allowances £4,181; Bonuses £5,000; Pension contributions £16,601.21</t>
  </si>
  <si>
    <t>Assistant Chief Executive Officer Regeneration and Policy</t>
  </si>
  <si>
    <t>Salary £126,597; Taxable expenses £685; Returning Officer fees £3,546; Pension contributions £23,041; Returning Officer Pension Contributions £645</t>
  </si>
  <si>
    <t>Salary £99,390; Taxable expenses £747; Pension contributions £18,089</t>
  </si>
  <si>
    <t>Salary £99,390; Taxable expenses £754; Pension contributions £18,089</t>
  </si>
  <si>
    <t>Salary £205,400; Performance award £12,300; Pension contributions £39,200</t>
  </si>
  <si>
    <t>Salary £139,500; Performance award £8,400; Expenses allowances £1,100; Pension contributions £26,600</t>
  </si>
  <si>
    <t>Salary £127,700; Performance award £5,800; Compensation for loss of office £82,600; Pension contributions £24,000</t>
  </si>
  <si>
    <t>Salary £123,200; Performance award £10,400; Expenses allowance £1,200; Pension contributions £24,000</t>
  </si>
  <si>
    <t>Salary £127,600; Performance award £2,900; Expenses allowances £600; Pension contributions £23,500</t>
  </si>
  <si>
    <t>Salary £83,200; Expenses allowances £11,100; Pension contributions £17,700</t>
  </si>
  <si>
    <t>Salary £103,800; Performance award £4,700; Expenses allowances £400; Pension contributions £19,500</t>
  </si>
  <si>
    <t>Salary £89,600; Performance award £4,100; Pension contributions £16,900</t>
  </si>
  <si>
    <t>Salary £86,900; Performance award £4,600; Expenses allowances £100; Pension contributions £16,500</t>
  </si>
  <si>
    <t>R Elliott</t>
  </si>
  <si>
    <t>Salary £101,540; Car allowances £925; Pension contributions £20,613</t>
  </si>
  <si>
    <t>Salary £87,382; Car allowances £694; Pension contributions £17,738</t>
  </si>
  <si>
    <t>Corporate Director (Regeneration and Environment)</t>
  </si>
  <si>
    <t>Executive Director Customer Services</t>
  </si>
  <si>
    <t>Salary £86,666; Pension contributions £26,023</t>
  </si>
  <si>
    <t>Salary £170,040; Pension contributions £42,289</t>
  </si>
  <si>
    <t>Salary £160,002; Pension contributions £0</t>
  </si>
  <si>
    <t>Salary £152,562; Compensation for loss of employment £3,135; Pension contributions £36,810</t>
  </si>
  <si>
    <t>Salary £135,756; Pension contributions £33,763</t>
  </si>
  <si>
    <t>Salary £84,743; Benefits in kind £1,779; Pension contributions £18,389</t>
  </si>
  <si>
    <t>Salary £83,993; Benefits in kind £2,392; Pension contributions £19,799</t>
  </si>
  <si>
    <t>Salary £83,993; Pension contributions £18,226</t>
  </si>
  <si>
    <t>Salary £80,491; Benefits in kind £2,457; Pension contributions £17,466</t>
  </si>
  <si>
    <t>Salary £173,784; Expenses allowances £963; Pension contributions £24,354</t>
  </si>
  <si>
    <t>Salary £123,882; Bonuses £6,194; Pension contributions £19,771</t>
  </si>
  <si>
    <t>Salary £113,369; Pension contributions £16,924;  In post from August 2009</t>
  </si>
  <si>
    <t>Salary £125,967; Pension contributions £18,971</t>
  </si>
  <si>
    <t>Salary £106,862; Pension contributions £16,243</t>
  </si>
  <si>
    <t>Director of Policy, Strategy and Communication</t>
  </si>
  <si>
    <t>Executive Director: Regeneration &amp; Development</t>
  </si>
  <si>
    <t>Salary £113,490; Expenses allowances £2,329.45; Pension contributions £24,854.28</t>
  </si>
  <si>
    <t>Salary £91,271.15; Expenses allowances £1,494.50; Pension contributions £19,988.37</t>
  </si>
  <si>
    <t>Salary £91,271.15; Expenses allowances £1,585.96; Pension contributions £19,988.37</t>
  </si>
  <si>
    <t>Salary £121,269; Benefits in kind £4,303; Pension contributions £23,162</t>
  </si>
  <si>
    <t>Salary £87,829; Benefits in kind £5,593; Pension contributions £16,775</t>
  </si>
  <si>
    <t>Salary £87,829; Benefits in kind £3,909; Pension contributions £16,775</t>
  </si>
  <si>
    <t>Former Director of Environment</t>
  </si>
  <si>
    <t>Retired 28 March 2010</t>
  </si>
  <si>
    <t>Salary £134,253; Pension contributions £20,272;  Started 5 October 2009</t>
  </si>
  <si>
    <t>Salary £100,276; Pension contributions £15,142;  Started 29 March 2010</t>
  </si>
  <si>
    <t>Salary £101,214; Pension contributions £15,283;  Started 11 May 2009</t>
  </si>
  <si>
    <t>Salary £108,618; Expenses allowances £1,028; Pension contributions £16,401</t>
  </si>
  <si>
    <t>Salary £108,918; Expenses allowances £150; Pension contributions £16,447</t>
  </si>
  <si>
    <t>Salary £110,000; Expense allowances £1,239; Pension contributions £24,200</t>
  </si>
  <si>
    <t>Salary £92,579; Expense allowances £1,239; Pension contributions £19,447</t>
  </si>
  <si>
    <t>Salary £88,782; Expense allowances £1,239; Pension contributions £19,532</t>
  </si>
  <si>
    <t>Salary £86,580; Expense allowances £1,239; Pension contributions £19,048</t>
  </si>
  <si>
    <t>Salary £81,511; Expense allowances £1,239; Pension contributions £17,437</t>
  </si>
  <si>
    <t>Salary £84,684; Expenses allowances £5,610; Pension contributions £13,870</t>
  </si>
  <si>
    <t>Salary £30,399; Benefits in kind £1,872; Expenses allowances £57; Loss of office £85,214; Pension contributions £37,361</t>
  </si>
  <si>
    <t>Corporate Director - Regeneration, Environment &amp; Resources</t>
  </si>
  <si>
    <t>Corporate Director - Lifelong Learning &amp; Leisure</t>
  </si>
  <si>
    <t>Salary £135,000; Expense allowances £907; Pension contributions £25,110</t>
  </si>
  <si>
    <t>Salary £124,500; Pension contributions £23,157</t>
  </si>
  <si>
    <t>Salary £107,630; Expenses allowances £6,138; Pension contributions £17,151</t>
  </si>
  <si>
    <t>Salary £85,333; Benefits in kind £4,800; Expenses allowance £810; Pension contributions £13,126</t>
  </si>
  <si>
    <t>Corporate Head of Service &amp; Environment</t>
  </si>
  <si>
    <t>Resigned November 2009</t>
  </si>
  <si>
    <t>Salary £115,875; Expense allowances £467; Pension contributions £21,553</t>
  </si>
  <si>
    <t>Salary £114,667; Expense allowances £342; Pension contributions £21,328</t>
  </si>
  <si>
    <t>Salary £130,750; Expense allowances £404; Pension contributions £24,319</t>
  </si>
  <si>
    <t>Salary £155,000; Expense allowances £371; Pension contributions £28,830</t>
  </si>
  <si>
    <t>Corporate Director, Resources</t>
  </si>
  <si>
    <t>Corporate Director, Organisational Transformation Programme</t>
  </si>
  <si>
    <t>Salary £91,022; Non cash benefits £7,983; Pension contributions £18,477</t>
  </si>
  <si>
    <t>Salary £91,022; Non cash benefits £4,551; Pension contributions £18,477</t>
  </si>
  <si>
    <t>Salary £91,022; Non cash benefits £4,237; Pension contributions £18,477</t>
  </si>
  <si>
    <t>Salary £109,198; Returning Officer £2,948; Pension contributions £21,286; Returning Officer Pension contributions £598</t>
  </si>
  <si>
    <t>Head of Law and Administration</t>
  </si>
  <si>
    <t>N Grieve</t>
  </si>
  <si>
    <t>I Young</t>
  </si>
  <si>
    <t>Director of Strategic Services</t>
  </si>
  <si>
    <t>I Jackson</t>
  </si>
  <si>
    <t>Salary £24,593; Compensation £11,020; Pension contributions £8,568</t>
  </si>
  <si>
    <t>Salary £29,303; Compensation £10,260; Pension contributions £177,906</t>
  </si>
  <si>
    <t>Salary £27,515; Compensation £1,640; Pension contributions £111,665</t>
  </si>
  <si>
    <t>Salary £142,650; Pension contributions £24,821</t>
  </si>
  <si>
    <t>Salary £56,742; Benefit in kind £516; Pension contributions £155,414</t>
  </si>
  <si>
    <t>Salary £113,484; Benefit in kind £786; Pension contributions £19,746</t>
  </si>
  <si>
    <t>Salary £113,424; Pension contributions £19,736</t>
  </si>
  <si>
    <t>Salary £106,281; Benefit in kind £941; Pension contributions £18,493</t>
  </si>
  <si>
    <t>Salary £90,000; Pension contributions £15,660</t>
  </si>
  <si>
    <t>Salary £77,917; Pension contributions £152,184</t>
  </si>
  <si>
    <t>Salary £111,553; Expenses allowances £78; Pension contributions £26,860; End of employment payment £256,600</t>
  </si>
  <si>
    <t>Salary £98,233; Expenses £716; Benefits in kind £1,239; Pension contributions £14,646</t>
  </si>
  <si>
    <t>Salary £186,250; Pension contributions £26,075</t>
  </si>
  <si>
    <t>Salary £135,000; Pension contribution £18,900</t>
  </si>
  <si>
    <t>Salary £136,096; Pension contributions £19,053</t>
  </si>
  <si>
    <t>Salary £125,345; Pension contributions £17,549</t>
  </si>
  <si>
    <t>Salary £134,493; Pension contributions £18,900;  Began 20 July 2009</t>
  </si>
  <si>
    <t>Salary £112,917; Pension contributions £15,808;  Began 14 September 2009</t>
  </si>
  <si>
    <t>Salary £108,677; Expenses £719; Benefits £1,040; Pension contributions £15,001</t>
  </si>
  <si>
    <t>Salary £86,000; Expenses £263; Benefits £1,269; Pension contributions £12,642</t>
  </si>
  <si>
    <t>Salary £86,000; Expenses £1,249; Benefits £1,530; Pension contributions £12,642</t>
  </si>
  <si>
    <t>Director of Customer Corporate Services</t>
  </si>
  <si>
    <t>Salary £51,315; Expenses £2,417; Compensation for loss of office £74,411; Pension contributions £8,873</t>
  </si>
  <si>
    <t>Left 3 January 2010</t>
  </si>
  <si>
    <t>Strategic Housing Manager</t>
  </si>
  <si>
    <t>Corporate  Financial Advisor</t>
  </si>
  <si>
    <t>Left 16 August 2009</t>
  </si>
  <si>
    <t>Salary £83,269.16; Expenses £1,445.02; Pension contributions £16,669.56</t>
  </si>
  <si>
    <t>Salary £146,640; Fees &amp; allowances £8,397; Expenses £168; Pension contributions £31,382</t>
  </si>
  <si>
    <t>Salary £118,406; Fees &amp; allowances £13,130; Pension contributions £26,561</t>
  </si>
  <si>
    <t>Salary £114,726; Fees &amp; allowances £13,130; Expenses £75; Pension contributions £25,777</t>
  </si>
  <si>
    <t>Salary £84,977; Fees &amp; allowances £10,479; Pension contributions £19,370</t>
  </si>
  <si>
    <t>Salary £74,691; Fees &amp; allowances £13,667; Expenses £51; Pension contributions £17,858</t>
  </si>
  <si>
    <t>Salary £84,977; Fees &amp; allowances £5,213; Expenses £56; Pension contributions £18,248</t>
  </si>
  <si>
    <t>Salary £84,977; Fees &amp; allowances £5,213; Pension contributions £18,248</t>
  </si>
  <si>
    <t>Salary £84,977; Fees &amp; allowances £8,403; Pension contributions £18,928</t>
  </si>
  <si>
    <t>Salary £84,560; Fees &amp; allowances £18,503; Pension contributions £20,990</t>
  </si>
  <si>
    <t>Salary £82,629; Fees &amp; allowances £19,379; Pension contributions £20,765</t>
  </si>
  <si>
    <t>Salary £82,629; Fees &amp; allowances £18,457; Expenses £273; Pension contributions £20,577</t>
  </si>
  <si>
    <t>Salary £82,629; Fees &amp; allowances £8,403; Pension contributions £18,427</t>
  </si>
  <si>
    <t>Salary £78,836; Fees &amp; allowances £5,213; Expenses £35; Pension contributions £16,940</t>
  </si>
  <si>
    <t>Salary £108,000; Expense allowances £1,000; Pension contributions £22,000</t>
  </si>
  <si>
    <t>Salary £203,934; Expenses allowances £741; Pension contributions £27,735</t>
  </si>
  <si>
    <t>Salary £154.914; Expenses allowances £1,416; Pension contributions £21,068</t>
  </si>
  <si>
    <t>Salary £138,066; Pension contributions £18,777; Early retirement costs £99,295</t>
  </si>
  <si>
    <t>Salary £138,066; Expenses allowances £1,239; Pension contributions £18,777; Early retirement costs £95,238; Severance payments £95,510</t>
  </si>
  <si>
    <t>Salary £130,002; Pension contributions £17,680</t>
  </si>
  <si>
    <t>Salary £120,894; Expenses £963; Pension contributions £16,442</t>
  </si>
  <si>
    <t>Salary £120,000; Expense allowances £3,365; Pension contributions £16,320</t>
  </si>
  <si>
    <t>Salary £120,000; Pension contributions £16,320</t>
  </si>
  <si>
    <t>Salary £116,238; Pension contributions £15,808</t>
  </si>
  <si>
    <t>Salary £120,000; Expenses allowances £1,045; Pension contributions £16,32</t>
  </si>
  <si>
    <t>Acting Director of Adult Social Care</t>
  </si>
  <si>
    <t>From April 2009 to December 2009</t>
  </si>
  <si>
    <t>Salary £111,928; Pension contributions £18,797</t>
  </si>
  <si>
    <t>Salary £94,000; Pension contributions £10,000;  Started 16 October 2009, annualised salary £86,000</t>
  </si>
  <si>
    <t>Salary £102,000; Benefits in kind £5,000; Pension contributions £29,000</t>
  </si>
  <si>
    <t>Salary £94,000; Benefits in kind £5,000; Pension contributions £27,000</t>
  </si>
  <si>
    <t>Salary £93,000; Benefits in kind £4,000; Pension contributions £26,000</t>
  </si>
  <si>
    <t>Director of Prosperity and Regeneration</t>
  </si>
  <si>
    <t>Director of Change and Environmental Service</t>
  </si>
  <si>
    <t>Director of Resources and Partnerships</t>
  </si>
  <si>
    <t>Salary (including fees and allowances) £128,923; Pension contributions £15,707; Joined the council on 28 June 2010</t>
  </si>
  <si>
    <t>Salary (including fees and allowances) £108,027; Pension contributions £13,315;  Began post 10 May 2010</t>
  </si>
  <si>
    <t>Salary (including fees and allowances) £108,063; Pension contributions £9,073;  Began post 12 April 2010</t>
  </si>
  <si>
    <t>Corporate Director Housing &amp; Community Living</t>
  </si>
  <si>
    <t>Salary (including fees and allowances) £13,669; Pension contributions £1,661;  Left 10 May 2010</t>
  </si>
  <si>
    <t>Corporate Director Children and Learning</t>
  </si>
  <si>
    <t>Salary (including fees and allowances) £45,108; Pension contributions £5,482; Left 8 August 2010</t>
  </si>
  <si>
    <t>Salary (including fees and allowances) £127,232; Pension contributions £15,448. Salary includes £110 in 2010-11 in respect of duties undertaken for the general election.</t>
  </si>
  <si>
    <t>K Crompton</t>
  </si>
  <si>
    <t>Left 28 February 2010</t>
  </si>
  <si>
    <t>Salary £113,175; Bonuses £26,396; Expenses allowances £197; Compensation for loss of employment £30,000; Pension contributions £12,959;  Left post 31 May 2010</t>
  </si>
  <si>
    <t>Salary £102,679; Pension contributions £22,076;  Post from 1 June 2010 to 6 February 2011</t>
  </si>
  <si>
    <t>Salary £197,485; Expenses allowance £1,083; Compensation for loss of employment £147,013; Pension contributions £34,516</t>
  </si>
  <si>
    <t>Salary £153,176; Expenses allowance £155; Compensation for loss of employment £55,598; Pension contribution £14,278;  Left post 31 August 2010</t>
  </si>
  <si>
    <t>Salary £92,333; Bonuses £20,797; Expenses allowance £481; Compensation for loss of employment £102,873; Pension contributions £21,669;  Left post 30 September 2010</t>
  </si>
  <si>
    <t>Salary £117,816; Pension contributions £25,330</t>
  </si>
  <si>
    <t>Salary £77,765; Expenses allowances £73; Compensation for loss of employment £78,483; Pension contributions £8,459;  Left post 31 July 2010</t>
  </si>
  <si>
    <t>City Treasurer</t>
  </si>
  <si>
    <t>Salary £73,913; Expenses allowances £73; Pension contributions £8,459;  Left post 31 July 2011</t>
  </si>
  <si>
    <t>Salary £173,226; Pension contribution £32,740; Other emoluments £1,147</t>
  </si>
  <si>
    <t>Executive Director - Adult Service
Group</t>
  </si>
  <si>
    <t>Salary £47,074; Pension contribution £8,897; Other emoluments £1,147. Left part way through the year.</t>
  </si>
  <si>
    <t>Salary £130,983; Pension contribution £24,755; Other emoluments £1,200</t>
  </si>
  <si>
    <t>Salary £125,983; Pension contribution £23,957; Other emoluments £595</t>
  </si>
  <si>
    <t>Salary £118,000; Pension contribution £22,302; Other emoluments £737</t>
  </si>
  <si>
    <t>Salary £74,667; Pension contribution £14,112; Other emoluments £62,023. Left during the year</t>
  </si>
  <si>
    <t>Salary £125,983; Pension contribution £23,811; Other emoluments £1,101</t>
  </si>
  <si>
    <t>Salary £88,007; Pension contribution £18,291; Other emoluments £610. Left during the year</t>
  </si>
  <si>
    <t>Salary £118,911; Expense allowances £2,590; Pension contributions £27,944</t>
  </si>
  <si>
    <t>Salary £86,235; Expense allowances £1,669; Pension contributions £20,265</t>
  </si>
  <si>
    <t>Salary £86,235; Expense allowances £1,813; Pension contributions £20,265</t>
  </si>
  <si>
    <t>Salary £86,235; Expense allowances £2,434; Pension contributions £20,265</t>
  </si>
  <si>
    <t>Salary, fees &amp; allowances £108,480; Pension contributions £18,228</t>
  </si>
  <si>
    <t>Salary (inc fees &amp; allowances) £192,387; Pension contributions £38,477</t>
  </si>
  <si>
    <t>Salary (inc fees &amp; allowances) £141,123; Pension contributions £28,225</t>
  </si>
  <si>
    <t>Salary (inc fees &amp; allowances) £138,495; Pension contributions £27,699</t>
  </si>
  <si>
    <t>Salary (inc fees &amp; allowances) £109,538; Pension contributions £21,908</t>
  </si>
  <si>
    <t>Salary (inc fees &amp; allowances) £107,538; Pension contributions £21,508</t>
  </si>
  <si>
    <t>Salary (inc fees &amp; allowances) £94,237; Pension contributions £18,847;  In post for part of the year</t>
  </si>
  <si>
    <t>Salary £85,935; Bonus £1,363; Expenses £2,626; Pension contribution £17,896</t>
  </si>
  <si>
    <t>Salary £29,977; Expenses £99; Benefits in Kind £1,088; Pension contribution £5,728. Retired 4 July 2010</t>
  </si>
  <si>
    <t>Salary £85,935; Expenses £306; Benefits in kind £3,727; Pension contributions £17,617</t>
  </si>
  <si>
    <t>Salary £187,000; Benefits in kind £5,000; Pension contributions £38,000</t>
  </si>
  <si>
    <t>Salary £144,000; Benefits in kind £3,000; Pension contributions £29,000</t>
  </si>
  <si>
    <t>Salary £128,000; Benefits in kind £3,000; Pension contributions £26,000</t>
  </si>
  <si>
    <t>Salary £128,000; Benefits in kind £4,000; Pension contributions £26,000</t>
  </si>
  <si>
    <t>Salary £128,000; Benefits in kind £2,000; Pension contributions £26,000</t>
  </si>
  <si>
    <t>Salary £113,000; Benefits in kind £4,000; Pension contributions £23,000</t>
  </si>
  <si>
    <t>Salary £89,000; Benefits in kind £2,000; Pension contributions £18,000</t>
  </si>
  <si>
    <t>Salary £96,000; Benefits in kind £1,000; Pension contributions £19,000</t>
  </si>
  <si>
    <t>Executive Director (East Midlands Councils)</t>
  </si>
  <si>
    <t>Director left the Authority on 31st March 2010.</t>
  </si>
  <si>
    <t>Salary, fees and allowances £95,610; Expenses allowances £401; Pension contributions £18,644</t>
  </si>
  <si>
    <t xml:space="preserve">Salary, fees and allowances £85,575; Pension contributions £16,687. </t>
  </si>
  <si>
    <t>Salary, fees and allowances £99,150; Pension contributions £19,334</t>
  </si>
  <si>
    <t>Salary, fees and allowances £114,735; Expenses allowances £358; Pension contributions £22,373</t>
  </si>
  <si>
    <t>Salary, fees and allowances £123,231; Pension contributions £24,030</t>
  </si>
  <si>
    <t>Salary, fees and allowances £133,066; Expenses allowances £963; Pension contributions £25,948</t>
  </si>
  <si>
    <t>Paul Rogerson</t>
  </si>
  <si>
    <t>Salary, fees and allowances £76,981; Pension contribution £10,335</t>
  </si>
  <si>
    <t>Salary, fees and allowances £114,087; Pension contributions £16,086; Began post 16 August 2010</t>
  </si>
  <si>
    <t>Salary, fees and allowances £121,680; Pension contribution £17,155</t>
  </si>
  <si>
    <t>Salary, fees and allowances £124,248; Compensation for loss of employment £183,839; Pension contribution £17,505</t>
  </si>
  <si>
    <t>Salary, fees and allowances £146,246; Pension contribution £20,619</t>
  </si>
  <si>
    <t>Salary, fees and allowances £151,027; Pension contribution £21,216</t>
  </si>
  <si>
    <t>David Page</t>
  </si>
  <si>
    <t>Left 20 December 2009</t>
  </si>
  <si>
    <t>Salary, fees and allowances £161,872; Pension contribution £22,815. Started 21 December 2009</t>
  </si>
  <si>
    <t>Director of City Development</t>
  </si>
  <si>
    <t>Salary, fees and allowances £53,561; Pension contribution £7,317. Left 8 August 2010</t>
  </si>
  <si>
    <t>Claim that without exceptional circumstances of redundancies the number of employees taking home more than £50,000 would have actually fallen between financial years.</t>
  </si>
  <si>
    <t>Salary, fees and allowances £107,000; Expenses &amp; Benefits in kind £2,000; Pension contribution £20,000</t>
  </si>
  <si>
    <t>Salary, fees and allowances £55,000; Expenses &amp; Benefits in kind £1,000; Redundancy payments £66,000; Pension contribution £3,000; Took early retirement at the end of July 2010</t>
  </si>
  <si>
    <t>Salary, fees and allowances £39,000; Expenses &amp; Benefits in kind £1,000; Redundancy payments £89,000; Pension contribution £7,000; Took early retirement at the end of September 2010</t>
  </si>
  <si>
    <t>Salary, fees and allowances £39,000; Expenses &amp; Benefits in kind £1,000; Redundancy payments £94,000; Pension contribution £7,000; Took early retirement at the end of September 2010</t>
  </si>
  <si>
    <t>Head of Revenue Services</t>
  </si>
  <si>
    <t>D Owen</t>
  </si>
  <si>
    <t>R Mason</t>
  </si>
  <si>
    <t>P Sandford</t>
  </si>
  <si>
    <t>Received redundancy payments in 2009-10</t>
  </si>
  <si>
    <t>Salary (including fees and allowances) £165,756; Expense allowance £413; Benefits in kind £9,374; Pension contribution £29,505; Left post 6 February 2011</t>
  </si>
  <si>
    <t>Salary (including fees and allowances) £129,201; Expense allowance £1,664; Benefits in kind £7,099; Pension contributions £22,998</t>
  </si>
  <si>
    <t>Salary (including fees and allowances) £129,201; Expense allowance £314; Benefits in kind £5,811; Pension contributions £22,998</t>
  </si>
  <si>
    <t>Salary (including fees and allowances) £129,201; Expense allowance £249; Benefits in kind £5,595; Pension contributions £22,998</t>
  </si>
  <si>
    <t>Salary (including fees and allowances) £124,044; Expense allowances £8; Benefits in kind £5,300; Pension contributions £22,080</t>
  </si>
  <si>
    <t>Salary (including fees and allowances) £107,320; Expense allowances £81; Benefits in kind £4,402; Pension contributions £19,160; Post deleted 31 January 2011</t>
  </si>
  <si>
    <t>Salary (including fees and allowances) £129,201; Expense allowance £219; Benefit in kind £5,463; Pension contributions £22,998; Began post 25 May 2009 on an annualised salary of
£129,201.</t>
  </si>
  <si>
    <t>Director of LCCG</t>
  </si>
  <si>
    <t>Salary, fees &amp; allowances £213,629; Expense allowances £2,334; Pension contributions £30,976</t>
  </si>
  <si>
    <t>Salary, fees &amp; allowances £152,190; Expense allowances £2,334; Pension contributions £22,068</t>
  </si>
  <si>
    <t>Salary, fees &amp; allowances £92,051; Expense allowances £889; Pension contributions £7,831; Resigned 8 August 2010</t>
  </si>
  <si>
    <t>Salary £181,893; Benefits in kind £10,135; Pension contributions £32,741</t>
  </si>
  <si>
    <t>Salary £105,969; Benefits in kind £6,524; Pension contributions £17,621</t>
  </si>
  <si>
    <t>Salary £120,523; Benefits in kind £8,143; Pension contributions £21,655</t>
  </si>
  <si>
    <t>Salary £114,705; Benefits in kind £9,844; Pension contributions £20,647</t>
  </si>
  <si>
    <t>Salary £107,178; Benefits in kind £9,609; Pension contributions £19,292</t>
  </si>
  <si>
    <t>Salary £98,773; Benefits in kind £6,364; Pension contributions £17,779</t>
  </si>
  <si>
    <t>Salary £92,832; Benefits in kind £6,251; Pension contributions £16,671</t>
  </si>
  <si>
    <t>Executive Director of Regeneration, Economy &amp; Skills</t>
  </si>
  <si>
    <t>Salary £59,448; Benefits in kind £5,345; Pension contributions £10,668. For the period September 2010 to March 2011 the post holder was seconded to another organisation;
remuneration from that organisation for this role is therefore excluded from the figures.</t>
  </si>
  <si>
    <t xml:space="preserve">Additional employees do include teachers. </t>
  </si>
  <si>
    <t>Salary including fees &amp; allowances £135,819; Expense allowances £250; Pension contributions £19,015</t>
  </si>
  <si>
    <t>Salary including fees &amp; allowances £112,826; Pension contributions £15,796</t>
  </si>
  <si>
    <t>Salary including fees &amp; allowances £120,233; Pension contributions £16,814</t>
  </si>
  <si>
    <t>Salary including fees &amp; allowances £48,505; Compensation for loss of office £92,172; Pension contributions £5,928; Left authority on 03 September 2010</t>
  </si>
  <si>
    <t>Salary including fees &amp; allowances £112,844; Compensation for loss of office £62,361; Pension contributions £15,798; Left the authority on 27 March 2011</t>
  </si>
  <si>
    <t>Salary including fees &amp; allowances £36,038; Pension contributions £5,045; The Director of Human Resources left the authority on 18 August 2010. They worked an average of 20 hours and 45 minutes as week. Their full time equivalent salary was £114,958.</t>
  </si>
  <si>
    <t>Salary including fees &amp; allowances £31,890; Pension contributions £4,464. R Vincent ceased his duties as Chief Executive on 30 June 2010. His annualised salary was £161,666. He is now employed as Chief Executive at Doncaster Council, and although Kirklees continue to pay his salary, Doncaster Council is fully recharged and have agreed to include his remuneration in their note.</t>
  </si>
  <si>
    <t xml:space="preserve">Salary including fees &amp; allowances £102,390; Pension contributions £14,335; The Director of Finance and Performance became Chief Executive on 01 August 2010. The 2010-11 figure is a combination of  </t>
  </si>
  <si>
    <t>Salary (including fees &amp; allowances) £179,000; Pension contributions £45,000</t>
  </si>
  <si>
    <t>Salary (including fees &amp; allowances) £110,000; Pension contributions £27,000; Commenced  duties on 17 May 2010. His annualised salary for 2010-11 is £125,382.</t>
  </si>
  <si>
    <t>Salary (including fees &amp; allowances) £123,000; Pension contributions £30,000</t>
  </si>
  <si>
    <t>Salary (including fees &amp; allowances) £124,000; Pension contributions £31,000; From September 2010 to March 2011</t>
  </si>
  <si>
    <t>Salary (including fees &amp; allowances) £87,000; Pension contributions £22,000</t>
  </si>
  <si>
    <t>K Ryley</t>
  </si>
  <si>
    <t>Resigned 30 September 2009</t>
  </si>
  <si>
    <t>Salary (including fees &amp; allowances) £91,951; Bonuses £15,000; Expense allowances £180; Pension contributions £28,319</t>
  </si>
  <si>
    <t>Salary (including fees &amp; allowances) £88,656; Expenses allowances £9,871; Pension contributions £24,026;  Began post 12 July 2010. Annualised salary £123,060</t>
  </si>
  <si>
    <t>Salary (including fees &amp; allowances) £88,436; Pension contributions £23,966</t>
  </si>
  <si>
    <t>Salary (including fees &amp; allowances) £87,210; Expense allowances £320; Benefits in kind £43; Pension contributions £23,634</t>
  </si>
  <si>
    <t>Salary (including fees &amp; allowances) £87,210; Expense allowances £500; Pension contributions £23,634</t>
  </si>
  <si>
    <t>Salary (including fees &amp; allowances) £87,210; Expense allowances £159; Pension contributions £23,634</t>
  </si>
  <si>
    <t>Salary (including fees &amp; allowances) £87,210; Expense allowances £90; Pension contributions £23,634</t>
  </si>
  <si>
    <t>Salary (including fees &amp; allowances) £86,346; Pension contributions £23,400</t>
  </si>
  <si>
    <t>Salary (including fees &amp; allowances) £87,210; Pension contributions £23,634</t>
  </si>
  <si>
    <t>Corporate Director C&amp;YPS</t>
  </si>
  <si>
    <t>Salary (including fees &amp; allowances) £61,802; Expense Allowance £353; Compensation for loss of office £1,362; Benefits in kind £136; Pension contributions £16,748. Left during 2010-11</t>
  </si>
  <si>
    <t>Head of Learning, Leisure and Achievement</t>
  </si>
  <si>
    <t>Head of Street Scene</t>
  </si>
  <si>
    <t>Head of Commissioning and Business Support</t>
  </si>
  <si>
    <t>Head of Business Support Services</t>
  </si>
  <si>
    <t>Salary (including fees &amp; allowances) £17,200; Compensation for loss of office £66,554; Pension contributions £4,661. Post deleted 11 June 2010</t>
  </si>
  <si>
    <t>Head of Procurement and Commissioning</t>
  </si>
  <si>
    <t>Salary (including fees &amp; allowances) £35,286; Expense allowances £857; Compensation for loss of office £21,383; Pension contributions £9,562. Post deleted 6 August 2010</t>
  </si>
  <si>
    <t>Head of Safeguarding and Development</t>
  </si>
  <si>
    <t>Head of Workforce Strategy</t>
  </si>
  <si>
    <t>Deleted 31 October 2009</t>
  </si>
  <si>
    <t>Head of Communications and Marketing</t>
  </si>
  <si>
    <t>Deleted 3 September 2009</t>
  </si>
  <si>
    <t>Salary, fees &amp; allowances £121,028; Non cash emolument £3,356; Pension contributions £19,822</t>
  </si>
  <si>
    <t>Salary, fees &amp; allowances £86,322; Non cash emoluments £5,207; Pension contribution £13,486</t>
  </si>
  <si>
    <t>Salary, fees &amp; allowances £69,729; Taxable expenses £113; Non cash emoluments £1,209; Termination benefits £104,992; Pension contributions £11,726</t>
  </si>
  <si>
    <t>Salary, fees &amp; allowances £66,441; Taxable expenses £16; Termination benefits £78,115; Pension contributions £9,805</t>
  </si>
  <si>
    <t>Salary (including fees &amp; allowances) £148,000; Benefits in kind £1,000; Pension contributions £36,000</t>
  </si>
  <si>
    <t>Salary (including fees &amp; allowances) £91,000; Benefits in kind £1,000; Pension contributions £22,000</t>
  </si>
  <si>
    <t>Salary (including fees &amp; allowances) £89,000; Benefits in kind £1,000; Pension contributions £22,000</t>
  </si>
  <si>
    <t>Salary (including fees &amp; allowances) £86,000; Benefits in kind £1,000; Pension contributions £20,000</t>
  </si>
  <si>
    <t>Salary (including fees &amp; allowances) £136,350; Pension contributions £31,497</t>
  </si>
  <si>
    <t>Salary (including fees &amp; allowances) £128,270; Pension contributions £29,630</t>
  </si>
  <si>
    <t>Salary (including fees &amp; allowances) £98,000; Pension contributions £22,638</t>
  </si>
  <si>
    <t>Salary (including fees &amp; allowances) £85,700; Compensation for loss of office £18,080; Pension contributions £19,797</t>
  </si>
  <si>
    <t>Salary (including fees &amp; allowances) £71,253; Allowances £14,598; Benefits in kind £750; Pension contributions £20,005</t>
  </si>
  <si>
    <t>Salary (including fees &amp; allowances) £25,362; Other £407,851; Pension contributions £5,859;  Left May 2010. Annualised salary £214,423</t>
  </si>
  <si>
    <t>Salary (including fees &amp; allowances) £160,883; Pension contributions £37,164; Joined in June 2010</t>
  </si>
  <si>
    <t>Salary (including fees &amp; allowances) £162,431; Compensation for loss of office £118,472; Pension contributions £36,746</t>
  </si>
  <si>
    <t>Salary (including fees &amp; allowances) £159,075; Pension contributions £36,746</t>
  </si>
  <si>
    <t>Salary (including fees &amp; allowances) £163,570; Pension contributions £37,785</t>
  </si>
  <si>
    <t>Salary (including fees &amp; allowances) £180,000; Compensation for loss of office £96,657; Pension contributions £41,580</t>
  </si>
  <si>
    <t>Salary (including fees &amp; allowances) £150,000; Pension contributions £34,650</t>
  </si>
  <si>
    <t>Marcus Hobbs</t>
  </si>
  <si>
    <t>Head of Business Performance &amp; Communications (KHS)</t>
  </si>
  <si>
    <t>Director Commercial Services</t>
  </si>
  <si>
    <t>Salary (including fees &amp; allowances) £34,733; Pension contributions £8,023. The person in post left the organisation in July 2010</t>
  </si>
  <si>
    <t>Salary, fees &amp; allowances £209,809; Bonuses £10,490; Expenses allowances £40; Other emoluments £637; Pension contributions £47,499</t>
  </si>
  <si>
    <t>Salary, fees &amp; allowances £149,547; Bonuses £7,210; Expenses allowances £1,032; Pension contributions £33,698</t>
  </si>
  <si>
    <t>Salary, fees &amp; allowances £95,039; Bonuses £4,440; Pension contributions £21,388</t>
  </si>
  <si>
    <t>Salary, fees &amp; allowances £118,800; Bonuses £5,940; Expenses allowances £1,050; Other emoluments £637; Pension contributions £26,956</t>
  </si>
  <si>
    <t>Salary, fees &amp; allowances £132,583; Bonuses £6,510; Other emoluments £637; Pension contributions £30,042</t>
  </si>
  <si>
    <t>Salary, fees &amp; allowances £110,306; Pension contributions £23,650; Started 22 March 2010, annualised salary £110,000</t>
  </si>
  <si>
    <t>Salary, fees &amp; allowances £96,500; Bonuses £4,825; Expenses allowance £1,032; Other emoluments £637; Pension contributions £21,922</t>
  </si>
  <si>
    <t>Salary, fees &amp; allowances £126,537; Bonuses £12,270; Other emoluments £637; Pension contributions £29,954</t>
  </si>
  <si>
    <t>Salary (including fees &amp; allowances) £210,000; Pension contributions £0; Returning officer fees £13,834.75</t>
  </si>
  <si>
    <t>Salary (including fees &amp; allowances) £134,480; Pension contributions £16,810</t>
  </si>
  <si>
    <t>Salary (including fees &amp; allowances) £145,069; Pension contributions £19,343; Election fees £250</t>
  </si>
  <si>
    <t>Salary (including fees &amp; allowances) £122,403; Pension contributions £15,300; Election fees £650</t>
  </si>
  <si>
    <t>Salary (including fees &amp; allowances) £132,102; Pension contributions £16,513; Deputy Returning Officer fees £5,316</t>
  </si>
  <si>
    <t>Salary (including fees &amp; allowances) £132,135; Pension contributions £16,513; Election fees £650</t>
  </si>
  <si>
    <t>Left 26 April 2009</t>
  </si>
  <si>
    <t>Salary (including fees &amp; allowances) £87,196; Election duties £250; Pension contributions £17,408</t>
  </si>
  <si>
    <t>Salary £149,997; Expense allowances £1,120; Pension contributions £32,999</t>
  </si>
  <si>
    <t>Salary £82,754; Compensation for loss of office £55,621; Pension contributions £18,189; In employment 1 January 2010 to 1 January 2011, annualised salary £110,235</t>
  </si>
  <si>
    <t>Salary £101,460; Expense allowances £10,001; Pension contributions £22,321; Started post 18 January 2010, annualised salary £101,460</t>
  </si>
  <si>
    <t>Salary £79,221; Expense allowances £7,000; Pension contributions £17,360; Started post 16 August 2010, annualised salary £125,982</t>
  </si>
  <si>
    <t>Salary £148,934; Expense allowances £287; Pension contributions £31,900</t>
  </si>
  <si>
    <t>Salary £110,235; Pension contributions £24,252</t>
  </si>
  <si>
    <t>Salary £100,786; Expense allowances £978; Pension contributions £22,173</t>
  </si>
  <si>
    <t>Salary £96,334; Expense allowances £1,297; Pension contributions £0. Pension contributions ceased from 1 October 2009</t>
  </si>
  <si>
    <t>Salary £117,193; Pension contributions £0. The Strategic Director of Resources is paid under the terms of a contractual arrangement which covers total employment costs including Employers’ National Insurance and Pension contributions
and sickness. The contract sum was £159,250 in 2010-11 (£166,725 in 2009-10) and the equivalent costs commensurable to a direct employee are shown in the table, being costs excluding Employers’ National Insurance contributions of £142,976 (£149,732 in 2009-10). This is equivalent to a salary of £117,193 (£123,745 in 2009-10) after allowing for notional Employers’ Pension contributions.</t>
  </si>
  <si>
    <t>Salary £92,202; Pension contributions £20,284</t>
  </si>
  <si>
    <t>Salary £90,763; Expense allowances £4; Pension contributions £19,877</t>
  </si>
  <si>
    <t>additional employees might include teachers</t>
  </si>
  <si>
    <t>Left April 2009</t>
  </si>
  <si>
    <t>Corporate Director (Education and Leisure)</t>
  </si>
  <si>
    <t>Salary, Fees and Allowances £77,758; Expenses Allowances £3,430; Pension Contribution £16,329. The Corporate Director (Education and Leisure) was also Acting Managing Director from 9 April to 12 October 2009.</t>
  </si>
  <si>
    <t>Salary (including fees &amp; allowances) £91,678; Pension contributions £11,936</t>
  </si>
  <si>
    <t>Gross salary £111,849; Election payments £2,780; Pension contributions £20,225</t>
  </si>
  <si>
    <t>Gross salary £102,034; Election payments £150; Pension contributions £18,433</t>
  </si>
  <si>
    <t>Gross salary £102,034; Election payments £150; Pension contributions £18,351</t>
  </si>
  <si>
    <t>Gross salary £102,034; Pension contributions £18,433</t>
  </si>
  <si>
    <t>Gross salary £102,034; Election payments £300; Pension contributions £18,433</t>
  </si>
  <si>
    <t>Gross salary £83,118; Election payments £2,700; Pension contributions £15,016</t>
  </si>
  <si>
    <t>Salary including fees £113,491; Benefits in kind £7,226; Pension contributions £28,768</t>
  </si>
  <si>
    <t>Salary including fees £92,000; Expense allowances £3,992; Benefits in kind £2,443; Pension contributions £22,816</t>
  </si>
  <si>
    <t>Managing Director/Chief Executive</t>
  </si>
  <si>
    <t>Salary including allowances £149,410; Election fees £8,968; Benefits in kind £11,039; Pension contributions £32,107</t>
  </si>
  <si>
    <t>Salary including allowances £94,480; Bonus £4,064; Benefits in kind £1,507; Pension contributions £18,486</t>
  </si>
  <si>
    <t>Salary including allowances £91,597; Bonus £4,064; Benefits in kind £6,475; Pension contributions £18,486</t>
  </si>
  <si>
    <t>Mark Gilks</t>
  </si>
  <si>
    <t>Salary £134,382; Bonus £2,100; Pension contributions £29,398</t>
  </si>
  <si>
    <t>Salary £126,771; Bonus £4,200; Pension contributions £28,211</t>
  </si>
  <si>
    <t>Salary £141,994; Bonus £4,200; Pension contributions £31,490</t>
  </si>
  <si>
    <t>Salary £126,771; Bonus £2,100; Pension contributions £27,759</t>
  </si>
  <si>
    <t>Salary £141,994; Bonus £2,100; Pension contributions £31,038</t>
  </si>
  <si>
    <t>Salary £27,471; Pension contributions £5,917. Retired 31 May 2010</t>
  </si>
  <si>
    <t>Salary, fees &amp; allowances £122,429; Pension contributions £14,877</t>
  </si>
  <si>
    <t>Salary, fees &amp; allowances £105,273; Pension contributions £13,983</t>
  </si>
  <si>
    <t>Salary, fees &amp; allowances £98,951; Pension contributions £12,514</t>
  </si>
  <si>
    <t>Head of Legal Services (Monitoring Officer)</t>
  </si>
  <si>
    <t>Head of Personnel Services</t>
  </si>
  <si>
    <t>Head of Strategic &amp; Community Planning</t>
  </si>
  <si>
    <t>Head of Development</t>
  </si>
  <si>
    <t>Head of Public Health &amp; Licensing</t>
  </si>
  <si>
    <t>During 2009-10 the Council underwent a corporate restructure, which resulted in 13 Heads of Service posts being
reviewed and replaced by seven new Heads of Service Posts.</t>
  </si>
  <si>
    <t>Salary (including fees &amp; allowances) £131,481; Benefits in kind £5,231; Pension contributions £25,139</t>
  </si>
  <si>
    <t>Salary (including fees &amp; allowances) £90,000; Benefits in kind £5,231; Pension contributions £17,208</t>
  </si>
  <si>
    <t>Salary (including fees &amp; allowances) £93,629; Benefits in kind £5,231; Pension contributions £17,902</t>
  </si>
  <si>
    <t>Director of Community and Planning Services</t>
  </si>
  <si>
    <t>Pensionable pay £183,250; Pension contributions £0</t>
  </si>
  <si>
    <t>Pensionable pay £141,881; Pension contributions £25,680</t>
  </si>
  <si>
    <t>Pensionable pay £113,415; Pension contributions £20,528;  Employment commenced 5 May 2009</t>
  </si>
  <si>
    <t>Pensionable pay £112,560; Pension contributions £20,373</t>
  </si>
  <si>
    <t>Pensionable pay £94,185; Pension contributions £17,047</t>
  </si>
  <si>
    <t>Pensionable pay £86,988; Pension contributions £15,745</t>
  </si>
  <si>
    <t>Pensionable pay £89,391; Pension contributions £16,180</t>
  </si>
  <si>
    <t>Pensionable pay £144,040; Pension contributions £26,071</t>
  </si>
  <si>
    <t>Pensionable pay £101,369; Pension contributions £18,348</t>
  </si>
  <si>
    <t>Pensionable pay £111,766; Expenses £21, Pension contributions £20,230</t>
  </si>
  <si>
    <t>Pensionable pay £89,722; Pension contributions £16,240</t>
  </si>
  <si>
    <t>Pensionable pay £107,391; Pension contributions £19,438</t>
  </si>
  <si>
    <t>Pensionable pay £117,924; Pension contributions £21,344;  Employment commenced 1 October 2010</t>
  </si>
  <si>
    <t>Pensionable pay £127,845; Expenses £81; Compensation £69,542; Pension contributions £23,140;  Post deleted 28 February 2011</t>
  </si>
  <si>
    <t>Pensionable pay £123,532; Pension contributions £22,359</t>
  </si>
  <si>
    <t>Pensionable pay £105,000; Expenses £399; Pension contributions £19,005; Employment commenced 22 February 2010</t>
  </si>
  <si>
    <t>Pensionable pay £85,754; Expenses £112; Pension contributions £15,521</t>
  </si>
  <si>
    <t>Pensionable pay £131,005; Compensation £49,334; Pension contributions £23,712; Post deleted 28 February 2011</t>
  </si>
  <si>
    <t>Director of Environment &amp; Consumer Protection</t>
  </si>
  <si>
    <t>Pensionable pay £52,365; Compensation £35,160; Pension contributions £9,478. Post deleted 31 August 2010</t>
  </si>
  <si>
    <t>Retired 31 March 2010</t>
  </si>
  <si>
    <t>Harriet Dempster</t>
  </si>
  <si>
    <t>Salary, fees &amp; allowances £105,450; Expenses £83; Pension contributions £31,192. Figure for 2009-10 was taken from Town Hall Rich List 2011 and is simply salary fees and allowances.</t>
  </si>
  <si>
    <t>Salary, fees &amp; allowances £105,450; Expenses £325; Pension contributions £31,192. Figure for 2009-10 was taken from Town Hall Rich List 2011 and is simply salary fees and allowances.</t>
  </si>
  <si>
    <t>Salary, fees &amp; allowances £148,549; Pension contributions £43,476. Figure for 2009-10 was taken from Town Hall Rich List 2011 and is simply salary fees and allowances.</t>
  </si>
  <si>
    <t>Salary, fees &amp; allowances £105,450; Expenses £126; Pension contributions £31,192. Figure for 2009-10 was taken from Town Hall Rich List 2011 and is simply salary fees and allowances.</t>
  </si>
  <si>
    <t>Salary, fees &amp; allowances £115,995; Pension contributions £34,984. Figure for 2009-10 was taken from Town Hall Rich List 2011 and is simply salary fees and allowances.</t>
  </si>
  <si>
    <t>Salary, fees &amp; allowances £105,450; Expenses £329; Pension contributions £31,192. Figure for 2009-10 was taken from Town Hall Rich List 2011 and is simply salary fees and allowances.</t>
  </si>
  <si>
    <t>Salary, fees &amp; allowances £105,450; Pension contributions £31,192. Figure for 2009-10 was taken from Town Hall Rich List 2011 and is simply salary fees and allowances.</t>
  </si>
  <si>
    <t>Figure for 2009-10 was taken from Town Hall Rich List 2011 and is simply salary fees and allowances.</t>
  </si>
  <si>
    <t>High Peak</t>
  </si>
  <si>
    <t xml:space="preserve">Salary (including fees &amp; allowances) £82,800; Bonus £8,808; Allowances £1,059; Pension contribution £21,803. This post is shared with Staffordshire Moorlands DC and they contribute £57,235 towards the cost of employing this person. </t>
  </si>
  <si>
    <t>Salary £145,000; Benefits in kind £2,000; Pension contributions £40,000</t>
  </si>
  <si>
    <t>Salary £96,000; Pension contributions £26,000</t>
  </si>
  <si>
    <t>Salary £96,000; Benefits in kind £2,000; Pension contributions £26,000</t>
  </si>
  <si>
    <t>Salary £203,427; Benefits in kind £4,785; Pension contributions £41,906</t>
  </si>
  <si>
    <t>Salary £167,134; Benefits in kind £688; Pension contributions £34,621</t>
  </si>
  <si>
    <t>Salary £160,004; Pension contributions £32,301</t>
  </si>
  <si>
    <t>Director of People &amp; Property</t>
  </si>
  <si>
    <t>A Warner</t>
  </si>
  <si>
    <t>Salary £150,701; Pension contributions £30,385; Started on 1 July 2009. The annualised salary was £150,701 in 2009/10. This was a new post following a restructure of senior management in 2009/10.</t>
  </si>
  <si>
    <t>Salary £134,387; Benefits in kind £3,689; Pension contributions £27,684</t>
  </si>
  <si>
    <t>Salary £126,347; Benefits in kind £2,722; Pension contributions £26,651</t>
  </si>
  <si>
    <t>Salary £101,290; Benefits in kind £2,495; Pension contributions £21,574</t>
  </si>
  <si>
    <t>Salary £110,708; Pension contributions £22,805</t>
  </si>
  <si>
    <t>Salary £103,749; Pension contributions £20,866;  Started 1 October 2009, annualised salary £103,749</t>
  </si>
  <si>
    <t>Director of Strategy &amp; Partnerships</t>
  </si>
  <si>
    <t>County Secretary</t>
  </si>
  <si>
    <t>A Laycock</t>
  </si>
  <si>
    <t>Salary (inc fees &amp; allowances) £183,724; Pension contributions £37,479;  45% recharge to the PCT</t>
  </si>
  <si>
    <t>Salary (inc fees &amp; allowances) £109,212; Benefits in kind £345; Pension contributions £22,279</t>
  </si>
  <si>
    <t>Salary (inc fees &amp; allowances) £109,212; Pension contributions £22,279</t>
  </si>
  <si>
    <t>Salary (inc fees &amp; allowances) £126,027; Pension contributions £25,709;  Started 12 April 2010, 45% recharge to the PCT</t>
  </si>
  <si>
    <t>Left 19 March 2010</t>
  </si>
  <si>
    <t>Salary (inc fees &amp; allowances) £18,775; Pension contributions £3,731. Left 23 May 2010</t>
  </si>
  <si>
    <t>Assistant Chief Executive – Legal and democratic</t>
  </si>
  <si>
    <t>Left 26 June 2009 10% recharge to the PCT</t>
  </si>
  <si>
    <t>Salary £163,920, Other payments £16,293; Pension contributions £28,113</t>
  </si>
  <si>
    <t>Salary £145,000; Pension contributions £22,620</t>
  </si>
  <si>
    <t>Salary £130,000; Pension contributions £20,280</t>
  </si>
  <si>
    <t>Salary £105,000; Pension contributions £16,380</t>
  </si>
  <si>
    <t>Chief Executive (shared with East Hampshire DC)</t>
  </si>
  <si>
    <t>Salary (including fees &amp; allowances) £125,000; Pension contributions £23,875;  This post is shared with East Hampshire DC and they contributed £81,424 towards the cost in 2010-11</t>
  </si>
  <si>
    <t>Salary (including fees &amp; allowances) £85,261; Compensation for loss of office £170,446; Pension contributions £16,285;  Left 30 March 2011</t>
  </si>
  <si>
    <t>Salary (including fees &amp; allowances) £84,903; Compensation for loss of office £96,069; Pension contributions £16,216;  Left 31 March 2011</t>
  </si>
  <si>
    <t>Salary (including fees &amp; allowances) £64,426; Compensation for loss of office £160,838; Pension contributions £11,858;  Left 31 March 2011</t>
  </si>
  <si>
    <t>Salary (including fees &amp; allowances) £41,246; Benefits in kind £109; Compensation for loss of office £69,743; Pension contributions £7,878;  Left 07 November 2010</t>
  </si>
  <si>
    <t>Salary (including fees &amp; allowances) £102,888; Expense allowances £189; Benefits in kind £5,895; Pension contributions £22,430</t>
  </si>
  <si>
    <t>Salary £168,795; Car allowances £963; Pension contributions £27,176</t>
  </si>
  <si>
    <t>Salary £86,524; Car allowances £963; Pension contributions £12,733</t>
  </si>
  <si>
    <t>Salary £122,917; Car allowances £963; Pension contributions £19,790. Appointed on 1st September 2009 therefore 
paid an increment on the anniversary of this appointment - annualised salary £120,000</t>
  </si>
  <si>
    <t>Director of Regeneration &amp; Planning</t>
  </si>
  <si>
    <t>Salary including fees &amp; allowances £98,840; Benefits in kind £4,738; Pension contributions £18,878</t>
  </si>
  <si>
    <t>Salary (including fees &amp; allowances) £194,617; Benefits in kind £1,348; Pension contributions £34,857</t>
  </si>
  <si>
    <t>Salary (including fees &amp; allowances) £142,338; Pension contributions £26,374</t>
  </si>
  <si>
    <t>Salary (including fees &amp; allowances) £138,906; Benefits in kind £1,278; Pension contributions £25,606;  Joined the Council on 5 May 2009</t>
  </si>
  <si>
    <t>Salary (including fees &amp; allowances) £135,480; Pension contributions £25,606</t>
  </si>
  <si>
    <t>Salary (including fees &amp; allowances) £132,072; Pension contributions £24,565</t>
  </si>
  <si>
    <t>Salary (including fees &amp; allowances) £131,006; Pension contributions £24,367;  Left the Council on 13 March 2011</t>
  </si>
  <si>
    <t>Salary (including fees &amp; allowances) £109,443; Benefits in kind £1,239; Pension contributions £20,668</t>
  </si>
  <si>
    <t>Salary (including fees &amp; allowances) £137,704; Benefits in kind £1,239; Pension contributions £25,537</t>
  </si>
  <si>
    <t>Additional employees might include teachers who received an inflation related pay rise.</t>
  </si>
  <si>
    <t>Salary including fees &amp; allowances £114,832; Benefits in kind £1,364; Pension contributions £25,813</t>
  </si>
  <si>
    <t>Salary including fees &amp; allowances £87,374; Benefits in kind £1,342; Pension contributions £19,697</t>
  </si>
  <si>
    <t>Salary including fees &amp; allowances £82,886; Benefits in kind £1,317; Pension contributions £18,469</t>
  </si>
  <si>
    <t>Salary including fees &amp; allowances £82,886; Benefits in kind £1,316; Pension contributions £18,580</t>
  </si>
  <si>
    <t>Director, HIC</t>
  </si>
  <si>
    <t>Salary including fees &amp; allowances £15,911; Benefits in kind £133; Pension contributions £3,580. The new Director, HIC commenced on 31 January 2011. The annualised salary for 2010/11 was £93,951</t>
  </si>
  <si>
    <t>Salary (excluding fees &amp; allowances) £138,050; Pension contributions £17,256</t>
  </si>
  <si>
    <t>Salary (excluding fees &amp; allowances) £100,935; Pension contributions £12,617</t>
  </si>
  <si>
    <t>Salary (inc fees &amp; allowances) £138,901; Pension contributions £31,258; Left 20 March 2011</t>
  </si>
  <si>
    <t>Salary (inc fees &amp; allowances) £141,597; Pension contributions £31,908</t>
  </si>
  <si>
    <t>Salary (inc fees &amp; allowances) £136,338; Pension contributions £30,697</t>
  </si>
  <si>
    <t>Salary (inc fees &amp; allowances) £105,989; Pension contributions £23,857</t>
  </si>
  <si>
    <t>Salary (inc fees &amp; allowances) £93,000; Pension contributions £20,774</t>
  </si>
  <si>
    <t>Salary, fees &amp; allowances £98,480; Expenses allowances £2,622; Benefits in kind £594; Pension contributions £18,096</t>
  </si>
  <si>
    <t>Salary (including fees &amp; allowances) £207,372; Pension contributions £39,608</t>
  </si>
  <si>
    <t>Salary (including fees &amp; allowances) £161,651; Other emoluments £7,752; Pension contributions £32,356</t>
  </si>
  <si>
    <t>Salary (including fees &amp; allowances) £96,667; Pension contributions £18,463;  Began 17 August 2010</t>
  </si>
  <si>
    <t>Jon Pittam</t>
  </si>
  <si>
    <t>Salary (including fees &amp; allowances) £33,637; Benefits in kind £41; Pension contributions £5,691;  Left 8 June 2010</t>
  </si>
  <si>
    <t>Salary (including fees &amp; allowances) £138,876; Pension contributions £26,525; Acting from 21 September 2009 to 10 November 2010</t>
  </si>
  <si>
    <t>Salary (including fees &amp; allowances) £145,593; Benefits in kind £57; Compensation for loss of office £79,582; Pension contributions £27,808; Appointed 21 September 2009, left 31 March 2011</t>
  </si>
  <si>
    <t>Salary (including fees &amp; allowances) £138,876; Pension contributions £26,525; Acting until 1 May 2009</t>
  </si>
  <si>
    <t>Salary (including fees &amp; allowances) £134,910; Benefits in kind £49; Pension contributions £25,768</t>
  </si>
  <si>
    <t>Salary (including fees &amp; allowances) £124,533; Benefits in kind -£144, Compensation for loss of office £66,876; Pension contributions £23,786;  Left 31 March 2011</t>
  </si>
  <si>
    <t>Salary (including fees &amp; allowances) £124,533; Pension contributions £23,786</t>
  </si>
  <si>
    <t>Salary, fees &amp; allowances £215,591; Bonuses £10,194; Pension contributions £55,881; From April 2009 to November 2010, a share arrangement was entered into whereby Hammersmith and Fulham Primary Care Trust shared the Chief Executive, contributing to 30% of the Salary.</t>
  </si>
  <si>
    <t>Salary, fees &amp; allowances £151,522; Bonuses £13,637; Pension contributions £40,974</t>
  </si>
  <si>
    <t>Salary, fees &amp; allowances £146,676; Bonuses £10,267; Pension contributions £38,922</t>
  </si>
  <si>
    <t>Salary, fees &amp; allowances £139,566; Bonuses £6,607; Pension contributions £34,604</t>
  </si>
  <si>
    <t>Salary, fees &amp; allowances £146,676; Bonuses £11,734; Expenses allowances £689; Pension contributions £39,268</t>
  </si>
  <si>
    <t>Salary, fees &amp; allowances £124,913; Bonuses £8,652; Pension contributions £33,237</t>
  </si>
  <si>
    <t>Salary, fees &amp; allowances £114,062; Bonuses £5,703; Expenses allowances £11; Pension contributions £29,644; From June 2009, a share arrangement was entered into with the Royal Borough of Kensington and Chelsea (RBKC) to share the Head of Legal Services. In 2010/11 £75,000 was received from RBKC at a charge of £100 per hour.</t>
  </si>
  <si>
    <t>Assistant Director (Legal &amp; Democratic Services)</t>
  </si>
  <si>
    <t>Salary, fees &amp; allowances £96,242; Bonuses £3,850; Compensation for loss of office £57,544; Pension contributions £24,764</t>
  </si>
  <si>
    <t>Additional employees include teachers and those employed in schools</t>
  </si>
  <si>
    <t>Salary (including fees &amp; allowances) £125,067; Car allowances £2,236; Pension contributions £22,125</t>
  </si>
  <si>
    <t>Salary (including fees &amp; allowances) £156,700; Benefits in kind £5,800; Pension contributions £32,200;  In 2010/11 the Chief Executive’s entitlement to performance related pay was
£25,000. Mid-year the Chief Executive received £10,000 for achieving specified delivery milestones in respect of the Mersey Gateway project and the Hive project. This is included in the salary figure. At his own request, the Chief Executive voluntarily declined the remaining £15,000 of his entitlement and did not receive this part of his salary entitlement.</t>
  </si>
  <si>
    <t>Salary (including fees &amp; allowances) £103,500; Benefits in kind £600; Pension contributions £19,200</t>
  </si>
  <si>
    <t>Salary (including fees &amp; allowances) £106,800; Benefits in kind £4,500; Pension contributions £19,900; Retired on 31 March 2011</t>
  </si>
  <si>
    <t>Salary (including fees &amp; allowances) £105,700; Benefits in kind £3,300; Pension contributions £19,700</t>
  </si>
  <si>
    <t>Salary (including fees &amp; allowances) £87,900; Pension contributions £15,600;  Resigned on 31 March 2011</t>
  </si>
  <si>
    <t>Salary (including fees &amp; allowances) £85,800; Pension contributions £15,200</t>
  </si>
  <si>
    <t>Salary (including fees &amp; allowances) £85,800; Pension contributions £15,200; Retired on 31 March 2011</t>
  </si>
  <si>
    <t>Salary (including fees &amp; allowances) £84,400; Benefits in kind £6,600; Pension contributions £15,600; Retired on 31 March 2011</t>
  </si>
  <si>
    <t>Salary (including fees &amp; allowances) £87,900; Pension contributions £15,600</t>
  </si>
  <si>
    <t>Salary (including fees &amp; allowances) £81,800; Benefits in kind £3,400; Pension contributions £15,200</t>
  </si>
  <si>
    <t>Salary, fees &amp; allowances  £137,924; Pension contributions £19,656; Post covered by interim director between 15 June 2009 and 12 August 2009. Annualised salary £136,420</t>
  </si>
  <si>
    <t>Corporate Director of Community Services - A</t>
  </si>
  <si>
    <t>Corporate Director of Community Services - B</t>
  </si>
  <si>
    <t>Salary, fees &amp; allowances  £128,916; Pension contributions £18,359</t>
  </si>
  <si>
    <t>Salary, fees &amp; allowances  £144,925; Pension contributions £20,664</t>
  </si>
  <si>
    <t>Salary, fees &amp; allowances  £95,237; Pension contributions £13,601</t>
  </si>
  <si>
    <t>Assistant Chief Executive of Communications and Consultation - A</t>
  </si>
  <si>
    <t>Left 31 July 2009. Annualised salary £95,875</t>
  </si>
  <si>
    <t>Salary, fees &amp; allowances  £177,956; Pension contributions £25,420; Annualised salary was £177,956 for 2010/11 and £177,956 for 2009/10.</t>
  </si>
  <si>
    <t>Salary, fees &amp; allowances  £45,211; Compensation for loss of office £135,462; Pension contributions £6,438; Left council 8 August 2010, annualised salary £127,413</t>
  </si>
  <si>
    <t>Salary £83,121; Other payments £459; Pension contributions £17,372</t>
  </si>
  <si>
    <t>Salary £83,121; Other payments £242; Pension contributions £17,372</t>
  </si>
  <si>
    <t>Salary £83,121; Pension contributions £17,372</t>
  </si>
  <si>
    <t>Salary £108,264; Other payments £971; Pension contributions £22,627</t>
  </si>
  <si>
    <t>Salary £189,666.61; Pension contributions £35,150.04</t>
  </si>
  <si>
    <t>Salary £170,000.04; Pension contributions £31,449.96</t>
  </si>
  <si>
    <t>Salary £154,166.70; Pension contributions £28,520.81</t>
  </si>
  <si>
    <t>Salary £150,000; Pension contributions £27,750</t>
  </si>
  <si>
    <t>Salary £144,999.96; Pension contributions £26,825.04</t>
  </si>
  <si>
    <t>Salary £125,066.71; Pension contributions £23,124.96</t>
  </si>
  <si>
    <t>Salary £125,000.04; Pension contributions £23,124.96</t>
  </si>
  <si>
    <t>Salary £116,868.29; Pension contributions £21,620.66</t>
  </si>
  <si>
    <t>Salary £116,000.04; Pension contributions £21,459.96</t>
  </si>
  <si>
    <t>Salary (including fees &amp; allowances) £146,931; Pension contributions £21,746</t>
  </si>
  <si>
    <t>Salary (including fees &amp; allowances) £134,172; Pension contributions £19,857</t>
  </si>
  <si>
    <t>Salary (including fees &amp; allowances) £127,784; Pension contributions £18,912</t>
  </si>
  <si>
    <t>Salary (including fees &amp; allowances) £124,312; Pension contributions £20,720;  Maternity leave from 25 Aug 2010</t>
  </si>
  <si>
    <t>Salary (including fees &amp; allowances) £127,784; Pension contributions £18,912;  Started 1 Sept 2009</t>
  </si>
  <si>
    <t>Salary (including fees &amp; allowances) £127,784; Pension contributions £15,760</t>
  </si>
  <si>
    <t>Salary (including fees &amp; allowances) £102,750; Pension contributions £15,207</t>
  </si>
  <si>
    <t>Salary (including fees &amp; allowances) £99,104; Pension contributions £14,667; Started 12 April 2010</t>
  </si>
  <si>
    <t>Salary £107,574; Expenses £1,409; Pension contributions £28,814</t>
  </si>
  <si>
    <t>Salary £93,058; Expenses £1,287; Pension contributions £22,171</t>
  </si>
  <si>
    <t>Salary £113,025; Allowances £7,130; Expenses £64; Pension contributions £32,921</t>
  </si>
  <si>
    <t>Salary £81,042; Allowances £6,835; Pension contributions £23,742</t>
  </si>
  <si>
    <t>Salary £81,042; Allowances £7,038; Expenses £41; Benefits in kind £4,700; Pension contributions £25,159</t>
  </si>
  <si>
    <t>Salary £81,042; Allowances £1,794; Benefits in kind £5,059; Pension contributions £29,946</t>
  </si>
  <si>
    <t>Salary including allowances £26,331; Compensation for loss of office £80,383; Pension contributions £3,753; Post became redundant 15 August 2010. The whole time equivalent salary is £69,280</t>
  </si>
  <si>
    <t>Salary including allowances £92,165; Benefits in Kind £568; Pension contributions £13,074</t>
  </si>
  <si>
    <t>A Linkston</t>
  </si>
  <si>
    <t xml:space="preserve">Director of Development &amp; Environmental Services </t>
  </si>
  <si>
    <t>Salary incl fees &amp; allowances £38,805; Compensation for loss of employment £77,288; Pension Contributions £38,191. Left 6 August 2010</t>
  </si>
  <si>
    <t>J Hill</t>
  </si>
  <si>
    <t>A Logan</t>
  </si>
  <si>
    <t>Head of Finance Services</t>
  </si>
  <si>
    <t>M Niven</t>
  </si>
  <si>
    <t>Head of Schools with Education Support</t>
  </si>
  <si>
    <t>Salary, Fees and Allowances £91,701; Pension Contributions £17,651</t>
  </si>
  <si>
    <t>G Struthers</t>
  </si>
  <si>
    <t>Salary, Fees and Allowances £84,045; Pension Contributions £15,981</t>
  </si>
  <si>
    <t>S Field</t>
  </si>
  <si>
    <t>Head of Planning and Economic Development</t>
  </si>
  <si>
    <t>A Gee</t>
  </si>
  <si>
    <t>Head of Housing Construction and Building Services</t>
  </si>
  <si>
    <t>A Shaw</t>
  </si>
  <si>
    <t>Head of Area Services</t>
  </si>
  <si>
    <t>A Aird</t>
  </si>
  <si>
    <t>D Forsyth</t>
  </si>
  <si>
    <t>A Quigley</t>
  </si>
  <si>
    <t>Salary, Fees and Allowances £84,828; Pension Contributions £16,317</t>
  </si>
  <si>
    <t>Salary, Fees and Allowances £84,831; Pension Contributions £16,317</t>
  </si>
  <si>
    <t xml:space="preserve">Head of Customer Services </t>
  </si>
  <si>
    <t>Salary, Fees and Allowances £23,311; Compensation for loss of employment £65,244; Pension Contributions £145,809. Left  31 July 2010</t>
  </si>
  <si>
    <t>Head of Property Services</t>
  </si>
  <si>
    <t>Salary, Fees and Allowances £42,023; Compensation for loss of employment £52,972; Pension Contributions £14,005. Left  2 October 2010</t>
  </si>
  <si>
    <t>Head of Social Policy</t>
  </si>
  <si>
    <t>Salary, Fees and Allowances £40,638; Pension Contributions £8,129.  Left 11 September 2010</t>
  </si>
  <si>
    <t>M Rankine</t>
  </si>
  <si>
    <t>Head of Education (Quality Assurance)</t>
  </si>
  <si>
    <t>Salary, Fees and Allowances £91,957; Pension Contributions £13,585</t>
  </si>
  <si>
    <t>Salary fees &amp; allowances £112,308; Pension Contributions £16,617</t>
  </si>
  <si>
    <t>Salary fees &amp; allowances £74,380; Pension Contributions £14,863</t>
  </si>
  <si>
    <t>Salary, Fees and Allowances £30,306; Compensation for loss of employment £14,508;  Pension Contributions £139,520. Left on 31 July 2010</t>
  </si>
  <si>
    <t>Salary, fees &amp; allowances £107,559; Pension contributions £20,572</t>
  </si>
  <si>
    <t>Susan Cooper</t>
  </si>
  <si>
    <t>Gross salary, fees &amp; allowances £143,121; Pension contributions £27,479</t>
  </si>
  <si>
    <t>Bruce Robertson</t>
  </si>
  <si>
    <t>Director of Education, Learning and Leisure</t>
  </si>
  <si>
    <t>Gross salary, fees &amp; allowances £45,435; Pension contributions £8724; Left 29 August 2010</t>
  </si>
  <si>
    <t>Gross salary, fees &amp; allowances £109,827; Pension contributions £21,087</t>
  </si>
  <si>
    <t>Charles Armstrong</t>
  </si>
  <si>
    <t>Salary (including fees and allowances) £99,999.96; Expense allowances £2,455.50; Pension contributions £19,599.96</t>
  </si>
  <si>
    <t>Salary, fees &amp; allowances (including returning officer fees) £101,000; Pension contributions £22,000; Benefits in kind £1,000</t>
  </si>
  <si>
    <t>Salary, fees &amp; allowances £102,933, Non-cash expenses £3,176, Pension contributions £19,043</t>
  </si>
  <si>
    <t>Director of Social Work and Health</t>
  </si>
  <si>
    <t>Salary (including fees &amp; allowances) £116,317; Taxable expenses £1,922; Pension contributions £21,085</t>
  </si>
  <si>
    <t>Salary and allowances £116,531; Expenses allowances £5,796; Pension contribution £27,253</t>
  </si>
  <si>
    <t>Salary and allowances £83,287; Expenses allowances £3,776; Pension contributions £19,308</t>
  </si>
  <si>
    <t>Salary (including fees &amp; allowances) £90,337.56; Benefits in kind £4,724.45; Pension contributions £24,300.78</t>
  </si>
  <si>
    <t>Salary (including fees &amp; allowances) £86,490.75; Benefits in kind £4,086.60; Pension contributions £23,196.24</t>
  </si>
  <si>
    <t>A Grant</t>
  </si>
  <si>
    <t>Salary (including fees &amp; allowances) £142,000; Pension contributions £32,000</t>
  </si>
  <si>
    <t>Salary (including fees &amp; allowances) £72,000; Pension contributions £16,000</t>
  </si>
  <si>
    <t>Salary, fees and allowances £120,507; Expenses/Benefits in kind £702; Pension contribution £19,334</t>
  </si>
  <si>
    <t>Salary, fees and allowances £93,728; Expenses/benefits in kind £982; Pension contribution £15,444</t>
  </si>
  <si>
    <t>Salary, fees &amp; allowances £131,252; Pension contribution £25,034</t>
  </si>
  <si>
    <t>Salary, fees &amp; allowances £132,171; Pension contribution £25,150</t>
  </si>
  <si>
    <t>Salary, fees &amp; allowances £130,358; Pension contributions £24,955</t>
  </si>
  <si>
    <t>Salary, fees &amp; allowances £145,000; Pension contribution £27,550</t>
  </si>
  <si>
    <t>Corporate Director Resource</t>
  </si>
  <si>
    <t>Left 31 March 2010</t>
  </si>
  <si>
    <t>Salary (including fees &amp; allowances) £200,976; Pension contributions £49,842</t>
  </si>
  <si>
    <t>A Travers</t>
  </si>
  <si>
    <t>Deputy Chief Executive and Chief Financial Officer</t>
  </si>
  <si>
    <t>Salary (including fees &amp; allowances) £95,389; Compensation for loss of office £96,692; Pension contributions £23,268</t>
  </si>
  <si>
    <t>Salary (including fees &amp; allowances) £139,200; Pension contributions £34,522</t>
  </si>
  <si>
    <t>Salary (including fees &amp; allowances) £138,964; Pension contributions £34,463</t>
  </si>
  <si>
    <t>Salary (including fees &amp; allowances) £132,480; Pension contributions £32,855</t>
  </si>
  <si>
    <t>Salary (including fees &amp; allowances) £122,014; Pension contributions £30,259</t>
  </si>
  <si>
    <t>Salary (including fees &amp; allowances) £93,495; Compensation for loss of office £20,511; Pension contributions £23,187</t>
  </si>
  <si>
    <t>Salary (including fees &amp; allowances) £107,907; Pension contributions £26,761</t>
  </si>
  <si>
    <t>Salary (including fees &amp; allowances) £104,673; Pension contributions £25,959</t>
  </si>
  <si>
    <t>Salary (including fees &amp; allowances) £99,555; Pension contributions £24,690</t>
  </si>
  <si>
    <t>Salary (including fees &amp; allowances) £95,467; Pension contributions £23,676</t>
  </si>
  <si>
    <t>Salary (including fees &amp; allowances) £95,091; Pension contributions £23,483</t>
  </si>
  <si>
    <t>Salary (including fees &amp; allowances) £90,986; Pension contributions £22,068</t>
  </si>
  <si>
    <t>Salary (including fees &amp; allowances) £89,763; Pension contributions £22,224</t>
  </si>
  <si>
    <t>Salary (including fees &amp; allowances) £86,823; Pension contributions £21,532</t>
  </si>
  <si>
    <t>Salary (including fees &amp; allowances) £86,539; Pension contributions £21,243</t>
  </si>
  <si>
    <t>Acting Assistant Director of Community Safety</t>
  </si>
  <si>
    <t>Salary (including fees &amp; allowances) £85,737; Pension contributions £20,967</t>
  </si>
  <si>
    <t>Acting Assistant Director of Schools and Learning</t>
  </si>
  <si>
    <t>Salary (including fees &amp; allowances) £82,871; Pension contributions £20,456</t>
  </si>
  <si>
    <t>Major Projects Director</t>
  </si>
  <si>
    <t>Head of Housing and Environment Health</t>
  </si>
  <si>
    <t>Assistant Director Health Partnerships</t>
  </si>
  <si>
    <t>Head of Legal and Deputy Monitoring Office</t>
  </si>
  <si>
    <t>Head of Building Control and Structures</t>
  </si>
  <si>
    <t>Head of Planning and Development Management</t>
  </si>
  <si>
    <t>Head of Strategy - Planning and Housing</t>
  </si>
  <si>
    <t>Assistant Director - Shared Services</t>
  </si>
  <si>
    <t>Assistant Director - Finance Support</t>
  </si>
  <si>
    <t>Assistant Director - Performance</t>
  </si>
  <si>
    <t>Major Capital Programmes Deputy Director</t>
  </si>
  <si>
    <t>Executive Director Customer &amp; Neighbourhoods</t>
  </si>
  <si>
    <t>Salary £49,000; Pension contributions £9,000</t>
  </si>
  <si>
    <t>Director of Children's and Young People's Services</t>
  </si>
  <si>
    <t>Salary £167,343; Benefits in Kind £6,291; Pension contribution £33,631</t>
  </si>
  <si>
    <t>Salary £167,343; Benefits in Kind £5,989; Pension contribution £33,631</t>
  </si>
  <si>
    <t>Salary £121,092; Benefits in Kind £5,989; Pension contribution £24,588; Additional election fees paid for parliament and council elections May 2010 £892</t>
  </si>
  <si>
    <t>Deputy Director (Legal Services)</t>
  </si>
  <si>
    <t>Salary £13,688; Benefits in kind £1,750; Pension contributions £2,764</t>
  </si>
  <si>
    <t>Strategic Director (Housing &amp; Constituencies)</t>
  </si>
  <si>
    <t>Strategic Director (Environment &amp; Culture)</t>
  </si>
  <si>
    <t>Strategic Director (Adults and Communities)</t>
  </si>
  <si>
    <t>Strategic Director of Corporate Resources</t>
  </si>
  <si>
    <t>Salary £142,999; Expenses £11; Pension Contribution £23,166</t>
  </si>
  <si>
    <t>Salary £80,000; Benefits in Kind £3,000; Compensation for loss of office £79,000; Pension contribution £12,000</t>
  </si>
  <si>
    <t>Salary £80,000; Benefits in kind £3,000; Compensation for loss of office £65,000; Pension contribution £12,000</t>
  </si>
  <si>
    <t>Executive Director - Economic Development/Director Regenerate Pennine Lancs</t>
  </si>
  <si>
    <t>Managing Director Local Government Services</t>
  </si>
  <si>
    <t>Director Legal Services</t>
  </si>
  <si>
    <t>Salary £59,000; Compensation for loss of office £63,000; Pension contributions £8,000</t>
  </si>
  <si>
    <t>Assistant Director - Culture, Leisure &amp; Sport</t>
  </si>
  <si>
    <t>Salary £67,000; Benefits in kind £3,000; Compensation for loss of office £37,000; Pension contributions £10,000</t>
  </si>
  <si>
    <t>Director of Universal, Targeted and Learning Services</t>
  </si>
  <si>
    <t>Salary £85,000; Benefits £4,000; Pension contributions £12,000</t>
  </si>
  <si>
    <t>May include teachers</t>
  </si>
  <si>
    <t>Salary £93,486; Expenses £963; Benefits in Kind £522; Pension contribution £15,145</t>
  </si>
  <si>
    <t>Chief Executive - RE-Blackpool</t>
  </si>
  <si>
    <t>Executive Director of Business Services</t>
  </si>
  <si>
    <t>Executive Director of Children and Young People</t>
  </si>
  <si>
    <t>Executive Director of Adult Social Care</t>
  </si>
  <si>
    <t>Executive Director of Culture and Communities</t>
  </si>
  <si>
    <t>Executive Director of Tourism and Regeneration</t>
  </si>
  <si>
    <t>Salary £81,334; Expenses £127; Benefit in kind £967; Pension contributions £18,463</t>
  </si>
  <si>
    <t>Salary £81,442; Expenses £242; Benefit in kind £963; Pension contributions £18,463</t>
  </si>
  <si>
    <t>Corporate Director Business Development</t>
  </si>
  <si>
    <t>Left 31 December 2009</t>
  </si>
  <si>
    <t>Corporate Director Environment</t>
  </si>
  <si>
    <t>Salary £125,481; Expenses £1,576; Pension Contribution £22,692</t>
  </si>
  <si>
    <t xml:space="preserve">Service Director Planning and Transport </t>
  </si>
  <si>
    <t>Service Director Information, Culture and Community Learning</t>
  </si>
  <si>
    <t>Salary £75,175; Expenses £1,076; Bonus £8,821; Pension contributions £15,203</t>
  </si>
  <si>
    <t>Service Director Children's Learning and Engagement</t>
  </si>
  <si>
    <t>Salary £75,175; Expenses £2,553; Bonus £8,589; Pension Contribution £15,161</t>
  </si>
  <si>
    <t>Service Director Communications</t>
  </si>
  <si>
    <t>Service Director Community Care</t>
  </si>
  <si>
    <t>Service Director Housing Landlord and Parks</t>
  </si>
  <si>
    <t>Salary £77,373; Expenses £2,271; Bonus £14,072; Benefit in kind £291; Pension Contribution £16,602</t>
  </si>
  <si>
    <t>Service Director Law and Governance</t>
  </si>
  <si>
    <t>Service Director Environmental Health and Consumer Services</t>
  </si>
  <si>
    <t>Salary £77,472; Expenses £826; Bonus £12,633; Benefits in Kind £291; Pension Contribution £16,342</t>
  </si>
  <si>
    <t>Service Director Resources</t>
  </si>
  <si>
    <t>Acting Director of Children, Young People and Learning</t>
  </si>
  <si>
    <t>Started 1 October 2009</t>
  </si>
  <si>
    <t>Strategic Director - Business Support</t>
  </si>
  <si>
    <t>Salary £114,383; Expenses £1,239; Pension contribution £16,692</t>
  </si>
  <si>
    <t>Strategic Director - Children's Services</t>
  </si>
  <si>
    <t>Salary £147,137; Expenses £1,239; Pension Contribution £21,621</t>
  </si>
  <si>
    <t>City Solicitor</t>
  </si>
  <si>
    <t>Salary £109,662; Expenses £1,300; Pension contribution £16,142</t>
  </si>
  <si>
    <t>Director of West Yorkshire Pension Fund</t>
  </si>
  <si>
    <t>Salary £91,238; Expenses £1,239; Pension contribution £13,386</t>
  </si>
  <si>
    <t>Strategic Director - Corporate Services</t>
  </si>
  <si>
    <t>Strategic Director - Environment &amp; Neighbourhood</t>
  </si>
  <si>
    <t>Director of Finance and Corporate Resources</t>
  </si>
  <si>
    <t xml:space="preserve">Borough Solicitor </t>
  </si>
  <si>
    <t>Left 29 January 2010</t>
  </si>
  <si>
    <t>Salary £47,500; Expenses £100; Compensation £100,100; Pension contributions £7,100</t>
  </si>
  <si>
    <t>Left February 2010</t>
  </si>
  <si>
    <t>Strategic Director Children and Young People's Services</t>
  </si>
  <si>
    <t>Salary £118,032; Benefits in kind £5,148; Pension Contribution £15,354</t>
  </si>
  <si>
    <t>Salary £130,959; Benefit in kind £4,246; Pension Contribution £19,250</t>
  </si>
  <si>
    <t>Left 22 January 2010</t>
  </si>
  <si>
    <t>Salary £45,529; Compensation £50,101; Pension contribution £6,600</t>
  </si>
  <si>
    <t>Strategic Director - Communities and Built Environment</t>
  </si>
  <si>
    <t>Salary £143,114; Benefit in kind £603; Pension contribution £32,536</t>
  </si>
  <si>
    <t>Strategic Director - Adults and Family Wellbeing</t>
  </si>
  <si>
    <t>Salary £142,100; Benefit in kind £6,076; Pension contribution £32,536</t>
  </si>
  <si>
    <t>Salary £142,100; Benefit in kind £1,011; Pension contribution £32,536</t>
  </si>
  <si>
    <t>Strategic Director - Resources and Business Transformation</t>
  </si>
  <si>
    <t>Salary £141,914; Benefit in kind £4,529; Pension contribution £32,494</t>
  </si>
  <si>
    <t>Statutory Officer - Head of Legal</t>
  </si>
  <si>
    <t>Salary £80,972; Benefit in kind £4,714; Pension contribution £18,599</t>
  </si>
  <si>
    <t>Strategic Director - People, Policy and Communication</t>
  </si>
  <si>
    <t>Statutory Officer - Head of Finance</t>
  </si>
  <si>
    <t>Salary £136,627; Benefit in kind £963; Pension Contribution £21,450</t>
  </si>
  <si>
    <t>Former Director of Corporate Services</t>
  </si>
  <si>
    <t>Left during 2009-2010</t>
  </si>
  <si>
    <t>Salary £120,240; Pension Contribution £22,846; Started 1 April 2010</t>
  </si>
  <si>
    <t>Gib M</t>
  </si>
  <si>
    <t>Stopard R. A.</t>
  </si>
  <si>
    <t>Baxter A</t>
  </si>
  <si>
    <t>O'Donnell M</t>
  </si>
  <si>
    <t>Director of Organisation Development &amp; Deputy Chief Executive</t>
  </si>
  <si>
    <t>Assistant Director - Finance and Head of Property Services</t>
  </si>
  <si>
    <t>Salary £101,135; Bonus £3,500; Fees and Allowances £10,114; Pension £17,497</t>
  </si>
  <si>
    <t>Chief Financial Officer- Deputy Chief Executive/Director of Finance</t>
  </si>
  <si>
    <t>Salary £65,000; Pension £12,000</t>
  </si>
  <si>
    <t>Jonathan House</t>
  </si>
  <si>
    <t>Salary £102,886; Pension £21,606 - started 1st Sept 2010</t>
  </si>
  <si>
    <t>Chief Officer Schools and Lifelong Learning</t>
  </si>
  <si>
    <t>Salary £99,879; Taxable Benefits £168; Pension £20,946</t>
  </si>
  <si>
    <t>Trefor Thomas Morgan</t>
  </si>
  <si>
    <t>Salary £84,152; Compensation £47,327; Pension £17,638. Left 31 March 2011</t>
  </si>
  <si>
    <t>Salary £84,474; Compensation £36,866; Pension £17,638. Left 31 March 2011</t>
  </si>
  <si>
    <t>Salary £83,991; Compensation £41,622; Pension £17,638. Left 31 March 2011.</t>
  </si>
  <si>
    <t xml:space="preserve">City and County Solicitor </t>
  </si>
  <si>
    <t>Salary £84,488; Compensation £30,378; Pension £16,842. Left 31 March 2011.</t>
  </si>
  <si>
    <t>Byron Davis</t>
  </si>
  <si>
    <t>Chief Executive- Returning Officer</t>
  </si>
  <si>
    <t>Left 30 November 2009.</t>
  </si>
  <si>
    <t>City and County Treasurer</t>
  </si>
  <si>
    <t>Chief People and Organisational Development Officer</t>
  </si>
  <si>
    <t>Corporate Director/Chief Officer, Economy, Enterprise &amp; Infrastructure</t>
  </si>
  <si>
    <t>Chief Officer Highway and Waste Management</t>
  </si>
  <si>
    <t>Strategic Director/Deputy Chief Executive</t>
  </si>
  <si>
    <t>Left 30 November 2009</t>
  </si>
  <si>
    <t>Left 16 December 2009</t>
  </si>
  <si>
    <t>Salary £130,251; Expenses £1,396; Pension £17,063</t>
  </si>
  <si>
    <t>Salary £186,750; Expenses £1,505; Pension £40,515. Started October 2009.</t>
  </si>
  <si>
    <t>Jaki Salisbury</t>
  </si>
  <si>
    <t>Left October 2009.</t>
  </si>
  <si>
    <t>Salary £115,735; Benefits £508; Pension £22,420</t>
  </si>
  <si>
    <t>Salary £28,649; Compensation £82,341; Pension £4,402. Left 9 August 2010.</t>
  </si>
  <si>
    <t>Mr S Phipps</t>
  </si>
  <si>
    <t>Salary £76,039; Compensation £75,592; Pension £13,447. Left 11 April 2011.</t>
  </si>
  <si>
    <t>Salary £74,367; Expenses £277; Compensation £73,989; Pension £13,163. Left 11 April 2011.</t>
  </si>
  <si>
    <t>Director of Public Places</t>
  </si>
  <si>
    <t>Strategic Director Environment and Community</t>
  </si>
  <si>
    <t>Salary £57,290; Allowances £4,138; Pension contributions £6,004</t>
  </si>
  <si>
    <t>Strategic Director People</t>
  </si>
  <si>
    <t>Salary £54,167; Expenses £638; Pension contributions £11,267</t>
  </si>
  <si>
    <t>Borough Treasurer and Head of Assets</t>
  </si>
  <si>
    <t>Head of Services for Adults</t>
  </si>
  <si>
    <t>Salary £124,994; Benefits £1,592; Pension £25,999</t>
  </si>
  <si>
    <t>Salary £112,027; Benefits £1,239; Pension £23,302</t>
  </si>
  <si>
    <t>Director of Area and Community</t>
  </si>
  <si>
    <t>Head of Individual Commissioning and Prevention</t>
  </si>
  <si>
    <t>Corporate Director (Governance)</t>
  </si>
  <si>
    <t>Assistant Chief Executive (Policy and Performance)</t>
  </si>
  <si>
    <t>Assistant Chief Executive (Business Transformation and Improvement)</t>
  </si>
  <si>
    <t xml:space="preserve">Previous Strategic Director </t>
  </si>
  <si>
    <t>Salary, fees &amp; allowances £140,676; Pension contributions £28,979</t>
  </si>
  <si>
    <t>Salary, fees &amp; allowances £123,525; Pension contributions £25,446</t>
  </si>
  <si>
    <t>Salary, fees &amp; allowances £97,133; Pension contributions £20,009</t>
  </si>
  <si>
    <t>Salary (including fees &amp; allowances) £178,000; Bonus £5,000; Pension contributions £34,000</t>
  </si>
  <si>
    <t>Director of Community &amp; Children's Services A</t>
  </si>
  <si>
    <t>Director of Community &amp; Children's Services B</t>
  </si>
  <si>
    <t>Salary (including fees &amp; allowances) £127,000; Bonus £2,000; Expenses £1,000; Pension contributions £24,000</t>
  </si>
  <si>
    <t>Salary, fees &amp; allowances £97,095; Returning Officer Fee £3,350; Pension contributions £17,224; Pension contributions as returning officer £620</t>
  </si>
  <si>
    <t>Salary, fees &amp; allowances £118,372; Pension contributions £15,441</t>
  </si>
  <si>
    <t>Salary, fees &amp; allowances £94,200; Pension contributions £11,194</t>
  </si>
  <si>
    <t>Salary, fees &amp; allowances £94,232; Pension contributions £11,194</t>
  </si>
  <si>
    <t>Salary £114,435; Expense reimbursement £1,596; Pension contributions £23,001</t>
  </si>
  <si>
    <t>Salary £107,283; Expense reimbursement £4,472; Pension contributions £21,564</t>
  </si>
  <si>
    <t>Salary £82,446; Expense reimbursement £2,439; Pension contributions £16,572</t>
  </si>
  <si>
    <t>Salary £82,446; Expense reimbursement £2,125; Pension contributions £16,572</t>
  </si>
  <si>
    <t>Salary including fees &amp; allowances £98,355; Pension contributions £24,884</t>
  </si>
  <si>
    <t>Salary including fees &amp; allowances £59,207; Compensation for loss of office £42,593; Pension contributions £14,979</t>
  </si>
  <si>
    <t>Salary including fees &amp; allowances £59,207; Expense allowances £824; Compensation for loss of office £28,394; Pension contributions £14,979</t>
  </si>
  <si>
    <t>Salary including fees &amp; allowances £58,252; Expense allowances £620; Compensation for loss of office £32,450; Pension contributions £14,738</t>
  </si>
  <si>
    <t>Salary, fees &amp; allowances £140,000; Expenses allowances £97; Pension contributions £27,160</t>
  </si>
  <si>
    <t>Corporate Director for Resources</t>
  </si>
  <si>
    <t>Director of City Services</t>
  </si>
  <si>
    <t>Salary, fees and allowances £95,000; Bonuses £4,500; Expense allowances and other benefits in kind £722; Pension contributions £24,776</t>
  </si>
  <si>
    <t>Salary, fees &amp; allowances £113,914; Benefits in kind £4,940; Pension contribution £16,203</t>
  </si>
  <si>
    <t>Salary, fees &amp; allowances £84,853; Benefits in kind £11,540; Pension contributions £12,771</t>
  </si>
  <si>
    <t>Salary, fees &amp; allowances £84,477; Benefits in kind £4,767; Pension contributions £12,799</t>
  </si>
  <si>
    <t>Basic salary £188,976; Returning officer fee £15,544; Pension contributions £43,842</t>
  </si>
  <si>
    <t>Basic salary £137,262; Chief Officer allowances £6,321; Deputy Chief Executive allowances £10,000; Performance related pay £13,726; Pension contributions £35,631</t>
  </si>
  <si>
    <t>Basic salary £137,262; Chief Officer allowances £6,321; Deputy Chief Executive allowances £10,000; Performance related pay £6,863; Pension contributions £35,631</t>
  </si>
  <si>
    <t>Basic salary £137,262; Chief Officer allowances £6,321; Performance related pay £6,863; Pension contributions £33,311</t>
  </si>
  <si>
    <t>Salary £170,000; Benefits in kind £321; Pension contributions £31,620</t>
  </si>
  <si>
    <t>Salary £129,562; Benefits in kind £104; Pension contributions £25,507</t>
  </si>
  <si>
    <t>Salary £125,000; Benefits in kind £936; Pension contributions £24,705</t>
  </si>
  <si>
    <t>Salary £125,000; Benefits in kind £861; Pension contributions £24,684</t>
  </si>
  <si>
    <t>Corporate Director - Organisational Development</t>
  </si>
  <si>
    <t>Salary £117,817; Benefits in kind £973; Pension contributions £23,210</t>
  </si>
  <si>
    <t>Salary £91,500; Benefits in kind £1,002; Pension contributions £18,009</t>
  </si>
  <si>
    <t>Salary £90,000; Pension contributions £17,753</t>
  </si>
  <si>
    <t>Peter Stybelski</t>
  </si>
  <si>
    <t>Granted ill health retirement on 31 August 2009</t>
  </si>
  <si>
    <t>Moira Swann</t>
  </si>
  <si>
    <t>Salary (including fees &amp; allowances) £132,630; Expense allowances £317; Pension contributions £20,581</t>
  </si>
  <si>
    <t>Salary (including fees &amp; allowances) 100,936; Expense allowances £696; Pension contributions £15,510</t>
  </si>
  <si>
    <t>Salary (including fees &amp; allowances) 95,949; Expense allowances £568; Pension contributions £14,707</t>
  </si>
  <si>
    <t>Salary (including fees &amp; allowances) 28,250; Expense allowances £108; Termination benefits £82,745; Pension contributions £4,548</t>
  </si>
  <si>
    <t>Salary (including fees &amp; allowances) 26,668; Expense allowances £43; Benefits in kind £2,145; Termination benefits £84,708; Pension contributions £4,632</t>
  </si>
  <si>
    <t>Director of Environment and Regeneration</t>
  </si>
  <si>
    <t>Salary £1,318</t>
  </si>
  <si>
    <t>Director of Communities, Customers &amp; Housing</t>
  </si>
  <si>
    <t>Director of Improvement</t>
  </si>
  <si>
    <t xml:space="preserve"> -</t>
  </si>
  <si>
    <t>Cliff Brown</t>
  </si>
  <si>
    <t>Salary £115,725; Expenses allowances £1,159; Pension contributions £21,409</t>
  </si>
  <si>
    <t>Salary £115,725; Expenses allowances £1,465; Pension contributions £21,409</t>
  </si>
  <si>
    <t>Salary £97,369; Pension contributions £18,013</t>
  </si>
  <si>
    <t>Salary fees and allowances £119,456; Benefits in kind £974; Pension contributions £18,476</t>
  </si>
  <si>
    <t>Salary fees and allowances £106,110; Benefits in kind £570; Pension contributions £16,412</t>
  </si>
  <si>
    <t>Salary fees and allowances £97,753; Benefits in kind £570; Pension contributions £17,009</t>
  </si>
  <si>
    <t>Salary fees and allowances £97,753; Benefits in kind £570; Pension contributions £15,119</t>
  </si>
  <si>
    <t>Corporate Director - Resources/Acting Chief Executive</t>
  </si>
  <si>
    <t>Director of Corporate and Adult Services</t>
  </si>
  <si>
    <t>Director or Regeneration and Community</t>
  </si>
  <si>
    <t>Salary, fees and allowances £117,794; Pension contribution £20,681</t>
  </si>
  <si>
    <t>Salary £151,056; Benefits £379; Pension contributions £27,492</t>
  </si>
  <si>
    <t>Salary £118,895; Benefits £390; Pension contributions £21,639</t>
  </si>
  <si>
    <t>Salary £118,895; Benefits £195; Pension contributions £21,639</t>
  </si>
  <si>
    <t>Deputy Chief Executive and Strategic Director of Children &amp; Younger Adults</t>
  </si>
  <si>
    <t>Salary £116,665; Benefits £395; Pension contributions £21,231</t>
  </si>
  <si>
    <t>Salary £96,474; Benefits £239; Pension contributions £17,558</t>
  </si>
  <si>
    <t>Salary £96,474; Benefits £55; Pension contributions £17,558</t>
  </si>
  <si>
    <t>Salary £89,304; Benefits £61; Pension contributions £16,253</t>
  </si>
  <si>
    <t>Salary £89,304; Pension contributions £16,253</t>
  </si>
  <si>
    <t>Salary £91,381; Benefits £299; Pension contributions £16,631</t>
  </si>
  <si>
    <t>Salary £87,227; Benefits £122; Pension contributions £15,875</t>
  </si>
  <si>
    <t>Director of Legal Services</t>
  </si>
  <si>
    <t>Salary £82,618; Benefits £144; Pension contributions £15,036</t>
  </si>
  <si>
    <t>Salary, fees and allowances £118,000; Benefit in kind £5,000; Pension contributions £25,000</t>
  </si>
  <si>
    <t>Salary, fees and allowances £80,000; Benefits in kind £5,000; Pension contributions £16,000</t>
  </si>
  <si>
    <t>Salary, fees and allowances £149,995; Expenses allowances £226; Pension contribution £22,499</t>
  </si>
  <si>
    <t>Salary, fees and allowances £137,574; Expenses allowances £7; Pension contribution £20,636</t>
  </si>
  <si>
    <t>Salary, fees and allowances £129,700; Pension contribution £19,455</t>
  </si>
  <si>
    <t>Gross salary £128,063; Allowances &amp; expenses £2,561; Pension contribution £22,539</t>
  </si>
  <si>
    <t>Director of Neighbourhoods &amp; Communities</t>
  </si>
  <si>
    <t>Director of Resources (Acting)</t>
  </si>
  <si>
    <t>Gross salary £89,644; Allowances &amp; expenses £2,561; Pension contribution £15,777</t>
  </si>
  <si>
    <t>Salary £102,000; Benefits in kind £5,000; Pension £19,000</t>
  </si>
  <si>
    <t>Salary £118,000; Pension £21,000</t>
  </si>
  <si>
    <t>Salary £125,000; Taxable expenses £1,000; Benefit in kind £3,000, Pension £23,000</t>
  </si>
  <si>
    <t>Salary £132,000; Taxable expenses £1,000; Benefit in kind £3,000; Pension £24,000</t>
  </si>
  <si>
    <t>Salary £164,000; Taxable expenses £1,000; Benefit in kind £5,000; Pension £31,000</t>
  </si>
  <si>
    <t>Stephen Pitt</t>
  </si>
  <si>
    <t>Salary (including fees &amp; allowances) £121,000; Expense allowances (including fuel) £3,000; Pension contributions £17,000</t>
  </si>
  <si>
    <t>Salary £105,000; Expense allowances £1,000; Pension contributions £13,000</t>
  </si>
  <si>
    <t>Salary £104,000; Expense allowances £1,000; Pension contributions £13,000</t>
  </si>
  <si>
    <t>Director of Adult, Community &amp; Housing Services</t>
  </si>
  <si>
    <t>Salary, fees &amp; allowances £95,966; Compensation for loss of office £60,474; Pension contributions £19,694</t>
  </si>
  <si>
    <t>Salary, fees &amp; allowances £88,965; Expenses £135; Pension contributions £18,257</t>
  </si>
  <si>
    <t>Salary, fees &amp; allowances £97,501; Expenses £1,423; Pension contributions £20,008</t>
  </si>
  <si>
    <t>Salary, fees &amp; allowances £97,501; Expenses £1,600; Pension contributions £20,008</t>
  </si>
  <si>
    <t>Salary, fees &amp; allowances £88,965; Expenses £822; Pension contributions £18,257</t>
  </si>
  <si>
    <t>Salary, fees &amp; allowances £92,066; Expenses £1,846; Non-cash benefits in kind £1,710; Pension contributions £21,470;</t>
  </si>
  <si>
    <t>David Wynne</t>
  </si>
  <si>
    <t>Salary, fees &amp; allowances £115,592; Pension contributions £27,236</t>
  </si>
  <si>
    <t>Salary, fees &amp; allowances £105,217; Pension contributions £18,725</t>
  </si>
  <si>
    <t>Salary, fees &amp; allowances £101,217; Pension contributions £18,725</t>
  </si>
  <si>
    <t>Salary, fees &amp; allowances £92,625; Pension contributions £17,136</t>
  </si>
  <si>
    <t>Salary, fees and allowances £200,000; Expenses allowances £828; Pension contributions £42,900</t>
  </si>
  <si>
    <t>Salary, fees and allowances £126,000; Expense allowances £54; Pension contributions £27,027</t>
  </si>
  <si>
    <t>Salary, fees and allowances £140,000; Expense allowances £676; Pension contributions £30,030</t>
  </si>
  <si>
    <t>Salary, fees and allowances £140,000; Expense allowances £159; Pension contributions £30,030</t>
  </si>
  <si>
    <t>Salary, fees and allowances £140,000; Pension contributions £30,030</t>
  </si>
  <si>
    <t>Salary, fees and allowances £120,000; Expenses allowances £151; Pension contributions £25,740</t>
  </si>
  <si>
    <t>Salary (including fees and allowances) £133,011; Bonuses £5,543; Pension contributions £26,070</t>
  </si>
  <si>
    <t>Salary (including fees and allowances) £133,011; Bonuses £10,641; Pension contributions £26,070</t>
  </si>
  <si>
    <t>Salary, fees and allowances £123,213; Pension contributions £22,425</t>
  </si>
  <si>
    <t>Salary, fees and allowances £109,796; Pension contributions £19,983</t>
  </si>
  <si>
    <t>Salary, fees and allowances £102,288; Pension contributions £18,416</t>
  </si>
  <si>
    <t>Salary (including fees &amp; allowances) £124,605; Expense allowances £786; Benefits in kind £8,676; Pension contribution £24,298</t>
  </si>
  <si>
    <t>Salary (including fees &amp; allowances) £97,403; Expense allowances £646; Benefits in kind £9,608; Pension contribution £18,994</t>
  </si>
  <si>
    <t>Salary, fees &amp; allowances £86,487; Compensation for loss of office £101,477; Pension contributions £12,787</t>
  </si>
  <si>
    <t>Head of Development Management</t>
  </si>
  <si>
    <t>Head of Central Policy &amp; Performance</t>
  </si>
  <si>
    <t>Salary, fees &amp; allowances £119,223; Taxable expenses £834; Other remuneration £3,032; Pension contributions £22,297</t>
  </si>
  <si>
    <t>Salary, fees &amp; allowances £102,111; Taxable expenses £843; Pension contributions £15,215</t>
  </si>
  <si>
    <t>Salary, fees &amp; allowances £102,111; Taxable expenses £834; Other remuneration £1,900; Pension contributions £18,624</t>
  </si>
  <si>
    <t>Director of Development &amp; Infrastructure</t>
  </si>
  <si>
    <t>Business Director</t>
  </si>
  <si>
    <t>Salary (inc expense allowance) 98,918; Benefits in kind £2,102; Pension contributions £54,916</t>
  </si>
  <si>
    <t>Salary (inc expense allowance) 85,365; Benefits in kind £5,909; Pension contributions £19,256</t>
  </si>
  <si>
    <t>Salary (inc expense allowance) 103,508; Pension contributions £21,800</t>
  </si>
  <si>
    <t>Salary, fees and allowances £128,386; Expenses allowances £4,292; Pension contributions £24,693</t>
  </si>
  <si>
    <t>Salary, fees and allowances £91,531; Expenses allowances £329; Pension contributions £18,489</t>
  </si>
  <si>
    <t>Salary, fees &amp; allowances £113,096; Taxable expenses £699; Pension contributions £22,408</t>
  </si>
  <si>
    <t>Salary, fees &amp; allowances £101,001; Pension contributions £19,435</t>
  </si>
  <si>
    <t>Salary, fees &amp; allowances £95,169; Taxable expenses £711; Pension contributions £14,058</t>
  </si>
  <si>
    <t>Salary, fees and allowances £111,588; Expenses allowances £960; Pension contributions £10,709</t>
  </si>
  <si>
    <t>John Wilson</t>
  </si>
  <si>
    <t>Salary, fees and allowances £98,875; Expenses allowances £279; Pension contributions £9,353</t>
  </si>
  <si>
    <t>Salary, fees and allowances £98,875; Expenses allowances £1,661; Pension contributions £9,353</t>
  </si>
  <si>
    <t>Andrew Cahill</t>
  </si>
  <si>
    <t>Salary, fees and allowances £98,875; Expenses allowances £822; Pension contributions £9,353</t>
  </si>
  <si>
    <t>Caroline Innes</t>
  </si>
  <si>
    <t>Salary, fees and allowances £97,202; Expenses allowances £1,122; Pension contributions £9,353</t>
  </si>
  <si>
    <t>Salary, fees and allowances £99,225; Expenses allowances £1,539; Pension contributions £9,353</t>
  </si>
  <si>
    <t>Salary, fees &amp; allowances £170,000; Expense allowances £6,000; Pension contributions £26,000</t>
  </si>
  <si>
    <t>Salary, fees &amp; allowances £129,000; Expense allowances £4,000; Pension contributions £20,000</t>
  </si>
  <si>
    <t>Salary, fees &amp; allowances £125,000; Expense allowances £4,000; Pension contributions £19,000</t>
  </si>
  <si>
    <t>Salary, fees &amp; allowances £117,000; Expense allowances £4,000; Pension contributions £18,000</t>
  </si>
  <si>
    <t>Salary (including fees &amp; allowances) £115,983; Contractual re-location expenses £15,551; Benefits in kind £1,113; Pension contributions £18,792</t>
  </si>
  <si>
    <t>Director of Development &amp; Regeneration</t>
  </si>
  <si>
    <t>Salary, fees and allowances £166,874; Pension contributions £31,873</t>
  </si>
  <si>
    <t>Salary, fees and allowances £153,933; Expenses allowances (incl benefit in kind) £52; Pension contributions £29,401</t>
  </si>
  <si>
    <t>Director of Law &amp; Personnel</t>
  </si>
  <si>
    <t>Salary, fees and allowances £128,193; Expenses allowances (incl benefit in kind) £628; Pension contributions £24,485</t>
  </si>
  <si>
    <t>Director of Policy &amp; Communications</t>
  </si>
  <si>
    <t>Salary, fees and allowances £121,320; Bonus £8,661; Pension contributions £24,826</t>
  </si>
  <si>
    <t>Salary, fees and allowances £121,320; Expenses allowances (incl benefit in kind) £894;, Pension contributions £23,172</t>
  </si>
  <si>
    <t>Salary, fees and allowances £102,767; Expenses allowances £3,643; Pension contributions £21,923</t>
  </si>
  <si>
    <t>Salary £88,188; Expenses and allowances £4,901; Pension contributions £16,854</t>
  </si>
  <si>
    <t>Salary, fees &amp; allowances £98,898; Taxable expenses £221; Pension contributions £28,967</t>
  </si>
  <si>
    <t>Chief Executive (Head of Paid Services)</t>
  </si>
  <si>
    <t>Salary (including fees &amp; allowances) 122,982; Elections £7,229; Expenses allowances £8,853; Pension contributions £18,813</t>
  </si>
  <si>
    <t>Salary (including fees &amp; allowances) 101,397; Elections £4,350; Expenses allowances £7,123; Other benefits £1,086; Pension contributions £14,860</t>
  </si>
  <si>
    <t>Salary (including fees &amp; allowances) 101,397; Expenses allowances £7,229; Other benefits £1,557; Pension contributions £14,928</t>
  </si>
  <si>
    <t>Salary, fees and allowances £130,563; Performance related pay £2,567; Pension contributions £25,295</t>
  </si>
  <si>
    <t>Salary, fees and allowances £121,827; Performance related pay £2,565; Pension contributions £23,635</t>
  </si>
  <si>
    <t>Director of Regeneration, Leisure and Culture</t>
  </si>
  <si>
    <t>Director of Place Shaping &amp; Enterprise</t>
  </si>
  <si>
    <t>Salary £110,234; Benefit in kind £1,286; Pension contribution £23,039</t>
  </si>
  <si>
    <t>Salaries fees or allowances £157,000; Bonus payment £6,000; Expense allowances/benefits £1,099; Pension contributions £20,124</t>
  </si>
  <si>
    <t>Mr James Bell</t>
  </si>
  <si>
    <t>Deputy Chief Executive and Executive Director for Finance and Transformation</t>
  </si>
  <si>
    <t>Salaries fees or allowances £162,000; Expense allowances/benefits £1,167; Pension contributions £19,995</t>
  </si>
  <si>
    <t>Deputy Chief Executive &amp;  Commissioning Director for Adult Social Services</t>
  </si>
  <si>
    <t>Salaries fees or allowances £162,320; Expense allowances/benefits £841; Pension contributions £20,036</t>
  </si>
  <si>
    <t>Salaries fees or allowances £157,860; Bonus payment £4,800; Expense allowances/benefits £1,099; Pension contributions £20,073</t>
  </si>
  <si>
    <t>Salaries fees or allowances £152,654; Bonus payment £4,280; Expense allowances/benefits £1,099; Pension contributions £19,443</t>
  </si>
  <si>
    <t>Director for Adult Social Care</t>
  </si>
  <si>
    <t>Salaries fees or allowances £150,100; Expense allowances/benefits £783; Pension contributions £18,460</t>
  </si>
  <si>
    <t>Director for IS, Performance and Programmes</t>
  </si>
  <si>
    <t>Director of Human Resources &amp; Customer Excellence</t>
  </si>
  <si>
    <t>Salaries fees or allowances £125,000; Bonus £30,000; Expense allowances/benefits £1,041; Pension contributions £19,350</t>
  </si>
  <si>
    <t>Salaries fees or allowances £122,500; Bonus £9,600; Expense allowances/benefits £1,041; Pension contributions £16,718</t>
  </si>
  <si>
    <t>Head of Information Services</t>
  </si>
  <si>
    <t>Salaries fees or allowances £122,500; Bonus £10,000; Expense allowances/benefits £514</t>
  </si>
  <si>
    <t>Salaries fees or allowances £109,500; Bonus £7,490; Expense allowance/benefits £1,041; Pension contributions £14,769</t>
  </si>
  <si>
    <t>Salaries fees or allowances £114,144; Bonus payment £2,021; Expense allowances/benefits £2,288 Pension contributions £14,814</t>
  </si>
  <si>
    <t>Remuneration £104,343; Expenses £83; Pension contributions £21,390</t>
  </si>
  <si>
    <t>Salary, fees &amp; allowances £129,062; Other amounts £2,894; Pension contributions £23,420; Returning Officer Duty £536</t>
  </si>
  <si>
    <t>Salary, fees &amp; allowances £92,574; Pension contributions £16,843</t>
  </si>
  <si>
    <t>Salary, fees &amp; allowances £93,506; Pension contributions £16,843</t>
  </si>
  <si>
    <t>Rona Geisler</t>
  </si>
  <si>
    <t>Salary, fees &amp; allowances £88,082; Pension contributions £16,012</t>
  </si>
  <si>
    <t>Director of Finance (Section 95 Officer)</t>
  </si>
  <si>
    <t>Salary (incl fees &amp; allowances) £102,296; Pension contributions £19,539</t>
  </si>
  <si>
    <t>Deputy Chief Executive A</t>
  </si>
  <si>
    <t>Deputy Chief Executive B</t>
  </si>
  <si>
    <t>Gross salary £100,561; Benefits in kind £10,500; Pension contributions £17,498</t>
  </si>
  <si>
    <t>Executive Director B</t>
  </si>
  <si>
    <t>Gross salary £95,326; Benefits in kind £9,450; Pension contributions £16,593</t>
  </si>
  <si>
    <t>Gross salary £89,503; Benefits in kind £9,454; Pension contributions £17,185</t>
  </si>
  <si>
    <t>Salary, fees &amp; allowances £149,437; Returning officer fees £20,280; Pension contributions £29,632</t>
  </si>
  <si>
    <t>Salary, fees &amp; allowances £111,136; Pension contributions £20,227</t>
  </si>
  <si>
    <t>Brian Lawrie</t>
  </si>
  <si>
    <t>Executive Director Finance &amp; Resources</t>
  </si>
  <si>
    <t>Assessor</t>
  </si>
  <si>
    <t>James Campbell</t>
  </si>
  <si>
    <t>Pensionable pay £140,264; Expense allowance £160; Pension contributions £31,279</t>
  </si>
  <si>
    <t>Pensionable pay £89,132; Expense allowance £160; Pension contributions £19,876</t>
  </si>
  <si>
    <t>Pensionable pay £97,328; Pension contributions £21,704</t>
  </si>
  <si>
    <t>Pensionable pay £81,960; Pension contributions £18,277</t>
  </si>
  <si>
    <t>Pensionable pay £83,049; Pension contributions £18,520</t>
  </si>
  <si>
    <t>Salary, fees &amp; allowances £100,200; Benefits in kind £5,124; Expenses allowances £120; Pension contributions £16,353</t>
  </si>
  <si>
    <t>Salary inc fees &amp; allowances £84,229; Expense allowances £196; Pension contributions £25,016</t>
  </si>
  <si>
    <t>Salary inc fees &amp; allowances £82,229; Expense allowances £385; Pension contributions £24,422</t>
  </si>
  <si>
    <t>Remuneration £103,000; Expense allowances £1,000; Pension contributions £18,000</t>
  </si>
  <si>
    <t>Salary (including fees &amp; allowances) £194,015; Expense allowances £13,756; Benefits in kind £11,750; Pension contributions £33,317</t>
  </si>
  <si>
    <t>Salary (including fees &amp; allowances) £112,569; Benefits in kind £5,284; Pension contributions £17,091</t>
  </si>
  <si>
    <t>Salary (including fees &amp; allowances) £137,987; Benefits in kind £13,589; Pension contributions £20,937</t>
  </si>
  <si>
    <t>Salary (including fees &amp; allowances) £112,161; Benefits in kind £5,870; Pension contributions £17,029</t>
  </si>
  <si>
    <t>Salary (including fees &amp; allowances) £118,287; Benefits in kind £11,290; Pension contributions £17,946</t>
  </si>
  <si>
    <t>Salary, fees &amp; allowances £166,780; Election duties £20,401; Pension contributions £30,238</t>
  </si>
  <si>
    <t>Salary, fees &amp; allowances £132,051; Election duties £2,000; Pension contributions £23,942</t>
  </si>
  <si>
    <t>Salary, fees &amp; allowances £117,005; Pension contributions £21,221</t>
  </si>
  <si>
    <t>Salary, fees &amp; allowances £132,051; Pension contributions £23,942</t>
  </si>
  <si>
    <t>Salary, fees &amp; allowances £125,386; Pension contributions £22,734</t>
  </si>
  <si>
    <t>Executive Director of Development and Regeneration Services</t>
  </si>
  <si>
    <t>Assistant Director of Corporate Services</t>
  </si>
  <si>
    <t>Salary, fees &amp; allowances £85,781; Election duties £1,000; Pension contributions £15,553</t>
  </si>
  <si>
    <t>Salary, fees &amp; allowances £114,923; Pension contributions £17,468</t>
  </si>
  <si>
    <t>Salary, fees &amp; allowances £54,789; Expenses allowances £220; Compensation for loss of employment £52,157; Pension contributions £8,088</t>
  </si>
  <si>
    <t>Salary, fees &amp; allowances £89,746; Pension contributions £19,654</t>
  </si>
  <si>
    <t>Salary, fees &amp; allowances £95,881; Other taxable benefits £42; Pension contributions £20,998</t>
  </si>
  <si>
    <t>Salary, fees &amp; allowances £126,854; Other taxable benefits £80; Pension contributions £27,781</t>
  </si>
  <si>
    <t>Salary, fees &amp; allowances £129,090; Compensation for loss of office £32,273; Other taxable benefits £86; Pension contributions £28,271</t>
  </si>
  <si>
    <t>Salary, fees &amp; allowances £161,235; Other taxable benefits £772; Pension contributions £35,310</t>
  </si>
  <si>
    <t>Group Director Children &amp; Young People</t>
  </si>
  <si>
    <t>Group Director of Adult &amp; Community Care</t>
  </si>
  <si>
    <t>Salary, fees &amp; allowances £107,272; Compensation for loss of employment £1909; Pension contribution £20,517. The value of compensation for loss of employment is in relation to pay in lieu of holidays. Left 31 December 2010</t>
  </si>
  <si>
    <t>City Chamberlain (s.95 Officer)</t>
  </si>
  <si>
    <t>Salary, fees &amp; allowances £10,328; Compensation for loss of employment £26,585; Plus annual compensation £861; Pension contributions £175,512. Left 23 May 2010</t>
  </si>
  <si>
    <t>Gross salary, fees &amp; allowances £37,010; Pension contributions £7,106; Left 1 August 2010</t>
  </si>
  <si>
    <t>Gross salary, fees &amp; allowances £109,827; Pension contributions £21,087. Became Director of Corporate Services  13 January 2011</t>
  </si>
  <si>
    <t>Gross salary, fees &amp; allowances £110,906. From 1 January 2010 to 28 February 2011.</t>
  </si>
  <si>
    <t>This post is shared with Worthing BC, they contributed £94,882 towards the cost</t>
  </si>
  <si>
    <t>Salary incl fees &amp; allowances £115,510; Expense allowance £98; Benefit in kind £1,433; Pension contribution £18,713. This post is shared with Worthing BC, they contributed £67,828 towards the cost</t>
  </si>
  <si>
    <t>Salary incl fees &amp; allowances £90,813; Expense allowance £159; Benefit in kind £1,687; Pension contribution £14,712. This post is shared with Worthing BC, they contributed £53,686 towards the cost</t>
  </si>
  <si>
    <t>Salary incl fees &amp; allowances £90,863; Benefit in kind £977;  Pension contribution £14,720. This post is shared with Worthing BC, they contributed £53,280 towards the cost</t>
  </si>
  <si>
    <t>Salary, fees &amp; allowances £90,918, Pension contribution £16,820</t>
  </si>
  <si>
    <t>Salary, fees &amp; allowances £87,474, Pension contributions £16,183</t>
  </si>
  <si>
    <t>Salary, fees &amp; allowances £116,523; Non-cash expenses £5,967; Pension contributions £22,586. Left post on 9 March 2011. This includes £2,039 in relation to elections Returning Officer duties for which the Council is reimbursed. 2010-11 full year equivalent total of salary, fees &amp; allowances is £123,719 (incl. Returning Officer fees)</t>
  </si>
  <si>
    <t>Salary £91,250; Expenses £1,198; Benefits in kind £3,512; Pension contributions £20,440. Salary from 1 April 2010 to 30 September 2010 was £90,000, then from 1 October 2010 increased to £92,500.</t>
  </si>
  <si>
    <t>Deputy Chief Executive (inward facing)</t>
  </si>
  <si>
    <t>Includes a payment for compensation for loss of office.</t>
  </si>
  <si>
    <t>Salary (including fees &amp; allowances) £104,854.91; Benefits in kind £2,797.24; Pension contributions £27,700.64. Started 28 September 2009</t>
  </si>
  <si>
    <t>The post was deleted as part of the Council's restructure. The post holder left on 31 March 2010.</t>
  </si>
  <si>
    <t>Salary, fees &amp; allowances £162,075; Expense allowances £12; Pension contributions £30,745; Was appointed new Chief Executive on 1 March 2011 (Salary etc. paid £12,500). The annual salary for the post is £150,000.</t>
  </si>
  <si>
    <t>Salary (including fees &amp; allowances) £206,000. This figure represents the fee paid in respect of interim appointments</t>
  </si>
  <si>
    <t>Salary (including fees &amp; allowances) £86,922; Compensation for loss of office £280,485; Pension contributions £21,541. Left 17 September 2010, annualised salary was £187,239.</t>
  </si>
  <si>
    <t>Salary (including fees &amp; allowances) £165,504; Compensation for loss of office £106,685; Pension contributions £41,045. Was the Director of Adult Social Services from 1st April 2010 to 26th May 2010. She was then appointed to Acting Director of Health Integration until 31st March 2011.</t>
  </si>
  <si>
    <t>Salary (including fees &amp; allowances) £67,480; Expenses allowances £209; Compensation for loss of office £143,832; Pension contributions £16,685. Was not in post for the full financial year.</t>
  </si>
  <si>
    <t>Salary (including fees &amp; allowances) £65,201; Compensation for loss of office £103,955; Pension contributions £15,952. Was not in post for the full financial year.</t>
  </si>
  <si>
    <t>Salary (including fees &amp; allowances) £69,459; Compensation for loss of office £95,661; Pension contributions £16,190. Was not in post for the full financial year.</t>
  </si>
  <si>
    <t>Salary (including fees &amp; allowances) £165,504; Pension contributions £41,045. Started 1 June 2009</t>
  </si>
  <si>
    <t>Salary (including fees &amp; allowances) £94,000; Bonuses £9,000; Pension contributions £23,000.</t>
  </si>
  <si>
    <t>Salary (including fees &amp; allowances) £133,975. This figure represents the fee paid in respect of interim appointments.</t>
  </si>
  <si>
    <t>Salary (including fees &amp; allowances) £80,000; Compensation for loss of office £58,923; Pension contributions £22,568. This person was not in post for the full financial year.</t>
  </si>
  <si>
    <t>Salary (including fees &amp; allowances) £53,586; Compensation for loss of office £67,793; Pension contributions £13,289. This person was not in post for the full financial year.</t>
  </si>
  <si>
    <t>Salary (including fees &amp; allowances) £114,912. This figure represents the fee paid in respect of interim appointments</t>
  </si>
  <si>
    <t>Salary (including fees &amp; allowances) £86,186; Pension contributions £20,515. This person was not in post for the full financial year.</t>
  </si>
  <si>
    <t>Salary (including fees &amp; allowances) £105,204. This figure represents the fee paid in respect of interim appointments</t>
  </si>
  <si>
    <t>Salary (including fees &amp; allowances) £13,827; Compensation for loss of office £42,675; Pension contributions £3,429. This person was not in post for the full financial year</t>
  </si>
  <si>
    <t>Assistant Director Organisational Development &amp; Customer Care</t>
  </si>
  <si>
    <t>Performance &amp; Development Assistant Director</t>
  </si>
  <si>
    <t>Salary (including fees &amp; allowances) £68,278. This person was not in post for the full financial year; this figure represents the fee paid in respect of interim appointments</t>
  </si>
  <si>
    <t>Salary (including fees &amp; allowances) £83,289; Pension contributions £19,692. This person was not in post for the full financial year.</t>
  </si>
  <si>
    <t>Salary £138,000; Expenses Allowances £3,000; Pension Contributions £26,000</t>
  </si>
  <si>
    <t>Salary £115,000; Pension Contributions £21,000</t>
  </si>
  <si>
    <t>Salary £111,000; Expenses allowances £1,000; Pension Contributions £20,000</t>
  </si>
  <si>
    <t>Salary £101,000; Pension contributions £18,000</t>
  </si>
  <si>
    <t>Salary £89,000; Pension Contributions £16,000</t>
  </si>
  <si>
    <t>Salary £99,000; Employers pension contribution £12,000</t>
  </si>
  <si>
    <t>Salary, Fees and Allowances £175,128; Performance Related Pay £28,442; Expense Allowance £3,000; Benefits in Kind £1,545; Pension Contribution £24,705</t>
  </si>
  <si>
    <t>Salary, Fees and Allowances £126,440; Performance Related Pay £8,962; Expense Allowance £3,000; Pension Contribution £17,060</t>
  </si>
  <si>
    <t>Salary, Fees and Allowances £125,652; Performance Related Pay £21,352; Benefits in Kind £1,545; Pension Contribution £18,486</t>
  </si>
  <si>
    <t>Salary, Fees and Allowances £109,257; Benefits in Kind £1,673; Pension Contribution £13,754. Started 1 March 2010</t>
  </si>
  <si>
    <t>Salary, Fees and Allowances £87,400; Performance Related Pay £1,860; Expense Allowance £912; Benefits in Kind £1,545; Pension Contribution £11,201</t>
  </si>
  <si>
    <t>Salary, Fees and Allowances £86,911; Performance Related Pay £3,918; Expense Allowance £912; Benefits in Kind £1,020; Pension Contribution £11,409</t>
  </si>
  <si>
    <t>Salary, Fees and Allowances £83,568; Performance Related Pay £4,075; Expense Allowance £912; Benefits in Kind £1,545; Pension Contribution £10,930</t>
  </si>
  <si>
    <t>Salary &amp; Allowances £117,957; Benefits in kind £7,431; Pension Payments £17,186</t>
  </si>
  <si>
    <t>Salary &amp; Allowances £107,828; Benefits in Kind £7,855; Pension Payments £15,593. Includes allowance of £14,658 for being the returning officer in 2010-11</t>
  </si>
  <si>
    <t>Salary &amp; Allowances £97,925; Benefits in Kind £780; Pension Payments £13,468</t>
  </si>
  <si>
    <t>Head of Customer Access &amp; Corporate Support</t>
  </si>
  <si>
    <t>Left on 31 July 2009 and includes a redundancy payment of £86,893</t>
  </si>
  <si>
    <t>Salary (including Fees &amp; Allowances) £114,880; Pension Contribution £22,596</t>
  </si>
  <si>
    <t>Salary (including Fees &amp; Allowances) £85,913; Pension contribution £17,057</t>
  </si>
  <si>
    <t>Salary (including Fees &amp; Allowances) £83,403; Pension Contribution £16,614</t>
  </si>
  <si>
    <t>Salary (including Fees &amp; Allowances) £88,698; Pension contribution £17,461. Undertook additional work for West Lindsey DC during the period August 2010 to December 2010 for which a total of £3,195 was paid. This sum plus on costs have been reimbursed by West Lindsey DC.</t>
  </si>
  <si>
    <t>Salary £178,338; Expenses £1,676; Benefits in kind £963; Pension contribution £31,209</t>
  </si>
  <si>
    <t>Salary £113,490; Expenses £390; Benefits in Kind £300; Pension contribution £19,861</t>
  </si>
  <si>
    <t>Salary £112,589; Expenses £1,747; Benefits in Kind £1,201; Pension contributions £19,861</t>
  </si>
  <si>
    <t>Salary £97,275; Benefits in Kind £963; Pension contributions £17,023</t>
  </si>
  <si>
    <t>Salary £86,469; Benefits in Kind £963; Pension contributions £15,132</t>
  </si>
  <si>
    <t>Salary £97,049; Benefits in Kind £4,375; Pension contributions £16,984. Only in post for 5 months in 2009, annualised salary  £94,572</t>
  </si>
  <si>
    <t>Salary £91,587; Benefits in kind £3,442; Pension contribution £17,493. Left 12 April 2011</t>
  </si>
  <si>
    <t>Director of Development and Infrastructure Services</t>
  </si>
  <si>
    <t>Salary (including fees &amp; allowances) £91,790; Taxable expenses £643; Pension contributions £16,619. From 1April 2010</t>
  </si>
  <si>
    <t>Full details for 2010-11 and Notes</t>
  </si>
  <si>
    <t>Salary £115,778; Benefits in Kind £2,493; Pension contribution £23,040; Additional election fees paid for elections May 2010 of £581.Salary, fees &amp; allowances include an emergency planning stand-by payment of £7,106 for 2010-11</t>
  </si>
  <si>
    <t>Salary £185,747; Expenses £2,682; Benefits in Kind £10,819; Pension Contribution £40,957; Additional election fees paid for elections May 2010 of £18,577</t>
  </si>
  <si>
    <t>Strategic Director (Children, Young People and Families)</t>
  </si>
  <si>
    <t>Salary £110,134; Expense Allowances £51; Pension Contribution £17,842</t>
  </si>
  <si>
    <t>Chief Executive – BwD Council/Care Trust Plus</t>
  </si>
  <si>
    <t>Deputy Chief Executive – BwD Council/Care Trust Plus</t>
  </si>
  <si>
    <t>Salary £158,000; Expenses £1,000; Pension Contribution £24,000. From 1st August 2010, the post of Chief Executive assumed responsibility for both Blackburn with Darwen Borough Council and Blackburn with Darwen Teaching Care Trust Plus, and 30% of the salary costs have been charged to the Care Trust Plus.</t>
  </si>
  <si>
    <t>Salary £138,891; Expenses £7,200; Compensation for loss of office £21,220; Benefits in kind £5,493; Pension contributions £22,500. The post was disestablished on 31st March 2011.</t>
  </si>
  <si>
    <t>Salary £80,884; Expenses £27; Benefits in kind £1,053; Pension contributions £18,361.This post was created 19 April 2010</t>
  </si>
  <si>
    <t>Salary £5,285; Expenses £4; Benefit in kind £34; Pension contribution £1,200. Employment ceased 19 April 2010 - full time salary £100,144</t>
  </si>
  <si>
    <t>Salary (including fees and allowances) £107,700. Resigned on 31 August 2009, New CE posted on an interim consultancy basis</t>
  </si>
  <si>
    <t>Includes compensation for loss of office payment</t>
  </si>
  <si>
    <t>Salary £79,755; Expenses £1,113; Back Pay relating to 2007-08, 2008-09 and 2009-10 job evaluation £10,868; Pension Contribution £16,403</t>
  </si>
  <si>
    <t>Salary £108,600; Expenses £600; Pension Contribution £16,800. Started 15 March 2010, annualised salary £108,646</t>
  </si>
  <si>
    <t>Salary £106,500; Expenses £800; Pension contributions £16,500. Started 1 October 2009</t>
  </si>
  <si>
    <t>Strategic Director Changing Our Council/ (Director of Finance)</t>
  </si>
  <si>
    <t>Salary £98,503; Expenses £1,029; Compensation £79,886; Pension Contribution £14,389. Left 30 January 2011</t>
  </si>
  <si>
    <t>Head of District Development</t>
  </si>
  <si>
    <t>Salary 25,000; Compensation £74,000; Pension Contribution £3,000. Left 31 August 2010</t>
  </si>
  <si>
    <t>Head of Enterprise and Culture</t>
  </si>
  <si>
    <t>Salary £45,000; Compensation £67,000; Benefits £2,000; Pension Contribution £6,000. Left 31 December 2010</t>
  </si>
  <si>
    <t>Left 31 August 2009</t>
  </si>
  <si>
    <t>Salary £32,264; Benefit £583; Pension contribution £6,106; Left Post 27 June 2010 - Job shared with South Holland District Council thereafter</t>
  </si>
  <si>
    <r>
      <t xml:space="preserve">Breckland </t>
    </r>
    <r>
      <rPr>
        <i/>
        <sz val="10"/>
        <color theme="1"/>
        <rFont val="Tahoma"/>
        <family val="2"/>
      </rPr>
      <t>(See South Holland DC for other members of a shared management team)</t>
    </r>
  </si>
  <si>
    <r>
      <t xml:space="preserve">Chief Executive </t>
    </r>
    <r>
      <rPr>
        <i/>
        <sz val="10"/>
        <color theme="1"/>
        <rFont val="Tahoma"/>
        <family val="2"/>
      </rPr>
      <t>(Shared 50 per cent with Breckland DC)</t>
    </r>
  </si>
  <si>
    <t>Salary (including fees and allowances) £60,887; Employers pension contributions £9,011. Left 6 September 2010</t>
  </si>
  <si>
    <t>Director of Children &amp; Families</t>
  </si>
  <si>
    <t>Director of Environment and Culture</t>
  </si>
  <si>
    <t>Salary £107,951; Compensation £111,155; Pension Contribution £11,236. Left 15 September 2010</t>
  </si>
  <si>
    <t>Director of Business Transformation</t>
  </si>
  <si>
    <t>Salary £95,536; Pension Contribution £14,139. Left 11 August 2010</t>
  </si>
  <si>
    <t>Salary £75,164; Pension contribution £11,124. Left 13 September 2010</t>
  </si>
  <si>
    <r>
      <t xml:space="preserve">Director of Strategy, Partnership and Improvement </t>
    </r>
    <r>
      <rPr>
        <i/>
        <sz val="10"/>
        <color theme="1"/>
        <rFont val="Tahoma"/>
        <family val="2"/>
      </rPr>
      <t>(formerly Director of Policy and Regeneration)</t>
    </r>
  </si>
  <si>
    <r>
      <t xml:space="preserve">Director of Customer and Community Engagement </t>
    </r>
    <r>
      <rPr>
        <i/>
        <sz val="10"/>
        <color theme="1"/>
        <rFont val="Tahoma"/>
        <family val="2"/>
      </rPr>
      <t>(formerly Director of Communication and Diversity)</t>
    </r>
  </si>
  <si>
    <t>Director of Legal and Procurement</t>
  </si>
  <si>
    <t>Salary £90,840; Pension Contribution £13,444. Started 4 May 2010</t>
  </si>
  <si>
    <t xml:space="preserve">Salary £138,303; Expenses £688; Bonus £13,377; Pension Contribution £132,399. Left 31 July 2010 </t>
  </si>
  <si>
    <r>
      <t xml:space="preserve">Chief Executive </t>
    </r>
    <r>
      <rPr>
        <i/>
        <sz val="10"/>
        <color theme="1"/>
        <rFont val="Tahoma"/>
        <family val="2"/>
      </rPr>
      <t>(Shared with Worthing BC)</t>
    </r>
  </si>
  <si>
    <r>
      <t xml:space="preserve">Head of Recycling &amp; Waste </t>
    </r>
    <r>
      <rPr>
        <i/>
        <sz val="10"/>
        <color theme="1"/>
        <rFont val="Tahoma"/>
        <family val="2"/>
      </rPr>
      <t>(Shared with Worthing BC)</t>
    </r>
  </si>
  <si>
    <r>
      <t xml:space="preserve">Strategic Director 1 </t>
    </r>
    <r>
      <rPr>
        <i/>
        <sz val="10"/>
        <color theme="1"/>
        <rFont val="Tahoma"/>
        <family val="2"/>
      </rPr>
      <t>(Shared with Worthing BC)</t>
    </r>
  </si>
  <si>
    <r>
      <t xml:space="preserve">Strategic Director 2 </t>
    </r>
    <r>
      <rPr>
        <i/>
        <sz val="10"/>
        <color theme="1"/>
        <rFont val="Tahoma"/>
        <family val="2"/>
      </rPr>
      <t>(Shared with Worthing BC)</t>
    </r>
  </si>
  <si>
    <t>Salary £58,589; Pension Contribution £10,077. Left August 2010</t>
  </si>
  <si>
    <t>Salary £160,235. Interim appointment from May 2010. was employed directly from an external specialist service provider and ended in April 2011, The cost included represents payments made in respect of services and expenses.</t>
  </si>
  <si>
    <t>Strategic Director Health and Social Care</t>
  </si>
  <si>
    <t>Salary £29,371; Pension Contribution £4,626. Interim appointment to June 2010.</t>
  </si>
  <si>
    <t>Salary £61,928; Pension Contribution £10,652. Left October 2010</t>
  </si>
  <si>
    <t>Salary £53,790; Pension Contribution £9,252. Left October 2010</t>
  </si>
  <si>
    <t>Strategic Director Transformation</t>
  </si>
  <si>
    <t>Executive Director P/Ships &amp; Projects</t>
  </si>
  <si>
    <r>
      <t xml:space="preserve">Bromsgrove </t>
    </r>
    <r>
      <rPr>
        <i/>
        <sz val="10"/>
        <color theme="1"/>
        <rFont val="Tahoma"/>
        <family val="2"/>
      </rPr>
      <t>(See Redditch BC for other members of the shared management team)</t>
    </r>
  </si>
  <si>
    <r>
      <t>Redditch</t>
    </r>
    <r>
      <rPr>
        <i/>
        <sz val="10"/>
        <color theme="1"/>
        <rFont val="Tahoma"/>
        <family val="2"/>
      </rPr>
      <t xml:space="preserve"> (See Bromsgrove DC for other members of the shared management team)</t>
    </r>
  </si>
  <si>
    <t>Salary, fees &amp; allowances £88,136; Pension contributions £15,776. 50 per cent of costs are refunded by Bromsgrove DC</t>
  </si>
  <si>
    <t>Salary, fees &amp; allowances £98,527; Pension contributions £17,636. 50 per cent of costs are refunded by Bromsgrove DC</t>
  </si>
  <si>
    <t>Head of Computing &amp; Chief Information Officer</t>
  </si>
  <si>
    <t>Salary £124,499; Allowances £1,434; Pension Contribution £11,671. Redditch BC refund 50 per cent of the cost.</t>
  </si>
  <si>
    <t>Salary £8,812; Benefit in kind £50; Pension contribution £2,032. Left 2 May 2010</t>
  </si>
  <si>
    <t>Salary £207,000; Benefit in kind £4,770; Pension contribution £47,334</t>
  </si>
  <si>
    <t>Salary £4,342; Pension contribution £990. Left 11 April 2010</t>
  </si>
  <si>
    <t>Salary £146,927; Benefit in kind £883; Pension Contribution £25,925. Retired 28 February 2011</t>
  </si>
  <si>
    <r>
      <t>Deputy Chief Executive (</t>
    </r>
    <r>
      <rPr>
        <i/>
        <sz val="10"/>
        <color theme="1"/>
        <rFont val="Tahoma"/>
        <family val="2"/>
      </rPr>
      <t>Formerly Director of Corporate Services)</t>
    </r>
  </si>
  <si>
    <r>
      <t xml:space="preserve">Chief Executive </t>
    </r>
    <r>
      <rPr>
        <i/>
        <sz val="10"/>
        <color theme="1"/>
        <rFont val="Tahoma"/>
        <family val="2"/>
      </rPr>
      <t>(Formerly Director of Environment)</t>
    </r>
  </si>
  <si>
    <r>
      <t xml:space="preserve">Director of Customer and Community Services </t>
    </r>
    <r>
      <rPr>
        <i/>
        <sz val="10"/>
        <color theme="1"/>
        <rFont val="Tahoma"/>
        <family val="2"/>
      </rPr>
      <t>(Formerly Director of Community Services)</t>
    </r>
  </si>
  <si>
    <t>Salary £91,891; Benefits £938; Pension Contribution £17,092.</t>
  </si>
  <si>
    <t>Salary £113,252; Expenses £82; Pension Contribution £21,065. Started 10 June 2009</t>
  </si>
  <si>
    <t>Salary £91,891; Expenses £963; Pension Contribution £17,092. Formerly Director of Finance</t>
  </si>
  <si>
    <r>
      <t xml:space="preserve">Director of Environment </t>
    </r>
    <r>
      <rPr>
        <i/>
        <sz val="10"/>
        <color theme="1"/>
        <rFont val="Tahoma"/>
        <family val="2"/>
      </rPr>
      <t>(Formerly Director of Environment and Planning)</t>
    </r>
  </si>
  <si>
    <t>Salary £88,646; Pension Contribution £16,488.</t>
  </si>
  <si>
    <t>Salary £37,876; Pension contribution £59,341. Left 30 June 2010</t>
  </si>
  <si>
    <t>Gordon Jeyes</t>
  </si>
  <si>
    <t>Salary £114,664; Pension contribution £21,786. Started 1 July 2011. Includes 3 months salary from a previous job in the council</t>
  </si>
  <si>
    <r>
      <t xml:space="preserve">Assistant Director - Housing Needs and Resources, Housing and Adult Social Care </t>
    </r>
    <r>
      <rPr>
        <i/>
        <sz val="10"/>
        <color theme="1"/>
        <rFont val="Tahoma"/>
        <family val="2"/>
      </rPr>
      <t>(Formerly Assistant Director - Finance and Resources, Housing and Adult Social Care)</t>
    </r>
  </si>
  <si>
    <r>
      <t xml:space="preserve">Assistant Director - Culture and Customers </t>
    </r>
    <r>
      <rPr>
        <i/>
        <sz val="10"/>
        <color theme="1"/>
        <rFont val="Tahoma"/>
        <family val="2"/>
      </rPr>
      <t>(Formerly Assistant Director - Culture and Sport)</t>
    </r>
  </si>
  <si>
    <r>
      <t xml:space="preserve">Assistant Director - Strategy &amp; Resources, Children, School, Families </t>
    </r>
    <r>
      <rPr>
        <i/>
        <sz val="10"/>
        <color theme="1"/>
        <rFont val="Tahoma"/>
        <family val="2"/>
      </rPr>
      <t>(Formerly Assistant Director - Finance and School Support)</t>
    </r>
  </si>
  <si>
    <r>
      <t xml:space="preserve">Assistant Director - Strategic Planning &amp; Joint Commissioning </t>
    </r>
    <r>
      <rPr>
        <i/>
        <sz val="10"/>
        <color theme="1"/>
        <rFont val="Tahoma"/>
        <family val="2"/>
      </rPr>
      <t>(Formerly Assistant Director, Housing and Adult Social Care)</t>
    </r>
  </si>
  <si>
    <r>
      <t xml:space="preserve">Assistant Director - Communities </t>
    </r>
    <r>
      <rPr>
        <i/>
        <sz val="10"/>
        <color theme="1"/>
        <rFont val="Tahoma"/>
        <family val="2"/>
      </rPr>
      <t>(Formerly Assistant Director - Strategy and Resources, Culture and Environment)</t>
    </r>
  </si>
  <si>
    <r>
      <t xml:space="preserve">Assistant Director - Regeneration and Planning </t>
    </r>
    <r>
      <rPr>
        <i/>
        <sz val="10"/>
        <color theme="1"/>
        <rFont val="Tahoma"/>
        <family val="2"/>
      </rPr>
      <t>(Formerly Assistant Director - Public Protection)</t>
    </r>
  </si>
  <si>
    <r>
      <t xml:space="preserve">Assistant Director - Environment and Transport </t>
    </r>
    <r>
      <rPr>
        <i/>
        <sz val="10"/>
        <color theme="1"/>
        <rFont val="Tahoma"/>
        <family val="2"/>
      </rPr>
      <t>(Formerly Assistant Director - Public Realm and Sustainability)</t>
    </r>
  </si>
  <si>
    <t>Salary £100,682; Expenses £6,655; Pension £15,624; Compensation £69,809. On secondment to Department of Communities and Local Government from 1 April 2010 to 11 February 2011. Annualised salary of £108,014. Includes reimbursement of salary from DCLG. Also includes compensation payment for loss of office of £69,809.</t>
  </si>
  <si>
    <t>Salary £88,188; Compensation £32,868; Pension £18,519. Left on voluntary leave 30 September 2010 on annual salary of £176,376</t>
  </si>
  <si>
    <t>Salary £66,104; Expenses £318; Compensation £26,401; Benefits £1,033; Pension £7,449. Left during 2010-11</t>
  </si>
  <si>
    <t>Salary £81,458; Fees £5,917; Any other emoluments £44; Expenses £6,310; Pension £18,691. Left 16 January 2011</t>
  </si>
  <si>
    <t>Salary £83,063; Benefits £1,432; Pension £17,277. Started 1 May 2009</t>
  </si>
  <si>
    <t>Salary £83,163; Benefits £1,337; Pension £17,298. Started 14 April 2009</t>
  </si>
  <si>
    <t>Salary £87,841; Benefits £1,416; Pension £18,271. Started 1 January 2010</t>
  </si>
  <si>
    <t>Left 31 July 2009</t>
  </si>
  <si>
    <t>Salary £33,250; Benefits £339; Compensation for loss of office £32,000; Pension £6,500. Left 30 June 2010</t>
  </si>
  <si>
    <t>Salary, fees &amp; allowances £127,888; Pension contributions £36,829. Left 31 December 2010</t>
  </si>
  <si>
    <t>Salary (including fees &amp; allowances) £135,000; Bonus £7,000; Pension contributions £26,000. These officers provide services for the City of London Corporation's local authority and non-local authority activities. The remuneration included in  relates to the proportion charged to local authority and police activities.</t>
  </si>
  <si>
    <t>Salary (including fees &amp; allowances) £104,000; Bonus £4,000; Pension contributions £20,000.These officers provide services for the City of London Corporation's local authority and non-local authority activities. The remuneration included in the table above relates to the proportion charged to local authority and police activities.</t>
  </si>
  <si>
    <t>Salary (including fees &amp; allowances) £123,000; Expenses £1,000; Benefits in kind £1,000, Other payments £22,000, Pension contributions £10,000. Retired on 3 January 2011, annualised salary £160,000.</t>
  </si>
  <si>
    <t>Salary (including fees &amp; allowances) £124,000; Bonus £4,000; Pension contributions £24,000. These officers provide services for the City of London Corporation's local authority and non-local authority activities. The remuneration included in the table above relates to the proportion charged to local authority and police activities.</t>
  </si>
  <si>
    <t>Left on 31 December 2009</t>
  </si>
  <si>
    <t>Salary (including fees &amp; allowances) £123,000; Pension contributions £23,000. Commenced 22 February 2010, annualised salary £123,000.</t>
  </si>
  <si>
    <t>Salary (including fees &amp; allowances) £97,000; Pension contributions £18,000. Commenced 11 May 2009, annualised salary £95,000.</t>
  </si>
  <si>
    <t>Salary (including fees &amp; allowances) £85,000; Bonus £3,000; Pension contributions £16,000. These officers provide services for the City of London Corporation's local authority and non-local authority activities. The remuneration included in the table above relates to the proportion charged to local authority and police activities.</t>
  </si>
  <si>
    <t>Salary, fees &amp; allowances £197,500; Expenses allowance £9,527; Pension contributions £38,315. Will draw 95 per cent of salary from 01 January 2011. Expenses primarily in relation to relocation</t>
  </si>
  <si>
    <t>Salary, fees &amp; allowances £90,146; Expense allowances £5,082; Pension contributions £17,488. Assistant Chief Executive - Expenses in relation to provided car on terms carried over from North Cornwall District Council. These will expire in April 2012 and no provided car will be supplied from that date.</t>
  </si>
  <si>
    <t>Salary, fees &amp; allowances £58,333; Pension contributions £11,316. Left 11 March 2010</t>
  </si>
  <si>
    <t>Salary, fees &amp; allowances £100,246; Pension contributions £17,488. Received a one-off payment in respect of annual leave foregone</t>
  </si>
  <si>
    <t>Salary, fees &amp; allowances £121,559; Pension contributions £23,582. The post was filled by a permanent employee from 19 May 2010. The annualised salary of this post is £140,000</t>
  </si>
  <si>
    <t>Shared Chief Executive &amp; Strategic Director with West Oxfordshire DC</t>
  </si>
  <si>
    <t>Salary (including fees &amp; allowances) £186,301; Pension contributions £30,553</t>
  </si>
  <si>
    <t>Salary (including fees &amp; allowances) £124,295; Pension contributions £20,384</t>
  </si>
  <si>
    <t>Salary (including fees &amp; allowances) £113,488; Pension contributions £18,612</t>
  </si>
  <si>
    <t>Salary (including fees &amp; allowances) £86,320; Pension contributions £14,156</t>
  </si>
  <si>
    <t>Salary (including fees &amp; allowances) £118,890; Pension contributions £19,498</t>
  </si>
  <si>
    <t>Salary (including fees &amp; allowances) £110,226; Pension contributions £18,084</t>
  </si>
  <si>
    <t>Salary (including fees &amp; allowances) £99,983; Pension contributions £16,397</t>
  </si>
  <si>
    <t>Salary £25,964. Left on 30 June 2010.</t>
  </si>
  <si>
    <t>Salary, fees &amp; allowances £63,314; Compensation for loss of office £91,347; Pension contributions £134,197. Left 16 March 2011</t>
  </si>
  <si>
    <t>Head of Finance and Procurement (S.141 officer)</t>
  </si>
  <si>
    <t>Basic salary £77,081; Chief Officer allowances £3,687; Performance related pay £13,214; Pension contributions £18,738. Left office on 31 October 2010</t>
  </si>
  <si>
    <t>Basic salary £127,017; Chief Officer allowances £6,321; Performance related pay £6,351; Pension contributions £30,934</t>
  </si>
  <si>
    <t>Basic salary £102,034; Chief Officer allowances £4,452; Pension contributions £24,705</t>
  </si>
  <si>
    <t>Basic salary £98,664; Chief Officer allowances £6,321; Pension contributions £24,357</t>
  </si>
  <si>
    <t>Basic salary £98,664; Chief Officer allowances £6,321; Additional allowances £5,123; Pension contributions £25,545</t>
  </si>
  <si>
    <t>Salary £44,064; Benefits in kind £326; Pension contributions £9,124. Left 31 July 2010</t>
  </si>
  <si>
    <t>Salary £123,452; Pension contributions £26,295. The annual salary in respect of 2009-10 was £117,817. The balance of this payment was received after 31 March 2010 and is included in the 2010-11 summary.</t>
  </si>
  <si>
    <t>Salary £96,014; Expenses allowances £1,356; Redundancy pay £156,639, Pension contributions £17,762. Left the Authority on 31 December 2010. As part of the Council's senior management restructure this post was deleted from the establishment from 1 January 2011.</t>
  </si>
  <si>
    <t>Salary (including fees &amp; allowances) £131,667; Pension contributions £28,747</t>
  </si>
  <si>
    <t>Salary (including fees &amp; allowances) £93,051; Expense allowances £997; Pension contributions £20,285</t>
  </si>
  <si>
    <t>Salary (including fees &amp; allowances) £89,178; Expense allowances £970; Pension contributions £19,441</t>
  </si>
  <si>
    <t>Salary (including fees &amp; allowances) £95,845; Expense allowances £503; Pension contributions £20,894</t>
  </si>
  <si>
    <t>Acting Chief Executive November 2008 to May 2009</t>
  </si>
  <si>
    <t>Salary (including fees &amp; allowances) £80,856; Benefits in kind £1,419; Pension contributions £19,648</t>
  </si>
  <si>
    <t>Salary (including fees &amp; allowances) £81,573; Expenses allowance £8,623; Pension contributions £20,937</t>
  </si>
  <si>
    <t>Salary (including fees &amp; allowances) £69,725; Bonuses, Benefits in kind &amp; Compensation £77,427; Expense allowances £708; Pension contributions £13,886. Left the position on 31 December 2010</t>
  </si>
  <si>
    <t>Salary (including fees &amp; allowances) £51,063; Bonuses, benefits in kind &amp; compensation £55,898; Expense allowances £740; Pension contributions £10,590. Left the position on 31 December 2010</t>
  </si>
  <si>
    <t>Salary, fees and allowances £160,159; Expenses allowances £159; Pension contribution £28,480. Started 27 July 2009</t>
  </si>
  <si>
    <t>Salary £53,418; Expense Allowance £5; Pension Contributions £9,214. Left position 31 August 2010</t>
  </si>
  <si>
    <t>Salary £10,108; Pension Contribution £1,764. Left position 30 April 2010</t>
  </si>
  <si>
    <t>Salary, fees and allowances £107,914; Expense allowances £6; Pension contributions £19,191. Started 19 April 2010</t>
  </si>
  <si>
    <t>Salary, fees and allowances £60,676; Expense allowance £6; Pension Contributions £10,507. Left position 23 October 2010</t>
  </si>
  <si>
    <t>Salary, fees and allowances £111,853; Pension contributions £12,345. Started 01 April 2010, left position 31 October 2010</t>
  </si>
  <si>
    <t>Salary £10,278; Expense allowance £13; Pension contributions £1,764. Left 30 April 2010</t>
  </si>
  <si>
    <t>Salary £8,311; Benefits £6,923; Pension Contributions £1,388; Retired in February 2011</t>
  </si>
  <si>
    <t>Salary, fees and allowances £129,700; Expenses allowances £906; Pension contribution £19,455. Began on 01 August 2009</t>
  </si>
  <si>
    <t>Gross salary £132,120; Pension contribution £25,896. Started July 2010 on secondment from Kirklees Council. It was agreed between the authorities that Doncaster should include
the remuneration in their notes</t>
  </si>
  <si>
    <t>Gross salary £98,378; Allowances &amp; expenses £2,420; Compensation for loss of office £91,255; Pension contribution £17,371. Left position 26 January 2011. Includes January's salary as this post was excluded from the new structure</t>
  </si>
  <si>
    <t>Gross salary £87,403; Allowances &amp; expenses £2,561; Pension contribution £15,383. Left position December 2010</t>
  </si>
  <si>
    <t>Gross salary £83,027; Allowances &amp; expenses £2,665; Pension contribution £14,631. Left position December 2010. Includes January's salary as this post was excluded from the new structure</t>
  </si>
  <si>
    <t>Gross salary £96,047; Allowances &amp; expenses £2,561; Pension contribution £16,904. Left position December 2010</t>
  </si>
  <si>
    <t>Salary £110,000; Pension £20,000. Joined on 1 May 2010</t>
  </si>
  <si>
    <t>Retired 31 December 2009</t>
  </si>
  <si>
    <t>Salary £161,000; Pension contributions £20,000. The salary  included payments of £4,000 for additional duties which were recharged to the Black Country Consortium</t>
  </si>
  <si>
    <t>Salary £49,000; Expense allowances £1,000; Compensation for loss of office £46,000; Pension contributions £6,000. The salary included payments of £1,015 for additional duties in respect of former West Midlands County Council debt</t>
  </si>
  <si>
    <t>Salary, fees &amp; allowances £89,092; Expenses £1,924; Compensation for loss of office £62,986; Pension contributions £18,283. Left position on 31 March 2010</t>
  </si>
  <si>
    <t>Salary, fees &amp; allowances £99,684; Expenses £1,012; Compensation for loss of office £65,500; Pension contributions £20,457. Left 31 March 2011</t>
  </si>
  <si>
    <t>Salary, fees &amp; allowances £101,217; Pension contributions £18,725. Started 8 June 2009</t>
  </si>
  <si>
    <t>Salary, fees &amp; allowances £97,782; Benefits other than in cash £3,026; Pension contributions £18,090. Started 2 October 2009</t>
  </si>
  <si>
    <t>Salary, fees &amp; allowances £138,743; Benefits other than in cash £2,704; Pension contributions £25,667. Started 1 October 2009</t>
  </si>
  <si>
    <t>Salary, fees and allowances £68,871; Expenses £56; Pension contributions £14,807. Retired 30 June 2010</t>
  </si>
  <si>
    <t>Salary (including fees and allowances) £183,854. Started 25 November 2009</t>
  </si>
  <si>
    <t>Salary, fees and allowances £101,442; Non cash expense and benefit in kind £162; Pension contributions £18,399. Salary for 2009-10 relates to the post of Executive Head of Finance and Asset Management</t>
  </si>
  <si>
    <t>Salary )including fees &amp; allowances) £8,197; Benefit in kind £577; Employer pension contributions £1598. Left 2 May 2010</t>
  </si>
  <si>
    <t>Salary (including fees &amp; allowances) £50,061; Expense allowances £302; Compensation for loss of office £47,818; Pension contributions £9,762. Left 11 March 2011, annualised salary £52,905</t>
  </si>
  <si>
    <t>Salary, fees &amp; allowances £121,303; Expense allowances £3,000; Pension contributions £18,150. Provides services to both this council and South Somerset district Council. Formerly employed by this council and 50% of the salary is recharged</t>
  </si>
  <si>
    <r>
      <t xml:space="preserve">Chief Executive </t>
    </r>
    <r>
      <rPr>
        <i/>
        <sz val="10"/>
        <color theme="1"/>
        <rFont val="Tahoma"/>
        <family val="2"/>
      </rPr>
      <t>(Shared with South Somerset DC)</t>
    </r>
  </si>
  <si>
    <t>Salary, fees &amp; allowances £86,487; Compensation for loss of office £101,477; Pension contributions £12,787. Made redundant 29 April 2011</t>
  </si>
  <si>
    <t>Salary £105,556; Other payments £1,845; Pension contributions £16,231. Began in post 1 August 2009</t>
  </si>
  <si>
    <t>Salary £50,147; Compensation for loss of employment £51,761; Other payments £4,267; Pension contributions £7,612. Left  13 March 2011</t>
  </si>
  <si>
    <t>Salary £40,814; Compensation for loss of employment £57,931; Other payments £3,630; Pension contributions £5,999. Left 31 December 2010</t>
  </si>
  <si>
    <t>Salary £49,236; Compensation for loss of employment £46,497; Other payments £4,372; Pension contributions £7,483. Left 7 March 2011</t>
  </si>
  <si>
    <t>Salary, fees and allowances £66,108; Payments for loss of employment £42,255; Pension contributions £72,041. Left  February 2011</t>
  </si>
  <si>
    <t>Salary, fees &amp; allowances £52,000; Expense allowances £2,000; Pension contributions £370,000. Pension Contribution figure includes £362,000 paid to the East Riding Pension Fund (not to the retiring individual) in relation to the post of the Director of Corporate Resources</t>
  </si>
  <si>
    <t>Salary (including fees &amp; allowances) £98,228; Benefits in kind £1,023; Pension contributions £13,978. Following a Departmental restructure, five Heads of Service were appointed based on the new structure which came into effect from 1 October 2010. The annualised salaries of these were £70,000.  The previous post of Head of Regeneration, was deleted from the establishment as a result of the restructure</t>
  </si>
  <si>
    <t>Salary (including fees &amp; allowances) £47,522; Compensation for loss of office £89,236; Benefits in kind £488; Pension contributions £4,082. Made redundant 16 July 2010</t>
  </si>
  <si>
    <t>Salary, fees and allowances £15,092; Expenses allowances (incl benefits in kind) £70; Pension contributions £198,554. Employer’s Pension Contributions includes 3 years Augmentation on retirement (with effect 30 April 2010) with a cost to the employer of £195,671.56 (This figure excludes normal employer contribution of £2,882.57)</t>
  </si>
  <si>
    <t>Salary, fees and allowances £135,060; Bonuses £3,376; Expense allowances (incl benefit in kind) £687; Pension contributions £26,441. Bonuses relates to Honorarium payments 2.50% of salary in previous year</t>
  </si>
  <si>
    <t>Salary, fees and allowances £130,292; Bonus £9,173; Compensation for loss of office £65,329; Pension contributions £165,152. Left post 20 October 2011</t>
  </si>
  <si>
    <t>Salary, fees and allowances £125,119. Not an employee of the Council. Engaged via an agency, the value stated is the amount paid to the agency for services in the 2010-11 financial year</t>
  </si>
  <si>
    <t>Salary, fees and allowances £84,233; Expenses allowances £3,150; Pension contributions £18,200. Entered post on 5 October 2009</t>
  </si>
  <si>
    <t>Salary, fees and allowances £131,406; Performance related pay £228; Pension contributions £25,011. Declined to accept the performance related pay to which entitled from 1 July 2010 although, Annual Accounts include the figure reflecting full remuneration package entitlement</t>
  </si>
  <si>
    <t>Salary, fees and allowances £123,192; Performance related pay £2,567; Expense allowances £57; Pension contributions £23,894. Started 08 June 2009, annualised salary £123,192</t>
  </si>
  <si>
    <t>Salary, fees and allowances £116,352; Performance related pay £2,565; Pension contributions £22,594. Started 8 June 2009, annualised salary £116,352</t>
  </si>
  <si>
    <t>Salary, fees and allowances £67,187; Performance related pay £911; Pension contributions £13,069. Left October 2010</t>
  </si>
  <si>
    <t>Salary (including fees &amp; allowances; and Compensation for loss of employment) £162,904; Benefits in kind £1,816; Pension contributions £5,940. Left the post on 20 July 2010 and received compensation for loss of office of £73,764</t>
  </si>
  <si>
    <t>Salary £101,000; Expenses allowances £4,000; Other benefits £7,000; Pension contributions £15,000. Permanently appointed November 2009</t>
  </si>
  <si>
    <t>Salaries fees or allowances £233,000; Bonus payment £6,900; Expense allowances/benefits £815; Pension contributions £30,345. Shared by Brentwood Borough Council</t>
  </si>
  <si>
    <t>Salaries fees or allowances £182,000; Bonus payment £13,600; Expense allowances/benefits £1,041; Pension contributions £24,329. Left 31 March 2010</t>
  </si>
  <si>
    <t>Salaries fees or allowances £152,974; Expense allowances/benefits £1,050; Pension contributions £18,854. Joined council on 12 April 2010 and left 10 April 2011</t>
  </si>
  <si>
    <t>Salaries fees or allowances £47,333; Compensation for loss of employment £138,000; Pension contributions £5,805. Left  31 July 2009</t>
  </si>
  <si>
    <t>Salaries fees or allowances £64,936; Bonus £2,500; Expense allowances/benefits £1,145; Compensation for loss of employment £100,000; Pension contributions £7,662. Left 14 September 2009</t>
  </si>
  <si>
    <t>Salary, fees &amp; allowances £97,007; Pension contributions £48,692. Includes an additional contribution of £31,849 in respect of the early payment of accrued pension benefits. Left 31 March 2011</t>
  </si>
  <si>
    <t>Gross salary £71,252; Compensation for loss of office £299,148; Benefits in kind £18,137; Pension contributions £12,079. Took early retirement on 1 September 2010, annualised salary £149,985</t>
  </si>
  <si>
    <t>Gross salary £117,256; Benefits in kind £2,000; Pension contributions £22,513. Started 25 May 2010, annualised salary £137,600</t>
  </si>
  <si>
    <t>Gross salary £89,476; Benefits in kind £10,919; Pension contributions £17,179Started 25 May 2010, annualised salary £105,000</t>
  </si>
  <si>
    <t>Executive Director Housing &amp; Communities</t>
  </si>
  <si>
    <t>Salary, fees &amp; allowances £111,136 Pension contributions £20,227. Started 4 July 2009</t>
  </si>
  <si>
    <t>Salary, fees &amp; allowances £66,082; Returning Officer Fee £2,000; Pension contributions £17,733. Left 17 October 2010</t>
  </si>
  <si>
    <t>Salary, fees &amp; allowances £99,160; Taxable expenses £536; Pension contributions £18,047. Started 4 January 2010</t>
  </si>
  <si>
    <t>Salary, fees &amp; allowances £32,012; Taxable expenses £344; Pension contributions £5,249. Left  11 July 2010</t>
  </si>
  <si>
    <t>Salary (including fees &amp; allowances) £95,391; Benefits in kind £5,896; Pension contributions £14,483. Started 1 February 2010</t>
  </si>
  <si>
    <t>Salary (including fees &amp; allowances) £112,658; Benefits in kind £5,344; Pension contributions £17,091. Started 1 February 2010</t>
  </si>
  <si>
    <t>Salary (including fees &amp; allowances) £101,452; Benefits in kind £5,228; Pension contributions £15,403. Pension includes £165,300 in relation to the cause of Pension Augmentation due to discretionary added years</t>
  </si>
  <si>
    <t>Salary, fees &amp; allowances £100,301; Benefits in kind £634; Compensation for loss of office £56,551; Pension contributions £12,980. Left  31 December 2010</t>
  </si>
  <si>
    <t>Salary, fees &amp; allowances £45,710; Compensation for loss of office £109,279; Annual compensation £11, 032; Pension contributions £143,585. Left July 2010</t>
  </si>
  <si>
    <t>Salary, fees &amp; allowances £77,802; Compensation for loss of office £48,044; Annual compensation £6,571; Pension contributions £14,109</t>
  </si>
  <si>
    <t>Salary, fees &amp; allowances £74,014; Compensation for loss of office £78,142; Annual compensation £7,356; Election duties £2,000; Pension contributions £215,671. Left December 2010</t>
  </si>
  <si>
    <t>Salary, fees &amp; allowances £93,962; Compensation for loss of office £82,741; Annual compensation £7,853; Pension contributions £172,897</t>
  </si>
  <si>
    <t>Salary, fees &amp; allowances £82,955; Compensation for loss of office £70,297; Annual compensation £6,935; Pension contributions £222,859</t>
  </si>
  <si>
    <t>Salary, fees &amp; allowances £85,739; Compensation for loss of office £69,955; Annual compensation of £6,821; Pension contributions £100,836</t>
  </si>
  <si>
    <t>Salary, fees &amp; allowances £98,881; Pension contributions £21,655. Was designated with the additional responsibility for Children's Services from July 2010</t>
  </si>
  <si>
    <t>Salary, fees &amp; allowances £110,134; Pension contributions £23,458. Retired on 28 February 2011</t>
  </si>
  <si>
    <t>Salary, fees &amp; allowances £44,521; Compensation for loss of employment £33,391; Benefits £58; Pension contributions £9,750. Left 30 June 2011</t>
  </si>
  <si>
    <t>Not directly employed by the Council, services are obtained through Comensura Ltd at a total cost of £148,926 for the financial year</t>
  </si>
  <si>
    <t>Salary (including fees &amp; allowances) £236,585; Compensation for loss of office £169,039; Pension contributions £27,533; Left 24 February 2011</t>
  </si>
  <si>
    <t>Used 2009-10 statement of accounts</t>
  </si>
  <si>
    <t>Salary £130,000; Pension contributions £20,280. Started 1 September 2009</t>
  </si>
  <si>
    <r>
      <t>Director of Sustainability</t>
    </r>
    <r>
      <rPr>
        <i/>
        <sz val="10"/>
        <color theme="1"/>
        <rFont val="Tahoma"/>
        <family val="2"/>
      </rPr>
      <t xml:space="preserve"> (Formerly Director of Regeneration)</t>
    </r>
  </si>
  <si>
    <t>Left the organisation on 30 October 2009. The annualised salary was £125,124 in 2009/10. This post no longer exists following a restructure of senior management in 2009-10</t>
  </si>
  <si>
    <t>Left the organisation on 31 May 2009. The annualised salary was £150,852. This post no longer exists following a restructure of senior management in 2009-10.</t>
  </si>
  <si>
    <r>
      <t xml:space="preserve">Executive Director </t>
    </r>
    <r>
      <rPr>
        <i/>
        <sz val="10"/>
        <color theme="1"/>
        <rFont val="Tahoma"/>
        <family val="2"/>
      </rPr>
      <t>(Shared with Staffordshire Moorlands DC)</t>
    </r>
  </si>
  <si>
    <r>
      <t xml:space="preserve">Assistant Chief Executive Officer </t>
    </r>
    <r>
      <rPr>
        <i/>
        <sz val="10"/>
        <color theme="1"/>
        <rFont val="Tahoma"/>
        <family val="2"/>
      </rPr>
      <t>(Shared with Staffordshire Moorlands DC)</t>
    </r>
  </si>
  <si>
    <r>
      <t xml:space="preserve">High Peak </t>
    </r>
    <r>
      <rPr>
        <i/>
        <sz val="10"/>
        <color theme="1"/>
        <rFont val="Tahoma"/>
        <family val="2"/>
      </rPr>
      <t>(See Staffordshire Moorlands DC for other members of the shared management team)</t>
    </r>
  </si>
  <si>
    <r>
      <t xml:space="preserve">Chief Executive </t>
    </r>
    <r>
      <rPr>
        <i/>
        <sz val="10"/>
        <color theme="1"/>
        <rFont val="Tahoma"/>
        <family val="2"/>
      </rPr>
      <t>(Formerly Director of Finance and Performance)</t>
    </r>
  </si>
  <si>
    <t>Salary (including fees and allowances) £78,564; Benefits in kind £6,028; Pension contributions £13,984; Left the Senior management team on 31 January 2011</t>
  </si>
  <si>
    <t>Salary, fees and allowances £118,983; Pension contribution £23,202; Was in post from 1 June 2009, the equivalent annual salary is £114,735.</t>
  </si>
  <si>
    <t>Salary, fees and allowances £97,654; Pension contribution £19,042; Was in post from 5 January 2010, the equivalent annual salary is £95,610.</t>
  </si>
  <si>
    <t>Left 19 June 2009</t>
  </si>
  <si>
    <t>Salary £36,071; Expenses £165; Compensation for loss of office £40,952; Pension contributions £68,216. Left post on 30 September 2010</t>
  </si>
  <si>
    <t>Includes an element of backdated entitlement</t>
  </si>
  <si>
    <r>
      <t xml:space="preserve">Chief Executive </t>
    </r>
    <r>
      <rPr>
        <i/>
        <sz val="10"/>
        <color theme="1"/>
        <rFont val="Tahoma"/>
        <family val="2"/>
      </rPr>
      <t>(Formerly Deputy Chief Executive)</t>
    </r>
  </si>
  <si>
    <t xml:space="preserve">As Chief Executive: Salary £47,549; Expenses £781; Pension contributions £10,969. As Deputy Chief Executive: Salary £54,198; Expenses £1,049; Pension contributions £12,555. Became Chief Executive 20 October 2010 </t>
  </si>
  <si>
    <t>J Jory</t>
  </si>
  <si>
    <t>Salary £34,645; Expenses £683; Pension contributions £7,984. Left 30 June 2010.</t>
  </si>
  <si>
    <t>Acting Director of Corporate Services</t>
  </si>
  <si>
    <t>Salary £2,988; Pension contributions £454. Left 12 April 2010</t>
  </si>
  <si>
    <t>Salary £188,022; Pension contributions £46,761. Started 12 July 2010</t>
  </si>
  <si>
    <r>
      <t xml:space="preserve">Chief Executive </t>
    </r>
    <r>
      <rPr>
        <i/>
        <sz val="10"/>
        <color theme="1"/>
        <rFont val="Tahoma"/>
        <family val="2"/>
      </rPr>
      <t>(Formerly Executive Director Children, Schools and Families)</t>
    </r>
  </si>
  <si>
    <t>Salary £147,352; Compensation for loss of employment £20,123; Pension contributions £21,633. Left 10 August 2010</t>
  </si>
  <si>
    <t>Salary £126,758; Pension contributions £34,463. Started 1 July 2010</t>
  </si>
  <si>
    <t>Salary £116,836; Car allowances £925; Pension contributions £23,718. Appointed 6 July 2009</t>
  </si>
  <si>
    <t>Salary £96,188; Car allowances £925; Pension contributions £19,526. Appointed 16 November 2009</t>
  </si>
  <si>
    <t>Salary £96,188; Car allowances £925; Pension contributions £19,526. Appointed 1 May 2009</t>
  </si>
  <si>
    <t>Remuneration £98,843; Pension contributions £9,873</t>
  </si>
  <si>
    <t>Salary £94,551; Pension contributions £17,586. Started 4 May 2010</t>
  </si>
  <si>
    <t>Salary £91,497; Pension contributions £11,826. Post deleted October 2010</t>
  </si>
  <si>
    <t>Salary £45,963; Compensation for loss of employment £53,920; Other £2,586; Pension contributions £10,022. Left 31 January 2011</t>
  </si>
  <si>
    <t>Salary £116,250; Expenses allowances £398; Pension contributions £22,320. Started 1 July 2010</t>
  </si>
  <si>
    <t>Salary £156,000; Expenses allowances £1,000; Pension contributions £30,000. Appointed June 2010 - annualised salary £161,000</t>
  </si>
  <si>
    <t>Salary £37,000; Pension contributions £7,000. Left June 2010 annualised salary 3£197,000</t>
  </si>
  <si>
    <t>Salary £104,246; Benefits in kind £811; Pension contributions £18,869. Started 1 January 2011</t>
  </si>
  <si>
    <t>Salary £3,458; Compensation for loss of office £107,063; Benefits in kind £71; Pension contributions £626. Left 9 April 2010</t>
  </si>
  <si>
    <t>Salary £126,782; Compensation for loss of office £190,423; Benefits in kind £3,608; Pension contributions £16,689. Left 30 November 2010</t>
  </si>
  <si>
    <t>Salary £46,956; Compensation for loss of office £189,000; Benefits in kind £2,005; Pension contributions £8,449. Left 31 August 2010</t>
  </si>
  <si>
    <t>Left 30 March 2010</t>
  </si>
  <si>
    <t>Salary £37,565; Pension contributions £1,000. For 18.5 Hours per week, left 30 November 2010</t>
  </si>
  <si>
    <t>Salary £126,982; Expense allowances £27; Compensation for loss of office £11,670; Pension contributions £21,119. Left post 31 March 2011</t>
  </si>
  <si>
    <t>Salary £121,371; Expense allowances £36; Pension contributions £21,119;. Started 29 May 2009 - annualised salary £121,371</t>
  </si>
  <si>
    <t>Salary £58,950; Expenses allowances £275; Compensation for loss of office £29,773; Pension contributions £96,223. Left employment 31 March 2011</t>
  </si>
  <si>
    <t>Salary £85,548; Pension contributions £14,672. Retired December 2010</t>
  </si>
  <si>
    <t>Salary, fees &amp; allowances £107,000; Expenses allowances £1,000, Pension contributions £17,000. Started 14 April 2009</t>
  </si>
  <si>
    <t>Salary, fees &amp; allowances £94,000; Expenses allowances £1,000; Pension contributions £15,000. Started 1 April 2010</t>
  </si>
  <si>
    <t>Salary £83,851; Expenses allowances £1,136; Benefits in kind £1,405, Election duties £383; Pension contributions £14,756. Left 4 March 2011</t>
  </si>
  <si>
    <t>Salary £108,679; Benefits in kind £596; Election duties £865; Pension contributions £19,116. Started 25 May 2009</t>
  </si>
  <si>
    <t>Salaries £99,614; Fees &amp; allowances £157; Pension contributions £14,942. Started 1 September 2009</t>
  </si>
  <si>
    <t>Salary (including fees &amp; allowances) £76,683; Pension contributions £61,731. Left 1 August 2011</t>
  </si>
  <si>
    <t>Salary (including fees &amp; allowances) £109,564; Pension contributions £180,518. Left 1 March 2011</t>
  </si>
  <si>
    <t>Salary (including fees &amp; allowances) £38,326; Compensation for loss of office £143,723; Pension contributions £5,634. Left  31 July 2010</t>
  </si>
  <si>
    <t>Salary (including fees &amp; allowances) £80,873; Benefits in kind £471; Redundancy £92,955; Pension contributions £7,756.  Left during year 2010/11</t>
  </si>
  <si>
    <t>Director of Education and Leisure Services</t>
  </si>
  <si>
    <t>Salary £107,844, Pension contributions £20,000. Started 1 April 2010</t>
  </si>
  <si>
    <t xml:space="preserve">Salary £132,722, Fees &amp; allowances £6,053, Expenses £65, Pension contributions £25,000. </t>
  </si>
  <si>
    <t>Salary £37,913, Fees &amp; allowances £2,600, Compensation for loss of employment £134,883, Pension contributions £7,000. Left  4 September 2010. 2009-10 does not include pension contributions</t>
  </si>
  <si>
    <t xml:space="preserve">Salary £107,844, Fees &amp; allowances £200, Pension contributions £20,000. 2009-10 does not include pension contributions </t>
  </si>
  <si>
    <t>Salary £107,844, Fees &amp; allowances £300, Pension contributions £20,000. 2009-10 does not include pension contributions</t>
  </si>
  <si>
    <t>Salary £107,844, Pension contributions £20,000. 2009-10 does not include pension contributions</t>
  </si>
  <si>
    <t>M Gladstone</t>
  </si>
  <si>
    <t>Assistant Chief Executive Policy and Performance</t>
  </si>
  <si>
    <t>Remuneration £86,787.04; Pension contributions £14,130.59</t>
  </si>
  <si>
    <t>Left in 2009-10</t>
  </si>
  <si>
    <t>Salary (including fees &amp; allowances) £99,455; Compensation for loss of office £40,000; Pension contributions £123,133. Left 31 March 2011</t>
  </si>
  <si>
    <t>Salary (including fees &amp; allowances) £110,400; Pension contributions £0. Started 1 September 2009</t>
  </si>
  <si>
    <t>Salary (including fees &amp; allowances) £37,675; Expense allowances £313; Compensation for loss of office £39,516; Benefits in kind £482; Pension contributions £141,612. Left 30 September 2010</t>
  </si>
  <si>
    <t>Salary (including fees &amp; allowances) £101,310; Expense allowances £896; Compensation for loss of office £56,145; Pension contributions £15,243. Left  31 March 2011</t>
  </si>
  <si>
    <t>Salary £63,829; Other emoluments £38,043; Pension contributions £10,723. Left 1 September 2010</t>
  </si>
  <si>
    <t>Salary (including fees &amp; allowances) £103,356; Expense allowances £414; Compensation for loss of office £62,616; Pension contributions £22,519. Left 30 June 2010</t>
  </si>
  <si>
    <t>Salary (including fees &amp; allowances) £120,000; Expense allowances £390; Pension contributions £20,520. Started 21 September 2009</t>
  </si>
  <si>
    <t>Made redundant 31 December 2009</t>
  </si>
  <si>
    <t>Took early retirement on 31 March 2010.</t>
  </si>
  <si>
    <t>Salaries, fees &amp; allowances £126,512; Pension contributions £225,890. Took early retirement on 31 March 2011</t>
  </si>
  <si>
    <t>Salaries, fees &amp; allowances £126,130; Pension contributions £19,250. Started 5 October 2009</t>
  </si>
  <si>
    <t>Salary (including fees &amp; allowances) £79,648.78; Compensation for loss of office £75,975.36; Benefits in kind £31.80; Pension contributions £12,026.96. Left 18 March 2011</t>
  </si>
  <si>
    <t>Salary £51,637; Returning officer fees £12,696; Benefits in kind £2,944; Compensation for loss of office £103,387; Pension contributions £41,154. Left 31 August 2010</t>
  </si>
  <si>
    <t>Salary £120,482. Held by an interim agency contract during 2010-11</t>
  </si>
  <si>
    <t>Salary £189,700; Expenses £1,500; Pension Contribution £28,900. Started October 2009</t>
  </si>
  <si>
    <t>Salary £103,531; Expenses £572; Pension Contribution £13,823. Retired September 2010</t>
  </si>
  <si>
    <t>Salary £115,000; Pension Contribution £17,000. Left during 2010-11</t>
  </si>
  <si>
    <t>Salary £122,000; Pension Contribution £18,000. Started during 2009-10</t>
  </si>
  <si>
    <t>Salary £122,000; Expenses £1,000; Pension Contribution £18,000. Started during 2009-10</t>
  </si>
  <si>
    <t>Salary £112,000; Expenses £1,000; Pension Contribution £17,000. Started during 2009-10</t>
  </si>
  <si>
    <t>Salary £117,980; Pension Contribution £22,119; Compensation £31,005. Became Director of Strategy and Democracy 1 October 2010</t>
  </si>
  <si>
    <r>
      <t xml:space="preserve">Director of Strategy and Democracy </t>
    </r>
    <r>
      <rPr>
        <i/>
        <sz val="10"/>
        <color theme="1"/>
        <rFont val="Tahoma"/>
        <family val="2"/>
      </rPr>
      <t>(Formerly Corporate Director People Policy and Law)</t>
    </r>
  </si>
  <si>
    <r>
      <t xml:space="preserve">Director of Housing and Adult Social Care &amp; Deputy Chief Executive </t>
    </r>
    <r>
      <rPr>
        <i/>
        <sz val="10"/>
        <color theme="1"/>
        <rFont val="Tahoma"/>
        <family val="2"/>
      </rPr>
      <t>(Formerly Director, Organisation Development and Deputy Chief Executive)</t>
    </r>
  </si>
  <si>
    <t>Salary £133,903; Bonus £5,000; Fees and Allowances £13,391; Pension £22,350. Director of Organisation Development until 16 May 2010 and in post of Director of HASC from 17 May 2011.</t>
  </si>
  <si>
    <t>Salary, fees &amp; allowances £95,169; Taxable expenses £758; Pension contributions £19,435. Started 1 February 2010</t>
  </si>
  <si>
    <t>Salary, fees &amp; allowances £99,693; Pension contributions £14,237. Started 9 August 2010, annualised salary £154,524</t>
  </si>
  <si>
    <r>
      <t>Director of Technical Services</t>
    </r>
    <r>
      <rPr>
        <i/>
        <sz val="10"/>
        <color theme="1"/>
        <rFont val="Tahoma"/>
        <family val="2"/>
      </rPr>
      <t xml:space="preserve"> (Formerly Chief Finance Officer)</t>
    </r>
  </si>
  <si>
    <t>Salaries, fees and allowances £59,089; Compensation for loss of office £80,388; Pension contributions £10,636. CFO until 21 March 2010, Director of Technical Services until 24 October 2010</t>
  </si>
  <si>
    <t>Salary (including fees &amp; allowances) £88,393; Expense allowances £354; Compensation for loss of office £42,921; Pension contributions £15,116. The Head of Corporate Finance and ICT role was undertaken on an interim basis during 2010-11. The new Head was appointed on 1 March 2011 with the interim Head taking Voluntary Early Retirement on 31 March 2011. The costs include the interim Head for the full year and the new Head for March 2011. The permanent post’s annualised salary is £83,829.</t>
  </si>
  <si>
    <t>Salary (including fees &amp; allowances) £81,164; Expense allowances £163; Compensation for loss of office £45,986; Pension contributions £19,425. The Head of Corporate Legal Services role was undertaken on an interim basis from April to August 2010. The post holder took Voluntary Early Retirement in August 2010 following the appointment of a new head of service. The post was then filled on an interim basis from September 2010 to cover for maternity leave. All of the costs of the post are included. The permanent post’s annualised salary is £67,041.</t>
  </si>
  <si>
    <t>Post became vacant on 31 August 2009; the post’s annualised salary was £109,581. An appointment was made to the post from 21 September 2009; the post’s annualised salary was £120,000. The cost relates to the whole post.</t>
  </si>
  <si>
    <t>Salary, fees &amp; allowances £124,009; Expenses allowances £692; Pension contributions £21,702; Other emoluments £480. Appointed October 2009</t>
  </si>
  <si>
    <t>The additional employees may include teachers - their annual accounts do not separate out non-teaching and teaching staff.</t>
  </si>
  <si>
    <t>Salary (including fees &amp; allowances) £160,000; Benefits in kind £26.20; Pension contributions £24,159.96. Started 1 February 2010</t>
  </si>
  <si>
    <t>Left during 2009-10, annualised salary £161,286.</t>
  </si>
  <si>
    <t>Salary (including fees &amp; allowances) £91,278; Compensation for loss of office £116,168.59; Benefits in kind £135.15; Pension contributions £13,782.96. Left 31 December 2010</t>
  </si>
  <si>
    <t>Totals:</t>
  </si>
  <si>
    <t>Total 2009-10:</t>
  </si>
  <si>
    <t>Total 2010-11:</t>
  </si>
  <si>
    <t>Salaries, fees and allowances £101,039; Benefits other than in cash £296; Pension contributions £18,187</t>
  </si>
  <si>
    <r>
      <t xml:space="preserve">Director of Governance </t>
    </r>
    <r>
      <rPr>
        <i/>
        <sz val="10"/>
        <color theme="1"/>
        <rFont val="Tahoma"/>
        <family val="2"/>
      </rPr>
      <t>(Formerly Director of Corporate Governance)</t>
    </r>
  </si>
  <si>
    <r>
      <t xml:space="preserve">Director for Business Transformation </t>
    </r>
    <r>
      <rPr>
        <i/>
        <sz val="10"/>
        <color theme="1"/>
        <rFont val="Tahoma"/>
        <family val="2"/>
      </rPr>
      <t>(Formerly Director of Commissioning)</t>
    </r>
  </si>
  <si>
    <r>
      <t xml:space="preserve">Director of Resources </t>
    </r>
    <r>
      <rPr>
        <i/>
        <sz val="10"/>
        <color theme="1"/>
        <rFont val="Tahoma"/>
        <family val="2"/>
      </rPr>
      <t>(Formerly Director of Business Support)</t>
    </r>
  </si>
  <si>
    <t>Salary, fees &amp; allowances £118,742; Expenses allowances £871; Pension contributions £25,574;  Shared Chief Executive with Breckland DC who are recharged 50 per cent of the cost.</t>
  </si>
  <si>
    <t>Salary, fees &amp; allowances £65,167; Expenses allowances £784; Compensation for loss of office £79,000; Pension contributions £12,544; Took on Section 151 role with effect from 1 August 2010</t>
  </si>
  <si>
    <r>
      <t xml:space="preserve">Chief Executive </t>
    </r>
    <r>
      <rPr>
        <i/>
        <sz val="10"/>
        <color theme="1"/>
        <rFont val="Tahoma"/>
        <family val="2"/>
      </rPr>
      <t>(Formerly Corporate Director Communities)</t>
    </r>
  </si>
  <si>
    <t>Salary, fees &amp; allowances £16,377; Expenses allowances £354; Compensation for loss of office £22,201; Pension contributions £3,034. Left 1 July 2010</t>
  </si>
  <si>
    <t>Resigned through redundancy on 19 March 2010, annualised salary £133,878</t>
  </si>
  <si>
    <r>
      <t xml:space="preserve">Corporate Director Children and Learning </t>
    </r>
    <r>
      <rPr>
        <i/>
        <sz val="10"/>
        <rFont val="Tahoma"/>
        <family val="2"/>
      </rPr>
      <t>(Formerly Children's Specialist Services)</t>
    </r>
  </si>
  <si>
    <t>Salary £23,681; Unconsolidated salary £4,478; Pension contributions £3,185. Left 4 July 2010</t>
  </si>
  <si>
    <r>
      <t xml:space="preserve">Director of Law &amp; Democracy </t>
    </r>
    <r>
      <rPr>
        <i/>
        <sz val="10"/>
        <color theme="1"/>
        <rFont val="Tahoma"/>
        <family val="2"/>
      </rPr>
      <t>(Formerly Director of Law &amp; Governance)</t>
    </r>
  </si>
  <si>
    <r>
      <t xml:space="preserve">Staffordshire Moorlands </t>
    </r>
    <r>
      <rPr>
        <i/>
        <sz val="10"/>
        <color theme="1"/>
        <rFont val="Tahoma"/>
        <family val="2"/>
      </rPr>
      <t>(See High Peak for other members of the shared management team)</t>
    </r>
  </si>
  <si>
    <t>Salary, fees &amp; allowances £88,000; Expenses £1,000; Benefits in kind £2,000; Pension contribution £13,000. Started 1 September 2009</t>
  </si>
  <si>
    <t>Salary, fees &amp; allowances £167,000; Benefits in kind £10,000; Pension contributions £25,000. Started April 2010</t>
  </si>
  <si>
    <t>Salary (including fees &amp; allowances) £191,032; Expense allowances £5,664; Benefits in kind £1,239; Pension contributions £28,640. Started 4 January 2010, annualised salary £179,000</t>
  </si>
  <si>
    <t>Salary (including fees &amp; allowances) £74,802; Expense allowances £583; Compensation for loss of office £72,752; Benefits in kind £620; Pension contributions £11,968. Left 30 September 2010, annualised salary £149,605</t>
  </si>
  <si>
    <t>Left on 16 April 2010, annualised salary £125,983</t>
  </si>
  <si>
    <t>Salary (including fees &amp; allowances) £120,024; Pension contributions £18,043. Not in post full year 2009-10</t>
  </si>
  <si>
    <t>Salary £210,000; Expense allowances £12,053; Pension contributions £31,080. Started 13 July 2009, annualised salary £210,000</t>
  </si>
  <si>
    <t>Salary £147,884; Bonus £12,000; Pension contributions £23,663. Left 31 January 2011, annualised salary £177,461</t>
  </si>
  <si>
    <t>Salary £106,000; Pension contributions £15,688. Started 11 January 2010, annualised salary £106,000</t>
  </si>
  <si>
    <t>Salary £111,770; Pension contributions £16,177. Left 31 March 2011, redundancy of £57,163 was paid
to him in April (this amount will be funded from the provision in 2011-12).</t>
  </si>
  <si>
    <t>Salary, fees &amp; allowances £137,909; Pension contributions £29,416. In post July 2010 to March 2011</t>
  </si>
  <si>
    <t>Salary, fees &amp; allowances £121,260; Pension contributions £26,071. Started April 2010</t>
  </si>
  <si>
    <t>Salary, fees &amp; allowances £18,882; Pension contributions £4,025. Left May 2010</t>
  </si>
  <si>
    <r>
      <t xml:space="preserve">Strategic Director - Children, Young People &amp; Learning Services </t>
    </r>
    <r>
      <rPr>
        <i/>
        <sz val="10"/>
        <color theme="1"/>
        <rFont val="Tahoma"/>
        <family val="2"/>
      </rPr>
      <t>(shared position)</t>
    </r>
  </si>
  <si>
    <t>Salary (including fees &amp; allowances) £76,339; Expense allowances £28; Benefits in kind £3,828; Pension contributions £12,596. Volunteered to reduce hours by 20 per cent, with effect from 1 January 2010</t>
  </si>
  <si>
    <r>
      <t xml:space="preserve">Chief Executive </t>
    </r>
    <r>
      <rPr>
        <i/>
        <sz val="10"/>
        <color theme="1"/>
        <rFont val="Tahoma"/>
        <family val="2"/>
      </rPr>
      <t>(shared with Torridge)</t>
    </r>
  </si>
  <si>
    <t>Salary (including fees &amp; allowances) £155,513; Pension contributions £25,349. During 2009-10, held three different positions which have been accumulated for the total remuneration; as Corporate Director £12,838, as Interim Chief Executive £35,118, as Chief Executive £115,679</t>
  </si>
  <si>
    <t>Salary (including fees &amp; allowances) £40,573; Termination costs £62,676; Pension contributions £3,323.  In post until council restructure</t>
  </si>
  <si>
    <t>Salary (including fees &amp; allowances) £68,927; Termination £52,231; Pension contribution £7,769. In post until council restructure</t>
  </si>
  <si>
    <t>Salary (including fees &amp; allowances) £73,925; Termination costs £61,515; Pension contributions £8,768. In post until council restructure</t>
  </si>
  <si>
    <t>Salary, fees &amp; allowances £96,461; Expense allowances £379; Pension contributions £13,213; Compensation for loss of office £73,201. Left post on 3 January 2011.</t>
  </si>
  <si>
    <t>Salary, fees &amp; allowances £36,530; Expense allowances £234; Pension contributions £5,000; Compensation for loss of office £62,491;  Left 1 August 2010, annualised salary £120,275</t>
  </si>
  <si>
    <t>Salary, fees &amp; allowances £34,325; Expense allowances £241; Pension contributions £4,696; Compensation for loss of office £58,687. Left 1 August 2010, annualised salary £96,207</t>
  </si>
  <si>
    <t>Salary, fees &amp; allowances £105,000; Pension contributions £15,435.  Started 21 September 2009, annualised salary 105,000</t>
  </si>
  <si>
    <t>Post was deleted under management restructure 31 October 2009, annualised salary £75,590</t>
  </si>
  <si>
    <t>Post was deleted under management restructure 20 September 2009, annualised salary £75,590</t>
  </si>
  <si>
    <t>Received a pay award that was backdated to the previous year but that was paid in 2009-10</t>
  </si>
  <si>
    <t>Received a pay award that was backdated to the previous year but that was paid in 2009-11</t>
  </si>
  <si>
    <t>Received a pay award that was backdated to the previous year but that was paid in 2009-12</t>
  </si>
  <si>
    <t>Received a pay award that was backdated to the previous year but that was paid in 2009-13</t>
  </si>
  <si>
    <t>Received a pay award that was backdated to the previous year but that was paid in 2009-14</t>
  </si>
  <si>
    <t>Salary, fees &amp; allowances £124,273; Pension contribution £14,818. Started 2 August 2011, annualised salary £185,000.</t>
  </si>
  <si>
    <t>Salary, fees &amp; allowances £132,000; Pension contribution £16,632. Started 19 October 2009</t>
  </si>
  <si>
    <t>Salary, fees &amp; allowances £95,502; Pension contribution £12,033. Started 5 October 2009</t>
  </si>
  <si>
    <r>
      <t xml:space="preserve">Deputy Chief Executive </t>
    </r>
    <r>
      <rPr>
        <i/>
        <sz val="10"/>
        <color theme="1"/>
        <rFont val="Tahoma"/>
        <family val="2"/>
      </rPr>
      <t>(Formerly Corporate Director, Resources)</t>
    </r>
  </si>
  <si>
    <t>Left 10 February 2010. Includes redundancy payment</t>
  </si>
  <si>
    <t>Salary (incl fees &amp; allowances) £144,204, Income £7,000, Taxable expense allowances £984, Pension contribution £25,561. Salary includes a fee for acting as returning officer for elections of £2,926 and income of £7,000 is shown in respect of fees earned by the individual but donated to the Authority.</t>
  </si>
  <si>
    <r>
      <t xml:space="preserve">Assistant Chief Executive - Communities </t>
    </r>
    <r>
      <rPr>
        <i/>
        <sz val="10"/>
        <color theme="1"/>
        <rFont val="Tahoma"/>
        <family val="2"/>
      </rPr>
      <t>(Formerly Strategic Director, Health and Wellbeing)</t>
    </r>
  </si>
  <si>
    <t>Left in December 2009. Torridge paid Teignbridge £90,111 to Teignbridge for their share of the  Chief Executive in 2010-11.</t>
  </si>
  <si>
    <r>
      <t xml:space="preserve">Torridge </t>
    </r>
    <r>
      <rPr>
        <i/>
        <sz val="10"/>
        <color theme="1"/>
        <rFont val="Tahoma"/>
        <family val="2"/>
      </rPr>
      <t>(See Teignbridge for shared Chief Executive in 2010-11)</t>
    </r>
  </si>
  <si>
    <t>(See South Oxfordshire for members of the shared management team)</t>
  </si>
  <si>
    <r>
      <t xml:space="preserve">South Oxfordshire </t>
    </r>
    <r>
      <rPr>
        <i/>
        <sz val="10"/>
        <color theme="1"/>
        <rFont val="Tahoma"/>
        <family val="2"/>
      </rPr>
      <t>(All  listed employees are shared with Vale of White Horse and costs are split evenly</t>
    </r>
    <r>
      <rPr>
        <sz val="10"/>
        <color theme="1"/>
        <rFont val="Tahoma"/>
        <family val="2"/>
      </rPr>
      <t>)</t>
    </r>
  </si>
  <si>
    <t>Salary (including fees &amp; allowances) £129,092; Expenses £1,115; Pension contributions £21,300. Vale of White Horse reimburse 50 per cent of the costs.</t>
  </si>
  <si>
    <t>Salary (including fees &amp; allowances) £98,544; Expenses £624; Pension contributions £24,045. Vale of White Horse reimburse 50 per cent of the costs.</t>
  </si>
  <si>
    <t>Executive Director 1 - Social Care</t>
  </si>
  <si>
    <t>Executive Director 2 - Social Care</t>
  </si>
  <si>
    <t>Salary, fees and allowances £108,612; Expenses allowances £8,621; Pension contribution £13,560. Started 19 April 2010</t>
  </si>
  <si>
    <t>Bonuses £3,859; Pension contribution £471. Left 31 December 2009</t>
  </si>
  <si>
    <t>Salary (incl fees &amp; allowances) £50,000; Compensation for loss of office £150,590; Pension contributions £231,623. Left  June 2010, annualised salary £225,000. Employers pension contributions include a sum payable in 2011-12 to reimburse the pension fund for early payment of pension.</t>
  </si>
  <si>
    <t xml:space="preserve">Salary (incl fees &amp; allowances) £173,796; Pension contribution £37,038.  Started as Chief Executive June 2010, annualised salary £180,000. </t>
  </si>
  <si>
    <r>
      <t xml:space="preserve">Chief Executive </t>
    </r>
    <r>
      <rPr>
        <i/>
        <sz val="10"/>
        <color theme="1"/>
        <rFont val="Tahoma"/>
        <family val="2"/>
      </rPr>
      <t>(Formerly Executive Director of Environment and Regeneration)</t>
    </r>
  </si>
  <si>
    <t>Salary (incl fees &amp; allowances) £74,798; Pension contributions £18,649. Started 25 July 2010</t>
  </si>
  <si>
    <t>Salary (incl fees &amp; allowances) £90,892; Pension contributions £14,220. Left 20 October 2010</t>
  </si>
  <si>
    <t>Salary (incl fees &amp; allowances) £68,590; Compensation for loss of office £57,010; Pension contribution £14,747. Post deleted 1 October 2011, annualised salary £123,900</t>
  </si>
  <si>
    <t>Salary (incl fees &amp; allowances) £170,414; Bonuses £18,232; Expense Allowances/Medical Insurance £2,476; Pension contribution £36,299. Retired December 20 2010, annualised £229,150.</t>
  </si>
  <si>
    <t>Salary (incl fees &amp; allowances) £139,426; Bonuses £34,831; Expense allowances/Medical Insurance £2,868; Pension contribution £33,628</t>
  </si>
  <si>
    <t>Salary (incl fees &amp; allowances) £88,810; Bonuses £21,022; Expense allowances/Medical Insurance £1,299; Pension contribution £21,115. Retired October 2010, annualised remuneration £162,746.</t>
  </si>
  <si>
    <t>Salary (incl fees &amp; allowances) £88,401; Expense allowances/Medical Insurance £786; Pension contribution £16,945. Started October 19 2010, annualised remuneration  £189,019.</t>
  </si>
  <si>
    <t>Salary (incl fees &amp; allowances) £121,845; Expenses allowances £1,239; Pension contribution £23,007. Started January 2010</t>
  </si>
  <si>
    <t>Salary (incl fees &amp; allowances) £113,028; Expenses allowances £1,984; Pension contribution £21,588. Started 7 September 2009</t>
  </si>
  <si>
    <t>Salary (incl fees &amp; allowances) £108,127; Expenses allowances £2,602; Pension contribution £21,082. Started 12 October 2009</t>
  </si>
  <si>
    <t>Salary (incl fees &amp; allowances) £85,705; Expenses allowances £1,270; Pension contributions £16,884. Started  March 2010</t>
  </si>
  <si>
    <t>Salary (incl fees &amp; allowances) £85,087; Expenses allowances £1,239; Pension contribution £16,252. Started 18 May 2009</t>
  </si>
  <si>
    <t>Left 7 December 2009</t>
  </si>
  <si>
    <t>Left 26 March 2010</t>
  </si>
  <si>
    <t>Left 7 August 2009</t>
  </si>
  <si>
    <t>Left 5 September 2009</t>
  </si>
  <si>
    <t>Salary (incl fees &amp; allowances) £81,725; Expenses allowances £826; Compensation for loss of office £84,754; Pension contribution £11,436. Left 30 November 2010</t>
  </si>
  <si>
    <t>Salary (incl fees &amp; allowances) £19,732; Expenses allowances £516; Compensation for loss of office £84,049; Pension contribution £889. Left 12 April 2010</t>
  </si>
  <si>
    <t>Salary (incl fees &amp; allowances) £120,054; Expense allowances £18,810; Benefits in kind £1,239; Pension contributions £25,572. The expenses figure includes a one off payment for relocation expenses. In 2009-10 was paid by Luton and Bedfordshire Fire Authority</t>
  </si>
  <si>
    <t>Salary (incl fees &amp; allowances) £135,105, Pension contribution £36,208. Started 7 September 2009, annualised salary £135,920</t>
  </si>
  <si>
    <t>Left 11 October 2009, annualised salary £135,920</t>
  </si>
  <si>
    <t>Left 13 April 2009, annualised salary £98,380</t>
  </si>
  <si>
    <r>
      <t xml:space="preserve">Waveney </t>
    </r>
    <r>
      <rPr>
        <i/>
        <sz val="10"/>
        <color theme="1"/>
        <rFont val="Tahoma"/>
        <family val="2"/>
      </rPr>
      <t>(See Suffolk Coastal for shared Chief Executive)</t>
    </r>
  </si>
  <si>
    <t>Left  30 April 2009, annualised salary £78,316</t>
  </si>
  <si>
    <t>Left 7 June 2009, annualised salary £78,316</t>
  </si>
  <si>
    <r>
      <t xml:space="preserve">Chief Executive </t>
    </r>
    <r>
      <rPr>
        <i/>
        <sz val="10"/>
        <color theme="1"/>
        <rFont val="Tahoma"/>
        <family val="2"/>
      </rPr>
      <t>(Shared equally with South Hams)</t>
    </r>
  </si>
  <si>
    <t>Salary £95,346; Benefits £989; Pension contribution £13,827.  Left 31 December 2010. Shared with South Hams who reimburse half the cost.</t>
  </si>
  <si>
    <t>Anne Ritchie</t>
  </si>
  <si>
    <t>Head of Children’s Healthcare &amp; Criminal Justice</t>
  </si>
  <si>
    <t>Salary, Fees and Allowances £85,297; Pension Contributions £15,402</t>
  </si>
  <si>
    <t>Salary, Fees and Allowances £101,109; Pension Contributions £18,402</t>
  </si>
  <si>
    <t>Salary, Fees and Allowances £101,109; Pension Contributions £15,065</t>
  </si>
  <si>
    <t>Salary, Fees and Allowances £119,925; Pension Contributions £21,826</t>
  </si>
  <si>
    <t>Salary £18,958; Expenses £72; Compensation for loss of office £113,839; Benefits in kind £1,070; Pension contribution £3,186. Left in 2010-11</t>
  </si>
  <si>
    <t>Salary incl fees &amp; allowances £103,542; Expenses allowances £1,524; Pension contribution £22,402. Started 6 April 2010</t>
  </si>
  <si>
    <t>Left 7 March 2010</t>
  </si>
  <si>
    <t>Salary incl fees &amp; allowances £103,542, Expenses allowances £1,524, Pension contribution £22,402. Left 6 September 2010</t>
  </si>
  <si>
    <r>
      <t xml:space="preserve">Chief Executive </t>
    </r>
    <r>
      <rPr>
        <i/>
        <sz val="10"/>
        <color theme="1"/>
        <rFont val="Tahoma"/>
        <family val="2"/>
      </rPr>
      <t>(Formerly Depute Chief Executive)</t>
    </r>
  </si>
  <si>
    <r>
      <t xml:space="preserve">Depute Chief Executive </t>
    </r>
    <r>
      <rPr>
        <i/>
        <sz val="10"/>
        <color theme="1"/>
        <rFont val="Tahoma"/>
        <family val="2"/>
      </rPr>
      <t>(Formerly Head of Operational Services)</t>
    </r>
  </si>
  <si>
    <t>Salary, Fees and Allowances £95,138; Pension Contributions £16,317. Became Depute Chief Executive 1 October 2010</t>
  </si>
  <si>
    <t>Salary fees &amp; allowances £119,675; Pension Contributions £21,652. Became Chief Executive 1 October 2010</t>
  </si>
  <si>
    <t>Salary, fees and allowances £49,531; Pension contribution £9,857. Left 30 September 2010</t>
  </si>
  <si>
    <t>Salary, fees and allowances £70,568; Expense allowances £7,792; Compensation for loss of employment £106,389; Benefits in kind £219; Pension contribution £113,532. Left 17 December 2010</t>
  </si>
  <si>
    <t>Salary, fees and allowances £76,692; Compensation for loss of employment £98,066; Benefits in kind £324; Pension contribution £174,754. Left 9 January 2011</t>
  </si>
  <si>
    <t>Salary, fees and allowances £55,856; Compensation for loss of employment £36,090; Benefits in kind £32; Pension contribution £58,916. Left 12 November 2010</t>
  </si>
  <si>
    <t>Salary (incl fees &amp; allowances) £163,326; Private health insurance £1,918; Expenses allowances £332; Pension contributions £27,040. Started January 2010.</t>
  </si>
  <si>
    <t>D Clarke</t>
  </si>
  <si>
    <t>Prior to Partnership (8 months): Salary £60,976; Benefits in kind £4,980; pension contribution £8,068. Post partnership: West Dorset DC contribution £22,909, Weymouth and Portland BC contribution £22,909. Will eventually be employed by Weymouth and Portland BC.</t>
  </si>
  <si>
    <r>
      <t xml:space="preserve">Weymouth and Portland </t>
    </r>
    <r>
      <rPr>
        <i/>
        <sz val="10"/>
        <color theme="1"/>
        <rFont val="Tahoma"/>
        <family val="2"/>
      </rPr>
      <t>(See West Dorset for current shared Chief Executive)</t>
    </r>
  </si>
  <si>
    <t>Salary incl fees &amp; allowances £183,000; Expense allowances £15,380; Pension contributions £27,450. Started 10 February 2010, annualised salary £183,000</t>
  </si>
  <si>
    <t>Left 09 February 2010, annualised salary £161,324</t>
  </si>
  <si>
    <t>Left 31 August 2009, annualised salary £90,842</t>
  </si>
  <si>
    <t>Salary incl fees &amp; allowances £62,462; Performance related pay £1,612; Benefits in kind £2,865; Pensions contributions £9,513. In 2009-10 took an unpaid sabbatical and had reduced working hours during the year, annualised salary £100,000</t>
  </si>
  <si>
    <t>Salary incl fees &amp; allowances £50,279; Benefits in kind £2,105; Pension contributions £8,329. In post for 7.25 months, annualised salary £83,220. Post now deleted</t>
  </si>
  <si>
    <t>Salary incl fees &amp; allowances £118,000; Performance related pay £4,367; Benefits in kind £1,322; Pension contributions £18,49. In post 8.4 months in 2009-10, annualised salary £118,000</t>
  </si>
  <si>
    <t>Salary incl fees &amp; allowances £84,152; Performance related pay £2,966; Benefits in kind £2,085; Pension contributions £12,919. In post for 6 months in 2009-10, annualised salary £82,820</t>
  </si>
  <si>
    <t>Salary £67,670; Compensation for loss of office £157,537; Pension contributions £11,910. Retired in 2010-11</t>
  </si>
  <si>
    <t>Salary incl fees &amp; allowances £110,974; Benefits in kind £1,985; pension contributions £16,646; Includes payments for Borough and General election duties held during 2010-11</t>
  </si>
  <si>
    <t>Salary incl fees &amp; allowances £100,758; Benefits in kind £2,061; Pension contributions £13,926; Includes payments for Borough and General election duties held during 2010-11</t>
  </si>
  <si>
    <t>Salary incl fees &amp; allowances £88,847; Benefits in kind £1,700; Pension contributions £12,775; Includes payments for Borough and General election duties held during 2010-11</t>
  </si>
  <si>
    <t>Salary incl allowances &amp; benefits £105,824; Pension contributions £21,164. Started 9 March 2010, annualised salary £105,824</t>
  </si>
  <si>
    <r>
      <t xml:space="preserve">Worthing </t>
    </r>
    <r>
      <rPr>
        <i/>
        <sz val="10"/>
        <color theme="1"/>
        <rFont val="Tahoma"/>
        <family val="2"/>
      </rPr>
      <t>(See Adur Council for members of the shared management team)</t>
    </r>
  </si>
  <si>
    <t>Salary £44,978; Pension contribution £8,261. Left 31 August 2010</t>
  </si>
  <si>
    <t>Made redundant</t>
  </si>
  <si>
    <t>Salary (incl fees &amp; allowances) £103,000; Expense allowances £1,000; Pension contributions £18,000</t>
  </si>
  <si>
    <t>Salary (incl fees &amp; allowances) £103,000; Pension contributions £18,000</t>
  </si>
  <si>
    <t>Salary (incl fees &amp; allowances) £103,000; Pension contributions £19,000. Was appointed the acting Chief Executive from 17 August 2009 to 4 October 2009,  annualised salary  £106,426.45 plus a responsibility payment of £3,367.65.</t>
  </si>
  <si>
    <t>Salary (incl fees &amp; allowances) £132,000; Pension contributions £24,000. Started  5 October 2009, annualised salary £130,000.</t>
  </si>
  <si>
    <t>Salary (including fees &amp; allowances) £63,301; Expense allowances £1,657; Redundancy £32,478; Pension contributions £98,284</t>
  </si>
  <si>
    <t>Salary (including fees &amp; allowances) £66,069; Expense allowances £2,148; Redundancy Payment £28,934; Pension contributions £12,747</t>
  </si>
  <si>
    <t>Salary (including fees &amp; allowances) £92,068; Expense allowances £2,056; Redundancy Payment £40,943; Pension contributions £17,406</t>
  </si>
  <si>
    <t>Salary (including fees &amp; allowances) £72,688; Expense allowances £1,265; Pension contributions £41,544</t>
  </si>
  <si>
    <t>Salary (including fees &amp; allowances) £114,835; Benefits in kind £2,403; Pension contribution £30,672; Returning Officer Fees £3,888. Started 9 December 2009</t>
  </si>
  <si>
    <t>Salary £108,001; Pension contribution £19,827</t>
  </si>
  <si>
    <r>
      <t xml:space="preserve">Acting Chief Executive  </t>
    </r>
    <r>
      <rPr>
        <i/>
        <sz val="10"/>
        <color theme="1"/>
        <rFont val="Tahoma"/>
        <family val="2"/>
      </rPr>
      <t>(Formerly Corporate Director Resources)</t>
    </r>
  </si>
  <si>
    <r>
      <t xml:space="preserve">Chief Executive </t>
    </r>
    <r>
      <rPr>
        <i/>
        <sz val="10"/>
        <color theme="1"/>
        <rFont val="Tahoma"/>
        <family val="2"/>
      </rPr>
      <t>(Formerly Corporate Director of Customer and Community Services)</t>
    </r>
  </si>
  <si>
    <t>Salary £126,680; Expense allowances £1,210; Pension contributions £21,156. Started May 2010</t>
  </si>
  <si>
    <t>Salary £95,703; Expense allowances £1,385; Pension contributions £9,347. Left August 2010</t>
  </si>
  <si>
    <t>Salary £180,000; Expense allowances £2,460; Pension contributions £30,060. Started October 2009</t>
  </si>
  <si>
    <t>Salary including fees and allowances £89,817; Pension contributions £12,153. Started 1 February 2010 and also acted ad Deputy Chief Executive</t>
  </si>
  <si>
    <t>Salary (including fees &amp; allowances) £92,515; Taxable expenses £658; Pension contributions £16,812</t>
  </si>
  <si>
    <t>Salary and allowances £137,536; Expenses allowances £2,961; Pension contribution £9,654</t>
  </si>
  <si>
    <t>Acting Deputy Director - Children's</t>
  </si>
  <si>
    <t>Salary £129,699; Expenses £2,167; Benefits in Kind £963; Pension contribution £22,697</t>
  </si>
  <si>
    <t>Executive Director Children's Services</t>
  </si>
  <si>
    <t>There are 21 employees in 2009-10 and 19 in 2010-11 who receive total remuneration above £90,000 excluding pension contributions. These haven't been disclosed or included in the overall total because it is not clear if the employees already detailed are included in this total or not. When contacted, the council could not shed any light because "the accounts have already been audited."</t>
  </si>
  <si>
    <t>Strategic Director - Neighbourhoods, Housing &amp; Customer Services</t>
  </si>
  <si>
    <t>Executive Director - Children's' Services</t>
  </si>
  <si>
    <t>As Director of Corporate Services: Salary £50,341; Expenses £625; Pension contribution £10,572. As Deputy Chief Executive: Salary £58,627; Expenses £586; Pension Contribution £12,312. Took over post as Deputy Chief Executive and the Director of Corporate Services post was removed</t>
  </si>
  <si>
    <t>As Director of Environment: Salary £51,924; Expenses £737; Pension contribution £10,904. As Chief Executive: Salary £59,838; Expenses £670; Pension Contribution £12,566. Director of Environment took over as Chief Executive and post was removed</t>
  </si>
  <si>
    <t>Salary £103,400; Pension Contribution £19,646</t>
  </si>
  <si>
    <t>Director of Regeneration and Leisure</t>
  </si>
  <si>
    <t>Salary £81,741; Expenses £2,283; Pension £17,608. Left February 2011</t>
  </si>
  <si>
    <t>Deputy Director Children's and Young People Services</t>
  </si>
  <si>
    <t>Head of Policy, Performance, Partnerships</t>
  </si>
  <si>
    <t>Director Children and Families</t>
  </si>
  <si>
    <t>Salary, fees &amp; allowances £123,750; Expenses allowances £8,861; Pension contributions £24,007. Had a pay increase on 01 July 2010. The new annualised salary of this post is £125,000. Expenses primarily in relation to relocation</t>
  </si>
  <si>
    <t>Salary, fees &amp; allowances £133,750; Expenses allowances £3,270; Pension contributions £25,947. Had a pay increase on 01 July 2010. The new annualised salary of this post is £135,000. Expenses in relation to provided car</t>
  </si>
  <si>
    <t>Salary (including fees &amp; allowances) £26,689; Expense allowances £70; Benefits in kind £1,814; Termination benefits £83,571; Pension contributions £83,421</t>
  </si>
  <si>
    <t>Salary £156,720; Expenses allowances £1,860; Pension contributions £28,993</t>
  </si>
  <si>
    <t>Salary fees and allowances £97,752; Benefits in kind £974; Pension contributions £16,163</t>
  </si>
  <si>
    <t>Salary (including fees &amp; allowances) £80,856; Compensation for loss of office £139,393; Benefits in kind £3,989; Pension contributions £19,648. Made redundant on 31 March 2011</t>
  </si>
  <si>
    <t>Salary, fees and allowances £107,573; Expenses allowances £33; Pension contribution £16,136. Started 04 January 2010. Annualised salary for 2009-10 £107,573</t>
  </si>
  <si>
    <t>Salary, fees and allowances £107,573; Pension contribution £16,136</t>
  </si>
  <si>
    <t>Left position 30 September 2010</t>
  </si>
  <si>
    <t>Salary, fees &amp; allowances £129,126; Expenses £235; Pension contributions £26,498</t>
  </si>
  <si>
    <t>Salary, fees &amp; allowances £90,710; Other payments £15,069; Pension contributions £18,613</t>
  </si>
  <si>
    <t>Salary, fees and allowances £110,000; Pension contributions £23,595. Appointed during 2009-10 and received salary to the value of £94,762 and pension contributions of £19,805, following the retirement of the previous officer</t>
  </si>
  <si>
    <t>Salary (including fees and allowances) £133,011; Bonuses £13,302; Pension contributions £26,070</t>
  </si>
  <si>
    <t>Salary, fees and allowances £57,095; Taxable expense £38; Compensation for loss of office £33,185; Pension contributions £10,091. The post of Chief Internal Auditor reports directly to the Council's Chief Executive. The Chief Internal Auditor retired on 31 March 2011. The amount shown for compensation for loss of employment represents the lump sum element of compensatory added years of their pension and pay in lieu of notice</t>
  </si>
  <si>
    <t>Salary, fees &amp; allowances £102,111; Taxable expenses £834; Pension contributions £18,600. Started 15 May 2009</t>
  </si>
  <si>
    <t>Salary, fees and allowances £86,092; Expenses allowances £297; Pension contributions £17,390</t>
  </si>
  <si>
    <t>Salary including fees &amp; allowances £102,017; Expense allowances £216; Benefits in kind £4,758; Pension contributions £25,090</t>
  </si>
  <si>
    <t>Salary including fees &amp; allowances £81,766; Expense allowances £1,496; Benefits in kind £123; Compensation for loss of office £28,910; Pension contributions £19,566. Left  08 April 2011</t>
  </si>
  <si>
    <t>Salary, fees &amp; allowances £117,000; Expense allowances £4,000; Pension contributions £17,000</t>
  </si>
  <si>
    <t>Salary, fees &amp; allowances £99,000; Expense allowances £4,000; Pension contributions £15,000</t>
  </si>
  <si>
    <t>Salary including fees &amp; allowances £107,399; Pension contributions £20,513</t>
  </si>
  <si>
    <t>Salary, fees and allowances £189,528; Performance related pay £4,738; Expenses allowances £428; Pension contributions £36,911. Declined to accept the performance related pay to which they were entitled from 1 July 2010, although Annual Accounts include the figure reflecting full remuneration package entitlement</t>
  </si>
  <si>
    <t>Salary (including fees &amp; allowances) £105,066; Benefits in kind £3,989; Pension contributions £13,764</t>
  </si>
  <si>
    <t>Executive Director for Commercial Services</t>
  </si>
  <si>
    <t>Salary (incl fees &amp; allowances) £76,044; Compensation for loss of office £9,600; Pension contributions £211,824</t>
  </si>
  <si>
    <t>Salary (incl Fees &amp; allowance) £79,287; Pension contributions £15,144. 2009-10 figures reflect back pay relating to job evaluation</t>
  </si>
  <si>
    <t>Salary, fees &amp; allowances £87,752; Expenses allowances £493; Benefits in kind £1,228; Pension contributions £15,444. Started as Chief Executive on 1 January 2011</t>
  </si>
  <si>
    <r>
      <t xml:space="preserve">Executive Director of Special Projects </t>
    </r>
    <r>
      <rPr>
        <i/>
        <sz val="10"/>
        <color theme="1"/>
        <rFont val="Tahoma"/>
        <family val="2"/>
      </rPr>
      <t>(Formerly Executive Director of Corporate Services)</t>
    </r>
  </si>
  <si>
    <t>Salary, fees &amp; allowances £132,051; Compensation for loss of office £109,303 (PLUS annual compensation of £11,040); Election duties £10,201; Pension contributions £199,073. Was Executive Director of Corporate Services to December 2010 and Executive Director of Special Projects from that date</t>
  </si>
  <si>
    <t>Advisor for Budgets and Performance</t>
  </si>
  <si>
    <t>Salary, fees &amp; allowances £123,183; Lump sum in respect of car mileage, telephone etc. £1,642; Pension contributions £17,985; Car lease/other benefits £7,836</t>
  </si>
  <si>
    <t>Salary, fees &amp; allowances  £91,766; Lump sum in respect of car mileage, telephone etc. £1,642; Pension contributions £13,398; Car lease/other benefits £6,826</t>
  </si>
  <si>
    <t>Salary, fees &amp; allowances  £91,255; Lump sum in respect of car mileage, telephone etc. £1,642; Pension contributions £13,323; Car lease/other benefits £5,574</t>
  </si>
  <si>
    <t>Salary, fees &amp; allowances  £89,163; Lump sum in respect of car mileage, telephone etc. £1,642; Pension contributions £13,018; Car lease/other benefits £2,849</t>
  </si>
  <si>
    <t>Salary, fees &amp; allowances  £76,869; Other non salary payments £4,515; Lump sum in respect of car mileage, telephone etc. £492; Pension contributions £11,792; Car lease/other benefits £7,138</t>
  </si>
  <si>
    <t>Salary (including fees &amp; allowances) £109,700; Pension contributions £19,700</t>
  </si>
  <si>
    <t>Salary (including fees &amp; allowances) £88,389; Car allowances £402; Pension contributions £15,645</t>
  </si>
  <si>
    <t>Salary (including fees &amp; allowances) £52,370; Compensation for loss of office £78,738; Pension contributions £9,802;  Left 31 December 2010</t>
  </si>
  <si>
    <t>Salary £93,750; Benefits in kind £1,832; Pension contributions £19,312;  Started 1 October 2009, annualised salary £125,000, left 31 December 2010</t>
  </si>
  <si>
    <t>Director of Planning, Environment and Development</t>
  </si>
  <si>
    <t>Salary including allowances £93,316; Election fees £685; Benefits in kind £5,277; Pension contributions £18,486</t>
  </si>
  <si>
    <t>Assistant Director of Economic Development Tourism &amp; Leisure</t>
  </si>
  <si>
    <t>Executive Director Strategy, Economic Development &amp; ICT</t>
  </si>
  <si>
    <t>Salary (including fees &amp; allowances) £96,492; Allowances £3,005; Benefits in kind £211; Pension contributions £22,984; The post of Director of Finance was covered on a temporary basis by the Head of Financial Management from November 2010.The salary shown reflects the post holders total remuneration covering both posts held.</t>
  </si>
  <si>
    <t>Salary (including fees &amp; allowances) £94,560; Allowances £3,140; Benefits in kind £375; Pension contributions £22,655; Reflects the post holders total remuneration covering both posts held</t>
  </si>
  <si>
    <t>Salary (including fees &amp; allowances) £98,033; Pension contributions £22,646; Reflects the post holders total remuneration covering both posts held</t>
  </si>
  <si>
    <t>Salary (including fees &amp; allowances) £167,998; Expense allowances £3,730; Benefits in kind £4,963; Pension contributions £46,069. Started 1 October 2009, annualised salary £155,000</t>
  </si>
  <si>
    <t>Salary (including fees &amp; allowances) £81,510; Bonuses £11,260; Expense allowances £2,390; Compensation for loss of office £42,536; Pension contributions £25,141. Left 5 November 2010, annualised salary £136,482</t>
  </si>
  <si>
    <t>Salary (including fees &amp; allowances) £94,440; Expense allowances £1,248; Pension contributions £25,593; Post deleted 13 March 2011, annualised salary £87,210</t>
  </si>
  <si>
    <t>Salary, fees and allowances £63,000; Expenses &amp; Benefits in kind £1,000; Redundancy payments £66,000; Pension contribution £5,000; Took early retirement at the end of September 2010</t>
  </si>
  <si>
    <t>Head of Econ Dev. &amp; Tourism</t>
  </si>
  <si>
    <t>Strategic Director Dev., Culture &amp; Regen</t>
  </si>
  <si>
    <t>Salary, fees and allowances £174,165; Expenses allowances £195; Pension contributions £33,962</t>
  </si>
  <si>
    <t>Salary £93,762; Expenses £2,071; Benefits in kind £96; Pension contributions £16,363</t>
  </si>
  <si>
    <t>Salary £32,598; Compensation for loss of office £101,277; Pension contributions £267,042;  The Head of Organisational Development was temporarily Acting Director of Corporate
Services until the successful candidate could take up the post, pension contributions includes £160,810 strain on the fund payment.  In post April to July 2010</t>
  </si>
  <si>
    <t>Salary £93,929.89; Expenses allowances £4,008.03; Bonuses £5,000; Pension contributions £15,884.52</t>
  </si>
  <si>
    <t>Salary £98,887; Benefits in kind £83; Pension contributions £7,852. Post deleted October 2010</t>
  </si>
  <si>
    <t>Salary, fees &amp; allowances £86,031; Expenses allowances £7; Benefits other than cash £17,142</t>
  </si>
  <si>
    <t>Salary (incl fees &amp; allowances) £28,583; Other emoluments £1,645; Compensation for loss of employment £69,538; Pension contributions £5,517. Left July 2010</t>
  </si>
  <si>
    <t>Salary (incl fees &amp; allowances) £94,840; Other emoluments £252; Pension contributions £20,201. Started June 2010</t>
  </si>
  <si>
    <t>Executive Director (Regeneration)</t>
  </si>
  <si>
    <t>Asst. Dir. for Adult Health &amp; Social Care</t>
  </si>
  <si>
    <t>Michael Coughlin</t>
  </si>
  <si>
    <t>Director of Children's Services and Culture</t>
  </si>
  <si>
    <t>Additional employees may include teachers as their accounts did not distinguish between teaching and non-teaching employees</t>
  </si>
  <si>
    <t>Executive Director: Strategic Housing, Planning &amp; Regulation, Regeneration</t>
  </si>
  <si>
    <r>
      <t xml:space="preserve">Executive Director: Learners and Young People, Schools Service and Child Care </t>
    </r>
    <r>
      <rPr>
        <i/>
        <sz val="10"/>
        <color theme="1"/>
        <rFont val="Tahoma"/>
        <family val="2"/>
      </rPr>
      <t>(Formerly Children's Services)</t>
    </r>
  </si>
  <si>
    <t>Salary including fees &amp; allowances £93,460; Bonuses £84; Expense allowances £223; Benefits in kind £1,483; Compensation for loss of office £51,029; Pension contributions £11,577</t>
  </si>
  <si>
    <t>Strategic Director Environment and Development Services</t>
  </si>
  <si>
    <t>Salary (including fees &amp; allowances) £45,001; Expense allowances £997; Compensation for loss of office £75,350; Benefits in kind £575; Pension contributions £7,614. Left 9 November 2010</t>
  </si>
  <si>
    <t>Executive Director - Children Young People &amp; Families</t>
  </si>
  <si>
    <t>Assistant Chief Executive - Organisational Development and Communications</t>
  </si>
  <si>
    <t>Salary (including fees &amp; allowances) £115,086; Expense allowances £122; Pension contributions £21,981</t>
  </si>
  <si>
    <t>Executive Director of Neighbourhoods</t>
  </si>
  <si>
    <t>Salary £147,408; Consolidated into future salary £1,473; Pension contributions £19,206; Local election duties £25; Car allowances, etc. £2,900</t>
  </si>
  <si>
    <t>Salary £115,341; Consolidated into future salary £1,152; Pension contributions £15,028; Local election duties £224; Car allowances, etc. £4,077</t>
  </si>
  <si>
    <t>Salary £109,629; Consolidated into future salary £1,096; Pension contributions £14,284; Car allowances, etc. £2,444</t>
  </si>
  <si>
    <t>Salary £109,629; Consolidated into future salary £1,096; Pension contributions £14,284; Car allowances, etc. £2,444. Finished as Head of Children's Specialist Services on 28 February and started as Corporate Director, Children and Learning on 1 March 2011 for which she received: Salary £8,409; Pension contributions £1,085; Car allowances etc. £56</t>
  </si>
  <si>
    <t>Head of Service, Finance &amp; Resources</t>
  </si>
  <si>
    <t>Salary £86,139; Consolidated into future salary £861; Pension contributions £11,223; Car allowances, etc. £2,471</t>
  </si>
  <si>
    <t>Salary £100,614; Pension contributions £13,067; Local election duties £2,814; Car allowances, etc. £679</t>
  </si>
  <si>
    <t>In 2009-10 37 employees left the council. It is not made clear in the accounts which of these additional employees left during the year.</t>
  </si>
  <si>
    <t xml:space="preserve">Salary (including fees and allowances) £48,000; Expenses £1,000; Benefits in kind £4,000; Pension Contributions £7,000. Appointed to new role on 14 October 2010. Post deleted. </t>
  </si>
  <si>
    <t>Salary &amp; allowances £171,188; Expenses £842; Pension contributions £26,363</t>
  </si>
  <si>
    <t>Salary &amp; allowances £138,000; Expenses £928; Pension contributions £21,252</t>
  </si>
  <si>
    <t>Salary &amp; allowances £130,112; Pension contributions £20,037</t>
  </si>
  <si>
    <t>Salary &amp; allowances £140,213; Expenses £124; Pension contributions £21,593</t>
  </si>
  <si>
    <t>Salary &amp; allowances £113,924; Expenses £183; Pension contributions £22,215</t>
  </si>
  <si>
    <t>Salary &amp; allowances £100,678; Expenses £69; Pension contributions £15,504</t>
  </si>
  <si>
    <t>Salary &amp; allowances £96,567; Expenses £200; Pension contributions £14,871</t>
  </si>
  <si>
    <t>Salary (incl fees &amp; allowances) £136,088; Benefits in kind £1,330; Pension contributions £20,962. Chief executive is contracted to Torridge Council and Teignbridge council was reimbursed £90,111 for remuneration of Chief executive</t>
  </si>
  <si>
    <t>People Commissioner &amp; Director of Children's Services</t>
  </si>
  <si>
    <t>Left 1 April 2009. Includes redundancy payment</t>
  </si>
  <si>
    <t>Salary (incl fees &amp; allowances) £170,000; Bonuses £6,000; Benefits in kind £3,000; Pension contribution £26,000;  Appointed to post 7 September 2009, annualised salary £170,000</t>
  </si>
  <si>
    <t>Director of Learning &amp; Development</t>
  </si>
  <si>
    <t>Salary (incl fees &amp; allowances) £124,467; Compensation for loss of office £62,137; Pension contribution £17,640. Left 31 March 2011.The salary figures includes election fees of £4,467 for 2010-11. The job title was amended on 1 April 2010. Post holder started 13 May 2009, annualised salary £120,000.</t>
  </si>
  <si>
    <t>Salary, fees and allowances £189,533; Bonuses £11,201; Expense allowances £1,358; Pension contribution £24,490</t>
  </si>
  <si>
    <t>Salary (incl fees &amp; allowances) £136,467; Taxable expenses £123 Pension contributions £27,781;  Includes payment for work on behalf of North London Waste Authority as a planning ; advisor, which is linked to the LBWF role Includes payment for work on behalf of North London Waste Authority as a planning advisor, which is linked to the LBWF role.</t>
  </si>
  <si>
    <t>Salary (incl fees &amp; allowances) £124,851; Bonuses £13,872; Benefits in kind £5,175; Pension contributions £21,235</t>
  </si>
  <si>
    <t>Salary (incl fees &amp; allowances) £124,851; Bonuses £13,872; Benefits in kind £5,175; Pension contributions £20,390</t>
  </si>
  <si>
    <t>Salary £143,108; Benefit in kind £3,327; Pension contribution £197,414. Left 31 March 2011 in order to merge posts with West Dorset DC</t>
  </si>
  <si>
    <t>Salary £193,150; Election fees £14,977; Pension contribution £30,131</t>
  </si>
  <si>
    <t>Director of Learning Culture and Children's Services</t>
  </si>
  <si>
    <t>Mean</t>
  </si>
  <si>
    <t>Median</t>
  </si>
  <si>
    <t>South East England</t>
  </si>
  <si>
    <t>Bromsgrove (See Redditch BC for other members of the shared management team)</t>
  </si>
  <si>
    <t>High Peak (See Staffordshire Moorlands DC for other members of the shared management team)</t>
  </si>
  <si>
    <t>Redditch (See Bromsgrove DC for other members of the shared management team)</t>
  </si>
  <si>
    <t>South Oxfordshire (All  listed employees are shared with Vale of White Horse and costs are split evenly)</t>
  </si>
  <si>
    <t>Staffordshire Moorlands (See High Peak for other members of the shared management team)</t>
  </si>
  <si>
    <t>Weymouth and Portland (See West Dorset for current shared Chief Executive)</t>
  </si>
  <si>
    <t>Count of 2010-11</t>
  </si>
  <si>
    <t>% increase (inc. £90k)</t>
  </si>
  <si>
    <t>% increase (not inc. £90k)</t>
  </si>
  <si>
    <t>Increase:</t>
  </si>
  <si>
    <r>
      <t xml:space="preserve">Director of Corporate Services </t>
    </r>
    <r>
      <rPr>
        <i/>
        <sz val="10"/>
        <color theme="1"/>
        <rFont val="Tahoma"/>
        <family val="2"/>
      </rPr>
      <t>(formerly Director of Planning and Environmental Services)</t>
    </r>
  </si>
  <si>
    <t>Brentwood (See Essex for shared Chief Executive)</t>
  </si>
  <si>
    <t>West Dorset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</si>
</sst>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8" formatCode="&quot;£&quot;#,##0.00;[Red]\-&quot;£&quot;#,##0.00"/>
    <numFmt numFmtId="43" formatCode="_-* #,##0.00_-;\-* #,##0.00_-;_-* &quot;-&quot;??_-;_-@_-"/>
    <numFmt numFmtId="164" formatCode="#,##0_ ;\-#,##0\ "/>
    <numFmt numFmtId="165" formatCode="_-* #,##0_-;\-* #,##0_-;_-* &quot;-&quot;??_-;_-@_-"/>
  </numFmts>
  <fonts count="9" x14ac:knownFonts="1">
    <font>
      <sz val="11"/>
      <color theme="1"/>
      <name val="Calibri"/>
      <family val="2"/>
      <scheme val="minor"/>
    </font>
    <font>
      <sz val="10"/>
      <name val="Arial"/>
      <family val="2"/>
    </font>
    <font>
      <b/>
      <sz val="10"/>
      <color theme="1"/>
      <name val="Tahoma"/>
      <family val="2"/>
    </font>
    <font>
      <sz val="10"/>
      <color theme="1"/>
      <name val="Tahoma"/>
      <family val="2"/>
    </font>
    <font>
      <sz val="10"/>
      <name val="Tahoma"/>
      <family val="2"/>
    </font>
    <font>
      <sz val="11"/>
      <color theme="1"/>
      <name val="Calibri"/>
      <family val="2"/>
      <scheme val="minor"/>
    </font>
    <font>
      <i/>
      <sz val="10"/>
      <color theme="1"/>
      <name val="Tahoma"/>
      <family val="2"/>
    </font>
    <font>
      <i/>
      <sz val="10"/>
      <name val="Tahoma"/>
      <family val="2"/>
    </font>
    <font>
      <b/>
      <sz val="11"/>
      <color theme="1"/>
      <name val="Calibri"/>
      <family val="2"/>
      <scheme val="minor"/>
    </font>
  </fonts>
  <fills count="2">
    <fill>
      <patternFill patternType="none"/>
    </fill>
    <fill>
      <patternFill patternType="gray125"/>
    </fill>
  </fills>
  <borders count="8">
    <border>
      <left/>
      <right/>
      <top/>
      <bottom/>
      <diagonal/>
    </border>
    <border>
      <left style="thin">
        <color indexed="64"/>
      </left>
      <right/>
      <top style="thin">
        <color indexed="64"/>
      </top>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0" fontId="1" fillId="0" borderId="0"/>
    <xf numFmtId="43" fontId="5" fillId="0" borderId="0" applyFont="0" applyFill="0" applyBorder="0" applyAlignment="0" applyProtection="0"/>
    <xf numFmtId="9" fontId="5" fillId="0" borderId="0" applyFont="0" applyFill="0" applyBorder="0" applyAlignment="0" applyProtection="0"/>
  </cellStyleXfs>
  <cellXfs count="72">
    <xf numFmtId="0" fontId="0" fillId="0" borderId="0" xfId="0"/>
    <xf numFmtId="0" fontId="3" fillId="0" borderId="0" xfId="0" applyFont="1" applyBorder="1"/>
    <xf numFmtId="0" fontId="3" fillId="0" borderId="0" xfId="0" applyFont="1" applyBorder="1" applyAlignment="1">
      <alignment horizontal="left"/>
    </xf>
    <xf numFmtId="164" fontId="3" fillId="0" borderId="0" xfId="2" applyNumberFormat="1" applyFont="1" applyBorder="1" applyAlignment="1">
      <alignment horizontal="right"/>
    </xf>
    <xf numFmtId="0" fontId="3" fillId="0" borderId="0" xfId="0" applyFont="1" applyBorder="1" applyAlignment="1">
      <alignment horizontal="right"/>
    </xf>
    <xf numFmtId="0" fontId="3" fillId="0" borderId="0" xfId="0" applyFont="1" applyBorder="1" applyAlignment="1">
      <alignment wrapText="1"/>
    </xf>
    <xf numFmtId="164" fontId="3" fillId="0" borderId="0" xfId="2" applyNumberFormat="1" applyFont="1" applyFill="1" applyBorder="1" applyAlignment="1">
      <alignment horizontal="right"/>
    </xf>
    <xf numFmtId="0" fontId="3" fillId="0" borderId="0" xfId="0" applyFont="1" applyFill="1" applyBorder="1" applyAlignment="1">
      <alignment wrapText="1"/>
    </xf>
    <xf numFmtId="0" fontId="3" fillId="0" borderId="0" xfId="0" applyFont="1" applyFill="1" applyBorder="1" applyAlignment="1">
      <alignment horizontal="right"/>
    </xf>
    <xf numFmtId="164" fontId="4" fillId="0" borderId="0" xfId="2" applyNumberFormat="1" applyFont="1" applyBorder="1" applyAlignment="1">
      <alignment horizontal="right"/>
    </xf>
    <xf numFmtId="164" fontId="4" fillId="0" borderId="0" xfId="2" applyNumberFormat="1" applyFont="1" applyFill="1" applyBorder="1" applyAlignment="1">
      <alignment horizontal="right"/>
    </xf>
    <xf numFmtId="3" fontId="3" fillId="0" borderId="0" xfId="0" applyNumberFormat="1" applyFont="1" applyBorder="1" applyAlignment="1">
      <alignment wrapText="1"/>
    </xf>
    <xf numFmtId="0" fontId="3" fillId="0" borderId="0" xfId="0" applyFont="1" applyFill="1" applyBorder="1" applyAlignment="1">
      <alignment horizontal="left"/>
    </xf>
    <xf numFmtId="0" fontId="3" fillId="0" borderId="0" xfId="0" applyFont="1" applyFill="1" applyBorder="1"/>
    <xf numFmtId="0" fontId="4" fillId="0" borderId="0" xfId="0" applyFont="1" applyFill="1" applyBorder="1" applyAlignment="1">
      <alignment wrapText="1"/>
    </xf>
    <xf numFmtId="0" fontId="4" fillId="0" borderId="0" xfId="0" applyFont="1" applyBorder="1" applyAlignment="1">
      <alignment wrapText="1"/>
    </xf>
    <xf numFmtId="0" fontId="3" fillId="0" borderId="0" xfId="0" applyFont="1" applyBorder="1" applyAlignment="1">
      <alignment horizontal="center" wrapText="1"/>
    </xf>
    <xf numFmtId="0" fontId="3" fillId="0" borderId="0" xfId="0" applyFont="1" applyFill="1" applyBorder="1" applyAlignment="1">
      <alignment horizontal="left" wrapText="1"/>
    </xf>
    <xf numFmtId="165" fontId="3" fillId="0" borderId="0" xfId="2" applyNumberFormat="1" applyFont="1" applyBorder="1"/>
    <xf numFmtId="165" fontId="3" fillId="0" borderId="0" xfId="2" applyNumberFormat="1" applyFont="1" applyBorder="1" applyAlignment="1">
      <alignment horizontal="right"/>
    </xf>
    <xf numFmtId="165" fontId="3" fillId="0" borderId="0" xfId="2" applyNumberFormat="1" applyFont="1" applyFill="1" applyBorder="1"/>
    <xf numFmtId="165" fontId="3" fillId="0" borderId="0" xfId="2" applyNumberFormat="1" applyFont="1" applyFill="1" applyBorder="1" applyAlignment="1">
      <alignment horizontal="right"/>
    </xf>
    <xf numFmtId="3" fontId="3" fillId="0" borderId="0" xfId="0" applyNumberFormat="1" applyFont="1" applyFill="1" applyBorder="1"/>
    <xf numFmtId="0" fontId="2" fillId="0" borderId="0" xfId="0" applyFont="1" applyBorder="1"/>
    <xf numFmtId="0" fontId="2" fillId="0" borderId="0" xfId="0" applyFont="1" applyBorder="1" applyAlignment="1">
      <alignment wrapText="1"/>
    </xf>
    <xf numFmtId="0" fontId="2" fillId="0" borderId="0" xfId="0" applyFont="1" applyBorder="1" applyAlignment="1">
      <alignment horizontal="right"/>
    </xf>
    <xf numFmtId="0" fontId="2" fillId="0" borderId="0" xfId="0" applyFont="1" applyBorder="1" applyAlignment="1">
      <alignment horizontal="left"/>
    </xf>
    <xf numFmtId="164" fontId="2" fillId="0" borderId="0" xfId="2" applyNumberFormat="1" applyFont="1" applyBorder="1" applyAlignment="1">
      <alignment horizontal="center"/>
    </xf>
    <xf numFmtId="165" fontId="2" fillId="0" borderId="0" xfId="2" applyNumberFormat="1" applyFont="1" applyBorder="1" applyAlignment="1">
      <alignment horizontal="right"/>
    </xf>
    <xf numFmtId="0" fontId="6" fillId="0" borderId="0" xfId="0" applyFont="1" applyBorder="1" applyAlignment="1">
      <alignment wrapText="1"/>
    </xf>
    <xf numFmtId="0" fontId="3" fillId="0" borderId="0" xfId="0" applyFont="1" applyBorder="1" applyAlignment="1">
      <alignment horizontal="left" wrapText="1"/>
    </xf>
    <xf numFmtId="0" fontId="3" fillId="0" borderId="0" xfId="0" applyFont="1" applyBorder="1" applyAlignment="1">
      <alignment horizontal="right" wrapText="1"/>
    </xf>
    <xf numFmtId="165" fontId="3" fillId="0" borderId="0" xfId="2" quotePrefix="1" applyNumberFormat="1" applyFont="1" applyBorder="1" applyAlignment="1">
      <alignment horizontal="right"/>
    </xf>
    <xf numFmtId="0" fontId="3" fillId="0" borderId="0" xfId="0" applyFont="1" applyBorder="1" applyAlignment="1"/>
    <xf numFmtId="0" fontId="3" fillId="0" borderId="0" xfId="0" applyFont="1" applyFill="1" applyBorder="1" applyAlignment="1"/>
    <xf numFmtId="164" fontId="3" fillId="0" borderId="0" xfId="2" quotePrefix="1" applyNumberFormat="1" applyFont="1" applyBorder="1" applyAlignment="1">
      <alignment horizontal="right"/>
    </xf>
    <xf numFmtId="3" fontId="3" fillId="0" borderId="0" xfId="0" applyNumberFormat="1" applyFont="1" applyFill="1" applyBorder="1" applyAlignment="1">
      <alignment horizontal="right"/>
    </xf>
    <xf numFmtId="0" fontId="6" fillId="0" borderId="0" xfId="0" applyFont="1" applyFill="1" applyBorder="1" applyAlignment="1">
      <alignment wrapText="1"/>
    </xf>
    <xf numFmtId="8" fontId="3" fillId="0" borderId="0" xfId="0" applyNumberFormat="1" applyFont="1" applyBorder="1" applyAlignment="1">
      <alignment wrapText="1"/>
    </xf>
    <xf numFmtId="164" fontId="2" fillId="0" borderId="0" xfId="2" applyNumberFormat="1" applyFont="1" applyBorder="1" applyAlignment="1">
      <alignment horizontal="right"/>
    </xf>
    <xf numFmtId="165" fontId="2" fillId="0" borderId="0" xfId="0" applyNumberFormat="1" applyFont="1" applyBorder="1" applyAlignment="1">
      <alignment wrapText="1"/>
    </xf>
    <xf numFmtId="0" fontId="2" fillId="0" borderId="2" xfId="0" applyFont="1" applyBorder="1" applyAlignment="1">
      <alignment horizontal="left"/>
    </xf>
    <xf numFmtId="0" fontId="2" fillId="0" borderId="2" xfId="0" applyFont="1" applyBorder="1" applyAlignment="1">
      <alignment wrapText="1"/>
    </xf>
    <xf numFmtId="164" fontId="2" fillId="0" borderId="2" xfId="2" applyNumberFormat="1" applyFont="1" applyBorder="1" applyAlignment="1">
      <alignment horizontal="right"/>
    </xf>
    <xf numFmtId="0" fontId="2" fillId="0" borderId="2" xfId="0" applyFont="1" applyBorder="1" applyAlignment="1">
      <alignment horizontal="right"/>
    </xf>
    <xf numFmtId="165" fontId="2" fillId="0" borderId="2" xfId="2" applyNumberFormat="1" applyFont="1" applyBorder="1" applyAlignment="1">
      <alignment horizontal="right"/>
    </xf>
    <xf numFmtId="0" fontId="3" fillId="0" borderId="2" xfId="0" applyFont="1" applyBorder="1" applyAlignment="1">
      <alignment wrapText="1"/>
    </xf>
    <xf numFmtId="0" fontId="3" fillId="0" borderId="2" xfId="0" applyFont="1" applyBorder="1"/>
    <xf numFmtId="10" fontId="2" fillId="0" borderId="0" xfId="0" applyNumberFormat="1" applyFont="1" applyBorder="1" applyAlignment="1">
      <alignment horizontal="right"/>
    </xf>
    <xf numFmtId="9" fontId="2" fillId="0" borderId="0" xfId="3" applyFont="1" applyBorder="1" applyAlignment="1">
      <alignment wrapText="1"/>
    </xf>
    <xf numFmtId="9" fontId="2" fillId="0" borderId="0" xfId="3" applyFont="1" applyBorder="1" applyAlignment="1">
      <alignment horizontal="right"/>
    </xf>
    <xf numFmtId="0" fontId="0" fillId="0" borderId="1"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0" fontId="3" fillId="0" borderId="0" xfId="0" applyNumberFormat="1" applyFont="1" applyFill="1" applyBorder="1" applyAlignment="1">
      <alignment horizontal="right"/>
    </xf>
    <xf numFmtId="1" fontId="3" fillId="0" borderId="0" xfId="0" applyNumberFormat="1" applyFont="1" applyBorder="1" applyAlignment="1">
      <alignment horizontal="right"/>
    </xf>
    <xf numFmtId="3" fontId="3" fillId="0" borderId="0" xfId="0" applyNumberFormat="1" applyFont="1" applyBorder="1" applyAlignment="1">
      <alignment horizontal="right" wrapText="1"/>
    </xf>
    <xf numFmtId="0" fontId="2" fillId="0" borderId="0" xfId="0" applyFont="1" applyBorder="1" applyAlignment="1">
      <alignment horizontal="center"/>
    </xf>
    <xf numFmtId="165" fontId="2" fillId="0" borderId="0" xfId="2" applyNumberFormat="1" applyFont="1" applyBorder="1" applyAlignment="1">
      <alignment horizontal="center"/>
    </xf>
    <xf numFmtId="164" fontId="2" fillId="0" borderId="0" xfId="2" applyNumberFormat="1" applyFont="1" applyBorder="1" applyAlignment="1">
      <alignment horizontal="center"/>
    </xf>
    <xf numFmtId="0" fontId="3" fillId="0" borderId="2" xfId="0" applyFont="1" applyBorder="1" applyAlignment="1">
      <alignment horizontal="left"/>
    </xf>
    <xf numFmtId="164" fontId="3" fillId="0" borderId="2" xfId="2" applyNumberFormat="1" applyFont="1" applyBorder="1" applyAlignment="1">
      <alignment horizontal="right"/>
    </xf>
    <xf numFmtId="10" fontId="3" fillId="0" borderId="2" xfId="0" applyNumberFormat="1" applyFont="1" applyFill="1" applyBorder="1" applyAlignment="1">
      <alignment horizontal="right"/>
    </xf>
    <xf numFmtId="165" fontId="3" fillId="0" borderId="2" xfId="2" applyNumberFormat="1" applyFont="1" applyBorder="1" applyAlignment="1">
      <alignment horizontal="right"/>
    </xf>
    <xf numFmtId="0" fontId="8" fillId="0" borderId="0" xfId="0" applyFont="1"/>
    <xf numFmtId="0" fontId="2" fillId="0" borderId="0" xfId="0" applyFont="1"/>
    <xf numFmtId="164" fontId="2" fillId="0" borderId="0" xfId="2" applyNumberFormat="1" applyFont="1" applyBorder="1" applyAlignment="1">
      <alignment horizontal="center"/>
    </xf>
    <xf numFmtId="164" fontId="2" fillId="0" borderId="0" xfId="2" applyNumberFormat="1" applyFont="1" applyBorder="1" applyAlignment="1">
      <alignment horizontal="center"/>
    </xf>
    <xf numFmtId="165" fontId="2" fillId="0" borderId="0" xfId="2" applyNumberFormat="1" applyFont="1" applyBorder="1" applyAlignment="1">
      <alignment horizontal="center" wrapText="1"/>
    </xf>
  </cellXfs>
  <cellStyles count="4">
    <cellStyle name="Comma" xfId="2" builtinId="3"/>
    <cellStyle name="Normal" xfId="0" builtinId="0"/>
    <cellStyle name="Normal 2" xfId="1"/>
    <cellStyle name="Percent" xfId="3" builtinId="5"/>
  </cellStyles>
  <dxfs count="0"/>
  <tableStyles count="0" defaultTableStyle="TableStyleMedium9" defaultPivotStyle="PivotStyleLight16"/>
  <colors>
    <mruColors>
      <color rgb="FF99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6"/>
  <sheetViews>
    <sheetView zoomScale="90" zoomScaleNormal="90" workbookViewId="0">
      <pane ySplit="2" topLeftCell="A3" activePane="bottomLeft" state="frozen"/>
      <selection pane="bottomLeft" activeCell="E15" sqref="E15"/>
    </sheetView>
  </sheetViews>
  <sheetFormatPr defaultRowHeight="12.75" x14ac:dyDescent="0.2"/>
  <cols>
    <col min="1" max="1" width="17.42578125" style="1" customWidth="1"/>
    <col min="2" max="2" width="29.7109375" style="2" bestFit="1" customWidth="1"/>
    <col min="3" max="3" width="18.28515625" style="5" customWidth="1"/>
    <col min="4" max="4" width="43.5703125" style="5" bestFit="1" customWidth="1"/>
    <col min="5" max="5" width="11.7109375" style="3" customWidth="1"/>
    <col min="6" max="6" width="9.85546875" style="3" customWidth="1"/>
    <col min="7" max="7" width="14.85546875" style="4" bestFit="1" customWidth="1"/>
    <col min="8" max="9" width="12.7109375" style="19" bestFit="1" customWidth="1"/>
    <col min="10" max="10" width="55" style="5" customWidth="1"/>
    <col min="11" max="16384" width="9.140625" style="1"/>
  </cols>
  <sheetData>
    <row r="1" spans="1:10" s="23" customFormat="1" ht="26.25" customHeight="1" x14ac:dyDescent="0.2">
      <c r="B1" s="2"/>
      <c r="C1" s="24"/>
      <c r="D1" s="24"/>
      <c r="E1" s="70" t="s">
        <v>448</v>
      </c>
      <c r="F1" s="70"/>
      <c r="G1" s="60"/>
      <c r="H1" s="71" t="s">
        <v>2259</v>
      </c>
      <c r="I1" s="71"/>
      <c r="J1" s="24"/>
    </row>
    <row r="2" spans="1:10" s="23" customFormat="1" x14ac:dyDescent="0.2">
      <c r="A2" s="23" t="s">
        <v>442</v>
      </c>
      <c r="B2" s="26" t="s">
        <v>443</v>
      </c>
      <c r="C2" s="24" t="s">
        <v>444</v>
      </c>
      <c r="D2" s="24" t="s">
        <v>445</v>
      </c>
      <c r="E2" s="62" t="s">
        <v>446</v>
      </c>
      <c r="F2" s="62" t="s">
        <v>447</v>
      </c>
      <c r="G2" s="60" t="s">
        <v>449</v>
      </c>
      <c r="H2" s="61" t="s">
        <v>446</v>
      </c>
      <c r="I2" s="61" t="s">
        <v>447</v>
      </c>
      <c r="J2" s="24" t="s">
        <v>4142</v>
      </c>
    </row>
    <row r="3" spans="1:10" s="13" customFormat="1" ht="51" x14ac:dyDescent="0.2">
      <c r="A3" s="1" t="s">
        <v>1</v>
      </c>
      <c r="B3" s="12" t="s">
        <v>0</v>
      </c>
      <c r="C3" s="13" t="s">
        <v>1675</v>
      </c>
      <c r="D3" s="7" t="s">
        <v>1874</v>
      </c>
      <c r="E3" s="6">
        <f>142996+27090</f>
        <v>170086</v>
      </c>
      <c r="F3" s="6">
        <f>109181+20517</f>
        <v>129698</v>
      </c>
      <c r="G3" s="57">
        <f t="shared" ref="G3:G66" si="0">IF(ISERROR((F3-E3)/E3),"-",(F3-E3)/E3)</f>
        <v>-0.23745634561339557</v>
      </c>
      <c r="H3" s="21"/>
      <c r="I3" s="21"/>
      <c r="J3" s="7" t="s">
        <v>4073</v>
      </c>
    </row>
    <row r="4" spans="1:10" ht="25.5" x14ac:dyDescent="0.2">
      <c r="A4" s="1" t="s">
        <v>1</v>
      </c>
      <c r="B4" s="2" t="s">
        <v>0</v>
      </c>
      <c r="C4" s="1" t="s">
        <v>1667</v>
      </c>
      <c r="D4" s="5" t="s">
        <v>1417</v>
      </c>
      <c r="E4" s="3">
        <f>65080+12335</f>
        <v>77415</v>
      </c>
      <c r="F4" s="3">
        <f>107559+20572</f>
        <v>128131</v>
      </c>
      <c r="G4" s="57">
        <f t="shared" si="0"/>
        <v>0.65511851708325264</v>
      </c>
      <c r="J4" s="5" t="s">
        <v>3634</v>
      </c>
    </row>
    <row r="5" spans="1:10" ht="25.5" x14ac:dyDescent="0.2">
      <c r="A5" s="1" t="s">
        <v>1</v>
      </c>
      <c r="B5" s="2" t="s">
        <v>0</v>
      </c>
      <c r="C5" s="1" t="s">
        <v>1668</v>
      </c>
      <c r="D5" s="5" t="s">
        <v>1271</v>
      </c>
      <c r="E5" s="3">
        <f>62713+11887</f>
        <v>74600</v>
      </c>
      <c r="F5" s="3">
        <f>107559+20572</f>
        <v>128131</v>
      </c>
      <c r="G5" s="57">
        <f t="shared" si="0"/>
        <v>0.71757372654155493</v>
      </c>
      <c r="J5" s="5" t="s">
        <v>3634</v>
      </c>
    </row>
    <row r="6" spans="1:10" ht="25.5" x14ac:dyDescent="0.2">
      <c r="A6" s="1" t="s">
        <v>1</v>
      </c>
      <c r="B6" s="2" t="s">
        <v>0</v>
      </c>
      <c r="C6" s="1" t="s">
        <v>1669</v>
      </c>
      <c r="D6" s="5" t="s">
        <v>1670</v>
      </c>
      <c r="E6" s="3">
        <f>107970+20465</f>
        <v>128435</v>
      </c>
      <c r="F6" s="3">
        <f>107559+20572</f>
        <v>128131</v>
      </c>
      <c r="G6" s="57">
        <f t="shared" si="0"/>
        <v>-2.3669560478062832E-3</v>
      </c>
      <c r="J6" s="5" t="s">
        <v>3634</v>
      </c>
    </row>
    <row r="7" spans="1:10" s="13" customFormat="1" ht="25.5" x14ac:dyDescent="0.2">
      <c r="A7" s="1" t="s">
        <v>1</v>
      </c>
      <c r="B7" s="12" t="s">
        <v>0</v>
      </c>
      <c r="C7" s="13" t="s">
        <v>1671</v>
      </c>
      <c r="D7" s="7" t="s">
        <v>1672</v>
      </c>
      <c r="E7" s="6">
        <f>81643+15475</f>
        <v>97118</v>
      </c>
      <c r="F7" s="6">
        <f>107559+20572</f>
        <v>128131</v>
      </c>
      <c r="G7" s="57">
        <f t="shared" si="0"/>
        <v>0.31933318231429808</v>
      </c>
      <c r="H7" s="21"/>
      <c r="I7" s="21"/>
      <c r="J7" s="7" t="s">
        <v>3634</v>
      </c>
    </row>
    <row r="8" spans="1:10" ht="25.5" x14ac:dyDescent="0.2">
      <c r="A8" s="1" t="s">
        <v>1</v>
      </c>
      <c r="B8" s="2" t="s">
        <v>0</v>
      </c>
      <c r="C8" s="1" t="s">
        <v>1673</v>
      </c>
      <c r="D8" s="5" t="s">
        <v>1674</v>
      </c>
      <c r="E8" s="3">
        <f>107970+20465</f>
        <v>128435</v>
      </c>
      <c r="F8" s="3">
        <f>107559+20572</f>
        <v>128131</v>
      </c>
      <c r="G8" s="57">
        <f t="shared" si="0"/>
        <v>-2.3669560478062832E-3</v>
      </c>
      <c r="J8" s="5" t="s">
        <v>3634</v>
      </c>
    </row>
    <row r="9" spans="1:10" s="13" customFormat="1" ht="38.25" x14ac:dyDescent="0.2">
      <c r="A9" s="1" t="s">
        <v>1</v>
      </c>
      <c r="B9" s="13" t="s">
        <v>0</v>
      </c>
      <c r="C9" s="13" t="s">
        <v>3635</v>
      </c>
      <c r="D9" s="7" t="s">
        <v>4074</v>
      </c>
      <c r="E9" s="6">
        <f>69414+13101</f>
        <v>82515</v>
      </c>
      <c r="F9" s="6">
        <f>36913+175512</f>
        <v>212425</v>
      </c>
      <c r="G9" s="57">
        <f t="shared" si="0"/>
        <v>1.5743804156819972</v>
      </c>
      <c r="H9" s="21"/>
      <c r="I9" s="21"/>
      <c r="J9" s="7" t="s">
        <v>4075</v>
      </c>
    </row>
    <row r="10" spans="1:10" x14ac:dyDescent="0.2">
      <c r="A10" s="1" t="s">
        <v>1</v>
      </c>
      <c r="B10" s="2" t="s">
        <v>0</v>
      </c>
      <c r="C10" s="1"/>
      <c r="D10" s="5" t="s">
        <v>464</v>
      </c>
      <c r="G10" s="57" t="str">
        <f t="shared" si="0"/>
        <v>-</v>
      </c>
      <c r="H10" s="19">
        <v>92500</v>
      </c>
      <c r="I10" s="19" t="s">
        <v>465</v>
      </c>
    </row>
    <row r="11" spans="1:10" x14ac:dyDescent="0.2">
      <c r="A11" s="1" t="s">
        <v>1</v>
      </c>
      <c r="B11" s="2" t="s">
        <v>0</v>
      </c>
      <c r="C11" s="1"/>
      <c r="D11" s="5" t="s">
        <v>464</v>
      </c>
      <c r="G11" s="57" t="str">
        <f t="shared" si="0"/>
        <v>-</v>
      </c>
      <c r="H11" s="19" t="s">
        <v>465</v>
      </c>
      <c r="I11" s="19">
        <v>92500</v>
      </c>
    </row>
    <row r="12" spans="1:10" x14ac:dyDescent="0.2">
      <c r="A12" s="1" t="s">
        <v>1</v>
      </c>
      <c r="B12" s="2" t="s">
        <v>0</v>
      </c>
      <c r="C12" s="1"/>
      <c r="D12" s="5" t="s">
        <v>464</v>
      </c>
      <c r="G12" s="57" t="str">
        <f t="shared" si="0"/>
        <v>-</v>
      </c>
      <c r="H12" s="19" t="s">
        <v>465</v>
      </c>
      <c r="I12" s="19">
        <v>92500</v>
      </c>
    </row>
    <row r="13" spans="1:10" x14ac:dyDescent="0.2">
      <c r="A13" s="1" t="s">
        <v>1</v>
      </c>
      <c r="B13" s="2" t="s">
        <v>0</v>
      </c>
      <c r="C13" s="1"/>
      <c r="D13" s="5" t="s">
        <v>464</v>
      </c>
      <c r="E13" s="3">
        <v>152500</v>
      </c>
      <c r="F13" s="3" t="s">
        <v>465</v>
      </c>
      <c r="G13" s="57" t="str">
        <f t="shared" si="0"/>
        <v>-</v>
      </c>
    </row>
    <row r="14" spans="1:10" ht="25.5" x14ac:dyDescent="0.2">
      <c r="A14" s="1" t="s">
        <v>1</v>
      </c>
      <c r="B14" s="2" t="s">
        <v>2</v>
      </c>
      <c r="C14" s="1" t="s">
        <v>1676</v>
      </c>
      <c r="D14" s="5" t="s">
        <v>450</v>
      </c>
      <c r="E14" s="3">
        <f>134074+25588</f>
        <v>159662</v>
      </c>
      <c r="F14" s="3">
        <f>143121+27479</f>
        <v>170600</v>
      </c>
      <c r="G14" s="57">
        <f t="shared" si="0"/>
        <v>6.8507221505430219E-2</v>
      </c>
      <c r="J14" s="5" t="s">
        <v>3636</v>
      </c>
    </row>
    <row r="15" spans="1:10" ht="25.5" x14ac:dyDescent="0.2">
      <c r="A15" s="1" t="s">
        <v>1</v>
      </c>
      <c r="B15" s="2" t="s">
        <v>2</v>
      </c>
      <c r="C15" s="1" t="s">
        <v>1677</v>
      </c>
      <c r="D15" s="5" t="s">
        <v>451</v>
      </c>
      <c r="E15" s="3">
        <v>22282</v>
      </c>
      <c r="F15" s="3">
        <v>110906</v>
      </c>
      <c r="G15" s="57">
        <f t="shared" si="0"/>
        <v>3.9773808455255364</v>
      </c>
      <c r="J15" s="5" t="s">
        <v>4078</v>
      </c>
    </row>
    <row r="16" spans="1:10" s="13" customFormat="1" ht="25.5" x14ac:dyDescent="0.2">
      <c r="A16" s="1" t="s">
        <v>1</v>
      </c>
      <c r="B16" s="12" t="s">
        <v>2</v>
      </c>
      <c r="C16" s="13" t="s">
        <v>3637</v>
      </c>
      <c r="D16" s="7" t="s">
        <v>3638</v>
      </c>
      <c r="E16" s="6">
        <f>107800+20465</f>
        <v>128265</v>
      </c>
      <c r="F16" s="6">
        <f>45435+8724</f>
        <v>54159</v>
      </c>
      <c r="G16" s="57">
        <f t="shared" si="0"/>
        <v>-0.57775698748684368</v>
      </c>
      <c r="H16" s="21"/>
      <c r="I16" s="21"/>
      <c r="J16" s="7" t="s">
        <v>3639</v>
      </c>
    </row>
    <row r="17" spans="1:10" ht="25.5" x14ac:dyDescent="0.2">
      <c r="A17" s="1" t="s">
        <v>1</v>
      </c>
      <c r="B17" s="2" t="s">
        <v>2</v>
      </c>
      <c r="C17" s="1" t="s">
        <v>1678</v>
      </c>
      <c r="D17" s="5" t="s">
        <v>1679</v>
      </c>
      <c r="E17" s="3">
        <f>107164+20465</f>
        <v>127629</v>
      </c>
      <c r="F17" s="3">
        <f>109827+21087</f>
        <v>130914</v>
      </c>
      <c r="G17" s="57">
        <f t="shared" si="0"/>
        <v>2.5738664410126226E-2</v>
      </c>
      <c r="J17" s="5" t="s">
        <v>3640</v>
      </c>
    </row>
    <row r="18" spans="1:10" s="13" customFormat="1" ht="25.5" x14ac:dyDescent="0.2">
      <c r="A18" s="1" t="s">
        <v>1</v>
      </c>
      <c r="B18" s="12" t="s">
        <v>2</v>
      </c>
      <c r="C18" s="13" t="s">
        <v>3641</v>
      </c>
      <c r="D18" s="7" t="s">
        <v>452</v>
      </c>
      <c r="E18" s="6">
        <f>107267+20465</f>
        <v>127732</v>
      </c>
      <c r="F18" s="6">
        <f>37010+7106</f>
        <v>44116</v>
      </c>
      <c r="G18" s="57">
        <f t="shared" si="0"/>
        <v>-0.6546206119061786</v>
      </c>
      <c r="H18" s="21"/>
      <c r="I18" s="21"/>
      <c r="J18" s="7" t="s">
        <v>4076</v>
      </c>
    </row>
    <row r="19" spans="1:10" s="13" customFormat="1" ht="38.25" x14ac:dyDescent="0.2">
      <c r="A19" s="1" t="s">
        <v>1</v>
      </c>
      <c r="B19" s="12" t="s">
        <v>2</v>
      </c>
      <c r="C19" s="13" t="s">
        <v>1680</v>
      </c>
      <c r="D19" s="7" t="s">
        <v>4730</v>
      </c>
      <c r="E19" s="6">
        <f>107148+20465</f>
        <v>127613</v>
      </c>
      <c r="F19" s="6">
        <f>109827+21087</f>
        <v>130914</v>
      </c>
      <c r="G19" s="57">
        <f t="shared" si="0"/>
        <v>2.5867270575881767E-2</v>
      </c>
      <c r="H19" s="21"/>
      <c r="I19" s="21"/>
      <c r="J19" s="7" t="s">
        <v>4077</v>
      </c>
    </row>
    <row r="20" spans="1:10" s="13" customFormat="1" ht="25.5" x14ac:dyDescent="0.2">
      <c r="A20" s="1" t="s">
        <v>1</v>
      </c>
      <c r="B20" s="12" t="s">
        <v>2</v>
      </c>
      <c r="C20" s="13" t="s">
        <v>1681</v>
      </c>
      <c r="D20" s="7" t="s">
        <v>1682</v>
      </c>
      <c r="E20" s="6">
        <f>107267+20465</f>
        <v>127732</v>
      </c>
      <c r="F20" s="6">
        <f>109827+21087</f>
        <v>130914</v>
      </c>
      <c r="G20" s="57">
        <f t="shared" si="0"/>
        <v>2.491153352331444E-2</v>
      </c>
      <c r="H20" s="21"/>
      <c r="I20" s="21"/>
      <c r="J20" s="7" t="s">
        <v>3640</v>
      </c>
    </row>
    <row r="21" spans="1:10" s="13" customFormat="1" ht="51" x14ac:dyDescent="0.2">
      <c r="A21" s="13" t="s">
        <v>4</v>
      </c>
      <c r="B21" s="12" t="s">
        <v>3</v>
      </c>
      <c r="C21" s="7"/>
      <c r="D21" s="7" t="s">
        <v>4180</v>
      </c>
      <c r="E21" s="6">
        <v>135589</v>
      </c>
      <c r="F21" s="6">
        <v>135656</v>
      </c>
      <c r="G21" s="57">
        <f t="shared" si="0"/>
        <v>4.941403801193312E-4</v>
      </c>
      <c r="H21" s="21"/>
      <c r="I21" s="21"/>
      <c r="J21" s="7" t="s">
        <v>4080</v>
      </c>
    </row>
    <row r="22" spans="1:10" s="13" customFormat="1" ht="25.5" x14ac:dyDescent="0.2">
      <c r="A22" s="13" t="s">
        <v>4</v>
      </c>
      <c r="B22" s="17" t="s">
        <v>3</v>
      </c>
      <c r="C22" s="5" t="s">
        <v>453</v>
      </c>
      <c r="D22" s="5" t="s">
        <v>4181</v>
      </c>
      <c r="E22" s="3">
        <v>158137</v>
      </c>
      <c r="F22" s="3" t="s">
        <v>465</v>
      </c>
      <c r="G22" s="57" t="str">
        <f t="shared" si="0"/>
        <v>-</v>
      </c>
      <c r="H22" s="19"/>
      <c r="I22" s="19"/>
      <c r="J22" s="5" t="s">
        <v>4079</v>
      </c>
    </row>
    <row r="23" spans="1:10" ht="51" x14ac:dyDescent="0.2">
      <c r="A23" s="13" t="s">
        <v>4</v>
      </c>
      <c r="B23" s="2" t="s">
        <v>3</v>
      </c>
      <c r="D23" s="5" t="s">
        <v>4182</v>
      </c>
      <c r="E23" s="3">
        <v>105684</v>
      </c>
      <c r="F23" s="3">
        <v>107371</v>
      </c>
      <c r="G23" s="57">
        <f t="shared" si="0"/>
        <v>1.5962681200560162E-2</v>
      </c>
      <c r="J23" s="5" t="s">
        <v>4081</v>
      </c>
    </row>
    <row r="24" spans="1:10" ht="38.25" x14ac:dyDescent="0.2">
      <c r="A24" s="13" t="s">
        <v>4</v>
      </c>
      <c r="B24" s="2" t="s">
        <v>3</v>
      </c>
      <c r="D24" s="5" t="s">
        <v>4183</v>
      </c>
      <c r="E24" s="3">
        <v>106618</v>
      </c>
      <c r="F24" s="3">
        <v>106559</v>
      </c>
      <c r="G24" s="57">
        <f t="shared" si="0"/>
        <v>-5.53377478474554E-4</v>
      </c>
      <c r="J24" s="5" t="s">
        <v>4082</v>
      </c>
    </row>
    <row r="25" spans="1:10" s="13" customFormat="1" ht="25.5" x14ac:dyDescent="0.2">
      <c r="A25" s="13" t="s">
        <v>6</v>
      </c>
      <c r="B25" s="12" t="s">
        <v>5</v>
      </c>
      <c r="D25" s="7" t="s">
        <v>450</v>
      </c>
      <c r="E25" s="6">
        <v>117966.32</v>
      </c>
      <c r="F25" s="6">
        <v>122055.42</v>
      </c>
      <c r="G25" s="57">
        <f t="shared" si="0"/>
        <v>3.4663283554153344E-2</v>
      </c>
      <c r="H25" s="21"/>
      <c r="I25" s="21"/>
      <c r="J25" s="7" t="s">
        <v>3642</v>
      </c>
    </row>
    <row r="26" spans="1:10" ht="38.25" x14ac:dyDescent="0.2">
      <c r="A26" s="1" t="s">
        <v>8</v>
      </c>
      <c r="B26" s="2" t="s">
        <v>7</v>
      </c>
      <c r="C26" s="1"/>
      <c r="D26" s="5" t="s">
        <v>450</v>
      </c>
      <c r="E26" s="3">
        <v>118000</v>
      </c>
      <c r="F26" s="3">
        <v>124000</v>
      </c>
      <c r="G26" s="57">
        <f t="shared" si="0"/>
        <v>5.0847457627118647E-2</v>
      </c>
      <c r="J26" s="5" t="s">
        <v>3643</v>
      </c>
    </row>
    <row r="27" spans="1:10" s="13" customFormat="1" ht="25.5" x14ac:dyDescent="0.2">
      <c r="A27" s="13" t="s">
        <v>1</v>
      </c>
      <c r="B27" s="12" t="s">
        <v>9</v>
      </c>
      <c r="C27" s="13" t="s">
        <v>1683</v>
      </c>
      <c r="D27" s="7" t="s">
        <v>454</v>
      </c>
      <c r="E27" s="6">
        <f>103408+18578</f>
        <v>121986</v>
      </c>
      <c r="F27" s="6">
        <f>106109+19043</f>
        <v>125152</v>
      </c>
      <c r="G27" s="57">
        <f t="shared" si="0"/>
        <v>2.5953797976817013E-2</v>
      </c>
      <c r="H27" s="21"/>
      <c r="I27" s="21"/>
      <c r="J27" s="7" t="s">
        <v>3644</v>
      </c>
    </row>
    <row r="28" spans="1:10" s="13" customFormat="1" ht="25.5" customHeight="1" x14ac:dyDescent="0.2">
      <c r="A28" s="13" t="s">
        <v>1</v>
      </c>
      <c r="B28" s="12" t="s">
        <v>9</v>
      </c>
      <c r="C28" s="13" t="s">
        <v>2236</v>
      </c>
      <c r="D28" s="7" t="s">
        <v>2237</v>
      </c>
      <c r="E28" s="6">
        <f>89294+16410</f>
        <v>105704</v>
      </c>
      <c r="F28" s="6">
        <f>90918+16820</f>
        <v>107738</v>
      </c>
      <c r="G28" s="57">
        <f t="shared" si="0"/>
        <v>1.9242412775297056E-2</v>
      </c>
      <c r="H28" s="21"/>
      <c r="I28" s="21"/>
      <c r="J28" s="7" t="s">
        <v>4083</v>
      </c>
    </row>
    <row r="29" spans="1:10" s="13" customFormat="1" ht="25.5" x14ac:dyDescent="0.2">
      <c r="A29" s="13" t="s">
        <v>1</v>
      </c>
      <c r="B29" s="12" t="s">
        <v>9</v>
      </c>
      <c r="C29" s="13" t="s">
        <v>2238</v>
      </c>
      <c r="D29" s="7" t="s">
        <v>740</v>
      </c>
      <c r="E29" s="6">
        <f>85341+15788</f>
        <v>101129</v>
      </c>
      <c r="F29" s="6">
        <f>87474+16183</f>
        <v>103657</v>
      </c>
      <c r="G29" s="57">
        <f t="shared" si="0"/>
        <v>2.4997775118907533E-2</v>
      </c>
      <c r="H29" s="21"/>
      <c r="I29" s="21"/>
      <c r="J29" s="7" t="s">
        <v>4084</v>
      </c>
    </row>
    <row r="30" spans="1:10" s="13" customFormat="1" ht="25.5" x14ac:dyDescent="0.2">
      <c r="A30" s="13" t="s">
        <v>1</v>
      </c>
      <c r="B30" s="12" t="s">
        <v>9</v>
      </c>
      <c r="C30" s="13" t="s">
        <v>1684</v>
      </c>
      <c r="D30" s="7" t="s">
        <v>1682</v>
      </c>
      <c r="E30" s="6">
        <f>101184+18578</f>
        <v>119762</v>
      </c>
      <c r="F30" s="6">
        <f>103819+19043</f>
        <v>122862</v>
      </c>
      <c r="G30" s="57">
        <f t="shared" si="0"/>
        <v>2.588467126467494E-2</v>
      </c>
      <c r="H30" s="21"/>
      <c r="I30" s="21"/>
      <c r="J30" s="7" t="s">
        <v>2240</v>
      </c>
    </row>
    <row r="31" spans="1:10" s="13" customFormat="1" ht="25.5" x14ac:dyDescent="0.2">
      <c r="A31" s="13" t="s">
        <v>1</v>
      </c>
      <c r="B31" s="12" t="s">
        <v>9</v>
      </c>
      <c r="C31" s="13" t="s">
        <v>1685</v>
      </c>
      <c r="D31" s="7" t="s">
        <v>452</v>
      </c>
      <c r="E31" s="6">
        <f>104021+18578</f>
        <v>122599</v>
      </c>
      <c r="F31" s="6">
        <f>106755+19043</f>
        <v>125798</v>
      </c>
      <c r="G31" s="57">
        <f t="shared" si="0"/>
        <v>2.6093198150066478E-2</v>
      </c>
      <c r="H31" s="21"/>
      <c r="I31" s="21"/>
      <c r="J31" s="7" t="s">
        <v>2241</v>
      </c>
    </row>
    <row r="32" spans="1:10" s="13" customFormat="1" ht="25.5" x14ac:dyDescent="0.2">
      <c r="A32" s="13" t="s">
        <v>1</v>
      </c>
      <c r="B32" s="12" t="s">
        <v>9</v>
      </c>
      <c r="C32" s="13" t="s">
        <v>1686</v>
      </c>
      <c r="D32" s="7" t="s">
        <v>3645</v>
      </c>
      <c r="E32" s="6">
        <f>105450+19508</f>
        <v>124958</v>
      </c>
      <c r="F32" s="6">
        <f>108087+19996</f>
        <v>128083</v>
      </c>
      <c r="G32" s="57">
        <f t="shared" si="0"/>
        <v>2.5008402823348645E-2</v>
      </c>
      <c r="H32" s="21"/>
      <c r="I32" s="21"/>
      <c r="J32" s="7" t="s">
        <v>2242</v>
      </c>
    </row>
    <row r="33" spans="1:10" s="13" customFormat="1" ht="25.5" x14ac:dyDescent="0.2">
      <c r="A33" s="13" t="s">
        <v>1</v>
      </c>
      <c r="B33" s="12" t="s">
        <v>9</v>
      </c>
      <c r="C33" s="13" t="s">
        <v>2239</v>
      </c>
      <c r="D33" s="7" t="s">
        <v>451</v>
      </c>
      <c r="E33" s="6">
        <f>91687+16410</f>
        <v>108097</v>
      </c>
      <c r="F33" s="6">
        <f>93765+16820</f>
        <v>110585</v>
      </c>
      <c r="G33" s="57">
        <f t="shared" si="0"/>
        <v>2.3016364931496711E-2</v>
      </c>
      <c r="H33" s="21"/>
      <c r="I33" s="21"/>
      <c r="J33" s="7" t="s">
        <v>2243</v>
      </c>
    </row>
    <row r="34" spans="1:10" ht="76.5" x14ac:dyDescent="0.2">
      <c r="A34" s="13" t="s">
        <v>1</v>
      </c>
      <c r="B34" s="2" t="s">
        <v>9</v>
      </c>
      <c r="C34" s="1" t="s">
        <v>1687</v>
      </c>
      <c r="D34" s="5" t="s">
        <v>450</v>
      </c>
      <c r="E34" s="3">
        <f>131162+24260</f>
        <v>155422</v>
      </c>
      <c r="F34" s="3">
        <f>122490+22586</f>
        <v>145076</v>
      </c>
      <c r="G34" s="57">
        <f t="shared" si="0"/>
        <v>-6.6567152655351236E-2</v>
      </c>
      <c r="J34" s="5" t="s">
        <v>4085</v>
      </c>
    </row>
    <row r="35" spans="1:10" x14ac:dyDescent="0.2">
      <c r="A35" s="13" t="s">
        <v>1</v>
      </c>
      <c r="B35" s="2" t="s">
        <v>9</v>
      </c>
      <c r="C35" s="1"/>
      <c r="D35" s="5" t="s">
        <v>464</v>
      </c>
      <c r="G35" s="57" t="str">
        <f t="shared" si="0"/>
        <v>-</v>
      </c>
      <c r="H35" s="19" t="s">
        <v>465</v>
      </c>
      <c r="I35" s="19">
        <v>92500</v>
      </c>
    </row>
    <row r="36" spans="1:10" x14ac:dyDescent="0.2">
      <c r="A36" s="13" t="s">
        <v>1</v>
      </c>
      <c r="B36" s="2" t="s">
        <v>9</v>
      </c>
      <c r="C36" s="1"/>
      <c r="D36" s="5" t="s">
        <v>464</v>
      </c>
      <c r="E36" s="3" t="s">
        <v>465</v>
      </c>
      <c r="F36" s="3">
        <v>102500</v>
      </c>
      <c r="G36" s="57" t="str">
        <f t="shared" si="0"/>
        <v>-</v>
      </c>
    </row>
    <row r="37" spans="1:10" x14ac:dyDescent="0.2">
      <c r="A37" s="13" t="s">
        <v>1</v>
      </c>
      <c r="B37" s="2" t="s">
        <v>9</v>
      </c>
      <c r="C37" s="1"/>
      <c r="D37" s="5" t="s">
        <v>464</v>
      </c>
      <c r="E37" s="3" t="s">
        <v>465</v>
      </c>
      <c r="F37" s="3">
        <v>107500</v>
      </c>
      <c r="G37" s="57" t="str">
        <f t="shared" si="0"/>
        <v>-</v>
      </c>
    </row>
    <row r="38" spans="1:10" ht="25.5" x14ac:dyDescent="0.2">
      <c r="A38" s="1" t="s">
        <v>11</v>
      </c>
      <c r="B38" s="2" t="s">
        <v>10</v>
      </c>
      <c r="C38" s="29" t="s">
        <v>2697</v>
      </c>
      <c r="G38" s="57" t="str">
        <f t="shared" si="0"/>
        <v>-</v>
      </c>
    </row>
    <row r="39" spans="1:10" x14ac:dyDescent="0.2">
      <c r="A39" s="1" t="s">
        <v>11</v>
      </c>
      <c r="B39" s="2" t="s">
        <v>12</v>
      </c>
      <c r="C39" s="1"/>
      <c r="D39" s="5" t="s">
        <v>464</v>
      </c>
      <c r="G39" s="57" t="str">
        <f t="shared" si="0"/>
        <v>-</v>
      </c>
      <c r="H39" s="19">
        <v>95000</v>
      </c>
      <c r="I39" s="19" t="s">
        <v>465</v>
      </c>
    </row>
    <row r="40" spans="1:10" x14ac:dyDescent="0.2">
      <c r="A40" s="1" t="s">
        <v>11</v>
      </c>
      <c r="B40" s="2" t="s">
        <v>12</v>
      </c>
      <c r="C40" s="1"/>
      <c r="D40" s="5" t="s">
        <v>464</v>
      </c>
      <c r="G40" s="57" t="str">
        <f t="shared" si="0"/>
        <v>-</v>
      </c>
      <c r="H40" s="19" t="s">
        <v>465</v>
      </c>
      <c r="I40" s="19">
        <v>95000</v>
      </c>
    </row>
    <row r="41" spans="1:10" ht="25.5" x14ac:dyDescent="0.2">
      <c r="A41" s="1" t="s">
        <v>1</v>
      </c>
      <c r="B41" s="2" t="s">
        <v>13</v>
      </c>
      <c r="C41" s="1" t="s">
        <v>1688</v>
      </c>
      <c r="D41" s="5" t="s">
        <v>450</v>
      </c>
      <c r="E41" s="3">
        <f>115549+19525</f>
        <v>135074</v>
      </c>
      <c r="F41" s="3">
        <f>118239+21085</f>
        <v>139324</v>
      </c>
      <c r="G41" s="57">
        <f t="shared" si="0"/>
        <v>3.1464234419651453E-2</v>
      </c>
      <c r="J41" s="5" t="s">
        <v>3646</v>
      </c>
    </row>
    <row r="42" spans="1:10" ht="25.5" x14ac:dyDescent="0.2">
      <c r="A42" s="1" t="s">
        <v>1</v>
      </c>
      <c r="B42" s="2" t="s">
        <v>13</v>
      </c>
      <c r="C42" s="1" t="s">
        <v>2244</v>
      </c>
      <c r="D42" s="5" t="s">
        <v>1761</v>
      </c>
      <c r="E42" s="3">
        <f>90970+15594</f>
        <v>106564</v>
      </c>
      <c r="F42" s="3">
        <f>93173+16812</f>
        <v>109985</v>
      </c>
      <c r="G42" s="57">
        <f t="shared" si="0"/>
        <v>3.2102773919897902E-2</v>
      </c>
      <c r="J42" s="5" t="s">
        <v>4598</v>
      </c>
    </row>
    <row r="43" spans="1:10" ht="38.25" x14ac:dyDescent="0.2">
      <c r="A43" s="1" t="s">
        <v>1</v>
      </c>
      <c r="B43" s="2" t="s">
        <v>13</v>
      </c>
      <c r="C43" s="1" t="s">
        <v>2245</v>
      </c>
      <c r="D43" s="5" t="s">
        <v>4140</v>
      </c>
      <c r="E43" s="3" t="s">
        <v>465</v>
      </c>
      <c r="F43" s="3">
        <f>92433+16619</f>
        <v>109052</v>
      </c>
      <c r="G43" s="57" t="str">
        <f t="shared" si="0"/>
        <v>-</v>
      </c>
      <c r="J43" s="5" t="s">
        <v>4141</v>
      </c>
    </row>
    <row r="44" spans="1:10" x14ac:dyDescent="0.2">
      <c r="A44" s="1" t="s">
        <v>1</v>
      </c>
      <c r="B44" s="2" t="s">
        <v>13</v>
      </c>
      <c r="C44" s="1"/>
      <c r="D44" s="5" t="s">
        <v>464</v>
      </c>
      <c r="E44" s="3">
        <v>112500</v>
      </c>
      <c r="F44" s="3" t="s">
        <v>465</v>
      </c>
      <c r="G44" s="57" t="str">
        <f t="shared" si="0"/>
        <v>-</v>
      </c>
    </row>
    <row r="45" spans="1:10" x14ac:dyDescent="0.2">
      <c r="A45" s="1" t="s">
        <v>1</v>
      </c>
      <c r="B45" s="2" t="s">
        <v>13</v>
      </c>
      <c r="C45" s="1"/>
      <c r="D45" s="5" t="s">
        <v>464</v>
      </c>
      <c r="E45" s="3" t="s">
        <v>465</v>
      </c>
      <c r="F45" s="3">
        <v>112500</v>
      </c>
      <c r="G45" s="57" t="str">
        <f t="shared" si="0"/>
        <v>-</v>
      </c>
    </row>
    <row r="46" spans="1:10" x14ac:dyDescent="0.2">
      <c r="A46" s="1" t="s">
        <v>1</v>
      </c>
      <c r="B46" s="2" t="s">
        <v>13</v>
      </c>
      <c r="C46" s="1"/>
      <c r="D46" s="5" t="s">
        <v>464</v>
      </c>
      <c r="E46" s="3">
        <v>152500</v>
      </c>
      <c r="F46" s="3" t="s">
        <v>465</v>
      </c>
      <c r="G46" s="57" t="str">
        <f t="shared" si="0"/>
        <v>-</v>
      </c>
    </row>
    <row r="47" spans="1:10" x14ac:dyDescent="0.2">
      <c r="A47" s="1" t="s">
        <v>1</v>
      </c>
      <c r="B47" s="2" t="s">
        <v>13</v>
      </c>
      <c r="C47" s="1"/>
      <c r="D47" s="5" t="s">
        <v>464</v>
      </c>
      <c r="E47" s="3">
        <v>212500</v>
      </c>
      <c r="F47" s="3" t="s">
        <v>465</v>
      </c>
      <c r="G47" s="57" t="str">
        <f t="shared" si="0"/>
        <v>-</v>
      </c>
    </row>
    <row r="48" spans="1:10" ht="25.5" x14ac:dyDescent="0.2">
      <c r="A48" s="1" t="s">
        <v>11</v>
      </c>
      <c r="B48" s="2" t="s">
        <v>14</v>
      </c>
      <c r="C48" s="29" t="s">
        <v>2697</v>
      </c>
      <c r="G48" s="57" t="str">
        <f t="shared" si="0"/>
        <v>-</v>
      </c>
    </row>
    <row r="49" spans="1:10" ht="25.5" x14ac:dyDescent="0.2">
      <c r="A49" s="1" t="s">
        <v>4</v>
      </c>
      <c r="B49" s="2" t="s">
        <v>15</v>
      </c>
      <c r="C49" s="1"/>
      <c r="D49" s="5" t="s">
        <v>450</v>
      </c>
      <c r="E49" s="3">
        <v>146683</v>
      </c>
      <c r="F49" s="3">
        <v>149580</v>
      </c>
      <c r="G49" s="57">
        <f t="shared" si="0"/>
        <v>1.9750073287293005E-2</v>
      </c>
      <c r="J49" s="5" t="s">
        <v>3647</v>
      </c>
    </row>
    <row r="50" spans="1:10" ht="25.5" x14ac:dyDescent="0.2">
      <c r="A50" s="1" t="s">
        <v>4</v>
      </c>
      <c r="B50" s="2" t="s">
        <v>15</v>
      </c>
      <c r="C50" s="1"/>
      <c r="D50" s="5" t="s">
        <v>1689</v>
      </c>
      <c r="E50" s="3">
        <v>103638</v>
      </c>
      <c r="F50" s="3">
        <v>106371</v>
      </c>
      <c r="G50" s="57">
        <f t="shared" si="0"/>
        <v>2.6370636253111791E-2</v>
      </c>
      <c r="J50" s="5" t="s">
        <v>3648</v>
      </c>
    </row>
    <row r="51" spans="1:10" ht="25.5" x14ac:dyDescent="0.2">
      <c r="A51" s="1" t="s">
        <v>4</v>
      </c>
      <c r="B51" s="2" t="s">
        <v>15</v>
      </c>
      <c r="C51" s="1"/>
      <c r="D51" s="5" t="s">
        <v>1690</v>
      </c>
      <c r="E51" s="3">
        <v>105610</v>
      </c>
      <c r="F51" s="3">
        <v>150151</v>
      </c>
      <c r="G51" s="57">
        <f t="shared" si="0"/>
        <v>0.42174983429599472</v>
      </c>
      <c r="J51" s="5" t="s">
        <v>4599</v>
      </c>
    </row>
    <row r="52" spans="1:10" x14ac:dyDescent="0.2">
      <c r="A52" s="1" t="s">
        <v>4</v>
      </c>
      <c r="B52" s="2" t="s">
        <v>15</v>
      </c>
      <c r="C52" s="1"/>
      <c r="D52" s="5" t="s">
        <v>464</v>
      </c>
      <c r="G52" s="57" t="str">
        <f t="shared" si="0"/>
        <v>-</v>
      </c>
      <c r="H52" s="19" t="s">
        <v>465</v>
      </c>
      <c r="I52" s="19">
        <v>97500</v>
      </c>
      <c r="J52" s="5" t="s">
        <v>1241</v>
      </c>
    </row>
    <row r="53" spans="1:10" x14ac:dyDescent="0.2">
      <c r="A53" s="1" t="s">
        <v>4</v>
      </c>
      <c r="B53" s="2" t="s">
        <v>15</v>
      </c>
      <c r="C53" s="1"/>
      <c r="D53" s="5" t="s">
        <v>464</v>
      </c>
      <c r="E53" s="3" t="s">
        <v>465</v>
      </c>
      <c r="F53" s="3">
        <v>157500</v>
      </c>
      <c r="G53" s="57" t="str">
        <f t="shared" si="0"/>
        <v>-</v>
      </c>
      <c r="J53" s="5" t="s">
        <v>1241</v>
      </c>
    </row>
    <row r="54" spans="1:10" s="13" customFormat="1" ht="51" x14ac:dyDescent="0.2">
      <c r="A54" s="13" t="s">
        <v>8</v>
      </c>
      <c r="B54" s="12" t="s">
        <v>16</v>
      </c>
      <c r="D54" s="7" t="s">
        <v>450</v>
      </c>
      <c r="E54" s="6">
        <v>107322</v>
      </c>
      <c r="F54" s="6">
        <v>116400</v>
      </c>
      <c r="G54" s="57">
        <f t="shared" si="0"/>
        <v>8.4586571252865214E-2</v>
      </c>
      <c r="H54" s="21"/>
      <c r="I54" s="21"/>
      <c r="J54" s="7" t="s">
        <v>4086</v>
      </c>
    </row>
    <row r="55" spans="1:10" s="13" customFormat="1" x14ac:dyDescent="0.2">
      <c r="A55" s="13" t="s">
        <v>8</v>
      </c>
      <c r="B55" s="12" t="s">
        <v>16</v>
      </c>
      <c r="D55" s="7" t="s">
        <v>4087</v>
      </c>
      <c r="E55" s="6">
        <v>133825</v>
      </c>
      <c r="F55" s="6" t="s">
        <v>465</v>
      </c>
      <c r="G55" s="57" t="str">
        <f t="shared" si="0"/>
        <v>-</v>
      </c>
      <c r="H55" s="21"/>
      <c r="I55" s="21"/>
      <c r="J55" s="7" t="s">
        <v>4088</v>
      </c>
    </row>
    <row r="56" spans="1:10" s="13" customFormat="1" ht="38.25" x14ac:dyDescent="0.2">
      <c r="A56" s="13" t="s">
        <v>4</v>
      </c>
      <c r="B56" s="12" t="s">
        <v>17</v>
      </c>
      <c r="D56" s="7" t="s">
        <v>450</v>
      </c>
      <c r="E56" s="6">
        <v>62916.2</v>
      </c>
      <c r="F56" s="6">
        <v>135352.79</v>
      </c>
      <c r="G56" s="57">
        <f t="shared" si="0"/>
        <v>1.151318579316615</v>
      </c>
      <c r="H56" s="21"/>
      <c r="I56" s="21"/>
      <c r="J56" s="7" t="s">
        <v>4089</v>
      </c>
    </row>
    <row r="57" spans="1:10" ht="25.5" x14ac:dyDescent="0.2">
      <c r="A57" s="13" t="s">
        <v>4</v>
      </c>
      <c r="B57" s="2" t="s">
        <v>17</v>
      </c>
      <c r="C57" s="1"/>
      <c r="D57" s="5" t="s">
        <v>455</v>
      </c>
      <c r="E57" s="3">
        <v>118284.02</v>
      </c>
      <c r="F57" s="3">
        <v>119362.79</v>
      </c>
      <c r="G57" s="57">
        <f t="shared" si="0"/>
        <v>9.1201668661581633E-3</v>
      </c>
      <c r="J57" s="5" t="s">
        <v>3649</v>
      </c>
    </row>
    <row r="58" spans="1:10" ht="25.5" x14ac:dyDescent="0.2">
      <c r="A58" s="13" t="s">
        <v>4</v>
      </c>
      <c r="B58" s="2" t="s">
        <v>17</v>
      </c>
      <c r="C58" s="1"/>
      <c r="D58" s="5" t="s">
        <v>1691</v>
      </c>
      <c r="E58" s="3">
        <v>113026.99</v>
      </c>
      <c r="F58" s="3">
        <v>113773.59</v>
      </c>
      <c r="G58" s="57">
        <f t="shared" si="0"/>
        <v>6.6055019248056701E-3</v>
      </c>
      <c r="J58" s="5" t="s">
        <v>3650</v>
      </c>
    </row>
    <row r="59" spans="1:10" ht="25.5" x14ac:dyDescent="0.2">
      <c r="A59" s="1" t="s">
        <v>4</v>
      </c>
      <c r="B59" s="2" t="s">
        <v>18</v>
      </c>
      <c r="C59" s="1" t="s">
        <v>3651</v>
      </c>
      <c r="D59" s="5" t="s">
        <v>450</v>
      </c>
      <c r="E59" s="3">
        <v>181000</v>
      </c>
      <c r="F59" s="3">
        <v>174000</v>
      </c>
      <c r="G59" s="57">
        <f t="shared" si="0"/>
        <v>-3.8674033149171269E-2</v>
      </c>
      <c r="J59" s="5" t="s">
        <v>3652</v>
      </c>
    </row>
    <row r="60" spans="1:10" x14ac:dyDescent="0.2">
      <c r="A60" s="1" t="s">
        <v>4</v>
      </c>
      <c r="B60" s="2" t="s">
        <v>18</v>
      </c>
      <c r="C60" s="1"/>
      <c r="D60" s="5" t="s">
        <v>666</v>
      </c>
      <c r="E60" s="3">
        <v>118000</v>
      </c>
      <c r="F60" s="3" t="s">
        <v>465</v>
      </c>
      <c r="G60" s="57" t="str">
        <f t="shared" si="0"/>
        <v>-</v>
      </c>
    </row>
    <row r="61" spans="1:10" ht="25.5" x14ac:dyDescent="0.2">
      <c r="A61" s="1" t="s">
        <v>4</v>
      </c>
      <c r="B61" s="2" t="s">
        <v>18</v>
      </c>
      <c r="C61" s="1"/>
      <c r="D61" s="5" t="s">
        <v>655</v>
      </c>
      <c r="E61" s="3">
        <v>122000</v>
      </c>
      <c r="F61" s="3">
        <v>88000</v>
      </c>
      <c r="G61" s="57">
        <f t="shared" si="0"/>
        <v>-0.27868852459016391</v>
      </c>
      <c r="J61" s="5" t="s">
        <v>3653</v>
      </c>
    </row>
    <row r="62" spans="1:10" s="13" customFormat="1" ht="25.5" x14ac:dyDescent="0.2">
      <c r="A62" s="1" t="s">
        <v>4</v>
      </c>
      <c r="B62" s="12" t="s">
        <v>18</v>
      </c>
      <c r="D62" s="7" t="s">
        <v>455</v>
      </c>
      <c r="E62" s="6" t="s">
        <v>465</v>
      </c>
      <c r="F62" s="6">
        <v>126000</v>
      </c>
      <c r="G62" s="57" t="str">
        <f t="shared" si="0"/>
        <v>-</v>
      </c>
      <c r="H62" s="21"/>
      <c r="I62" s="21"/>
      <c r="J62" s="7" t="s">
        <v>4099</v>
      </c>
    </row>
    <row r="63" spans="1:10" ht="25.5" x14ac:dyDescent="0.2">
      <c r="A63" s="1" t="s">
        <v>20</v>
      </c>
      <c r="B63" s="2" t="s">
        <v>19</v>
      </c>
      <c r="C63" s="1"/>
      <c r="D63" s="5" t="s">
        <v>450</v>
      </c>
      <c r="E63" s="3">
        <v>146945</v>
      </c>
      <c r="F63" s="3">
        <v>140543</v>
      </c>
      <c r="G63" s="57">
        <f t="shared" si="0"/>
        <v>-4.3567321106536459E-2</v>
      </c>
      <c r="J63" s="5" t="s">
        <v>3654</v>
      </c>
    </row>
    <row r="64" spans="1:10" ht="25.5" x14ac:dyDescent="0.2">
      <c r="A64" s="1" t="s">
        <v>20</v>
      </c>
      <c r="B64" s="2" t="s">
        <v>19</v>
      </c>
      <c r="C64" s="1"/>
      <c r="D64" s="5" t="s">
        <v>455</v>
      </c>
      <c r="E64" s="3">
        <v>113645</v>
      </c>
      <c r="F64" s="3">
        <v>110154</v>
      </c>
      <c r="G64" s="57">
        <f t="shared" si="0"/>
        <v>-3.0718465396629858E-2</v>
      </c>
      <c r="J64" s="5" t="s">
        <v>3655</v>
      </c>
    </row>
    <row r="65" spans="1:10" ht="25.5" x14ac:dyDescent="0.2">
      <c r="A65" s="1" t="s">
        <v>11</v>
      </c>
      <c r="B65" s="2" t="s">
        <v>21</v>
      </c>
      <c r="C65" s="29" t="s">
        <v>2697</v>
      </c>
      <c r="G65" s="57" t="str">
        <f t="shared" si="0"/>
        <v>-</v>
      </c>
    </row>
    <row r="66" spans="1:10" ht="25.5" x14ac:dyDescent="0.2">
      <c r="A66" s="1" t="s">
        <v>11</v>
      </c>
      <c r="B66" s="2" t="s">
        <v>22</v>
      </c>
      <c r="C66" s="29" t="s">
        <v>2697</v>
      </c>
      <c r="G66" s="57" t="str">
        <f t="shared" si="0"/>
        <v>-</v>
      </c>
    </row>
    <row r="67" spans="1:10" ht="25.5" x14ac:dyDescent="0.2">
      <c r="A67" s="1" t="s">
        <v>11</v>
      </c>
      <c r="B67" s="2" t="s">
        <v>23</v>
      </c>
      <c r="C67" s="29" t="s">
        <v>2697</v>
      </c>
      <c r="G67" s="57" t="str">
        <f t="shared" ref="G67:G130" si="1">IF(ISERROR((F67-E67)/E67),"-",(F67-E67)/E67)</f>
        <v>-</v>
      </c>
    </row>
    <row r="68" spans="1:10" ht="51" x14ac:dyDescent="0.2">
      <c r="A68" s="1" t="s">
        <v>25</v>
      </c>
      <c r="B68" s="2" t="s">
        <v>24</v>
      </c>
      <c r="C68" s="1" t="s">
        <v>1695</v>
      </c>
      <c r="D68" s="5" t="s">
        <v>450</v>
      </c>
      <c r="E68" s="3">
        <v>224046</v>
      </c>
      <c r="F68" s="3">
        <v>192832</v>
      </c>
      <c r="G68" s="57">
        <f t="shared" si="1"/>
        <v>-0.13931960400989082</v>
      </c>
      <c r="J68" s="5" t="s">
        <v>4091</v>
      </c>
    </row>
    <row r="69" spans="1:10" ht="25.5" x14ac:dyDescent="0.2">
      <c r="A69" s="1" t="s">
        <v>25</v>
      </c>
      <c r="B69" s="2" t="s">
        <v>24</v>
      </c>
      <c r="C69" s="1"/>
      <c r="D69" s="5" t="s">
        <v>1692</v>
      </c>
      <c r="E69" s="3">
        <v>155863</v>
      </c>
      <c r="F69" s="3">
        <v>156286</v>
      </c>
      <c r="G69" s="57">
        <f t="shared" si="1"/>
        <v>2.7139218416173177E-3</v>
      </c>
      <c r="J69" s="5" t="s">
        <v>3656</v>
      </c>
    </row>
    <row r="70" spans="1:10" ht="25.5" x14ac:dyDescent="0.2">
      <c r="A70" s="1" t="s">
        <v>25</v>
      </c>
      <c r="B70" s="2" t="s">
        <v>24</v>
      </c>
      <c r="C70" s="1"/>
      <c r="D70" s="5" t="s">
        <v>1693</v>
      </c>
      <c r="E70" s="3">
        <v>149529</v>
      </c>
      <c r="F70" s="3">
        <v>157321</v>
      </c>
      <c r="G70" s="57">
        <f t="shared" si="1"/>
        <v>5.2110292986644734E-2</v>
      </c>
      <c r="J70" s="5" t="s">
        <v>3657</v>
      </c>
    </row>
    <row r="71" spans="1:10" ht="25.5" x14ac:dyDescent="0.2">
      <c r="A71" s="1" t="s">
        <v>25</v>
      </c>
      <c r="B71" s="2" t="s">
        <v>24</v>
      </c>
      <c r="C71" s="1"/>
      <c r="D71" s="5" t="s">
        <v>1694</v>
      </c>
      <c r="E71" s="3">
        <v>157388</v>
      </c>
      <c r="F71" s="3">
        <v>155313</v>
      </c>
      <c r="G71" s="57">
        <f t="shared" si="1"/>
        <v>-1.3183978448166316E-2</v>
      </c>
      <c r="J71" s="5" t="s">
        <v>3658</v>
      </c>
    </row>
    <row r="72" spans="1:10" s="13" customFormat="1" ht="25.5" x14ac:dyDescent="0.2">
      <c r="A72" s="1" t="s">
        <v>25</v>
      </c>
      <c r="B72" s="12" t="s">
        <v>24</v>
      </c>
      <c r="C72" s="1"/>
      <c r="D72" s="5" t="s">
        <v>1505</v>
      </c>
      <c r="E72" s="3">
        <v>42775</v>
      </c>
      <c r="F72" s="3">
        <v>172550</v>
      </c>
      <c r="G72" s="57">
        <f t="shared" si="1"/>
        <v>3.0338983050847457</v>
      </c>
      <c r="H72" s="19"/>
      <c r="I72" s="19"/>
      <c r="J72" s="5" t="s">
        <v>3659</v>
      </c>
    </row>
    <row r="73" spans="1:10" ht="25.5" x14ac:dyDescent="0.2">
      <c r="A73" s="1" t="s">
        <v>25</v>
      </c>
      <c r="B73" s="2" t="s">
        <v>24</v>
      </c>
      <c r="C73" s="13"/>
      <c r="D73" s="7" t="s">
        <v>1376</v>
      </c>
      <c r="E73" s="6">
        <v>155863</v>
      </c>
      <c r="F73" s="6" t="s">
        <v>465</v>
      </c>
      <c r="G73" s="57" t="str">
        <f t="shared" si="1"/>
        <v>-</v>
      </c>
      <c r="H73" s="21"/>
      <c r="I73" s="21"/>
      <c r="J73" s="7" t="s">
        <v>4090</v>
      </c>
    </row>
    <row r="74" spans="1:10" s="13" customFormat="1" x14ac:dyDescent="0.2">
      <c r="A74" s="1" t="s">
        <v>25</v>
      </c>
      <c r="B74" s="12" t="s">
        <v>24</v>
      </c>
      <c r="D74" s="7" t="s">
        <v>464</v>
      </c>
      <c r="E74" s="6"/>
      <c r="F74" s="6"/>
      <c r="G74" s="57" t="str">
        <f t="shared" si="1"/>
        <v>-</v>
      </c>
      <c r="H74" s="21">
        <v>92500</v>
      </c>
      <c r="I74" s="21" t="s">
        <v>465</v>
      </c>
      <c r="J74" s="7"/>
    </row>
    <row r="75" spans="1:10" s="13" customFormat="1" x14ac:dyDescent="0.2">
      <c r="A75" s="1" t="s">
        <v>25</v>
      </c>
      <c r="B75" s="12" t="s">
        <v>24</v>
      </c>
      <c r="D75" s="7" t="s">
        <v>464</v>
      </c>
      <c r="E75" s="6"/>
      <c r="F75" s="6"/>
      <c r="G75" s="57" t="str">
        <f t="shared" si="1"/>
        <v>-</v>
      </c>
      <c r="H75" s="21">
        <v>92500</v>
      </c>
      <c r="I75" s="21" t="s">
        <v>465</v>
      </c>
      <c r="J75" s="7"/>
    </row>
    <row r="76" spans="1:10" s="13" customFormat="1" x14ac:dyDescent="0.2">
      <c r="A76" s="1" t="s">
        <v>25</v>
      </c>
      <c r="B76" s="12" t="s">
        <v>24</v>
      </c>
      <c r="D76" s="7" t="s">
        <v>464</v>
      </c>
      <c r="E76" s="6"/>
      <c r="F76" s="6"/>
      <c r="G76" s="57" t="str">
        <f t="shared" si="1"/>
        <v>-</v>
      </c>
      <c r="H76" s="21" t="s">
        <v>465</v>
      </c>
      <c r="I76" s="21">
        <v>92500</v>
      </c>
      <c r="J76" s="7"/>
    </row>
    <row r="77" spans="1:10" s="13" customFormat="1" x14ac:dyDescent="0.2">
      <c r="A77" s="1" t="s">
        <v>25</v>
      </c>
      <c r="B77" s="12" t="s">
        <v>24</v>
      </c>
      <c r="D77" s="7" t="s">
        <v>464</v>
      </c>
      <c r="E77" s="6"/>
      <c r="F77" s="6"/>
      <c r="G77" s="57" t="str">
        <f t="shared" si="1"/>
        <v>-</v>
      </c>
      <c r="H77" s="21" t="s">
        <v>465</v>
      </c>
      <c r="I77" s="21">
        <v>92500</v>
      </c>
      <c r="J77" s="7"/>
    </row>
    <row r="78" spans="1:10" s="13" customFormat="1" x14ac:dyDescent="0.2">
      <c r="A78" s="1" t="s">
        <v>25</v>
      </c>
      <c r="B78" s="12" t="s">
        <v>24</v>
      </c>
      <c r="D78" s="7" t="s">
        <v>464</v>
      </c>
      <c r="E78" s="6"/>
      <c r="F78" s="6"/>
      <c r="G78" s="57" t="str">
        <f t="shared" si="1"/>
        <v>-</v>
      </c>
      <c r="H78" s="21" t="s">
        <v>465</v>
      </c>
      <c r="I78" s="21">
        <v>92500</v>
      </c>
      <c r="J78" s="7"/>
    </row>
    <row r="79" spans="1:10" s="13" customFormat="1" x14ac:dyDescent="0.2">
      <c r="A79" s="1" t="s">
        <v>25</v>
      </c>
      <c r="B79" s="12" t="s">
        <v>24</v>
      </c>
      <c r="D79" s="7" t="s">
        <v>464</v>
      </c>
      <c r="E79" s="6"/>
      <c r="F79" s="6"/>
      <c r="G79" s="57" t="str">
        <f t="shared" si="1"/>
        <v>-</v>
      </c>
      <c r="H79" s="21" t="s">
        <v>465</v>
      </c>
      <c r="I79" s="21">
        <v>97500</v>
      </c>
      <c r="J79" s="7"/>
    </row>
    <row r="80" spans="1:10" s="13" customFormat="1" x14ac:dyDescent="0.2">
      <c r="A80" s="1" t="s">
        <v>25</v>
      </c>
      <c r="B80" s="12" t="s">
        <v>24</v>
      </c>
      <c r="D80" s="7" t="s">
        <v>464</v>
      </c>
      <c r="E80" s="6">
        <v>107500</v>
      </c>
      <c r="F80" s="6" t="s">
        <v>465</v>
      </c>
      <c r="G80" s="57" t="str">
        <f t="shared" si="1"/>
        <v>-</v>
      </c>
      <c r="H80" s="21"/>
      <c r="I80" s="21"/>
      <c r="J80" s="7"/>
    </row>
    <row r="81" spans="1:10" s="13" customFormat="1" x14ac:dyDescent="0.2">
      <c r="A81" s="1" t="s">
        <v>25</v>
      </c>
      <c r="B81" s="12" t="s">
        <v>24</v>
      </c>
      <c r="D81" s="7" t="s">
        <v>464</v>
      </c>
      <c r="E81" s="6">
        <v>107500</v>
      </c>
      <c r="F81" s="6" t="s">
        <v>465</v>
      </c>
      <c r="G81" s="57" t="str">
        <f t="shared" si="1"/>
        <v>-</v>
      </c>
      <c r="H81" s="21"/>
      <c r="I81" s="21"/>
      <c r="J81" s="7"/>
    </row>
    <row r="82" spans="1:10" s="13" customFormat="1" x14ac:dyDescent="0.2">
      <c r="A82" s="1" t="s">
        <v>25</v>
      </c>
      <c r="B82" s="12" t="s">
        <v>24</v>
      </c>
      <c r="D82" s="7" t="s">
        <v>464</v>
      </c>
      <c r="E82" s="6">
        <v>107500</v>
      </c>
      <c r="F82" s="6" t="s">
        <v>465</v>
      </c>
      <c r="G82" s="57" t="str">
        <f t="shared" si="1"/>
        <v>-</v>
      </c>
      <c r="H82" s="21"/>
      <c r="I82" s="21"/>
      <c r="J82" s="7"/>
    </row>
    <row r="83" spans="1:10" s="13" customFormat="1" x14ac:dyDescent="0.2">
      <c r="A83" s="1" t="s">
        <v>25</v>
      </c>
      <c r="B83" s="12" t="s">
        <v>24</v>
      </c>
      <c r="D83" s="7" t="s">
        <v>464</v>
      </c>
      <c r="E83" s="6" t="s">
        <v>465</v>
      </c>
      <c r="F83" s="6">
        <v>107500</v>
      </c>
      <c r="G83" s="57" t="str">
        <f t="shared" si="1"/>
        <v>-</v>
      </c>
      <c r="H83" s="21"/>
      <c r="I83" s="21"/>
      <c r="J83" s="7"/>
    </row>
    <row r="84" spans="1:10" s="13" customFormat="1" x14ac:dyDescent="0.2">
      <c r="A84" s="1" t="s">
        <v>25</v>
      </c>
      <c r="B84" s="12" t="s">
        <v>24</v>
      </c>
      <c r="D84" s="7" t="s">
        <v>464</v>
      </c>
      <c r="E84" s="6">
        <v>112500</v>
      </c>
      <c r="F84" s="6" t="s">
        <v>465</v>
      </c>
      <c r="G84" s="57" t="str">
        <f t="shared" si="1"/>
        <v>-</v>
      </c>
      <c r="H84" s="21"/>
      <c r="I84" s="21"/>
      <c r="J84" s="7"/>
    </row>
    <row r="85" spans="1:10" s="13" customFormat="1" x14ac:dyDescent="0.2">
      <c r="A85" s="1" t="s">
        <v>25</v>
      </c>
      <c r="B85" s="12" t="s">
        <v>24</v>
      </c>
      <c r="D85" s="7" t="s">
        <v>464</v>
      </c>
      <c r="E85" s="6" t="s">
        <v>465</v>
      </c>
      <c r="F85" s="6">
        <v>112500</v>
      </c>
      <c r="G85" s="57" t="str">
        <f t="shared" si="1"/>
        <v>-</v>
      </c>
      <c r="H85" s="21"/>
      <c r="I85" s="21"/>
      <c r="J85" s="7"/>
    </row>
    <row r="86" spans="1:10" s="13" customFormat="1" x14ac:dyDescent="0.2">
      <c r="A86" s="1" t="s">
        <v>25</v>
      </c>
      <c r="B86" s="12" t="s">
        <v>24</v>
      </c>
      <c r="D86" s="7" t="s">
        <v>464</v>
      </c>
      <c r="E86" s="6">
        <v>117500</v>
      </c>
      <c r="F86" s="6" t="s">
        <v>465</v>
      </c>
      <c r="G86" s="57" t="str">
        <f t="shared" si="1"/>
        <v>-</v>
      </c>
      <c r="H86" s="21"/>
      <c r="I86" s="21"/>
      <c r="J86" s="7"/>
    </row>
    <row r="87" spans="1:10" s="13" customFormat="1" x14ac:dyDescent="0.2">
      <c r="A87" s="1" t="s">
        <v>25</v>
      </c>
      <c r="B87" s="12" t="s">
        <v>24</v>
      </c>
      <c r="D87" s="7" t="s">
        <v>464</v>
      </c>
      <c r="E87" s="6" t="s">
        <v>465</v>
      </c>
      <c r="F87" s="6">
        <v>122500</v>
      </c>
      <c r="G87" s="57" t="str">
        <f t="shared" si="1"/>
        <v>-</v>
      </c>
      <c r="H87" s="21"/>
      <c r="I87" s="21"/>
      <c r="J87" s="7"/>
    </row>
    <row r="88" spans="1:10" s="13" customFormat="1" x14ac:dyDescent="0.2">
      <c r="A88" s="1" t="s">
        <v>25</v>
      </c>
      <c r="B88" s="12" t="s">
        <v>24</v>
      </c>
      <c r="D88" s="7" t="s">
        <v>464</v>
      </c>
      <c r="E88" s="6" t="s">
        <v>465</v>
      </c>
      <c r="F88" s="6">
        <v>142500</v>
      </c>
      <c r="G88" s="57" t="str">
        <f t="shared" si="1"/>
        <v>-</v>
      </c>
      <c r="H88" s="21"/>
      <c r="I88" s="21"/>
      <c r="J88" s="7"/>
    </row>
    <row r="89" spans="1:10" s="13" customFormat="1" x14ac:dyDescent="0.2">
      <c r="A89" s="1" t="s">
        <v>25</v>
      </c>
      <c r="B89" s="12" t="s">
        <v>24</v>
      </c>
      <c r="D89" s="7" t="s">
        <v>464</v>
      </c>
      <c r="E89" s="6" t="s">
        <v>465</v>
      </c>
      <c r="F89" s="6">
        <v>247500</v>
      </c>
      <c r="G89" s="57" t="str">
        <f t="shared" si="1"/>
        <v>-</v>
      </c>
      <c r="H89" s="21"/>
      <c r="I89" s="21"/>
      <c r="J89" s="7" t="s">
        <v>1241</v>
      </c>
    </row>
    <row r="90" spans="1:10" ht="25.5" x14ac:dyDescent="0.2">
      <c r="A90" s="1" t="s">
        <v>25</v>
      </c>
      <c r="B90" s="2" t="s">
        <v>26</v>
      </c>
      <c r="C90" s="1" t="s">
        <v>1696</v>
      </c>
      <c r="D90" s="5" t="s">
        <v>450</v>
      </c>
      <c r="E90" s="3">
        <v>249210</v>
      </c>
      <c r="F90" s="3">
        <v>250818</v>
      </c>
      <c r="G90" s="57">
        <f t="shared" si="1"/>
        <v>6.4523895509811004E-3</v>
      </c>
      <c r="J90" s="5" t="s">
        <v>3662</v>
      </c>
    </row>
    <row r="91" spans="1:10" ht="38.25" x14ac:dyDescent="0.2">
      <c r="A91" s="1" t="s">
        <v>25</v>
      </c>
      <c r="B91" s="2" t="s">
        <v>26</v>
      </c>
      <c r="C91" s="1" t="s">
        <v>1697</v>
      </c>
      <c r="D91" s="5" t="s">
        <v>1698</v>
      </c>
      <c r="E91" s="3">
        <v>221247</v>
      </c>
      <c r="F91" s="3">
        <v>388948</v>
      </c>
      <c r="G91" s="57">
        <f t="shared" si="1"/>
        <v>0.75798089917603406</v>
      </c>
      <c r="J91" s="5" t="s">
        <v>4093</v>
      </c>
    </row>
    <row r="92" spans="1:10" ht="25.5" x14ac:dyDescent="0.2">
      <c r="A92" s="1" t="s">
        <v>25</v>
      </c>
      <c r="B92" s="2" t="s">
        <v>26</v>
      </c>
      <c r="C92" s="1" t="s">
        <v>1699</v>
      </c>
      <c r="D92" s="5" t="s">
        <v>456</v>
      </c>
      <c r="E92" s="3">
        <v>171021</v>
      </c>
      <c r="F92" s="3">
        <v>206549</v>
      </c>
      <c r="G92" s="57">
        <f t="shared" si="1"/>
        <v>0.20774056987153625</v>
      </c>
      <c r="J92" s="5" t="s">
        <v>4098</v>
      </c>
    </row>
    <row r="93" spans="1:10" ht="63.75" x14ac:dyDescent="0.2">
      <c r="A93" s="1" t="s">
        <v>25</v>
      </c>
      <c r="B93" s="2" t="s">
        <v>26</v>
      </c>
      <c r="C93" s="1" t="s">
        <v>1700</v>
      </c>
      <c r="D93" s="5" t="s">
        <v>1701</v>
      </c>
      <c r="E93" s="3">
        <v>202306</v>
      </c>
      <c r="F93" s="3">
        <v>313234</v>
      </c>
      <c r="G93" s="57">
        <f t="shared" si="1"/>
        <v>0.54831789467440417</v>
      </c>
      <c r="J93" s="5" t="s">
        <v>4094</v>
      </c>
    </row>
    <row r="94" spans="1:10" s="13" customFormat="1" ht="25.5" x14ac:dyDescent="0.2">
      <c r="A94" s="1" t="s">
        <v>25</v>
      </c>
      <c r="B94" s="2" t="s">
        <v>26</v>
      </c>
      <c r="C94" s="13" t="s">
        <v>3663</v>
      </c>
      <c r="D94" s="7" t="s">
        <v>3664</v>
      </c>
      <c r="E94" s="8" t="s">
        <v>465</v>
      </c>
      <c r="F94" s="6">
        <v>206000</v>
      </c>
      <c r="G94" s="57" t="str">
        <f t="shared" si="1"/>
        <v>-</v>
      </c>
      <c r="H94" s="21"/>
      <c r="I94" s="21"/>
      <c r="J94" s="7" t="s">
        <v>4092</v>
      </c>
    </row>
    <row r="95" spans="1:10" ht="51" x14ac:dyDescent="0.2">
      <c r="A95" s="1" t="s">
        <v>25</v>
      </c>
      <c r="B95" s="2" t="s">
        <v>26</v>
      </c>
      <c r="C95" s="1"/>
      <c r="D95" s="5" t="s">
        <v>1702</v>
      </c>
      <c r="E95" s="6">
        <v>173365</v>
      </c>
      <c r="F95" s="3">
        <v>228206</v>
      </c>
      <c r="G95" s="57">
        <f t="shared" si="1"/>
        <v>0.31633259308395584</v>
      </c>
      <c r="J95" s="5" t="s">
        <v>4095</v>
      </c>
    </row>
    <row r="96" spans="1:10" ht="25.5" x14ac:dyDescent="0.2">
      <c r="A96" s="1" t="s">
        <v>25</v>
      </c>
      <c r="B96" s="2" t="s">
        <v>26</v>
      </c>
      <c r="C96" s="1"/>
      <c r="D96" s="5" t="s">
        <v>1703</v>
      </c>
      <c r="E96" s="6" t="s">
        <v>465</v>
      </c>
      <c r="F96" s="3">
        <v>215349</v>
      </c>
      <c r="G96" s="57" t="str">
        <f t="shared" si="1"/>
        <v>-</v>
      </c>
      <c r="J96" s="5" t="s">
        <v>3665</v>
      </c>
    </row>
    <row r="97" spans="1:10" ht="38.25" x14ac:dyDescent="0.2">
      <c r="A97" s="1" t="s">
        <v>25</v>
      </c>
      <c r="B97" s="2" t="s">
        <v>26</v>
      </c>
      <c r="C97" s="1"/>
      <c r="D97" s="5" t="s">
        <v>1704</v>
      </c>
      <c r="E97" s="6">
        <v>106185</v>
      </c>
      <c r="F97" s="3">
        <v>185108</v>
      </c>
      <c r="G97" s="57">
        <f t="shared" si="1"/>
        <v>0.74325940575410843</v>
      </c>
      <c r="J97" s="5" t="s">
        <v>4096</v>
      </c>
    </row>
    <row r="98" spans="1:10" ht="38.25" x14ac:dyDescent="0.2">
      <c r="A98" s="1" t="s">
        <v>25</v>
      </c>
      <c r="B98" s="2" t="s">
        <v>26</v>
      </c>
      <c r="C98" s="1"/>
      <c r="D98" s="5" t="s">
        <v>1705</v>
      </c>
      <c r="E98" s="6" t="s">
        <v>465</v>
      </c>
      <c r="F98" s="3">
        <v>181310</v>
      </c>
      <c r="G98" s="57" t="str">
        <f t="shared" si="1"/>
        <v>-</v>
      </c>
      <c r="J98" s="5" t="s">
        <v>4097</v>
      </c>
    </row>
    <row r="99" spans="1:10" ht="25.5" x14ac:dyDescent="0.2">
      <c r="A99" s="1" t="s">
        <v>25</v>
      </c>
      <c r="B99" s="2" t="s">
        <v>26</v>
      </c>
      <c r="C99" s="1"/>
      <c r="D99" s="5" t="s">
        <v>1706</v>
      </c>
      <c r="E99" s="6">
        <v>170535</v>
      </c>
      <c r="F99" s="3">
        <v>173722</v>
      </c>
      <c r="G99" s="57">
        <f t="shared" si="1"/>
        <v>1.8688245814642155E-2</v>
      </c>
      <c r="J99" s="5" t="s">
        <v>3666</v>
      </c>
    </row>
    <row r="100" spans="1:10" ht="25.5" x14ac:dyDescent="0.2">
      <c r="A100" s="1" t="s">
        <v>25</v>
      </c>
      <c r="B100" s="2" t="s">
        <v>26</v>
      </c>
      <c r="C100" s="1"/>
      <c r="D100" s="5" t="s">
        <v>790</v>
      </c>
      <c r="E100" s="6" t="s">
        <v>465</v>
      </c>
      <c r="F100" s="3">
        <v>173427</v>
      </c>
      <c r="G100" s="57" t="str">
        <f t="shared" si="1"/>
        <v>-</v>
      </c>
      <c r="J100" s="5" t="s">
        <v>3667</v>
      </c>
    </row>
    <row r="101" spans="1:10" ht="25.5" x14ac:dyDescent="0.2">
      <c r="A101" s="1" t="s">
        <v>25</v>
      </c>
      <c r="B101" s="2" t="s">
        <v>26</v>
      </c>
      <c r="C101" s="1"/>
      <c r="D101" s="5" t="s">
        <v>457</v>
      </c>
      <c r="E101" s="6" t="s">
        <v>465</v>
      </c>
      <c r="F101" s="3">
        <v>165335</v>
      </c>
      <c r="G101" s="57" t="str">
        <f t="shared" si="1"/>
        <v>-</v>
      </c>
      <c r="J101" s="5" t="s">
        <v>3668</v>
      </c>
    </row>
    <row r="102" spans="1:10" ht="25.5" x14ac:dyDescent="0.2">
      <c r="A102" s="1" t="s">
        <v>25</v>
      </c>
      <c r="B102" s="2" t="s">
        <v>26</v>
      </c>
      <c r="C102" s="1"/>
      <c r="D102" s="5" t="s">
        <v>1271</v>
      </c>
      <c r="E102" s="6">
        <v>164275</v>
      </c>
      <c r="F102" s="3">
        <v>165335</v>
      </c>
      <c r="G102" s="57">
        <f t="shared" si="1"/>
        <v>6.4525947344392029E-3</v>
      </c>
      <c r="J102" s="5" t="s">
        <v>3668</v>
      </c>
    </row>
    <row r="103" spans="1:10" s="13" customFormat="1" ht="38.25" x14ac:dyDescent="0.2">
      <c r="A103" s="1" t="s">
        <v>25</v>
      </c>
      <c r="B103" s="12" t="s">
        <v>26</v>
      </c>
      <c r="D103" s="7" t="s">
        <v>452</v>
      </c>
      <c r="E103" s="6" t="s">
        <v>465</v>
      </c>
      <c r="F103" s="6">
        <v>161491</v>
      </c>
      <c r="G103" s="57" t="str">
        <f t="shared" si="1"/>
        <v>-</v>
      </c>
      <c r="H103" s="21"/>
      <c r="I103" s="21"/>
      <c r="J103" s="7" t="s">
        <v>4101</v>
      </c>
    </row>
    <row r="104" spans="1:10" ht="25.5" x14ac:dyDescent="0.2">
      <c r="A104" s="1" t="s">
        <v>25</v>
      </c>
      <c r="B104" s="2" t="s">
        <v>26</v>
      </c>
      <c r="C104" s="1"/>
      <c r="D104" s="5" t="s">
        <v>1707</v>
      </c>
      <c r="E104" s="3" t="s">
        <v>465</v>
      </c>
      <c r="F104" s="3">
        <v>152273</v>
      </c>
      <c r="G104" s="57" t="str">
        <f t="shared" si="1"/>
        <v>-</v>
      </c>
      <c r="J104" s="5" t="s">
        <v>3669</v>
      </c>
    </row>
    <row r="105" spans="1:10" ht="25.5" x14ac:dyDescent="0.2">
      <c r="A105" s="1" t="s">
        <v>25</v>
      </c>
      <c r="B105" s="2" t="s">
        <v>26</v>
      </c>
      <c r="C105" s="1"/>
      <c r="D105" s="5" t="s">
        <v>1708</v>
      </c>
      <c r="E105" s="3" t="s">
        <v>465</v>
      </c>
      <c r="F105" s="3">
        <v>137193</v>
      </c>
      <c r="G105" s="57" t="str">
        <f t="shared" si="1"/>
        <v>-</v>
      </c>
      <c r="J105" s="5" t="s">
        <v>3670</v>
      </c>
    </row>
    <row r="106" spans="1:10" ht="25.5" x14ac:dyDescent="0.2">
      <c r="A106" s="1" t="s">
        <v>25</v>
      </c>
      <c r="B106" s="2" t="s">
        <v>26</v>
      </c>
      <c r="C106" s="1"/>
      <c r="D106" s="5" t="s">
        <v>1709</v>
      </c>
      <c r="E106" s="6">
        <v>128484</v>
      </c>
      <c r="F106" s="3">
        <v>134668</v>
      </c>
      <c r="G106" s="57">
        <f t="shared" si="1"/>
        <v>4.8130506522212881E-2</v>
      </c>
      <c r="J106" s="5" t="s">
        <v>3671</v>
      </c>
    </row>
    <row r="107" spans="1:10" ht="38.25" x14ac:dyDescent="0.2">
      <c r="A107" s="1" t="s">
        <v>25</v>
      </c>
      <c r="B107" s="2" t="s">
        <v>26</v>
      </c>
      <c r="C107" s="1"/>
      <c r="D107" s="5" t="s">
        <v>1710</v>
      </c>
      <c r="E107" s="6">
        <v>156344</v>
      </c>
      <c r="F107" s="3">
        <v>134668</v>
      </c>
      <c r="G107" s="57">
        <f t="shared" si="1"/>
        <v>-0.13864299237578673</v>
      </c>
      <c r="J107" s="5" t="s">
        <v>4102</v>
      </c>
    </row>
    <row r="108" spans="1:10" ht="25.5" x14ac:dyDescent="0.2">
      <c r="A108" s="1" t="s">
        <v>25</v>
      </c>
      <c r="B108" s="2" t="s">
        <v>26</v>
      </c>
      <c r="C108" s="1"/>
      <c r="D108" s="5" t="s">
        <v>1711</v>
      </c>
      <c r="E108" s="6" t="s">
        <v>465</v>
      </c>
      <c r="F108" s="3">
        <v>133975</v>
      </c>
      <c r="G108" s="57" t="str">
        <f t="shared" si="1"/>
        <v>-</v>
      </c>
      <c r="J108" s="5" t="s">
        <v>4100</v>
      </c>
    </row>
    <row r="109" spans="1:10" ht="25.5" x14ac:dyDescent="0.2">
      <c r="A109" s="1" t="s">
        <v>25</v>
      </c>
      <c r="B109" s="2" t="s">
        <v>26</v>
      </c>
      <c r="C109" s="1"/>
      <c r="D109" s="5" t="s">
        <v>1712</v>
      </c>
      <c r="E109" s="6">
        <v>105256</v>
      </c>
      <c r="F109" s="3">
        <v>130632</v>
      </c>
      <c r="G109" s="57">
        <f t="shared" si="1"/>
        <v>0.24108839401079274</v>
      </c>
      <c r="J109" s="5" t="s">
        <v>3672</v>
      </c>
    </row>
    <row r="110" spans="1:10" ht="25.5" x14ac:dyDescent="0.2">
      <c r="A110" s="1" t="s">
        <v>25</v>
      </c>
      <c r="B110" s="2" t="s">
        <v>26</v>
      </c>
      <c r="C110" s="1"/>
      <c r="D110" s="5" t="s">
        <v>1713</v>
      </c>
      <c r="E110" s="6" t="s">
        <v>465</v>
      </c>
      <c r="F110" s="3">
        <v>124245</v>
      </c>
      <c r="G110" s="57" t="str">
        <f t="shared" si="1"/>
        <v>-</v>
      </c>
      <c r="J110" s="5" t="s">
        <v>3673</v>
      </c>
    </row>
    <row r="111" spans="1:10" ht="25.5" x14ac:dyDescent="0.2">
      <c r="A111" s="1" t="s">
        <v>25</v>
      </c>
      <c r="B111" s="2" t="s">
        <v>26</v>
      </c>
      <c r="C111" s="1"/>
      <c r="D111" s="5" t="s">
        <v>1714</v>
      </c>
      <c r="E111" s="6" t="s">
        <v>465</v>
      </c>
      <c r="F111" s="3">
        <v>119143</v>
      </c>
      <c r="G111" s="57" t="str">
        <f t="shared" si="1"/>
        <v>-</v>
      </c>
      <c r="J111" s="5" t="s">
        <v>3674</v>
      </c>
    </row>
    <row r="112" spans="1:10" ht="25.5" x14ac:dyDescent="0.2">
      <c r="A112" s="1" t="s">
        <v>25</v>
      </c>
      <c r="B112" s="2" t="s">
        <v>26</v>
      </c>
      <c r="C112" s="1"/>
      <c r="D112" s="5" t="s">
        <v>1715</v>
      </c>
      <c r="E112" s="6" t="s">
        <v>465</v>
      </c>
      <c r="F112" s="3">
        <v>118574</v>
      </c>
      <c r="G112" s="57" t="str">
        <f t="shared" si="1"/>
        <v>-</v>
      </c>
      <c r="J112" s="5" t="s">
        <v>3675</v>
      </c>
    </row>
    <row r="113" spans="1:12" ht="25.5" x14ac:dyDescent="0.2">
      <c r="A113" s="1" t="s">
        <v>25</v>
      </c>
      <c r="B113" s="2" t="s">
        <v>26</v>
      </c>
      <c r="C113" s="1"/>
      <c r="D113" s="5" t="s">
        <v>1716</v>
      </c>
      <c r="E113" s="6" t="s">
        <v>465</v>
      </c>
      <c r="F113" s="3">
        <v>114912</v>
      </c>
      <c r="G113" s="57" t="str">
        <f t="shared" si="1"/>
        <v>-</v>
      </c>
      <c r="J113" s="5" t="s">
        <v>4103</v>
      </c>
    </row>
    <row r="114" spans="1:12" ht="25.5" x14ac:dyDescent="0.2">
      <c r="A114" s="1" t="s">
        <v>25</v>
      </c>
      <c r="B114" s="2" t="s">
        <v>26</v>
      </c>
      <c r="C114" s="1"/>
      <c r="D114" s="5" t="s">
        <v>1717</v>
      </c>
      <c r="E114" s="6">
        <v>107698</v>
      </c>
      <c r="F114" s="3">
        <v>113054</v>
      </c>
      <c r="G114" s="57">
        <f t="shared" si="1"/>
        <v>4.9731657040984978E-2</v>
      </c>
      <c r="J114" s="5" t="s">
        <v>3676</v>
      </c>
    </row>
    <row r="115" spans="1:12" ht="25.5" x14ac:dyDescent="0.2">
      <c r="A115" s="1" t="s">
        <v>25</v>
      </c>
      <c r="B115" s="2" t="s">
        <v>26</v>
      </c>
      <c r="C115" s="1"/>
      <c r="D115" s="5" t="s">
        <v>1718</v>
      </c>
      <c r="E115" s="3" t="s">
        <v>465</v>
      </c>
      <c r="F115" s="3">
        <v>111987</v>
      </c>
      <c r="G115" s="57" t="str">
        <f t="shared" si="1"/>
        <v>-</v>
      </c>
      <c r="J115" s="5" t="s">
        <v>3677</v>
      </c>
      <c r="L115" s="13"/>
    </row>
    <row r="116" spans="1:12" ht="25.5" x14ac:dyDescent="0.2">
      <c r="A116" s="1" t="s">
        <v>25</v>
      </c>
      <c r="B116" s="2" t="s">
        <v>26</v>
      </c>
      <c r="C116" s="1"/>
      <c r="D116" s="5" t="s">
        <v>1719</v>
      </c>
      <c r="E116" s="3" t="s">
        <v>465</v>
      </c>
      <c r="F116" s="3">
        <v>108355</v>
      </c>
      <c r="G116" s="57" t="str">
        <f t="shared" si="1"/>
        <v>-</v>
      </c>
      <c r="J116" s="5" t="s">
        <v>3678</v>
      </c>
    </row>
    <row r="117" spans="1:12" ht="25.5" x14ac:dyDescent="0.2">
      <c r="A117" s="1" t="s">
        <v>25</v>
      </c>
      <c r="B117" s="2" t="s">
        <v>26</v>
      </c>
      <c r="C117" s="1"/>
      <c r="D117" s="5" t="s">
        <v>1720</v>
      </c>
      <c r="E117" s="3" t="s">
        <v>465</v>
      </c>
      <c r="F117" s="3">
        <v>108355</v>
      </c>
      <c r="G117" s="57" t="str">
        <f t="shared" si="1"/>
        <v>-</v>
      </c>
      <c r="J117" s="5" t="s">
        <v>3678</v>
      </c>
    </row>
    <row r="118" spans="1:12" ht="25.5" x14ac:dyDescent="0.2">
      <c r="A118" s="1" t="s">
        <v>25</v>
      </c>
      <c r="B118" s="2" t="s">
        <v>26</v>
      </c>
      <c r="C118" s="1"/>
      <c r="D118" s="5" t="s">
        <v>1721</v>
      </c>
      <c r="E118" s="3" t="s">
        <v>465</v>
      </c>
      <c r="F118" s="3">
        <v>107782</v>
      </c>
      <c r="G118" s="57" t="str">
        <f t="shared" si="1"/>
        <v>-</v>
      </c>
      <c r="J118" s="5" t="s">
        <v>3679</v>
      </c>
    </row>
    <row r="119" spans="1:12" ht="25.5" x14ac:dyDescent="0.2">
      <c r="A119" s="1" t="s">
        <v>25</v>
      </c>
      <c r="B119" s="2" t="s">
        <v>26</v>
      </c>
      <c r="C119" s="1"/>
      <c r="D119" s="5" t="s">
        <v>3680</v>
      </c>
      <c r="E119" s="3" t="s">
        <v>465</v>
      </c>
      <c r="F119" s="3">
        <v>106704</v>
      </c>
      <c r="G119" s="57" t="str">
        <f t="shared" si="1"/>
        <v>-</v>
      </c>
      <c r="J119" s="5" t="s">
        <v>3681</v>
      </c>
    </row>
    <row r="120" spans="1:12" ht="38.25" x14ac:dyDescent="0.2">
      <c r="A120" s="1" t="s">
        <v>25</v>
      </c>
      <c r="B120" s="2" t="s">
        <v>26</v>
      </c>
      <c r="C120" s="1"/>
      <c r="D120" s="5" t="s">
        <v>3682</v>
      </c>
      <c r="E120" s="3" t="s">
        <v>465</v>
      </c>
      <c r="F120" s="3">
        <v>106701</v>
      </c>
      <c r="G120" s="57" t="str">
        <f t="shared" si="1"/>
        <v>-</v>
      </c>
      <c r="J120" s="5" t="s">
        <v>4104</v>
      </c>
    </row>
    <row r="121" spans="1:12" ht="25.5" x14ac:dyDescent="0.2">
      <c r="A121" s="1" t="s">
        <v>25</v>
      </c>
      <c r="B121" s="2" t="s">
        <v>26</v>
      </c>
      <c r="C121" s="1"/>
      <c r="D121" s="5" t="s">
        <v>1722</v>
      </c>
      <c r="E121" s="3" t="s">
        <v>465</v>
      </c>
      <c r="F121" s="3">
        <v>105204</v>
      </c>
      <c r="G121" s="57" t="str">
        <f t="shared" si="1"/>
        <v>-</v>
      </c>
      <c r="J121" s="5" t="s">
        <v>4105</v>
      </c>
    </row>
    <row r="122" spans="1:12" ht="25.5" x14ac:dyDescent="0.2">
      <c r="A122" s="1" t="s">
        <v>25</v>
      </c>
      <c r="B122" s="2" t="s">
        <v>26</v>
      </c>
      <c r="C122" s="1"/>
      <c r="D122" s="5" t="s">
        <v>1723</v>
      </c>
      <c r="E122" s="3" t="s">
        <v>465</v>
      </c>
      <c r="F122" s="3">
        <v>103327</v>
      </c>
      <c r="G122" s="57" t="str">
        <f t="shared" si="1"/>
        <v>-</v>
      </c>
      <c r="J122" s="5" t="s">
        <v>3683</v>
      </c>
    </row>
    <row r="123" spans="1:12" s="13" customFormat="1" x14ac:dyDescent="0.2">
      <c r="A123" s="1" t="s">
        <v>25</v>
      </c>
      <c r="B123" s="12" t="s">
        <v>26</v>
      </c>
      <c r="D123" s="7" t="s">
        <v>3684</v>
      </c>
      <c r="E123" s="6">
        <v>164290</v>
      </c>
      <c r="F123" s="6" t="s">
        <v>465</v>
      </c>
      <c r="G123" s="57" t="str">
        <f t="shared" si="1"/>
        <v>-</v>
      </c>
      <c r="H123" s="21"/>
      <c r="I123" s="21"/>
      <c r="J123" s="7"/>
    </row>
    <row r="124" spans="1:12" s="13" customFormat="1" x14ac:dyDescent="0.2">
      <c r="A124" s="1" t="s">
        <v>25</v>
      </c>
      <c r="B124" s="12" t="s">
        <v>26</v>
      </c>
      <c r="D124" s="7" t="s">
        <v>3685</v>
      </c>
      <c r="E124" s="6">
        <v>133304</v>
      </c>
      <c r="F124" s="6" t="s">
        <v>465</v>
      </c>
      <c r="G124" s="57" t="str">
        <f t="shared" si="1"/>
        <v>-</v>
      </c>
      <c r="H124" s="21"/>
      <c r="I124" s="21"/>
      <c r="J124" s="7"/>
    </row>
    <row r="125" spans="1:12" s="13" customFormat="1" x14ac:dyDescent="0.2">
      <c r="A125" s="1" t="s">
        <v>25</v>
      </c>
      <c r="B125" s="12" t="s">
        <v>26</v>
      </c>
      <c r="D125" s="7" t="s">
        <v>507</v>
      </c>
      <c r="E125" s="6">
        <v>123375</v>
      </c>
      <c r="F125" s="6" t="s">
        <v>465</v>
      </c>
      <c r="G125" s="57" t="str">
        <f t="shared" si="1"/>
        <v>-</v>
      </c>
      <c r="H125" s="21"/>
      <c r="I125" s="21"/>
      <c r="J125" s="7"/>
    </row>
    <row r="126" spans="1:12" s="13" customFormat="1" x14ac:dyDescent="0.2">
      <c r="A126" s="1" t="s">
        <v>25</v>
      </c>
      <c r="B126" s="12" t="s">
        <v>26</v>
      </c>
      <c r="D126" s="7" t="s">
        <v>4600</v>
      </c>
      <c r="E126" s="6">
        <v>124354</v>
      </c>
      <c r="F126" s="6" t="s">
        <v>465</v>
      </c>
      <c r="G126" s="57" t="str">
        <f t="shared" si="1"/>
        <v>-</v>
      </c>
      <c r="H126" s="21"/>
      <c r="I126" s="21"/>
      <c r="J126" s="7"/>
    </row>
    <row r="127" spans="1:12" s="13" customFormat="1" x14ac:dyDescent="0.2">
      <c r="A127" s="1" t="s">
        <v>25</v>
      </c>
      <c r="B127" s="12" t="s">
        <v>26</v>
      </c>
      <c r="D127" s="7" t="s">
        <v>3686</v>
      </c>
      <c r="E127" s="6">
        <v>123448</v>
      </c>
      <c r="F127" s="6" t="s">
        <v>465</v>
      </c>
      <c r="G127" s="57" t="str">
        <f t="shared" si="1"/>
        <v>-</v>
      </c>
      <c r="H127" s="21"/>
      <c r="I127" s="21"/>
      <c r="J127" s="7"/>
    </row>
    <row r="128" spans="1:12" s="13" customFormat="1" x14ac:dyDescent="0.2">
      <c r="A128" s="1" t="s">
        <v>25</v>
      </c>
      <c r="B128" s="12" t="s">
        <v>26</v>
      </c>
      <c r="D128" s="7" t="s">
        <v>3687</v>
      </c>
      <c r="E128" s="6">
        <v>120548</v>
      </c>
      <c r="F128" s="6" t="s">
        <v>465</v>
      </c>
      <c r="G128" s="57" t="str">
        <f t="shared" si="1"/>
        <v>-</v>
      </c>
      <c r="H128" s="21"/>
      <c r="I128" s="21"/>
      <c r="J128" s="7"/>
    </row>
    <row r="129" spans="1:10" s="13" customFormat="1" x14ac:dyDescent="0.2">
      <c r="A129" s="1" t="s">
        <v>25</v>
      </c>
      <c r="B129" s="12" t="s">
        <v>26</v>
      </c>
      <c r="D129" s="7" t="s">
        <v>3688</v>
      </c>
      <c r="E129" s="6">
        <v>116659</v>
      </c>
      <c r="F129" s="6" t="s">
        <v>465</v>
      </c>
      <c r="G129" s="57" t="str">
        <f t="shared" si="1"/>
        <v>-</v>
      </c>
      <c r="H129" s="21"/>
      <c r="I129" s="21"/>
      <c r="J129" s="7"/>
    </row>
    <row r="130" spans="1:10" s="13" customFormat="1" ht="25.5" x14ac:dyDescent="0.2">
      <c r="A130" s="1" t="s">
        <v>25</v>
      </c>
      <c r="B130" s="12" t="s">
        <v>26</v>
      </c>
      <c r="D130" s="7" t="s">
        <v>4107</v>
      </c>
      <c r="E130" s="6">
        <v>115622</v>
      </c>
      <c r="F130" s="6" t="s">
        <v>465</v>
      </c>
      <c r="G130" s="57" t="str">
        <f t="shared" si="1"/>
        <v>-</v>
      </c>
      <c r="H130" s="21"/>
      <c r="I130" s="21"/>
      <c r="J130" s="7"/>
    </row>
    <row r="131" spans="1:10" s="13" customFormat="1" x14ac:dyDescent="0.2">
      <c r="A131" s="1" t="s">
        <v>25</v>
      </c>
      <c r="B131" s="12" t="s">
        <v>26</v>
      </c>
      <c r="D131" s="7" t="s">
        <v>4108</v>
      </c>
      <c r="E131" s="6">
        <v>105367</v>
      </c>
      <c r="F131" s="6" t="s">
        <v>465</v>
      </c>
      <c r="G131" s="57" t="str">
        <f t="shared" ref="G131:G194" si="2">IF(ISERROR((F131-E131)/E131),"-",(F131-E131)/E131)</f>
        <v>-</v>
      </c>
      <c r="H131" s="21"/>
      <c r="I131" s="21"/>
      <c r="J131" s="7"/>
    </row>
    <row r="132" spans="1:10" s="13" customFormat="1" x14ac:dyDescent="0.2">
      <c r="A132" s="1" t="s">
        <v>25</v>
      </c>
      <c r="B132" s="12" t="s">
        <v>26</v>
      </c>
      <c r="D132" s="7" t="s">
        <v>3689</v>
      </c>
      <c r="E132" s="6">
        <v>104833</v>
      </c>
      <c r="F132" s="6" t="s">
        <v>465</v>
      </c>
      <c r="G132" s="57" t="str">
        <f t="shared" si="2"/>
        <v>-</v>
      </c>
      <c r="H132" s="21"/>
      <c r="I132" s="21"/>
      <c r="J132" s="7"/>
    </row>
    <row r="133" spans="1:10" s="13" customFormat="1" x14ac:dyDescent="0.2">
      <c r="A133" s="1" t="s">
        <v>25</v>
      </c>
      <c r="B133" s="12" t="s">
        <v>26</v>
      </c>
      <c r="D133" s="7" t="s">
        <v>3690</v>
      </c>
      <c r="E133" s="6">
        <v>104982</v>
      </c>
      <c r="F133" s="6" t="s">
        <v>465</v>
      </c>
      <c r="G133" s="57" t="str">
        <f t="shared" si="2"/>
        <v>-</v>
      </c>
      <c r="H133" s="21"/>
      <c r="I133" s="21"/>
      <c r="J133" s="7"/>
    </row>
    <row r="134" spans="1:10" s="13" customFormat="1" ht="38.25" x14ac:dyDescent="0.2">
      <c r="A134" s="1" t="s">
        <v>25</v>
      </c>
      <c r="B134" s="12" t="s">
        <v>26</v>
      </c>
      <c r="D134" s="7" t="s">
        <v>3691</v>
      </c>
      <c r="E134" s="6">
        <v>104649</v>
      </c>
      <c r="F134" s="6">
        <v>59931</v>
      </c>
      <c r="G134" s="57">
        <f t="shared" si="2"/>
        <v>-0.42731416449273285</v>
      </c>
      <c r="H134" s="21"/>
      <c r="I134" s="21"/>
      <c r="J134" s="7" t="s">
        <v>4106</v>
      </c>
    </row>
    <row r="135" spans="1:10" s="13" customFormat="1" ht="38.25" x14ac:dyDescent="0.2">
      <c r="A135" s="1" t="s">
        <v>25</v>
      </c>
      <c r="B135" s="12" t="s">
        <v>26</v>
      </c>
      <c r="D135" s="7" t="s">
        <v>3692</v>
      </c>
      <c r="E135" s="6">
        <v>104069</v>
      </c>
      <c r="F135" s="6">
        <v>68278</v>
      </c>
      <c r="G135" s="57">
        <f t="shared" si="2"/>
        <v>-0.3439160556938185</v>
      </c>
      <c r="H135" s="21"/>
      <c r="I135" s="21"/>
      <c r="J135" s="7" t="s">
        <v>4109</v>
      </c>
    </row>
    <row r="136" spans="1:10" s="13" customFormat="1" x14ac:dyDescent="0.2">
      <c r="A136" s="1" t="s">
        <v>25</v>
      </c>
      <c r="B136" s="12" t="s">
        <v>26</v>
      </c>
      <c r="D136" s="7" t="s">
        <v>3693</v>
      </c>
      <c r="E136" s="6">
        <v>103061</v>
      </c>
      <c r="F136" s="6" t="s">
        <v>465</v>
      </c>
      <c r="G136" s="57" t="str">
        <f t="shared" si="2"/>
        <v>-</v>
      </c>
      <c r="H136" s="21"/>
      <c r="I136" s="21"/>
      <c r="J136" s="7"/>
    </row>
    <row r="137" spans="1:10" s="13" customFormat="1" x14ac:dyDescent="0.2">
      <c r="A137" s="1" t="s">
        <v>25</v>
      </c>
      <c r="B137" s="12" t="s">
        <v>26</v>
      </c>
      <c r="D137" s="7" t="s">
        <v>1717</v>
      </c>
      <c r="E137" s="6">
        <v>101148</v>
      </c>
      <c r="F137" s="6" t="s">
        <v>465</v>
      </c>
      <c r="G137" s="57" t="str">
        <f t="shared" si="2"/>
        <v>-</v>
      </c>
      <c r="H137" s="21"/>
      <c r="I137" s="21"/>
      <c r="J137" s="7"/>
    </row>
    <row r="138" spans="1:10" s="13" customFormat="1" x14ac:dyDescent="0.2">
      <c r="A138" s="1" t="s">
        <v>25</v>
      </c>
      <c r="B138" s="12" t="s">
        <v>26</v>
      </c>
      <c r="D138" s="7" t="s">
        <v>1450</v>
      </c>
      <c r="E138" s="6">
        <v>100641</v>
      </c>
      <c r="F138" s="6" t="s">
        <v>465</v>
      </c>
      <c r="G138" s="57" t="str">
        <f t="shared" si="2"/>
        <v>-</v>
      </c>
      <c r="H138" s="21"/>
      <c r="I138" s="21"/>
      <c r="J138" s="7"/>
    </row>
    <row r="139" spans="1:10" s="13" customFormat="1" x14ac:dyDescent="0.2">
      <c r="A139" s="1" t="s">
        <v>25</v>
      </c>
      <c r="B139" s="12" t="s">
        <v>26</v>
      </c>
      <c r="D139" s="7" t="s">
        <v>3694</v>
      </c>
      <c r="E139" s="6">
        <v>132348</v>
      </c>
      <c r="F139" s="6" t="s">
        <v>465</v>
      </c>
      <c r="G139" s="57" t="str">
        <f t="shared" si="2"/>
        <v>-</v>
      </c>
      <c r="H139" s="21"/>
      <c r="I139" s="21"/>
      <c r="J139" s="7"/>
    </row>
    <row r="140" spans="1:10" ht="38.25" x14ac:dyDescent="0.2">
      <c r="A140" s="1" t="s">
        <v>25</v>
      </c>
      <c r="B140" s="2" t="s">
        <v>26</v>
      </c>
      <c r="C140" s="1"/>
      <c r="D140" s="5" t="s">
        <v>1724</v>
      </c>
      <c r="E140" s="3" t="s">
        <v>465</v>
      </c>
      <c r="F140" s="3">
        <v>102981</v>
      </c>
      <c r="G140" s="57" t="str">
        <f t="shared" si="2"/>
        <v>-</v>
      </c>
      <c r="J140" s="5" t="s">
        <v>4110</v>
      </c>
    </row>
    <row r="141" spans="1:10" x14ac:dyDescent="0.2">
      <c r="A141" s="1" t="s">
        <v>25</v>
      </c>
      <c r="B141" s="2" t="s">
        <v>26</v>
      </c>
      <c r="C141" s="1"/>
      <c r="D141" s="5" t="s">
        <v>464</v>
      </c>
      <c r="G141" s="57" t="str">
        <f t="shared" si="2"/>
        <v>-</v>
      </c>
      <c r="H141" s="19" t="s">
        <v>465</v>
      </c>
      <c r="I141" s="19">
        <v>92500</v>
      </c>
    </row>
    <row r="142" spans="1:10" x14ac:dyDescent="0.2">
      <c r="A142" s="1" t="s">
        <v>25</v>
      </c>
      <c r="B142" s="2" t="s">
        <v>26</v>
      </c>
      <c r="C142" s="1"/>
      <c r="D142" s="5" t="s">
        <v>464</v>
      </c>
      <c r="G142" s="57" t="str">
        <f t="shared" si="2"/>
        <v>-</v>
      </c>
      <c r="H142" s="19" t="s">
        <v>465</v>
      </c>
      <c r="I142" s="19">
        <v>92500</v>
      </c>
    </row>
    <row r="143" spans="1:10" x14ac:dyDescent="0.2">
      <c r="A143" s="1" t="s">
        <v>25</v>
      </c>
      <c r="B143" s="2" t="s">
        <v>26</v>
      </c>
      <c r="C143" s="1"/>
      <c r="D143" s="5" t="s">
        <v>464</v>
      </c>
      <c r="G143" s="57" t="str">
        <f t="shared" si="2"/>
        <v>-</v>
      </c>
      <c r="H143" s="19" t="s">
        <v>465</v>
      </c>
      <c r="I143" s="19">
        <v>92500</v>
      </c>
    </row>
    <row r="144" spans="1:10" x14ac:dyDescent="0.2">
      <c r="A144" s="1" t="s">
        <v>25</v>
      </c>
      <c r="B144" s="2" t="s">
        <v>26</v>
      </c>
      <c r="C144" s="1"/>
      <c r="D144" s="5" t="s">
        <v>464</v>
      </c>
      <c r="G144" s="57" t="str">
        <f t="shared" si="2"/>
        <v>-</v>
      </c>
      <c r="H144" s="19" t="s">
        <v>465</v>
      </c>
      <c r="I144" s="19">
        <v>92500</v>
      </c>
    </row>
    <row r="145" spans="1:9" s="1" customFormat="1" x14ac:dyDescent="0.2">
      <c r="A145" s="1" t="s">
        <v>25</v>
      </c>
      <c r="B145" s="2" t="s">
        <v>26</v>
      </c>
      <c r="D145" s="5" t="s">
        <v>464</v>
      </c>
      <c r="E145" s="3"/>
      <c r="F145" s="3"/>
      <c r="G145" s="57" t="str">
        <f t="shared" si="2"/>
        <v>-</v>
      </c>
      <c r="H145" s="19" t="s">
        <v>465</v>
      </c>
      <c r="I145" s="19">
        <v>92500</v>
      </c>
    </row>
    <row r="146" spans="1:9" s="1" customFormat="1" x14ac:dyDescent="0.2">
      <c r="A146" s="1" t="s">
        <v>25</v>
      </c>
      <c r="B146" s="2" t="s">
        <v>26</v>
      </c>
      <c r="D146" s="5" t="s">
        <v>464</v>
      </c>
      <c r="E146" s="3"/>
      <c r="F146" s="3"/>
      <c r="G146" s="57" t="str">
        <f t="shared" si="2"/>
        <v>-</v>
      </c>
      <c r="H146" s="19" t="s">
        <v>465</v>
      </c>
      <c r="I146" s="19">
        <v>92500</v>
      </c>
    </row>
    <row r="147" spans="1:9" s="1" customFormat="1" x14ac:dyDescent="0.2">
      <c r="A147" s="1" t="s">
        <v>25</v>
      </c>
      <c r="B147" s="2" t="s">
        <v>26</v>
      </c>
      <c r="D147" s="5" t="s">
        <v>464</v>
      </c>
      <c r="E147" s="3"/>
      <c r="F147" s="3"/>
      <c r="G147" s="57" t="str">
        <f t="shared" si="2"/>
        <v>-</v>
      </c>
      <c r="H147" s="19" t="s">
        <v>465</v>
      </c>
      <c r="I147" s="19">
        <v>92500</v>
      </c>
    </row>
    <row r="148" spans="1:9" s="1" customFormat="1" x14ac:dyDescent="0.2">
      <c r="A148" s="1" t="s">
        <v>25</v>
      </c>
      <c r="B148" s="2" t="s">
        <v>26</v>
      </c>
      <c r="D148" s="5" t="s">
        <v>464</v>
      </c>
      <c r="E148" s="3"/>
      <c r="F148" s="3"/>
      <c r="G148" s="57" t="str">
        <f t="shared" si="2"/>
        <v>-</v>
      </c>
      <c r="H148" s="19" t="s">
        <v>465</v>
      </c>
      <c r="I148" s="19">
        <v>92500</v>
      </c>
    </row>
    <row r="149" spans="1:9" s="1" customFormat="1" x14ac:dyDescent="0.2">
      <c r="A149" s="1" t="s">
        <v>25</v>
      </c>
      <c r="B149" s="2" t="s">
        <v>26</v>
      </c>
      <c r="D149" s="5" t="s">
        <v>464</v>
      </c>
      <c r="E149" s="3"/>
      <c r="F149" s="3"/>
      <c r="G149" s="57" t="str">
        <f t="shared" si="2"/>
        <v>-</v>
      </c>
      <c r="H149" s="19" t="s">
        <v>465</v>
      </c>
      <c r="I149" s="19">
        <v>92500</v>
      </c>
    </row>
    <row r="150" spans="1:9" s="1" customFormat="1" x14ac:dyDescent="0.2">
      <c r="A150" s="1" t="s">
        <v>25</v>
      </c>
      <c r="B150" s="2" t="s">
        <v>26</v>
      </c>
      <c r="D150" s="5" t="s">
        <v>464</v>
      </c>
      <c r="E150" s="3"/>
      <c r="F150" s="3"/>
      <c r="G150" s="57" t="str">
        <f t="shared" si="2"/>
        <v>-</v>
      </c>
      <c r="H150" s="19">
        <v>92500</v>
      </c>
      <c r="I150" s="19" t="s">
        <v>465</v>
      </c>
    </row>
    <row r="151" spans="1:9" s="1" customFormat="1" x14ac:dyDescent="0.2">
      <c r="A151" s="1" t="s">
        <v>25</v>
      </c>
      <c r="B151" s="2" t="s">
        <v>26</v>
      </c>
      <c r="D151" s="5" t="s">
        <v>464</v>
      </c>
      <c r="E151" s="3"/>
      <c r="F151" s="3"/>
      <c r="G151" s="57" t="str">
        <f t="shared" si="2"/>
        <v>-</v>
      </c>
      <c r="H151" s="19">
        <v>92500</v>
      </c>
      <c r="I151" s="19" t="s">
        <v>465</v>
      </c>
    </row>
    <row r="152" spans="1:9" s="1" customFormat="1" x14ac:dyDescent="0.2">
      <c r="A152" s="1" t="s">
        <v>25</v>
      </c>
      <c r="B152" s="2" t="s">
        <v>26</v>
      </c>
      <c r="D152" s="5" t="s">
        <v>464</v>
      </c>
      <c r="E152" s="3"/>
      <c r="F152" s="3"/>
      <c r="G152" s="57" t="str">
        <f t="shared" si="2"/>
        <v>-</v>
      </c>
      <c r="H152" s="19">
        <v>92500</v>
      </c>
      <c r="I152" s="19" t="s">
        <v>465</v>
      </c>
    </row>
    <row r="153" spans="1:9" s="1" customFormat="1" x14ac:dyDescent="0.2">
      <c r="A153" s="1" t="s">
        <v>25</v>
      </c>
      <c r="B153" s="2" t="s">
        <v>26</v>
      </c>
      <c r="D153" s="5" t="s">
        <v>464</v>
      </c>
      <c r="E153" s="3"/>
      <c r="F153" s="3"/>
      <c r="G153" s="57" t="str">
        <f t="shared" si="2"/>
        <v>-</v>
      </c>
      <c r="H153" s="19">
        <v>92500</v>
      </c>
      <c r="I153" s="19" t="s">
        <v>465</v>
      </c>
    </row>
    <row r="154" spans="1:9" s="1" customFormat="1" x14ac:dyDescent="0.2">
      <c r="A154" s="1" t="s">
        <v>25</v>
      </c>
      <c r="B154" s="2" t="s">
        <v>26</v>
      </c>
      <c r="D154" s="5" t="s">
        <v>464</v>
      </c>
      <c r="E154" s="3"/>
      <c r="F154" s="3"/>
      <c r="G154" s="57" t="str">
        <f t="shared" si="2"/>
        <v>-</v>
      </c>
      <c r="H154" s="19">
        <v>92500</v>
      </c>
      <c r="I154" s="19" t="s">
        <v>465</v>
      </c>
    </row>
    <row r="155" spans="1:9" s="1" customFormat="1" x14ac:dyDescent="0.2">
      <c r="A155" s="1" t="s">
        <v>25</v>
      </c>
      <c r="B155" s="2" t="s">
        <v>26</v>
      </c>
      <c r="D155" s="5" t="s">
        <v>464</v>
      </c>
      <c r="E155" s="3"/>
      <c r="F155" s="3"/>
      <c r="G155" s="57" t="str">
        <f t="shared" si="2"/>
        <v>-</v>
      </c>
      <c r="H155" s="19" t="s">
        <v>465</v>
      </c>
      <c r="I155" s="19">
        <v>97500</v>
      </c>
    </row>
    <row r="156" spans="1:9" s="1" customFormat="1" x14ac:dyDescent="0.2">
      <c r="A156" s="1" t="s">
        <v>25</v>
      </c>
      <c r="B156" s="2" t="s">
        <v>26</v>
      </c>
      <c r="D156" s="5" t="s">
        <v>464</v>
      </c>
      <c r="E156" s="3"/>
      <c r="F156" s="3"/>
      <c r="G156" s="57" t="str">
        <f t="shared" si="2"/>
        <v>-</v>
      </c>
      <c r="H156" s="19" t="s">
        <v>465</v>
      </c>
      <c r="I156" s="19">
        <v>97500</v>
      </c>
    </row>
    <row r="157" spans="1:9" s="1" customFormat="1" x14ac:dyDescent="0.2">
      <c r="A157" s="1" t="s">
        <v>25</v>
      </c>
      <c r="B157" s="2" t="s">
        <v>26</v>
      </c>
      <c r="D157" s="5" t="s">
        <v>464</v>
      </c>
      <c r="E157" s="3"/>
      <c r="F157" s="3"/>
      <c r="G157" s="57" t="str">
        <f t="shared" si="2"/>
        <v>-</v>
      </c>
      <c r="H157" s="19" t="s">
        <v>465</v>
      </c>
      <c r="I157" s="19">
        <v>97500</v>
      </c>
    </row>
    <row r="158" spans="1:9" s="1" customFormat="1" x14ac:dyDescent="0.2">
      <c r="A158" s="1" t="s">
        <v>25</v>
      </c>
      <c r="B158" s="2" t="s">
        <v>26</v>
      </c>
      <c r="D158" s="5" t="s">
        <v>464</v>
      </c>
      <c r="E158" s="3"/>
      <c r="F158" s="3"/>
      <c r="G158" s="57" t="str">
        <f t="shared" si="2"/>
        <v>-</v>
      </c>
      <c r="H158" s="19" t="s">
        <v>465</v>
      </c>
      <c r="I158" s="19">
        <v>97500</v>
      </c>
    </row>
    <row r="159" spans="1:9" s="1" customFormat="1" x14ac:dyDescent="0.2">
      <c r="A159" s="1" t="s">
        <v>25</v>
      </c>
      <c r="B159" s="2" t="s">
        <v>26</v>
      </c>
      <c r="D159" s="5" t="s">
        <v>464</v>
      </c>
      <c r="E159" s="3"/>
      <c r="F159" s="3"/>
      <c r="G159" s="57" t="str">
        <f t="shared" si="2"/>
        <v>-</v>
      </c>
      <c r="H159" s="19" t="s">
        <v>465</v>
      </c>
      <c r="I159" s="19">
        <v>97500</v>
      </c>
    </row>
    <row r="160" spans="1:9" s="1" customFormat="1" x14ac:dyDescent="0.2">
      <c r="A160" s="1" t="s">
        <v>25</v>
      </c>
      <c r="B160" s="2" t="s">
        <v>26</v>
      </c>
      <c r="D160" s="5" t="s">
        <v>464</v>
      </c>
      <c r="E160" s="3"/>
      <c r="F160" s="3"/>
      <c r="G160" s="57" t="str">
        <f t="shared" si="2"/>
        <v>-</v>
      </c>
      <c r="H160" s="19" t="s">
        <v>465</v>
      </c>
      <c r="I160" s="19">
        <v>97500</v>
      </c>
    </row>
    <row r="161" spans="1:9" s="1" customFormat="1" x14ac:dyDescent="0.2">
      <c r="A161" s="1" t="s">
        <v>25</v>
      </c>
      <c r="B161" s="2" t="s">
        <v>26</v>
      </c>
      <c r="D161" s="5" t="s">
        <v>464</v>
      </c>
      <c r="E161" s="3"/>
      <c r="F161" s="3"/>
      <c r="G161" s="57" t="str">
        <f t="shared" si="2"/>
        <v>-</v>
      </c>
      <c r="H161" s="19" t="s">
        <v>465</v>
      </c>
      <c r="I161" s="19">
        <v>97500</v>
      </c>
    </row>
    <row r="162" spans="1:9" s="1" customFormat="1" x14ac:dyDescent="0.2">
      <c r="A162" s="1" t="s">
        <v>25</v>
      </c>
      <c r="B162" s="2" t="s">
        <v>26</v>
      </c>
      <c r="D162" s="5" t="s">
        <v>464</v>
      </c>
      <c r="E162" s="3"/>
      <c r="F162" s="3"/>
      <c r="G162" s="57" t="str">
        <f t="shared" si="2"/>
        <v>-</v>
      </c>
      <c r="H162" s="19">
        <v>97500</v>
      </c>
      <c r="I162" s="19" t="s">
        <v>465</v>
      </c>
    </row>
    <row r="163" spans="1:9" s="1" customFormat="1" x14ac:dyDescent="0.2">
      <c r="A163" s="1" t="s">
        <v>25</v>
      </c>
      <c r="B163" s="2" t="s">
        <v>26</v>
      </c>
      <c r="D163" s="5" t="s">
        <v>464</v>
      </c>
      <c r="E163" s="3">
        <v>102500</v>
      </c>
      <c r="F163" s="58" t="s">
        <v>465</v>
      </c>
      <c r="G163" s="57" t="str">
        <f t="shared" si="2"/>
        <v>-</v>
      </c>
      <c r="H163" s="19"/>
      <c r="I163" s="19"/>
    </row>
    <row r="164" spans="1:9" s="1" customFormat="1" x14ac:dyDescent="0.2">
      <c r="A164" s="1" t="s">
        <v>25</v>
      </c>
      <c r="B164" s="2" t="s">
        <v>26</v>
      </c>
      <c r="D164" s="5" t="s">
        <v>464</v>
      </c>
      <c r="E164" s="3">
        <v>102500</v>
      </c>
      <c r="F164" s="58" t="s">
        <v>465</v>
      </c>
      <c r="G164" s="57" t="str">
        <f t="shared" si="2"/>
        <v>-</v>
      </c>
      <c r="H164" s="19"/>
      <c r="I164" s="19"/>
    </row>
    <row r="165" spans="1:9" s="1" customFormat="1" x14ac:dyDescent="0.2">
      <c r="A165" s="1" t="s">
        <v>25</v>
      </c>
      <c r="B165" s="2" t="s">
        <v>26</v>
      </c>
      <c r="D165" s="5" t="s">
        <v>464</v>
      </c>
      <c r="E165" s="58" t="s">
        <v>465</v>
      </c>
      <c r="F165" s="3">
        <v>102500</v>
      </c>
      <c r="G165" s="57" t="str">
        <f t="shared" si="2"/>
        <v>-</v>
      </c>
      <c r="H165" s="19"/>
      <c r="I165" s="19"/>
    </row>
    <row r="166" spans="1:9" s="1" customFormat="1" x14ac:dyDescent="0.2">
      <c r="A166" s="1" t="s">
        <v>25</v>
      </c>
      <c r="B166" s="2" t="s">
        <v>26</v>
      </c>
      <c r="D166" s="5" t="s">
        <v>464</v>
      </c>
      <c r="E166" s="58" t="s">
        <v>465</v>
      </c>
      <c r="F166" s="3">
        <v>102500</v>
      </c>
      <c r="G166" s="57" t="str">
        <f t="shared" si="2"/>
        <v>-</v>
      </c>
      <c r="H166" s="19"/>
      <c r="I166" s="19"/>
    </row>
    <row r="167" spans="1:9" s="1" customFormat="1" x14ac:dyDescent="0.2">
      <c r="A167" s="1" t="s">
        <v>25</v>
      </c>
      <c r="B167" s="2" t="s">
        <v>26</v>
      </c>
      <c r="D167" s="5" t="s">
        <v>464</v>
      </c>
      <c r="E167" s="58" t="s">
        <v>465</v>
      </c>
      <c r="F167" s="3">
        <v>102500</v>
      </c>
      <c r="G167" s="57" t="str">
        <f t="shared" si="2"/>
        <v>-</v>
      </c>
      <c r="H167" s="19"/>
      <c r="I167" s="19"/>
    </row>
    <row r="168" spans="1:9" s="1" customFormat="1" x14ac:dyDescent="0.2">
      <c r="A168" s="1" t="s">
        <v>25</v>
      </c>
      <c r="B168" s="2" t="s">
        <v>26</v>
      </c>
      <c r="D168" s="5" t="s">
        <v>464</v>
      </c>
      <c r="E168" s="58" t="s">
        <v>465</v>
      </c>
      <c r="F168" s="3">
        <v>102500</v>
      </c>
      <c r="G168" s="57" t="str">
        <f t="shared" si="2"/>
        <v>-</v>
      </c>
      <c r="H168" s="19"/>
      <c r="I168" s="19"/>
    </row>
    <row r="169" spans="1:9" s="1" customFormat="1" x14ac:dyDescent="0.2">
      <c r="A169" s="1" t="s">
        <v>25</v>
      </c>
      <c r="B169" s="2" t="s">
        <v>26</v>
      </c>
      <c r="D169" s="5" t="s">
        <v>464</v>
      </c>
      <c r="E169" s="3">
        <v>107500</v>
      </c>
      <c r="F169" s="58" t="s">
        <v>465</v>
      </c>
      <c r="G169" s="57" t="str">
        <f t="shared" si="2"/>
        <v>-</v>
      </c>
      <c r="H169" s="19"/>
      <c r="I169" s="19"/>
    </row>
    <row r="170" spans="1:9" s="1" customFormat="1" x14ac:dyDescent="0.2">
      <c r="A170" s="1" t="s">
        <v>25</v>
      </c>
      <c r="B170" s="2" t="s">
        <v>26</v>
      </c>
      <c r="D170" s="5" t="s">
        <v>464</v>
      </c>
      <c r="E170" s="3">
        <v>107500</v>
      </c>
      <c r="F170" s="58" t="s">
        <v>465</v>
      </c>
      <c r="G170" s="57" t="str">
        <f t="shared" si="2"/>
        <v>-</v>
      </c>
      <c r="H170" s="19"/>
      <c r="I170" s="19"/>
    </row>
    <row r="171" spans="1:9" s="1" customFormat="1" x14ac:dyDescent="0.2">
      <c r="A171" s="1" t="s">
        <v>25</v>
      </c>
      <c r="B171" s="2" t="s">
        <v>26</v>
      </c>
      <c r="D171" s="5" t="s">
        <v>464</v>
      </c>
      <c r="E171" s="3">
        <v>107500</v>
      </c>
      <c r="F171" s="58" t="s">
        <v>465</v>
      </c>
      <c r="G171" s="57" t="str">
        <f t="shared" si="2"/>
        <v>-</v>
      </c>
      <c r="H171" s="19"/>
      <c r="I171" s="19"/>
    </row>
    <row r="172" spans="1:9" s="1" customFormat="1" x14ac:dyDescent="0.2">
      <c r="A172" s="1" t="s">
        <v>25</v>
      </c>
      <c r="B172" s="2" t="s">
        <v>26</v>
      </c>
      <c r="D172" s="5" t="s">
        <v>464</v>
      </c>
      <c r="E172" s="58" t="s">
        <v>465</v>
      </c>
      <c r="F172" s="3">
        <v>107500</v>
      </c>
      <c r="G172" s="57" t="str">
        <f t="shared" si="2"/>
        <v>-</v>
      </c>
      <c r="H172" s="19"/>
      <c r="I172" s="19"/>
    </row>
    <row r="173" spans="1:9" s="1" customFormat="1" x14ac:dyDescent="0.2">
      <c r="A173" s="1" t="s">
        <v>25</v>
      </c>
      <c r="B173" s="2" t="s">
        <v>26</v>
      </c>
      <c r="D173" s="5" t="s">
        <v>464</v>
      </c>
      <c r="E173" s="58" t="s">
        <v>465</v>
      </c>
      <c r="F173" s="3">
        <v>112500</v>
      </c>
      <c r="G173" s="57" t="str">
        <f t="shared" si="2"/>
        <v>-</v>
      </c>
      <c r="H173" s="19"/>
      <c r="I173" s="19"/>
    </row>
    <row r="174" spans="1:9" s="1" customFormat="1" x14ac:dyDescent="0.2">
      <c r="A174" s="1" t="s">
        <v>25</v>
      </c>
      <c r="B174" s="2" t="s">
        <v>26</v>
      </c>
      <c r="D174" s="5" t="s">
        <v>464</v>
      </c>
      <c r="E174" s="58" t="s">
        <v>465</v>
      </c>
      <c r="F174" s="3">
        <v>117500</v>
      </c>
      <c r="G174" s="57" t="str">
        <f t="shared" si="2"/>
        <v>-</v>
      </c>
      <c r="H174" s="19"/>
      <c r="I174" s="19"/>
    </row>
    <row r="175" spans="1:9" s="1" customFormat="1" x14ac:dyDescent="0.2">
      <c r="A175" s="1" t="s">
        <v>25</v>
      </c>
      <c r="B175" s="2" t="s">
        <v>26</v>
      </c>
      <c r="D175" s="5" t="s">
        <v>464</v>
      </c>
      <c r="E175" s="58" t="s">
        <v>465</v>
      </c>
      <c r="F175" s="3">
        <v>117500</v>
      </c>
      <c r="G175" s="57" t="str">
        <f t="shared" si="2"/>
        <v>-</v>
      </c>
      <c r="H175" s="19"/>
      <c r="I175" s="19"/>
    </row>
    <row r="176" spans="1:9" s="1" customFormat="1" x14ac:dyDescent="0.2">
      <c r="A176" s="1" t="s">
        <v>25</v>
      </c>
      <c r="B176" s="2" t="s">
        <v>26</v>
      </c>
      <c r="D176" s="5" t="s">
        <v>464</v>
      </c>
      <c r="E176" s="3">
        <v>117500</v>
      </c>
      <c r="F176" s="58" t="s">
        <v>465</v>
      </c>
      <c r="G176" s="57" t="str">
        <f t="shared" si="2"/>
        <v>-</v>
      </c>
      <c r="H176" s="19"/>
      <c r="I176" s="19"/>
    </row>
    <row r="177" spans="1:9" s="1" customFormat="1" x14ac:dyDescent="0.2">
      <c r="A177" s="1" t="s">
        <v>25</v>
      </c>
      <c r="B177" s="2" t="s">
        <v>26</v>
      </c>
      <c r="D177" s="5" t="s">
        <v>464</v>
      </c>
      <c r="E177" s="3">
        <v>117500</v>
      </c>
      <c r="F177" s="58" t="s">
        <v>465</v>
      </c>
      <c r="G177" s="57" t="str">
        <f t="shared" si="2"/>
        <v>-</v>
      </c>
      <c r="H177" s="19"/>
      <c r="I177" s="19"/>
    </row>
    <row r="178" spans="1:9" s="1" customFormat="1" x14ac:dyDescent="0.2">
      <c r="A178" s="1" t="s">
        <v>25</v>
      </c>
      <c r="B178" s="2" t="s">
        <v>26</v>
      </c>
      <c r="D178" s="5" t="s">
        <v>464</v>
      </c>
      <c r="E178" s="3">
        <v>117500</v>
      </c>
      <c r="F178" s="58" t="s">
        <v>465</v>
      </c>
      <c r="G178" s="57" t="str">
        <f t="shared" si="2"/>
        <v>-</v>
      </c>
      <c r="H178" s="19"/>
      <c r="I178" s="19"/>
    </row>
    <row r="179" spans="1:9" s="1" customFormat="1" x14ac:dyDescent="0.2">
      <c r="A179" s="1" t="s">
        <v>25</v>
      </c>
      <c r="B179" s="2" t="s">
        <v>26</v>
      </c>
      <c r="D179" s="5" t="s">
        <v>464</v>
      </c>
      <c r="E179" s="3">
        <v>117500</v>
      </c>
      <c r="F179" s="58" t="s">
        <v>465</v>
      </c>
      <c r="G179" s="57" t="str">
        <f t="shared" si="2"/>
        <v>-</v>
      </c>
      <c r="H179" s="19"/>
      <c r="I179" s="19"/>
    </row>
    <row r="180" spans="1:9" s="1" customFormat="1" x14ac:dyDescent="0.2">
      <c r="A180" s="1" t="s">
        <v>25</v>
      </c>
      <c r="B180" s="2" t="s">
        <v>26</v>
      </c>
      <c r="D180" s="5" t="s">
        <v>464</v>
      </c>
      <c r="E180" s="3">
        <v>117500</v>
      </c>
      <c r="F180" s="58" t="s">
        <v>465</v>
      </c>
      <c r="G180" s="57" t="str">
        <f t="shared" si="2"/>
        <v>-</v>
      </c>
      <c r="H180" s="19"/>
      <c r="I180" s="19"/>
    </row>
    <row r="181" spans="1:9" s="1" customFormat="1" x14ac:dyDescent="0.2">
      <c r="A181" s="1" t="s">
        <v>25</v>
      </c>
      <c r="B181" s="2" t="s">
        <v>26</v>
      </c>
      <c r="D181" s="5" t="s">
        <v>464</v>
      </c>
      <c r="E181" s="3">
        <v>117500</v>
      </c>
      <c r="F181" s="58" t="s">
        <v>465</v>
      </c>
      <c r="G181" s="57" t="str">
        <f t="shared" si="2"/>
        <v>-</v>
      </c>
      <c r="H181" s="19"/>
      <c r="I181" s="19"/>
    </row>
    <row r="182" spans="1:9" s="1" customFormat="1" x14ac:dyDescent="0.2">
      <c r="A182" s="1" t="s">
        <v>25</v>
      </c>
      <c r="B182" s="2" t="s">
        <v>26</v>
      </c>
      <c r="D182" s="5" t="s">
        <v>464</v>
      </c>
      <c r="E182" s="58" t="s">
        <v>465</v>
      </c>
      <c r="F182" s="3">
        <v>122500</v>
      </c>
      <c r="G182" s="57" t="str">
        <f t="shared" si="2"/>
        <v>-</v>
      </c>
      <c r="H182" s="19"/>
      <c r="I182" s="19"/>
    </row>
    <row r="183" spans="1:9" s="1" customFormat="1" x14ac:dyDescent="0.2">
      <c r="A183" s="1" t="s">
        <v>25</v>
      </c>
      <c r="B183" s="2" t="s">
        <v>26</v>
      </c>
      <c r="D183" s="5" t="s">
        <v>464</v>
      </c>
      <c r="E183" s="3">
        <v>122500</v>
      </c>
      <c r="F183" s="58" t="s">
        <v>465</v>
      </c>
      <c r="G183" s="57" t="str">
        <f t="shared" si="2"/>
        <v>-</v>
      </c>
      <c r="H183" s="19"/>
      <c r="I183" s="19"/>
    </row>
    <row r="184" spans="1:9" s="1" customFormat="1" x14ac:dyDescent="0.2">
      <c r="A184" s="1" t="s">
        <v>25</v>
      </c>
      <c r="B184" s="2" t="s">
        <v>26</v>
      </c>
      <c r="D184" s="5" t="s">
        <v>464</v>
      </c>
      <c r="E184" s="3">
        <v>122500</v>
      </c>
      <c r="F184" s="58" t="s">
        <v>465</v>
      </c>
      <c r="G184" s="57" t="str">
        <f t="shared" si="2"/>
        <v>-</v>
      </c>
      <c r="H184" s="19"/>
      <c r="I184" s="19"/>
    </row>
    <row r="185" spans="1:9" s="1" customFormat="1" x14ac:dyDescent="0.2">
      <c r="A185" s="1" t="s">
        <v>25</v>
      </c>
      <c r="B185" s="2" t="s">
        <v>26</v>
      </c>
      <c r="D185" s="5" t="s">
        <v>464</v>
      </c>
      <c r="E185" s="3">
        <v>122500</v>
      </c>
      <c r="F185" s="58" t="s">
        <v>465</v>
      </c>
      <c r="G185" s="57" t="str">
        <f t="shared" si="2"/>
        <v>-</v>
      </c>
      <c r="H185" s="19"/>
      <c r="I185" s="19"/>
    </row>
    <row r="186" spans="1:9" s="1" customFormat="1" x14ac:dyDescent="0.2">
      <c r="A186" s="1" t="s">
        <v>25</v>
      </c>
      <c r="B186" s="2" t="s">
        <v>26</v>
      </c>
      <c r="D186" s="5" t="s">
        <v>464</v>
      </c>
      <c r="E186" s="3">
        <v>122500</v>
      </c>
      <c r="F186" s="58" t="s">
        <v>465</v>
      </c>
      <c r="G186" s="57" t="str">
        <f t="shared" si="2"/>
        <v>-</v>
      </c>
      <c r="H186" s="19"/>
      <c r="I186" s="19"/>
    </row>
    <row r="187" spans="1:9" s="1" customFormat="1" x14ac:dyDescent="0.2">
      <c r="A187" s="1" t="s">
        <v>25</v>
      </c>
      <c r="B187" s="2" t="s">
        <v>26</v>
      </c>
      <c r="D187" s="5" t="s">
        <v>464</v>
      </c>
      <c r="E187" s="58" t="s">
        <v>465</v>
      </c>
      <c r="F187" s="3">
        <v>127500</v>
      </c>
      <c r="G187" s="57" t="str">
        <f t="shared" si="2"/>
        <v>-</v>
      </c>
      <c r="H187" s="19"/>
      <c r="I187" s="19"/>
    </row>
    <row r="188" spans="1:9" s="1" customFormat="1" x14ac:dyDescent="0.2">
      <c r="A188" s="1" t="s">
        <v>25</v>
      </c>
      <c r="B188" s="2" t="s">
        <v>26</v>
      </c>
      <c r="D188" s="5" t="s">
        <v>464</v>
      </c>
      <c r="E188" s="58" t="s">
        <v>465</v>
      </c>
      <c r="F188" s="3">
        <v>127500</v>
      </c>
      <c r="G188" s="57" t="str">
        <f t="shared" si="2"/>
        <v>-</v>
      </c>
      <c r="H188" s="19"/>
      <c r="I188" s="19"/>
    </row>
    <row r="189" spans="1:9" s="1" customFormat="1" x14ac:dyDescent="0.2">
      <c r="A189" s="1" t="s">
        <v>25</v>
      </c>
      <c r="B189" s="2" t="s">
        <v>26</v>
      </c>
      <c r="D189" s="5" t="s">
        <v>464</v>
      </c>
      <c r="E189" s="3">
        <v>137500</v>
      </c>
      <c r="F189" s="58" t="s">
        <v>465</v>
      </c>
      <c r="G189" s="57" t="str">
        <f t="shared" si="2"/>
        <v>-</v>
      </c>
      <c r="H189" s="19"/>
      <c r="I189" s="19"/>
    </row>
    <row r="190" spans="1:9" s="1" customFormat="1" x14ac:dyDescent="0.2">
      <c r="A190" s="1" t="s">
        <v>25</v>
      </c>
      <c r="B190" s="2" t="s">
        <v>26</v>
      </c>
      <c r="D190" s="5" t="s">
        <v>464</v>
      </c>
      <c r="E190" s="3">
        <v>147500</v>
      </c>
      <c r="F190" s="58" t="s">
        <v>465</v>
      </c>
      <c r="G190" s="57" t="str">
        <f t="shared" si="2"/>
        <v>-</v>
      </c>
      <c r="H190" s="19"/>
      <c r="I190" s="19"/>
    </row>
    <row r="191" spans="1:9" s="1" customFormat="1" x14ac:dyDescent="0.2">
      <c r="A191" s="1" t="s">
        <v>25</v>
      </c>
      <c r="B191" s="2" t="s">
        <v>26</v>
      </c>
      <c r="D191" s="5" t="s">
        <v>464</v>
      </c>
      <c r="E191" s="3">
        <v>147500</v>
      </c>
      <c r="F191" s="58" t="s">
        <v>465</v>
      </c>
      <c r="G191" s="57" t="str">
        <f t="shared" si="2"/>
        <v>-</v>
      </c>
      <c r="H191" s="19"/>
      <c r="I191" s="19"/>
    </row>
    <row r="192" spans="1:9" s="1" customFormat="1" x14ac:dyDescent="0.2">
      <c r="A192" s="1" t="s">
        <v>25</v>
      </c>
      <c r="B192" s="2" t="s">
        <v>26</v>
      </c>
      <c r="D192" s="5" t="s">
        <v>464</v>
      </c>
      <c r="E192" s="58" t="s">
        <v>465</v>
      </c>
      <c r="F192" s="3">
        <v>147500</v>
      </c>
      <c r="G192" s="57" t="str">
        <f t="shared" si="2"/>
        <v>-</v>
      </c>
      <c r="H192" s="19"/>
      <c r="I192" s="19"/>
    </row>
    <row r="193" spans="1:10" x14ac:dyDescent="0.2">
      <c r="A193" s="1" t="s">
        <v>25</v>
      </c>
      <c r="B193" s="2" t="s">
        <v>26</v>
      </c>
      <c r="C193" s="1"/>
      <c r="D193" s="5" t="s">
        <v>464</v>
      </c>
      <c r="E193" s="58" t="s">
        <v>465</v>
      </c>
      <c r="F193" s="3">
        <v>147500</v>
      </c>
      <c r="G193" s="57" t="str">
        <f t="shared" si="2"/>
        <v>-</v>
      </c>
    </row>
    <row r="194" spans="1:10" x14ac:dyDescent="0.2">
      <c r="A194" s="1" t="s">
        <v>25</v>
      </c>
      <c r="B194" s="2" t="s">
        <v>26</v>
      </c>
      <c r="C194" s="1"/>
      <c r="D194" s="5" t="s">
        <v>464</v>
      </c>
      <c r="E194" s="3" t="s">
        <v>935</v>
      </c>
      <c r="F194" s="58" t="s">
        <v>465</v>
      </c>
      <c r="G194" s="57" t="str">
        <f t="shared" si="2"/>
        <v>-</v>
      </c>
    </row>
    <row r="195" spans="1:10" x14ac:dyDescent="0.2">
      <c r="A195" s="1" t="s">
        <v>25</v>
      </c>
      <c r="B195" s="2" t="s">
        <v>26</v>
      </c>
      <c r="C195" s="1"/>
      <c r="D195" s="5" t="s">
        <v>464</v>
      </c>
      <c r="E195" s="3" t="s">
        <v>935</v>
      </c>
      <c r="F195" s="58" t="s">
        <v>465</v>
      </c>
      <c r="G195" s="57" t="str">
        <f t="shared" ref="G195:G258" si="3">IF(ISERROR((F195-E195)/E195),"-",(F195-E195)/E195)</f>
        <v>-</v>
      </c>
    </row>
    <row r="196" spans="1:10" x14ac:dyDescent="0.2">
      <c r="A196" s="1" t="s">
        <v>25</v>
      </c>
      <c r="B196" s="2" t="s">
        <v>26</v>
      </c>
      <c r="C196" s="1"/>
      <c r="D196" s="5" t="s">
        <v>464</v>
      </c>
      <c r="E196" s="3" t="s">
        <v>935</v>
      </c>
      <c r="F196" s="58" t="s">
        <v>465</v>
      </c>
      <c r="G196" s="57" t="str">
        <f t="shared" si="3"/>
        <v>-</v>
      </c>
    </row>
    <row r="197" spans="1:10" x14ac:dyDescent="0.2">
      <c r="A197" s="1" t="s">
        <v>25</v>
      </c>
      <c r="B197" s="2" t="s">
        <v>26</v>
      </c>
      <c r="C197" s="1"/>
      <c r="D197" s="5" t="s">
        <v>464</v>
      </c>
      <c r="E197" s="3" t="s">
        <v>935</v>
      </c>
      <c r="F197" s="58" t="s">
        <v>465</v>
      </c>
      <c r="G197" s="57" t="str">
        <f t="shared" si="3"/>
        <v>-</v>
      </c>
    </row>
    <row r="198" spans="1:10" x14ac:dyDescent="0.2">
      <c r="A198" s="1" t="s">
        <v>25</v>
      </c>
      <c r="B198" s="2" t="s">
        <v>26</v>
      </c>
      <c r="C198" s="1"/>
      <c r="D198" s="5" t="s">
        <v>464</v>
      </c>
      <c r="E198" s="3" t="s">
        <v>935</v>
      </c>
      <c r="F198" s="58" t="s">
        <v>465</v>
      </c>
      <c r="G198" s="57" t="str">
        <f t="shared" si="3"/>
        <v>-</v>
      </c>
    </row>
    <row r="199" spans="1:10" ht="25.5" x14ac:dyDescent="0.2">
      <c r="A199" s="1" t="s">
        <v>28</v>
      </c>
      <c r="B199" s="2" t="s">
        <v>27</v>
      </c>
      <c r="C199" s="1"/>
      <c r="D199" s="5" t="s">
        <v>450</v>
      </c>
      <c r="E199" s="3">
        <v>161000</v>
      </c>
      <c r="F199" s="3">
        <v>167000</v>
      </c>
      <c r="G199" s="57">
        <f t="shared" si="3"/>
        <v>3.7267080745341616E-2</v>
      </c>
      <c r="J199" s="7" t="s">
        <v>4111</v>
      </c>
    </row>
    <row r="200" spans="1:10" ht="25.5" x14ac:dyDescent="0.2">
      <c r="A200" s="1" t="s">
        <v>28</v>
      </c>
      <c r="B200" s="2" t="s">
        <v>27</v>
      </c>
      <c r="C200" s="1"/>
      <c r="D200" s="5" t="s">
        <v>1725</v>
      </c>
      <c r="E200" s="3">
        <v>141000</v>
      </c>
      <c r="F200" s="3">
        <v>136000</v>
      </c>
      <c r="G200" s="57">
        <f t="shared" si="3"/>
        <v>-3.5460992907801421E-2</v>
      </c>
      <c r="J200" s="7" t="s">
        <v>4112</v>
      </c>
    </row>
    <row r="201" spans="1:10" ht="25.5" x14ac:dyDescent="0.2">
      <c r="A201" s="1" t="s">
        <v>28</v>
      </c>
      <c r="B201" s="2" t="s">
        <v>27</v>
      </c>
      <c r="C201" s="1"/>
      <c r="D201" s="5" t="s">
        <v>1726</v>
      </c>
      <c r="E201" s="3">
        <v>131000</v>
      </c>
      <c r="F201" s="3">
        <v>132000</v>
      </c>
      <c r="G201" s="57">
        <f t="shared" si="3"/>
        <v>7.6335877862595417E-3</v>
      </c>
      <c r="J201" s="7" t="s">
        <v>4113</v>
      </c>
    </row>
    <row r="202" spans="1:10" x14ac:dyDescent="0.2">
      <c r="A202" s="1" t="s">
        <v>28</v>
      </c>
      <c r="B202" s="2" t="s">
        <v>27</v>
      </c>
      <c r="C202" s="1"/>
      <c r="D202" s="5" t="s">
        <v>1727</v>
      </c>
      <c r="E202" s="3">
        <v>119000</v>
      </c>
      <c r="F202" s="3">
        <v>119000</v>
      </c>
      <c r="G202" s="57">
        <f t="shared" si="3"/>
        <v>0</v>
      </c>
      <c r="J202" s="7" t="s">
        <v>4114</v>
      </c>
    </row>
    <row r="203" spans="1:10" x14ac:dyDescent="0.2">
      <c r="A203" s="1" t="s">
        <v>28</v>
      </c>
      <c r="B203" s="2" t="s">
        <v>27</v>
      </c>
      <c r="C203" s="1"/>
      <c r="D203" s="5" t="s">
        <v>1728</v>
      </c>
      <c r="E203" s="3">
        <v>119000</v>
      </c>
      <c r="F203" s="3">
        <v>119000</v>
      </c>
      <c r="G203" s="57">
        <f t="shared" si="3"/>
        <v>0</v>
      </c>
      <c r="J203" s="7" t="s">
        <v>4114</v>
      </c>
    </row>
    <row r="204" spans="1:10" x14ac:dyDescent="0.2">
      <c r="A204" s="1" t="s">
        <v>28</v>
      </c>
      <c r="B204" s="2" t="s">
        <v>27</v>
      </c>
      <c r="C204" s="1"/>
      <c r="D204" s="5" t="s">
        <v>1729</v>
      </c>
      <c r="E204" s="3">
        <v>119000</v>
      </c>
      <c r="F204" s="3">
        <v>119000</v>
      </c>
      <c r="G204" s="57">
        <f t="shared" si="3"/>
        <v>0</v>
      </c>
      <c r="J204" s="7" t="s">
        <v>4114</v>
      </c>
    </row>
    <row r="205" spans="1:10" s="13" customFormat="1" x14ac:dyDescent="0.2">
      <c r="A205" s="1" t="s">
        <v>28</v>
      </c>
      <c r="B205" s="12" t="s">
        <v>27</v>
      </c>
      <c r="D205" s="7" t="s">
        <v>3695</v>
      </c>
      <c r="E205" s="6">
        <v>119000</v>
      </c>
      <c r="F205" s="6">
        <v>58000</v>
      </c>
      <c r="G205" s="57">
        <f t="shared" si="3"/>
        <v>-0.51260504201680668</v>
      </c>
      <c r="H205" s="21"/>
      <c r="I205" s="21"/>
      <c r="J205" s="7" t="s">
        <v>3696</v>
      </c>
    </row>
    <row r="206" spans="1:10" s="13" customFormat="1" x14ac:dyDescent="0.2">
      <c r="A206" s="1" t="s">
        <v>28</v>
      </c>
      <c r="B206" s="12" t="s">
        <v>27</v>
      </c>
      <c r="D206" s="7" t="s">
        <v>1730</v>
      </c>
      <c r="E206" s="6">
        <v>105000</v>
      </c>
      <c r="F206" s="6">
        <v>105000</v>
      </c>
      <c r="G206" s="57">
        <f t="shared" si="3"/>
        <v>0</v>
      </c>
      <c r="H206" s="21"/>
      <c r="I206" s="21"/>
      <c r="J206" s="7" t="s">
        <v>4115</v>
      </c>
    </row>
    <row r="207" spans="1:10" x14ac:dyDescent="0.2">
      <c r="A207" s="1" t="s">
        <v>6</v>
      </c>
      <c r="B207" s="2" t="s">
        <v>29</v>
      </c>
      <c r="C207" s="1"/>
      <c r="D207" s="5" t="s">
        <v>450</v>
      </c>
      <c r="E207" s="3">
        <v>110000</v>
      </c>
      <c r="F207" s="3">
        <v>111000</v>
      </c>
      <c r="G207" s="57">
        <f t="shared" si="3"/>
        <v>9.0909090909090905E-3</v>
      </c>
      <c r="J207" s="7" t="s">
        <v>4116</v>
      </c>
    </row>
    <row r="208" spans="1:10" ht="38.25" x14ac:dyDescent="0.2">
      <c r="A208" s="1" t="s">
        <v>20</v>
      </c>
      <c r="B208" s="2" t="s">
        <v>30</v>
      </c>
      <c r="C208" s="1" t="s">
        <v>1731</v>
      </c>
      <c r="D208" s="5" t="s">
        <v>450</v>
      </c>
      <c r="E208" s="3">
        <v>227968</v>
      </c>
      <c r="F208" s="3">
        <v>232820</v>
      </c>
      <c r="G208" s="57">
        <f t="shared" si="3"/>
        <v>2.1283688938798426E-2</v>
      </c>
      <c r="J208" s="7" t="s">
        <v>4117</v>
      </c>
    </row>
    <row r="209" spans="1:10" s="13" customFormat="1" ht="38.25" x14ac:dyDescent="0.2">
      <c r="A209" s="1" t="s">
        <v>20</v>
      </c>
      <c r="B209" s="12" t="s">
        <v>30</v>
      </c>
      <c r="D209" s="7" t="s">
        <v>529</v>
      </c>
      <c r="E209" s="6">
        <v>156581</v>
      </c>
      <c r="F209" s="6">
        <v>155462</v>
      </c>
      <c r="G209" s="57">
        <f t="shared" si="3"/>
        <v>-7.1464609371507401E-3</v>
      </c>
      <c r="H209" s="21"/>
      <c r="I209" s="21"/>
      <c r="J209" s="7" t="s">
        <v>4118</v>
      </c>
    </row>
    <row r="210" spans="1:10" s="13" customFormat="1" ht="38.25" x14ac:dyDescent="0.2">
      <c r="A210" s="1" t="s">
        <v>20</v>
      </c>
      <c r="B210" s="12" t="s">
        <v>30</v>
      </c>
      <c r="D210" s="7" t="s">
        <v>529</v>
      </c>
      <c r="E210" s="6">
        <v>155612</v>
      </c>
      <c r="F210" s="6">
        <v>167035</v>
      </c>
      <c r="G210" s="57">
        <f t="shared" si="3"/>
        <v>7.3406935197799658E-2</v>
      </c>
      <c r="H210" s="21"/>
      <c r="I210" s="21"/>
      <c r="J210" s="7" t="s">
        <v>4119</v>
      </c>
    </row>
    <row r="211" spans="1:10" s="13" customFormat="1" ht="25.5" x14ac:dyDescent="0.2">
      <c r="A211" s="1" t="s">
        <v>20</v>
      </c>
      <c r="B211" s="12" t="s">
        <v>30</v>
      </c>
      <c r="D211" s="7" t="s">
        <v>529</v>
      </c>
      <c r="E211" s="6">
        <v>9886</v>
      </c>
      <c r="F211" s="6">
        <v>124684</v>
      </c>
      <c r="G211" s="57">
        <f t="shared" si="3"/>
        <v>11.612178838761885</v>
      </c>
      <c r="H211" s="21"/>
      <c r="I211" s="21"/>
      <c r="J211" s="7" t="s">
        <v>4120</v>
      </c>
    </row>
    <row r="212" spans="1:10" s="13" customFormat="1" ht="38.25" x14ac:dyDescent="0.2">
      <c r="A212" s="1" t="s">
        <v>20</v>
      </c>
      <c r="B212" s="12" t="s">
        <v>30</v>
      </c>
      <c r="D212" s="7" t="s">
        <v>1732</v>
      </c>
      <c r="E212" s="6">
        <v>101322</v>
      </c>
      <c r="F212" s="6">
        <v>102918</v>
      </c>
      <c r="G212" s="57">
        <f t="shared" si="3"/>
        <v>1.575176171019127E-2</v>
      </c>
      <c r="H212" s="21"/>
      <c r="I212" s="21"/>
      <c r="J212" s="7" t="s">
        <v>4121</v>
      </c>
    </row>
    <row r="213" spans="1:10" s="13" customFormat="1" ht="38.25" x14ac:dyDescent="0.2">
      <c r="A213" s="1" t="s">
        <v>20</v>
      </c>
      <c r="B213" s="12" t="s">
        <v>30</v>
      </c>
      <c r="D213" s="7" t="s">
        <v>1449</v>
      </c>
      <c r="E213" s="6">
        <v>100302</v>
      </c>
      <c r="F213" s="6">
        <v>104170</v>
      </c>
      <c r="G213" s="57">
        <f t="shared" si="3"/>
        <v>3.856353811489302E-2</v>
      </c>
      <c r="H213" s="21"/>
      <c r="I213" s="21"/>
      <c r="J213" s="7" t="s">
        <v>4122</v>
      </c>
    </row>
    <row r="214" spans="1:10" ht="38.25" x14ac:dyDescent="0.2">
      <c r="A214" s="1" t="s">
        <v>20</v>
      </c>
      <c r="B214" s="2" t="s">
        <v>30</v>
      </c>
      <c r="C214" s="1"/>
      <c r="D214" s="5" t="s">
        <v>1733</v>
      </c>
      <c r="E214" s="3">
        <v>98114</v>
      </c>
      <c r="F214" s="3">
        <v>101030</v>
      </c>
      <c r="G214" s="57">
        <f t="shared" si="3"/>
        <v>2.9720529180341234E-2</v>
      </c>
      <c r="J214" s="7" t="s">
        <v>4123</v>
      </c>
    </row>
    <row r="215" spans="1:10" ht="25.5" x14ac:dyDescent="0.2">
      <c r="A215" s="1" t="s">
        <v>4</v>
      </c>
      <c r="B215" s="2" t="s">
        <v>31</v>
      </c>
      <c r="C215" s="1"/>
      <c r="D215" s="5" t="s">
        <v>450</v>
      </c>
      <c r="E215" s="3">
        <v>139470</v>
      </c>
      <c r="F215" s="3">
        <v>142574</v>
      </c>
      <c r="G215" s="57">
        <f t="shared" si="3"/>
        <v>2.2255682225568223E-2</v>
      </c>
      <c r="J215" s="7" t="s">
        <v>4124</v>
      </c>
    </row>
    <row r="216" spans="1:10" ht="38.25" x14ac:dyDescent="0.2">
      <c r="A216" s="1" t="s">
        <v>4</v>
      </c>
      <c r="B216" s="2" t="s">
        <v>31</v>
      </c>
      <c r="C216" s="1"/>
      <c r="D216" s="5" t="s">
        <v>468</v>
      </c>
      <c r="E216" s="3">
        <v>125214</v>
      </c>
      <c r="F216" s="3">
        <v>131276</v>
      </c>
      <c r="G216" s="57">
        <f t="shared" si="3"/>
        <v>4.8413116744134045E-2</v>
      </c>
      <c r="J216" s="7" t="s">
        <v>4125</v>
      </c>
    </row>
    <row r="217" spans="1:10" ht="25.5" x14ac:dyDescent="0.2">
      <c r="A217" s="1" t="s">
        <v>4</v>
      </c>
      <c r="B217" s="2" t="s">
        <v>31</v>
      </c>
      <c r="C217" s="1"/>
      <c r="D217" s="5" t="s">
        <v>1734</v>
      </c>
      <c r="E217" s="3">
        <v>112532</v>
      </c>
      <c r="F217" s="3">
        <v>112173</v>
      </c>
      <c r="G217" s="57">
        <f t="shared" si="3"/>
        <v>-3.1902036753989975E-3</v>
      </c>
      <c r="J217" s="7" t="s">
        <v>4126</v>
      </c>
    </row>
    <row r="218" spans="1:10" s="13" customFormat="1" ht="25.5" x14ac:dyDescent="0.2">
      <c r="A218" s="1" t="s">
        <v>4</v>
      </c>
      <c r="B218" s="2" t="s">
        <v>31</v>
      </c>
      <c r="D218" s="7" t="s">
        <v>4127</v>
      </c>
      <c r="E218" s="6">
        <v>113273</v>
      </c>
      <c r="F218" s="6" t="s">
        <v>465</v>
      </c>
      <c r="G218" s="57" t="str">
        <f t="shared" si="3"/>
        <v>-</v>
      </c>
      <c r="H218" s="21"/>
      <c r="I218" s="21"/>
      <c r="J218" s="7" t="s">
        <v>4128</v>
      </c>
    </row>
    <row r="219" spans="1:10" ht="25.5" x14ac:dyDescent="0.2">
      <c r="A219" s="1" t="s">
        <v>8</v>
      </c>
      <c r="B219" s="2" t="s">
        <v>32</v>
      </c>
      <c r="C219" s="1"/>
      <c r="D219" s="5" t="s">
        <v>450</v>
      </c>
      <c r="E219" s="3">
        <v>137152</v>
      </c>
      <c r="F219" s="3">
        <v>137476</v>
      </c>
      <c r="G219" s="57">
        <f t="shared" si="3"/>
        <v>2.3623425104992999E-3</v>
      </c>
      <c r="J219" s="7" t="s">
        <v>4129</v>
      </c>
    </row>
    <row r="220" spans="1:10" ht="63.75" x14ac:dyDescent="0.2">
      <c r="A220" s="1" t="s">
        <v>8</v>
      </c>
      <c r="B220" s="2" t="s">
        <v>32</v>
      </c>
      <c r="C220" s="1"/>
      <c r="D220" s="5" t="s">
        <v>463</v>
      </c>
      <c r="E220" s="3">
        <v>102352</v>
      </c>
      <c r="F220" s="3">
        <v>106159</v>
      </c>
      <c r="G220" s="57">
        <f t="shared" si="3"/>
        <v>3.7195169610755044E-2</v>
      </c>
      <c r="J220" s="7" t="s">
        <v>4132</v>
      </c>
    </row>
    <row r="221" spans="1:10" ht="25.5" x14ac:dyDescent="0.2">
      <c r="A221" s="1" t="s">
        <v>8</v>
      </c>
      <c r="B221" s="2" t="s">
        <v>32</v>
      </c>
      <c r="C221" s="1"/>
      <c r="D221" s="5" t="s">
        <v>1735</v>
      </c>
      <c r="E221" s="3">
        <v>102226</v>
      </c>
      <c r="F221" s="3">
        <v>102970</v>
      </c>
      <c r="G221" s="57">
        <f t="shared" si="3"/>
        <v>7.277991900299337E-3</v>
      </c>
      <c r="J221" s="7" t="s">
        <v>4130</v>
      </c>
    </row>
    <row r="222" spans="1:10" ht="25.5" x14ac:dyDescent="0.2">
      <c r="A222" s="1" t="s">
        <v>8</v>
      </c>
      <c r="B222" s="2" t="s">
        <v>32</v>
      </c>
      <c r="C222" s="1"/>
      <c r="D222" s="5" t="s">
        <v>855</v>
      </c>
      <c r="E222" s="3">
        <v>96419</v>
      </c>
      <c r="F222" s="3">
        <v>100017</v>
      </c>
      <c r="G222" s="57">
        <f t="shared" si="3"/>
        <v>3.7316296580549475E-2</v>
      </c>
      <c r="J222" s="7" t="s">
        <v>4131</v>
      </c>
    </row>
    <row r="223" spans="1:10" s="13" customFormat="1" ht="25.5" x14ac:dyDescent="0.2">
      <c r="A223" s="13" t="s">
        <v>34</v>
      </c>
      <c r="B223" s="12" t="s">
        <v>33</v>
      </c>
      <c r="C223" s="13" t="s">
        <v>1736</v>
      </c>
      <c r="D223" s="7" t="s">
        <v>450</v>
      </c>
      <c r="E223" s="6">
        <v>211859</v>
      </c>
      <c r="F223" s="6">
        <v>212186</v>
      </c>
      <c r="G223" s="57">
        <f t="shared" si="3"/>
        <v>1.5434793895940224E-3</v>
      </c>
      <c r="H223" s="21"/>
      <c r="I223" s="21"/>
      <c r="J223" s="7" t="s">
        <v>4133</v>
      </c>
    </row>
    <row r="224" spans="1:10" s="13" customFormat="1" ht="25.5" x14ac:dyDescent="0.2">
      <c r="A224" s="13" t="s">
        <v>34</v>
      </c>
      <c r="B224" s="12" t="s">
        <v>33</v>
      </c>
      <c r="D224" s="7" t="s">
        <v>1737</v>
      </c>
      <c r="E224" s="6">
        <v>155102</v>
      </c>
      <c r="F224" s="6">
        <v>155526</v>
      </c>
      <c r="G224" s="57">
        <f t="shared" si="3"/>
        <v>2.733684929917087E-3</v>
      </c>
      <c r="H224" s="21"/>
      <c r="I224" s="21"/>
      <c r="J224" s="7" t="s">
        <v>4601</v>
      </c>
    </row>
    <row r="225" spans="1:10" s="13" customFormat="1" ht="25.5" x14ac:dyDescent="0.2">
      <c r="A225" s="13" t="s">
        <v>34</v>
      </c>
      <c r="B225" s="12" t="s">
        <v>33</v>
      </c>
      <c r="D225" s="7" t="s">
        <v>1738</v>
      </c>
      <c r="E225" s="6">
        <v>134505</v>
      </c>
      <c r="F225" s="6">
        <v>134041</v>
      </c>
      <c r="G225" s="57">
        <f t="shared" si="3"/>
        <v>-3.4496858852830748E-3</v>
      </c>
      <c r="H225" s="21"/>
      <c r="I225" s="21"/>
      <c r="J225" s="7" t="s">
        <v>4134</v>
      </c>
    </row>
    <row r="226" spans="1:10" s="13" customFormat="1" ht="25.5" x14ac:dyDescent="0.2">
      <c r="A226" s="13" t="s">
        <v>34</v>
      </c>
      <c r="B226" s="12" t="s">
        <v>33</v>
      </c>
      <c r="D226" s="7" t="s">
        <v>1739</v>
      </c>
      <c r="E226" s="6">
        <v>136378</v>
      </c>
      <c r="F226" s="6">
        <v>135398</v>
      </c>
      <c r="G226" s="57">
        <f t="shared" si="3"/>
        <v>-7.1859097508395779E-3</v>
      </c>
      <c r="H226" s="21"/>
      <c r="I226" s="21"/>
      <c r="J226" s="7" t="s">
        <v>4135</v>
      </c>
    </row>
    <row r="227" spans="1:10" s="13" customFormat="1" ht="25.5" x14ac:dyDescent="0.2">
      <c r="A227" s="13" t="s">
        <v>34</v>
      </c>
      <c r="B227" s="12" t="s">
        <v>33</v>
      </c>
      <c r="D227" s="7" t="s">
        <v>1740</v>
      </c>
      <c r="E227" s="6">
        <v>115204</v>
      </c>
      <c r="F227" s="6">
        <v>115261</v>
      </c>
      <c r="G227" s="57">
        <f t="shared" si="3"/>
        <v>4.9477448699697922E-4</v>
      </c>
      <c r="H227" s="21"/>
      <c r="I227" s="21"/>
      <c r="J227" s="7" t="s">
        <v>4136</v>
      </c>
    </row>
    <row r="228" spans="1:10" s="13" customFormat="1" ht="25.5" x14ac:dyDescent="0.2">
      <c r="A228" s="13" t="s">
        <v>34</v>
      </c>
      <c r="B228" s="12" t="s">
        <v>33</v>
      </c>
      <c r="D228" s="7" t="s">
        <v>1741</v>
      </c>
      <c r="E228" s="6">
        <v>102498</v>
      </c>
      <c r="F228" s="6">
        <v>102564</v>
      </c>
      <c r="G228" s="57">
        <f t="shared" si="3"/>
        <v>6.43915003219575E-4</v>
      </c>
      <c r="H228" s="21"/>
      <c r="I228" s="21"/>
      <c r="J228" s="7" t="s">
        <v>4137</v>
      </c>
    </row>
    <row r="229" spans="1:10" s="13" customFormat="1" ht="38.25" x14ac:dyDescent="0.2">
      <c r="A229" s="13" t="s">
        <v>34</v>
      </c>
      <c r="B229" s="12" t="s">
        <v>33</v>
      </c>
      <c r="D229" s="7" t="s">
        <v>1742</v>
      </c>
      <c r="E229" s="6">
        <v>48841</v>
      </c>
      <c r="F229" s="6">
        <v>118408</v>
      </c>
      <c r="G229" s="57">
        <f t="shared" si="3"/>
        <v>1.4243565856554943</v>
      </c>
      <c r="H229" s="21"/>
      <c r="I229" s="21"/>
      <c r="J229" s="7" t="s">
        <v>4138</v>
      </c>
    </row>
    <row r="230" spans="1:10" x14ac:dyDescent="0.2">
      <c r="A230" s="13" t="s">
        <v>34</v>
      </c>
      <c r="B230" s="2" t="s">
        <v>33</v>
      </c>
      <c r="C230" s="1"/>
      <c r="D230" s="5" t="s">
        <v>464</v>
      </c>
      <c r="G230" s="57" t="str">
        <f t="shared" si="3"/>
        <v>-</v>
      </c>
      <c r="H230" s="19" t="s">
        <v>465</v>
      </c>
      <c r="I230" s="19">
        <v>92500</v>
      </c>
    </row>
    <row r="231" spans="1:10" x14ac:dyDescent="0.2">
      <c r="A231" s="13" t="s">
        <v>34</v>
      </c>
      <c r="B231" s="2" t="s">
        <v>33</v>
      </c>
      <c r="C231" s="1"/>
      <c r="D231" s="5" t="s">
        <v>464</v>
      </c>
      <c r="G231" s="57" t="str">
        <f t="shared" si="3"/>
        <v>-</v>
      </c>
      <c r="H231" s="19" t="s">
        <v>465</v>
      </c>
      <c r="I231" s="19">
        <v>97500</v>
      </c>
    </row>
    <row r="232" spans="1:10" x14ac:dyDescent="0.2">
      <c r="A232" s="13" t="s">
        <v>34</v>
      </c>
      <c r="B232" s="2" t="s">
        <v>33</v>
      </c>
      <c r="C232" s="1"/>
      <c r="D232" s="5" t="s">
        <v>464</v>
      </c>
      <c r="G232" s="57" t="str">
        <f t="shared" si="3"/>
        <v>-</v>
      </c>
      <c r="H232" s="19" t="s">
        <v>465</v>
      </c>
      <c r="I232" s="19">
        <v>97500</v>
      </c>
    </row>
    <row r="233" spans="1:10" x14ac:dyDescent="0.2">
      <c r="A233" s="13" t="s">
        <v>34</v>
      </c>
      <c r="B233" s="2" t="s">
        <v>33</v>
      </c>
      <c r="C233" s="1"/>
      <c r="D233" s="5" t="s">
        <v>464</v>
      </c>
      <c r="G233" s="57" t="str">
        <f t="shared" si="3"/>
        <v>-</v>
      </c>
      <c r="H233" s="19" t="s">
        <v>465</v>
      </c>
      <c r="I233" s="19">
        <v>97500</v>
      </c>
    </row>
    <row r="234" spans="1:10" x14ac:dyDescent="0.2">
      <c r="A234" s="13" t="s">
        <v>34</v>
      </c>
      <c r="B234" s="2" t="s">
        <v>33</v>
      </c>
      <c r="C234" s="1"/>
      <c r="D234" s="5" t="s">
        <v>464</v>
      </c>
      <c r="G234" s="57" t="str">
        <f t="shared" si="3"/>
        <v>-</v>
      </c>
      <c r="H234" s="19" t="s">
        <v>465</v>
      </c>
      <c r="I234" s="19">
        <v>97500</v>
      </c>
    </row>
    <row r="235" spans="1:10" x14ac:dyDescent="0.2">
      <c r="A235" s="13" t="s">
        <v>34</v>
      </c>
      <c r="B235" s="2" t="s">
        <v>33</v>
      </c>
      <c r="C235" s="1"/>
      <c r="D235" s="5" t="s">
        <v>464</v>
      </c>
      <c r="G235" s="57" t="str">
        <f t="shared" si="3"/>
        <v>-</v>
      </c>
      <c r="H235" s="19" t="s">
        <v>465</v>
      </c>
      <c r="I235" s="19">
        <v>97500</v>
      </c>
    </row>
    <row r="236" spans="1:10" x14ac:dyDescent="0.2">
      <c r="A236" s="13" t="s">
        <v>34</v>
      </c>
      <c r="B236" s="2" t="s">
        <v>33</v>
      </c>
      <c r="C236" s="1"/>
      <c r="D236" s="5" t="s">
        <v>464</v>
      </c>
      <c r="G236" s="57" t="str">
        <f t="shared" si="3"/>
        <v>-</v>
      </c>
      <c r="H236" s="19">
        <v>97500</v>
      </c>
      <c r="I236" s="19" t="s">
        <v>465</v>
      </c>
    </row>
    <row r="237" spans="1:10" x14ac:dyDescent="0.2">
      <c r="A237" s="13" t="s">
        <v>34</v>
      </c>
      <c r="B237" s="2" t="s">
        <v>33</v>
      </c>
      <c r="C237" s="1"/>
      <c r="D237" s="5" t="s">
        <v>464</v>
      </c>
      <c r="G237" s="57" t="str">
        <f t="shared" si="3"/>
        <v>-</v>
      </c>
      <c r="H237" s="19">
        <v>97500</v>
      </c>
      <c r="I237" s="19" t="s">
        <v>465</v>
      </c>
    </row>
    <row r="238" spans="1:10" x14ac:dyDescent="0.2">
      <c r="A238" s="13" t="s">
        <v>34</v>
      </c>
      <c r="B238" s="2" t="s">
        <v>33</v>
      </c>
      <c r="C238" s="1"/>
      <c r="D238" s="5" t="s">
        <v>464</v>
      </c>
      <c r="G238" s="57" t="str">
        <f t="shared" si="3"/>
        <v>-</v>
      </c>
      <c r="H238" s="19">
        <v>97500</v>
      </c>
      <c r="I238" s="19" t="s">
        <v>465</v>
      </c>
    </row>
    <row r="239" spans="1:10" x14ac:dyDescent="0.2">
      <c r="A239" s="13" t="s">
        <v>34</v>
      </c>
      <c r="B239" s="2" t="s">
        <v>33</v>
      </c>
      <c r="C239" s="1"/>
      <c r="D239" s="5" t="s">
        <v>464</v>
      </c>
      <c r="E239" s="3">
        <v>132500</v>
      </c>
      <c r="F239" s="3" t="s">
        <v>465</v>
      </c>
      <c r="G239" s="57" t="str">
        <f t="shared" si="3"/>
        <v>-</v>
      </c>
    </row>
    <row r="240" spans="1:10" x14ac:dyDescent="0.2">
      <c r="A240" s="1" t="s">
        <v>20</v>
      </c>
      <c r="B240" s="2" t="s">
        <v>35</v>
      </c>
      <c r="C240" s="1" t="s">
        <v>1743</v>
      </c>
      <c r="D240" s="5" t="s">
        <v>450</v>
      </c>
      <c r="E240" s="3">
        <v>175145</v>
      </c>
      <c r="F240" s="3">
        <v>202470</v>
      </c>
      <c r="G240" s="57">
        <f t="shared" si="3"/>
        <v>0.15601358874075766</v>
      </c>
      <c r="J240" s="5" t="s">
        <v>1744</v>
      </c>
    </row>
    <row r="241" spans="1:10" ht="25.5" x14ac:dyDescent="0.2">
      <c r="A241" s="1" t="s">
        <v>20</v>
      </c>
      <c r="B241" s="2" t="s">
        <v>35</v>
      </c>
      <c r="C241" s="1"/>
      <c r="D241" s="5" t="s">
        <v>4602</v>
      </c>
      <c r="E241" s="3">
        <v>139854</v>
      </c>
      <c r="F241" s="3">
        <v>156813</v>
      </c>
      <c r="G241" s="57">
        <f t="shared" si="3"/>
        <v>0.12126217340941267</v>
      </c>
      <c r="J241" s="5" t="s">
        <v>1745</v>
      </c>
    </row>
    <row r="242" spans="1:10" ht="25.5" x14ac:dyDescent="0.2">
      <c r="A242" s="1" t="s">
        <v>20</v>
      </c>
      <c r="B242" s="2" t="s">
        <v>35</v>
      </c>
      <c r="C242" s="1"/>
      <c r="D242" s="5" t="s">
        <v>1746</v>
      </c>
      <c r="E242" s="3">
        <v>138849</v>
      </c>
      <c r="F242" s="3">
        <v>156800</v>
      </c>
      <c r="G242" s="57">
        <f t="shared" si="3"/>
        <v>0.12928433045970802</v>
      </c>
      <c r="J242" s="5" t="s">
        <v>1747</v>
      </c>
    </row>
    <row r="243" spans="1:10" ht="25.5" x14ac:dyDescent="0.2">
      <c r="A243" s="1" t="s">
        <v>20</v>
      </c>
      <c r="B243" s="2" t="s">
        <v>35</v>
      </c>
      <c r="C243" s="1"/>
      <c r="D243" s="5" t="s">
        <v>825</v>
      </c>
      <c r="E243" s="3">
        <v>128591</v>
      </c>
      <c r="F243" s="3">
        <v>171365</v>
      </c>
      <c r="G243" s="57">
        <f t="shared" si="3"/>
        <v>0.33263603207067366</v>
      </c>
      <c r="J243" s="5" t="s">
        <v>1748</v>
      </c>
    </row>
    <row r="244" spans="1:10" ht="25.5" x14ac:dyDescent="0.2">
      <c r="A244" s="1" t="s">
        <v>20</v>
      </c>
      <c r="B244" s="2" t="s">
        <v>35</v>
      </c>
      <c r="C244" s="1"/>
      <c r="D244" s="5" t="s">
        <v>938</v>
      </c>
      <c r="E244" s="3">
        <v>128734</v>
      </c>
      <c r="F244" s="3">
        <v>147066</v>
      </c>
      <c r="G244" s="57">
        <f t="shared" si="3"/>
        <v>0.14240216259884725</v>
      </c>
      <c r="J244" s="5" t="s">
        <v>1749</v>
      </c>
    </row>
    <row r="245" spans="1:10" ht="25.5" x14ac:dyDescent="0.2">
      <c r="A245" s="1" t="s">
        <v>20</v>
      </c>
      <c r="B245" s="2" t="s">
        <v>35</v>
      </c>
      <c r="C245" s="1"/>
      <c r="D245" s="5" t="s">
        <v>1750</v>
      </c>
      <c r="E245" s="3">
        <v>95502</v>
      </c>
      <c r="F245" s="3">
        <v>103276</v>
      </c>
      <c r="G245" s="57">
        <f t="shared" si="3"/>
        <v>8.1401436619128395E-2</v>
      </c>
      <c r="J245" s="5" t="s">
        <v>1751</v>
      </c>
    </row>
    <row r="246" spans="1:10" ht="25.5" x14ac:dyDescent="0.2">
      <c r="A246" s="1" t="s">
        <v>20</v>
      </c>
      <c r="B246" s="2" t="s">
        <v>35</v>
      </c>
      <c r="C246" s="1"/>
      <c r="D246" s="5" t="s">
        <v>1752</v>
      </c>
      <c r="E246" s="3">
        <v>93301</v>
      </c>
      <c r="F246" s="3">
        <v>104083</v>
      </c>
      <c r="G246" s="57">
        <f t="shared" si="3"/>
        <v>0.11556146236374744</v>
      </c>
      <c r="J246" s="5" t="s">
        <v>1753</v>
      </c>
    </row>
    <row r="247" spans="1:10" ht="25.5" x14ac:dyDescent="0.2">
      <c r="A247" s="1" t="s">
        <v>20</v>
      </c>
      <c r="B247" s="2" t="s">
        <v>35</v>
      </c>
      <c r="C247" s="1"/>
      <c r="D247" s="5" t="s">
        <v>1754</v>
      </c>
      <c r="E247" s="3">
        <v>90719</v>
      </c>
      <c r="F247" s="3">
        <v>112522</v>
      </c>
      <c r="G247" s="57">
        <f t="shared" si="3"/>
        <v>0.24033554161752224</v>
      </c>
      <c r="J247" s="5" t="s">
        <v>4139</v>
      </c>
    </row>
    <row r="248" spans="1:10" x14ac:dyDescent="0.2">
      <c r="A248" s="1" t="s">
        <v>20</v>
      </c>
      <c r="B248" s="2" t="s">
        <v>35</v>
      </c>
      <c r="C248" s="1"/>
      <c r="D248" s="5" t="s">
        <v>464</v>
      </c>
      <c r="G248" s="57" t="str">
        <f t="shared" si="3"/>
        <v>-</v>
      </c>
      <c r="H248" s="19">
        <v>92500</v>
      </c>
      <c r="I248" s="19" t="s">
        <v>465</v>
      </c>
    </row>
    <row r="249" spans="1:10" x14ac:dyDescent="0.2">
      <c r="A249" s="1" t="s">
        <v>20</v>
      </c>
      <c r="B249" s="2" t="s">
        <v>35</v>
      </c>
      <c r="C249" s="1"/>
      <c r="D249" s="5" t="s">
        <v>464</v>
      </c>
      <c r="G249" s="57" t="str">
        <f t="shared" si="3"/>
        <v>-</v>
      </c>
      <c r="H249" s="19">
        <v>92500</v>
      </c>
      <c r="I249" s="19" t="s">
        <v>465</v>
      </c>
    </row>
    <row r="250" spans="1:10" x14ac:dyDescent="0.2">
      <c r="A250" s="1" t="s">
        <v>20</v>
      </c>
      <c r="B250" s="2" t="s">
        <v>35</v>
      </c>
      <c r="C250" s="1"/>
      <c r="D250" s="5" t="s">
        <v>464</v>
      </c>
      <c r="G250" s="57" t="str">
        <f t="shared" si="3"/>
        <v>-</v>
      </c>
      <c r="H250" s="19">
        <v>92500</v>
      </c>
      <c r="I250" s="19" t="s">
        <v>465</v>
      </c>
    </row>
    <row r="251" spans="1:10" x14ac:dyDescent="0.2">
      <c r="A251" s="1" t="s">
        <v>20</v>
      </c>
      <c r="B251" s="2" t="s">
        <v>35</v>
      </c>
      <c r="C251" s="1"/>
      <c r="D251" s="5" t="s">
        <v>464</v>
      </c>
      <c r="G251" s="57" t="str">
        <f t="shared" si="3"/>
        <v>-</v>
      </c>
      <c r="H251" s="19">
        <v>92500</v>
      </c>
      <c r="I251" s="19" t="s">
        <v>465</v>
      </c>
    </row>
    <row r="252" spans="1:10" x14ac:dyDescent="0.2">
      <c r="A252" s="1" t="s">
        <v>20</v>
      </c>
      <c r="B252" s="2" t="s">
        <v>35</v>
      </c>
      <c r="C252" s="1"/>
      <c r="D252" s="5" t="s">
        <v>464</v>
      </c>
      <c r="G252" s="57" t="str">
        <f t="shared" si="3"/>
        <v>-</v>
      </c>
      <c r="H252" s="19">
        <v>92500</v>
      </c>
      <c r="I252" s="19" t="s">
        <v>465</v>
      </c>
    </row>
    <row r="253" spans="1:10" x14ac:dyDescent="0.2">
      <c r="A253" s="1" t="s">
        <v>20</v>
      </c>
      <c r="B253" s="2" t="s">
        <v>35</v>
      </c>
      <c r="C253" s="1"/>
      <c r="D253" s="5" t="s">
        <v>464</v>
      </c>
      <c r="G253" s="57" t="str">
        <f t="shared" si="3"/>
        <v>-</v>
      </c>
      <c r="H253" s="19" t="s">
        <v>465</v>
      </c>
      <c r="I253" s="19">
        <v>92500</v>
      </c>
    </row>
    <row r="254" spans="1:10" x14ac:dyDescent="0.2">
      <c r="A254" s="1" t="s">
        <v>20</v>
      </c>
      <c r="B254" s="2" t="s">
        <v>35</v>
      </c>
      <c r="C254" s="1"/>
      <c r="D254" s="5" t="s">
        <v>464</v>
      </c>
      <c r="G254" s="57" t="str">
        <f t="shared" si="3"/>
        <v>-</v>
      </c>
      <c r="H254" s="19">
        <v>97500</v>
      </c>
      <c r="I254" s="19" t="s">
        <v>465</v>
      </c>
    </row>
    <row r="255" spans="1:10" x14ac:dyDescent="0.2">
      <c r="A255" s="1" t="s">
        <v>20</v>
      </c>
      <c r="B255" s="2" t="s">
        <v>35</v>
      </c>
      <c r="C255" s="1"/>
      <c r="D255" s="5" t="s">
        <v>464</v>
      </c>
      <c r="G255" s="57" t="str">
        <f t="shared" si="3"/>
        <v>-</v>
      </c>
      <c r="H255" s="19" t="s">
        <v>465</v>
      </c>
      <c r="I255" s="19">
        <v>97500</v>
      </c>
    </row>
    <row r="256" spans="1:10" x14ac:dyDescent="0.2">
      <c r="A256" s="1" t="s">
        <v>20</v>
      </c>
      <c r="B256" s="2" t="s">
        <v>35</v>
      </c>
      <c r="C256" s="1"/>
      <c r="D256" s="5" t="s">
        <v>464</v>
      </c>
      <c r="G256" s="57" t="str">
        <f t="shared" si="3"/>
        <v>-</v>
      </c>
      <c r="H256" s="19" t="s">
        <v>465</v>
      </c>
      <c r="I256" s="19">
        <v>97500</v>
      </c>
    </row>
    <row r="257" spans="1:9" s="1" customFormat="1" x14ac:dyDescent="0.2">
      <c r="A257" s="1" t="s">
        <v>20</v>
      </c>
      <c r="B257" s="2" t="s">
        <v>35</v>
      </c>
      <c r="D257" s="5" t="s">
        <v>464</v>
      </c>
      <c r="E257" s="3" t="s">
        <v>465</v>
      </c>
      <c r="F257" s="3">
        <v>102500</v>
      </c>
      <c r="G257" s="57" t="str">
        <f t="shared" si="3"/>
        <v>-</v>
      </c>
      <c r="H257" s="19"/>
      <c r="I257" s="19"/>
    </row>
    <row r="258" spans="1:9" s="1" customFormat="1" x14ac:dyDescent="0.2">
      <c r="A258" s="1" t="s">
        <v>20</v>
      </c>
      <c r="B258" s="2" t="s">
        <v>35</v>
      </c>
      <c r="D258" s="5" t="s">
        <v>464</v>
      </c>
      <c r="E258" s="3" t="s">
        <v>465</v>
      </c>
      <c r="F258" s="3">
        <v>107500</v>
      </c>
      <c r="G258" s="57" t="str">
        <f t="shared" si="3"/>
        <v>-</v>
      </c>
      <c r="H258" s="19"/>
      <c r="I258" s="19"/>
    </row>
    <row r="259" spans="1:9" s="1" customFormat="1" x14ac:dyDescent="0.2">
      <c r="A259" s="1" t="s">
        <v>20</v>
      </c>
      <c r="B259" s="2" t="s">
        <v>35</v>
      </c>
      <c r="D259" s="5" t="s">
        <v>464</v>
      </c>
      <c r="E259" s="3">
        <v>122500</v>
      </c>
      <c r="F259" s="3" t="s">
        <v>465</v>
      </c>
      <c r="G259" s="57" t="str">
        <f t="shared" ref="G259:G322" si="4">IF(ISERROR((F259-E259)/E259),"-",(F259-E259)/E259)</f>
        <v>-</v>
      </c>
      <c r="H259" s="19"/>
      <c r="I259" s="19"/>
    </row>
    <row r="260" spans="1:9" s="1" customFormat="1" x14ac:dyDescent="0.2">
      <c r="A260" s="1" t="s">
        <v>20</v>
      </c>
      <c r="B260" s="2" t="s">
        <v>35</v>
      </c>
      <c r="D260" s="5" t="s">
        <v>464</v>
      </c>
      <c r="E260" s="3">
        <v>127500</v>
      </c>
      <c r="F260" s="3" t="s">
        <v>465</v>
      </c>
      <c r="G260" s="57" t="str">
        <f t="shared" si="4"/>
        <v>-</v>
      </c>
      <c r="H260" s="19"/>
      <c r="I260" s="19"/>
    </row>
    <row r="261" spans="1:9" s="1" customFormat="1" x14ac:dyDescent="0.2">
      <c r="A261" s="1" t="s">
        <v>20</v>
      </c>
      <c r="B261" s="2" t="s">
        <v>35</v>
      </c>
      <c r="D261" s="5" t="s">
        <v>464</v>
      </c>
      <c r="E261" s="3">
        <v>132500</v>
      </c>
      <c r="F261" s="3" t="s">
        <v>465</v>
      </c>
      <c r="G261" s="57" t="str">
        <f t="shared" si="4"/>
        <v>-</v>
      </c>
      <c r="H261" s="19"/>
      <c r="I261" s="19"/>
    </row>
    <row r="262" spans="1:9" s="1" customFormat="1" x14ac:dyDescent="0.2">
      <c r="A262" s="1" t="s">
        <v>20</v>
      </c>
      <c r="B262" s="2" t="s">
        <v>35</v>
      </c>
      <c r="D262" s="5" t="s">
        <v>464</v>
      </c>
      <c r="E262" s="3">
        <v>137500</v>
      </c>
      <c r="F262" s="3" t="s">
        <v>465</v>
      </c>
      <c r="G262" s="57" t="str">
        <f t="shared" si="4"/>
        <v>-</v>
      </c>
      <c r="H262" s="19"/>
      <c r="I262" s="19"/>
    </row>
    <row r="263" spans="1:9" s="1" customFormat="1" x14ac:dyDescent="0.2">
      <c r="A263" s="1" t="s">
        <v>20</v>
      </c>
      <c r="B263" s="2" t="s">
        <v>35</v>
      </c>
      <c r="D263" s="5" t="s">
        <v>464</v>
      </c>
      <c r="E263" s="3" t="s">
        <v>465</v>
      </c>
      <c r="F263" s="3">
        <v>142500</v>
      </c>
      <c r="G263" s="57" t="str">
        <f t="shared" si="4"/>
        <v>-</v>
      </c>
      <c r="H263" s="19"/>
      <c r="I263" s="19"/>
    </row>
    <row r="264" spans="1:9" s="1" customFormat="1" x14ac:dyDescent="0.2">
      <c r="A264" s="1" t="s">
        <v>20</v>
      </c>
      <c r="B264" s="2" t="s">
        <v>35</v>
      </c>
      <c r="D264" s="5" t="s">
        <v>464</v>
      </c>
      <c r="E264" s="3">
        <v>217500</v>
      </c>
      <c r="F264" s="3" t="s">
        <v>465</v>
      </c>
      <c r="G264" s="57" t="str">
        <f t="shared" si="4"/>
        <v>-</v>
      </c>
      <c r="H264" s="19"/>
      <c r="I264" s="19"/>
    </row>
    <row r="265" spans="1:9" s="1" customFormat="1" x14ac:dyDescent="0.2">
      <c r="A265" s="1" t="s">
        <v>20</v>
      </c>
      <c r="B265" s="2" t="s">
        <v>35</v>
      </c>
      <c r="D265" s="5" t="s">
        <v>464</v>
      </c>
      <c r="E265" s="3">
        <v>245000</v>
      </c>
      <c r="F265" s="3" t="s">
        <v>465</v>
      </c>
      <c r="G265" s="57" t="str">
        <f t="shared" si="4"/>
        <v>-</v>
      </c>
      <c r="H265" s="19"/>
      <c r="I265" s="19"/>
    </row>
    <row r="266" spans="1:9" s="1" customFormat="1" x14ac:dyDescent="0.2">
      <c r="A266" s="1" t="s">
        <v>20</v>
      </c>
      <c r="B266" s="2" t="s">
        <v>35</v>
      </c>
      <c r="D266" s="5" t="s">
        <v>464</v>
      </c>
      <c r="E266" s="3">
        <v>407500</v>
      </c>
      <c r="F266" s="3" t="s">
        <v>465</v>
      </c>
      <c r="G266" s="57" t="str">
        <f t="shared" si="4"/>
        <v>-</v>
      </c>
      <c r="H266" s="19"/>
      <c r="I266" s="19"/>
    </row>
    <row r="267" spans="1:9" s="1" customFormat="1" x14ac:dyDescent="0.2">
      <c r="A267" s="1" t="s">
        <v>11</v>
      </c>
      <c r="B267" s="12" t="s">
        <v>36</v>
      </c>
      <c r="D267" s="5" t="s">
        <v>464</v>
      </c>
      <c r="E267" s="3"/>
      <c r="F267" s="3"/>
      <c r="G267" s="57" t="str">
        <f t="shared" si="4"/>
        <v>-</v>
      </c>
      <c r="H267" s="19">
        <v>95000</v>
      </c>
      <c r="I267" s="19" t="s">
        <v>465</v>
      </c>
    </row>
    <row r="268" spans="1:9" s="1" customFormat="1" x14ac:dyDescent="0.2">
      <c r="A268" s="1" t="s">
        <v>11</v>
      </c>
      <c r="B268" s="12" t="s">
        <v>36</v>
      </c>
      <c r="D268" s="5" t="s">
        <v>464</v>
      </c>
      <c r="E268" s="3"/>
      <c r="F268" s="3"/>
      <c r="G268" s="57" t="str">
        <f t="shared" si="4"/>
        <v>-</v>
      </c>
      <c r="H268" s="19">
        <v>95000</v>
      </c>
      <c r="I268" s="19" t="s">
        <v>465</v>
      </c>
    </row>
    <row r="269" spans="1:9" s="1" customFormat="1" x14ac:dyDescent="0.2">
      <c r="A269" s="1" t="s">
        <v>11</v>
      </c>
      <c r="B269" s="12" t="s">
        <v>36</v>
      </c>
      <c r="D269" s="5" t="s">
        <v>464</v>
      </c>
      <c r="E269" s="3"/>
      <c r="F269" s="3"/>
      <c r="G269" s="57" t="str">
        <f t="shared" si="4"/>
        <v>-</v>
      </c>
      <c r="H269" s="19">
        <v>95000</v>
      </c>
      <c r="I269" s="19" t="s">
        <v>465</v>
      </c>
    </row>
    <row r="270" spans="1:9" s="1" customFormat="1" x14ac:dyDescent="0.2">
      <c r="A270" s="1" t="s">
        <v>11</v>
      </c>
      <c r="B270" s="12" t="s">
        <v>36</v>
      </c>
      <c r="D270" s="5" t="s">
        <v>464</v>
      </c>
      <c r="E270" s="3"/>
      <c r="F270" s="3"/>
      <c r="G270" s="57" t="str">
        <f t="shared" si="4"/>
        <v>-</v>
      </c>
      <c r="H270" s="19">
        <v>95000</v>
      </c>
      <c r="I270" s="19" t="s">
        <v>465</v>
      </c>
    </row>
    <row r="271" spans="1:9" s="1" customFormat="1" x14ac:dyDescent="0.2">
      <c r="A271" s="1" t="s">
        <v>11</v>
      </c>
      <c r="B271" s="12" t="s">
        <v>36</v>
      </c>
      <c r="D271" s="5" t="s">
        <v>464</v>
      </c>
      <c r="E271" s="3"/>
      <c r="F271" s="3"/>
      <c r="G271" s="57" t="str">
        <f t="shared" si="4"/>
        <v>-</v>
      </c>
      <c r="H271" s="19">
        <v>95000</v>
      </c>
      <c r="I271" s="19" t="s">
        <v>465</v>
      </c>
    </row>
    <row r="272" spans="1:9" s="1" customFormat="1" x14ac:dyDescent="0.2">
      <c r="A272" s="1" t="s">
        <v>11</v>
      </c>
      <c r="B272" s="12" t="s">
        <v>36</v>
      </c>
      <c r="D272" s="5" t="s">
        <v>464</v>
      </c>
      <c r="E272" s="3"/>
      <c r="F272" s="3"/>
      <c r="G272" s="57" t="str">
        <f t="shared" si="4"/>
        <v>-</v>
      </c>
      <c r="H272" s="19" t="s">
        <v>465</v>
      </c>
      <c r="I272" s="19">
        <v>95000</v>
      </c>
    </row>
    <row r="273" spans="1:10" x14ac:dyDescent="0.2">
      <c r="A273" s="1" t="s">
        <v>11</v>
      </c>
      <c r="B273" s="12" t="s">
        <v>36</v>
      </c>
      <c r="C273" s="1"/>
      <c r="D273" s="5" t="s">
        <v>464</v>
      </c>
      <c r="G273" s="57" t="str">
        <f t="shared" si="4"/>
        <v>-</v>
      </c>
      <c r="H273" s="19" t="s">
        <v>465</v>
      </c>
      <c r="I273" s="19">
        <v>95000</v>
      </c>
    </row>
    <row r="274" spans="1:10" x14ac:dyDescent="0.2">
      <c r="A274" s="1" t="s">
        <v>11</v>
      </c>
      <c r="B274" s="12" t="s">
        <v>36</v>
      </c>
      <c r="C274" s="1"/>
      <c r="D274" s="5" t="s">
        <v>464</v>
      </c>
      <c r="G274" s="57" t="str">
        <f t="shared" si="4"/>
        <v>-</v>
      </c>
      <c r="H274" s="19" t="s">
        <v>465</v>
      </c>
      <c r="I274" s="19">
        <v>95000</v>
      </c>
    </row>
    <row r="275" spans="1:10" x14ac:dyDescent="0.2">
      <c r="A275" s="1" t="s">
        <v>11</v>
      </c>
      <c r="B275" s="12" t="s">
        <v>36</v>
      </c>
      <c r="C275" s="1"/>
      <c r="D275" s="5" t="s">
        <v>464</v>
      </c>
      <c r="G275" s="57" t="str">
        <f t="shared" si="4"/>
        <v>-</v>
      </c>
      <c r="H275" s="19" t="s">
        <v>465</v>
      </c>
      <c r="I275" s="19">
        <v>95000</v>
      </c>
    </row>
    <row r="276" spans="1:10" x14ac:dyDescent="0.2">
      <c r="A276" s="1" t="s">
        <v>11</v>
      </c>
      <c r="B276" s="12" t="s">
        <v>36</v>
      </c>
      <c r="C276" s="1"/>
      <c r="D276" s="5" t="s">
        <v>464</v>
      </c>
      <c r="E276" s="3">
        <v>115000</v>
      </c>
      <c r="F276" s="3" t="s">
        <v>465</v>
      </c>
      <c r="G276" s="57" t="str">
        <f t="shared" si="4"/>
        <v>-</v>
      </c>
    </row>
    <row r="277" spans="1:10" x14ac:dyDescent="0.2">
      <c r="A277" s="1" t="s">
        <v>11</v>
      </c>
      <c r="B277" s="12" t="s">
        <v>36</v>
      </c>
      <c r="C277" s="1"/>
      <c r="D277" s="5" t="s">
        <v>464</v>
      </c>
      <c r="E277" s="3" t="s">
        <v>465</v>
      </c>
      <c r="F277" s="3">
        <v>115000</v>
      </c>
      <c r="G277" s="57" t="str">
        <f t="shared" si="4"/>
        <v>-</v>
      </c>
    </row>
    <row r="278" spans="1:10" s="13" customFormat="1" ht="38.25" x14ac:dyDescent="0.2">
      <c r="A278" s="13" t="s">
        <v>25</v>
      </c>
      <c r="B278" s="12" t="s">
        <v>37</v>
      </c>
      <c r="C278" s="13" t="s">
        <v>1755</v>
      </c>
      <c r="D278" s="7" t="s">
        <v>450</v>
      </c>
      <c r="E278" s="36">
        <f>206439+35924+8264</f>
        <v>250627</v>
      </c>
      <c r="F278" s="36">
        <f>199248+40957+18577</f>
        <v>258782</v>
      </c>
      <c r="G278" s="57">
        <f t="shared" si="4"/>
        <v>3.2538393708578882E-2</v>
      </c>
      <c r="H278" s="21"/>
      <c r="I278" s="21"/>
      <c r="J278" s="7" t="s">
        <v>4144</v>
      </c>
    </row>
    <row r="279" spans="1:10" s="13" customFormat="1" ht="25.5" x14ac:dyDescent="0.2">
      <c r="A279" s="13" t="s">
        <v>25</v>
      </c>
      <c r="B279" s="12" t="s">
        <v>37</v>
      </c>
      <c r="C279" s="13" t="s">
        <v>1756</v>
      </c>
      <c r="D279" s="7" t="s">
        <v>3697</v>
      </c>
      <c r="E279" s="36">
        <f>178892+32106</f>
        <v>210998</v>
      </c>
      <c r="F279" s="36">
        <f>173634+33631</f>
        <v>207265</v>
      </c>
      <c r="G279" s="57">
        <f t="shared" si="4"/>
        <v>-1.769211082569503E-2</v>
      </c>
      <c r="H279" s="21"/>
      <c r="I279" s="21"/>
      <c r="J279" s="7" t="s">
        <v>3698</v>
      </c>
    </row>
    <row r="280" spans="1:10" s="13" customFormat="1" ht="25.5" x14ac:dyDescent="0.2">
      <c r="A280" s="13" t="s">
        <v>25</v>
      </c>
      <c r="B280" s="12" t="s">
        <v>37</v>
      </c>
      <c r="C280" s="13" t="s">
        <v>1757</v>
      </c>
      <c r="D280" s="7" t="s">
        <v>1758</v>
      </c>
      <c r="E280" s="36">
        <f>178716+32102</f>
        <v>210818</v>
      </c>
      <c r="F280" s="36">
        <f>173332+33631</f>
        <v>206963</v>
      </c>
      <c r="G280" s="57">
        <f t="shared" si="4"/>
        <v>-1.8285914864954605E-2</v>
      </c>
      <c r="H280" s="21"/>
      <c r="I280" s="21"/>
      <c r="J280" s="7" t="s">
        <v>3699</v>
      </c>
    </row>
    <row r="281" spans="1:10" s="13" customFormat="1" ht="25.5" x14ac:dyDescent="0.2">
      <c r="A281" s="13" t="s">
        <v>25</v>
      </c>
      <c r="B281" s="12" t="s">
        <v>37</v>
      </c>
      <c r="D281" s="7" t="s">
        <v>1759</v>
      </c>
      <c r="E281" s="36">
        <f>144602+25471</f>
        <v>170073</v>
      </c>
      <c r="F281" s="36">
        <f>146660+28620</f>
        <v>175280</v>
      </c>
      <c r="G281" s="57">
        <f t="shared" si="4"/>
        <v>3.0616264780417821E-2</v>
      </c>
      <c r="H281" s="21"/>
      <c r="I281" s="21"/>
      <c r="J281" s="7" t="s">
        <v>1760</v>
      </c>
    </row>
    <row r="282" spans="1:10" s="13" customFormat="1" ht="38.25" x14ac:dyDescent="0.2">
      <c r="A282" s="13" t="s">
        <v>25</v>
      </c>
      <c r="B282" s="12" t="s">
        <v>37</v>
      </c>
      <c r="D282" s="7" t="s">
        <v>1761</v>
      </c>
      <c r="E282" s="36">
        <f>119453+21176</f>
        <v>140629</v>
      </c>
      <c r="F282" s="36">
        <f>127081+24588+892</f>
        <v>152561</v>
      </c>
      <c r="G282" s="57">
        <f t="shared" si="4"/>
        <v>8.4847364341636505E-2</v>
      </c>
      <c r="H282" s="21"/>
      <c r="I282" s="21"/>
      <c r="J282" s="7" t="s">
        <v>3700</v>
      </c>
    </row>
    <row r="283" spans="1:10" s="13" customFormat="1" ht="51" x14ac:dyDescent="0.2">
      <c r="A283" s="13" t="s">
        <v>25</v>
      </c>
      <c r="B283" s="12" t="s">
        <v>37</v>
      </c>
      <c r="D283" s="7" t="s">
        <v>1762</v>
      </c>
      <c r="E283" s="36">
        <f>115567+20496</f>
        <v>136063</v>
      </c>
      <c r="F283" s="36">
        <f>118271+23040+581</f>
        <v>141892</v>
      </c>
      <c r="G283" s="57">
        <f t="shared" si="4"/>
        <v>4.2840448909696245E-2</v>
      </c>
      <c r="H283" s="21"/>
      <c r="I283" s="21"/>
      <c r="J283" s="7" t="s">
        <v>4143</v>
      </c>
    </row>
    <row r="284" spans="1:10" s="13" customFormat="1" ht="25.5" x14ac:dyDescent="0.2">
      <c r="A284" s="13" t="s">
        <v>25</v>
      </c>
      <c r="B284" s="12" t="s">
        <v>37</v>
      </c>
      <c r="D284" s="7" t="s">
        <v>451</v>
      </c>
      <c r="E284" s="36">
        <f>103449+18312</f>
        <v>121761</v>
      </c>
      <c r="F284" s="36">
        <f>104305+19808</f>
        <v>124113</v>
      </c>
      <c r="G284" s="57">
        <f t="shared" si="4"/>
        <v>1.931652992337448E-2</v>
      </c>
      <c r="H284" s="21"/>
      <c r="I284" s="21"/>
      <c r="J284" s="7" t="s">
        <v>1763</v>
      </c>
    </row>
    <row r="285" spans="1:10" s="13" customFormat="1" ht="25.5" x14ac:dyDescent="0.2">
      <c r="A285" s="13" t="s">
        <v>25</v>
      </c>
      <c r="B285" s="12" t="s">
        <v>37</v>
      </c>
      <c r="D285" s="7" t="s">
        <v>3701</v>
      </c>
      <c r="E285" s="36">
        <f>90231+15084</f>
        <v>105315</v>
      </c>
      <c r="F285" s="36">
        <f>15438+2764</f>
        <v>18202</v>
      </c>
      <c r="G285" s="57">
        <f t="shared" si="4"/>
        <v>-0.82716612068556239</v>
      </c>
      <c r="H285" s="21"/>
      <c r="I285" s="21"/>
      <c r="J285" s="7" t="s">
        <v>3702</v>
      </c>
    </row>
    <row r="286" spans="1:10" s="13" customFormat="1" ht="89.25" x14ac:dyDescent="0.2">
      <c r="A286" s="13" t="s">
        <v>25</v>
      </c>
      <c r="B286" s="12" t="s">
        <v>37</v>
      </c>
      <c r="D286" s="7"/>
      <c r="E286" s="6"/>
      <c r="F286" s="6"/>
      <c r="G286" s="57" t="str">
        <f t="shared" si="4"/>
        <v>-</v>
      </c>
      <c r="H286" s="21"/>
      <c r="I286" s="21"/>
      <c r="J286" s="7" t="s">
        <v>4603</v>
      </c>
    </row>
    <row r="287" spans="1:10" x14ac:dyDescent="0.2">
      <c r="A287" s="1" t="s">
        <v>39</v>
      </c>
      <c r="B287" s="2" t="s">
        <v>38</v>
      </c>
      <c r="C287" s="1" t="s">
        <v>1764</v>
      </c>
      <c r="D287" s="5" t="s">
        <v>450</v>
      </c>
      <c r="E287" s="3">
        <v>233097</v>
      </c>
      <c r="F287" s="3">
        <v>228490</v>
      </c>
      <c r="G287" s="57">
        <f t="shared" si="4"/>
        <v>-1.9764304130898296E-2</v>
      </c>
      <c r="J287" s="5" t="s">
        <v>1765</v>
      </c>
    </row>
    <row r="288" spans="1:10" ht="27" customHeight="1" x14ac:dyDescent="0.2">
      <c r="A288" s="1" t="s">
        <v>39</v>
      </c>
      <c r="B288" s="2" t="s">
        <v>38</v>
      </c>
      <c r="C288" s="1"/>
      <c r="D288" s="5" t="s">
        <v>3703</v>
      </c>
      <c r="E288" s="3">
        <v>165488</v>
      </c>
      <c r="F288" s="3">
        <v>169530</v>
      </c>
      <c r="G288" s="57">
        <f t="shared" si="4"/>
        <v>2.4424731702600792E-2</v>
      </c>
      <c r="J288" s="5" t="s">
        <v>1766</v>
      </c>
    </row>
    <row r="289" spans="1:10" s="13" customFormat="1" x14ac:dyDescent="0.2">
      <c r="A289" s="1" t="s">
        <v>39</v>
      </c>
      <c r="B289" s="12" t="s">
        <v>38</v>
      </c>
      <c r="D289" s="7" t="s">
        <v>3704</v>
      </c>
      <c r="E289" s="6">
        <v>169597</v>
      </c>
      <c r="F289" s="6">
        <v>168955</v>
      </c>
      <c r="G289" s="57">
        <f t="shared" si="4"/>
        <v>-3.7854443180009079E-3</v>
      </c>
      <c r="H289" s="21"/>
      <c r="I289" s="21"/>
      <c r="J289" s="7" t="s">
        <v>1767</v>
      </c>
    </row>
    <row r="290" spans="1:10" s="13" customFormat="1" ht="25.5" x14ac:dyDescent="0.2">
      <c r="A290" s="1" t="s">
        <v>39</v>
      </c>
      <c r="B290" s="12" t="s">
        <v>38</v>
      </c>
      <c r="D290" s="7" t="s">
        <v>4145</v>
      </c>
      <c r="E290" s="6">
        <v>165455</v>
      </c>
      <c r="F290" s="6">
        <v>128027</v>
      </c>
      <c r="G290" s="57">
        <f t="shared" si="4"/>
        <v>-0.22621256535009518</v>
      </c>
      <c r="H290" s="21"/>
      <c r="I290" s="21"/>
      <c r="J290" s="7" t="s">
        <v>4146</v>
      </c>
    </row>
    <row r="291" spans="1:10" x14ac:dyDescent="0.2">
      <c r="A291" s="1" t="s">
        <v>39</v>
      </c>
      <c r="B291" s="2" t="s">
        <v>38</v>
      </c>
      <c r="C291" s="1"/>
      <c r="D291" s="5" t="s">
        <v>3705</v>
      </c>
      <c r="E291" s="3">
        <v>165445</v>
      </c>
      <c r="F291" s="3">
        <v>169436</v>
      </c>
      <c r="G291" s="57">
        <f t="shared" si="4"/>
        <v>2.4122820272598145E-2</v>
      </c>
      <c r="J291" s="5" t="s">
        <v>1768</v>
      </c>
    </row>
    <row r="292" spans="1:10" x14ac:dyDescent="0.2">
      <c r="A292" s="1" t="s">
        <v>39</v>
      </c>
      <c r="B292" s="2" t="s">
        <v>38</v>
      </c>
      <c r="C292" s="1"/>
      <c r="D292" s="5" t="s">
        <v>3706</v>
      </c>
      <c r="E292" s="3">
        <v>162622</v>
      </c>
      <c r="F292" s="3">
        <v>166176</v>
      </c>
      <c r="G292" s="57">
        <f t="shared" si="4"/>
        <v>2.1854361648485445E-2</v>
      </c>
      <c r="J292" s="5" t="s">
        <v>3707</v>
      </c>
    </row>
    <row r="293" spans="1:10" x14ac:dyDescent="0.2">
      <c r="A293" s="1" t="s">
        <v>39</v>
      </c>
      <c r="B293" s="2" t="s">
        <v>38</v>
      </c>
      <c r="C293" s="1"/>
      <c r="D293" s="5" t="s">
        <v>464</v>
      </c>
      <c r="G293" s="57" t="str">
        <f t="shared" si="4"/>
        <v>-</v>
      </c>
      <c r="H293" s="19" t="s">
        <v>465</v>
      </c>
      <c r="I293" s="19">
        <v>92500</v>
      </c>
    </row>
    <row r="294" spans="1:10" x14ac:dyDescent="0.2">
      <c r="A294" s="1" t="s">
        <v>39</v>
      </c>
      <c r="B294" s="2" t="s">
        <v>38</v>
      </c>
      <c r="C294" s="1"/>
      <c r="D294" s="5" t="s">
        <v>464</v>
      </c>
      <c r="G294" s="57" t="str">
        <f t="shared" si="4"/>
        <v>-</v>
      </c>
      <c r="H294" s="19" t="s">
        <v>465</v>
      </c>
      <c r="I294" s="19">
        <v>92500</v>
      </c>
    </row>
    <row r="295" spans="1:10" x14ac:dyDescent="0.2">
      <c r="A295" s="1" t="s">
        <v>39</v>
      </c>
      <c r="B295" s="2" t="s">
        <v>38</v>
      </c>
      <c r="C295" s="1"/>
      <c r="D295" s="5" t="s">
        <v>464</v>
      </c>
      <c r="G295" s="57" t="str">
        <f t="shared" si="4"/>
        <v>-</v>
      </c>
      <c r="H295" s="19" t="s">
        <v>465</v>
      </c>
      <c r="I295" s="19">
        <v>92500</v>
      </c>
    </row>
    <row r="296" spans="1:10" x14ac:dyDescent="0.2">
      <c r="A296" s="1" t="s">
        <v>39</v>
      </c>
      <c r="B296" s="2" t="s">
        <v>38</v>
      </c>
      <c r="C296" s="1"/>
      <c r="D296" s="5" t="s">
        <v>464</v>
      </c>
      <c r="G296" s="57" t="str">
        <f t="shared" si="4"/>
        <v>-</v>
      </c>
      <c r="H296" s="19" t="s">
        <v>465</v>
      </c>
      <c r="I296" s="19">
        <v>92500</v>
      </c>
    </row>
    <row r="297" spans="1:10" x14ac:dyDescent="0.2">
      <c r="A297" s="1" t="s">
        <v>39</v>
      </c>
      <c r="B297" s="2" t="s">
        <v>38</v>
      </c>
      <c r="C297" s="1"/>
      <c r="D297" s="5" t="s">
        <v>464</v>
      </c>
      <c r="G297" s="57" t="str">
        <f t="shared" si="4"/>
        <v>-</v>
      </c>
      <c r="H297" s="19" t="s">
        <v>465</v>
      </c>
      <c r="I297" s="19">
        <v>92500</v>
      </c>
    </row>
    <row r="298" spans="1:10" x14ac:dyDescent="0.2">
      <c r="A298" s="1" t="s">
        <v>39</v>
      </c>
      <c r="B298" s="2" t="s">
        <v>38</v>
      </c>
      <c r="C298" s="1"/>
      <c r="D298" s="5" t="s">
        <v>464</v>
      </c>
      <c r="G298" s="57" t="str">
        <f t="shared" si="4"/>
        <v>-</v>
      </c>
      <c r="H298" s="19" t="s">
        <v>465</v>
      </c>
      <c r="I298" s="19">
        <v>92500</v>
      </c>
    </row>
    <row r="299" spans="1:10" x14ac:dyDescent="0.2">
      <c r="A299" s="1" t="s">
        <v>39</v>
      </c>
      <c r="B299" s="2" t="s">
        <v>38</v>
      </c>
      <c r="C299" s="1"/>
      <c r="D299" s="5" t="s">
        <v>464</v>
      </c>
      <c r="G299" s="57" t="str">
        <f t="shared" si="4"/>
        <v>-</v>
      </c>
      <c r="H299" s="19" t="s">
        <v>465</v>
      </c>
      <c r="I299" s="19">
        <v>92500</v>
      </c>
    </row>
    <row r="300" spans="1:10" x14ac:dyDescent="0.2">
      <c r="A300" s="1" t="s">
        <v>39</v>
      </c>
      <c r="B300" s="2" t="s">
        <v>38</v>
      </c>
      <c r="C300" s="1"/>
      <c r="D300" s="5" t="s">
        <v>464</v>
      </c>
      <c r="G300" s="57" t="str">
        <f t="shared" si="4"/>
        <v>-</v>
      </c>
      <c r="H300" s="19" t="s">
        <v>465</v>
      </c>
      <c r="I300" s="19">
        <v>92500</v>
      </c>
    </row>
    <row r="301" spans="1:10" x14ac:dyDescent="0.2">
      <c r="A301" s="1" t="s">
        <v>39</v>
      </c>
      <c r="B301" s="2" t="s">
        <v>38</v>
      </c>
      <c r="C301" s="1"/>
      <c r="D301" s="5" t="s">
        <v>464</v>
      </c>
      <c r="G301" s="57" t="str">
        <f t="shared" si="4"/>
        <v>-</v>
      </c>
      <c r="H301" s="19" t="s">
        <v>465</v>
      </c>
      <c r="I301" s="19">
        <v>92500</v>
      </c>
    </row>
    <row r="302" spans="1:10" x14ac:dyDescent="0.2">
      <c r="A302" s="1" t="s">
        <v>39</v>
      </c>
      <c r="B302" s="2" t="s">
        <v>38</v>
      </c>
      <c r="C302" s="1"/>
      <c r="D302" s="5" t="s">
        <v>464</v>
      </c>
      <c r="G302" s="57" t="str">
        <f t="shared" si="4"/>
        <v>-</v>
      </c>
      <c r="H302" s="19" t="s">
        <v>465</v>
      </c>
      <c r="I302" s="19">
        <v>92500</v>
      </c>
    </row>
    <row r="303" spans="1:10" x14ac:dyDescent="0.2">
      <c r="A303" s="1" t="s">
        <v>39</v>
      </c>
      <c r="B303" s="2" t="s">
        <v>38</v>
      </c>
      <c r="C303" s="1"/>
      <c r="D303" s="5" t="s">
        <v>464</v>
      </c>
      <c r="G303" s="57" t="str">
        <f t="shared" si="4"/>
        <v>-</v>
      </c>
      <c r="H303" s="19" t="s">
        <v>465</v>
      </c>
      <c r="I303" s="19">
        <v>92500</v>
      </c>
    </row>
    <row r="304" spans="1:10" x14ac:dyDescent="0.2">
      <c r="A304" s="1" t="s">
        <v>39</v>
      </c>
      <c r="B304" s="2" t="s">
        <v>38</v>
      </c>
      <c r="C304" s="1"/>
      <c r="D304" s="5" t="s">
        <v>464</v>
      </c>
      <c r="G304" s="57" t="str">
        <f t="shared" si="4"/>
        <v>-</v>
      </c>
      <c r="H304" s="19" t="s">
        <v>465</v>
      </c>
      <c r="I304" s="19">
        <v>92500</v>
      </c>
    </row>
    <row r="305" spans="1:9" s="1" customFormat="1" x14ac:dyDescent="0.2">
      <c r="A305" s="1" t="s">
        <v>39</v>
      </c>
      <c r="B305" s="2" t="s">
        <v>38</v>
      </c>
      <c r="D305" s="5" t="s">
        <v>464</v>
      </c>
      <c r="E305" s="3"/>
      <c r="F305" s="3"/>
      <c r="G305" s="57" t="str">
        <f t="shared" si="4"/>
        <v>-</v>
      </c>
      <c r="H305" s="19" t="s">
        <v>465</v>
      </c>
      <c r="I305" s="19">
        <v>92500</v>
      </c>
    </row>
    <row r="306" spans="1:9" s="1" customFormat="1" x14ac:dyDescent="0.2">
      <c r="A306" s="1" t="s">
        <v>39</v>
      </c>
      <c r="B306" s="2" t="s">
        <v>38</v>
      </c>
      <c r="D306" s="5" t="s">
        <v>464</v>
      </c>
      <c r="E306" s="3"/>
      <c r="F306" s="3"/>
      <c r="G306" s="57" t="str">
        <f t="shared" si="4"/>
        <v>-</v>
      </c>
      <c r="H306" s="19" t="s">
        <v>465</v>
      </c>
      <c r="I306" s="19">
        <v>92500</v>
      </c>
    </row>
    <row r="307" spans="1:9" s="1" customFormat="1" x14ac:dyDescent="0.2">
      <c r="A307" s="1" t="s">
        <v>39</v>
      </c>
      <c r="B307" s="2" t="s">
        <v>38</v>
      </c>
      <c r="D307" s="5" t="s">
        <v>464</v>
      </c>
      <c r="E307" s="3"/>
      <c r="F307" s="3"/>
      <c r="G307" s="57" t="str">
        <f t="shared" si="4"/>
        <v>-</v>
      </c>
      <c r="H307" s="19" t="s">
        <v>465</v>
      </c>
      <c r="I307" s="19">
        <v>92500</v>
      </c>
    </row>
    <row r="308" spans="1:9" s="1" customFormat="1" x14ac:dyDescent="0.2">
      <c r="A308" s="1" t="s">
        <v>39</v>
      </c>
      <c r="B308" s="2" t="s">
        <v>38</v>
      </c>
      <c r="D308" s="5" t="s">
        <v>464</v>
      </c>
      <c r="E308" s="3"/>
      <c r="F308" s="3"/>
      <c r="G308" s="57" t="str">
        <f t="shared" si="4"/>
        <v>-</v>
      </c>
      <c r="H308" s="19" t="s">
        <v>465</v>
      </c>
      <c r="I308" s="19">
        <v>92500</v>
      </c>
    </row>
    <row r="309" spans="1:9" s="1" customFormat="1" x14ac:dyDescent="0.2">
      <c r="A309" s="1" t="s">
        <v>39</v>
      </c>
      <c r="B309" s="2" t="s">
        <v>38</v>
      </c>
      <c r="D309" s="5" t="s">
        <v>464</v>
      </c>
      <c r="E309" s="3"/>
      <c r="F309" s="3"/>
      <c r="G309" s="57" t="str">
        <f t="shared" si="4"/>
        <v>-</v>
      </c>
      <c r="H309" s="19" t="s">
        <v>465</v>
      </c>
      <c r="I309" s="19">
        <v>92500</v>
      </c>
    </row>
    <row r="310" spans="1:9" s="1" customFormat="1" x14ac:dyDescent="0.2">
      <c r="A310" s="1" t="s">
        <v>39</v>
      </c>
      <c r="B310" s="2" t="s">
        <v>38</v>
      </c>
      <c r="D310" s="5" t="s">
        <v>464</v>
      </c>
      <c r="E310" s="3"/>
      <c r="F310" s="3"/>
      <c r="G310" s="57" t="str">
        <f t="shared" si="4"/>
        <v>-</v>
      </c>
      <c r="H310" s="19" t="s">
        <v>465</v>
      </c>
      <c r="I310" s="19">
        <v>92500</v>
      </c>
    </row>
    <row r="311" spans="1:9" s="1" customFormat="1" x14ac:dyDescent="0.2">
      <c r="A311" s="1" t="s">
        <v>39</v>
      </c>
      <c r="B311" s="2" t="s">
        <v>38</v>
      </c>
      <c r="D311" s="5" t="s">
        <v>464</v>
      </c>
      <c r="E311" s="3"/>
      <c r="F311" s="3"/>
      <c r="G311" s="57" t="str">
        <f t="shared" si="4"/>
        <v>-</v>
      </c>
      <c r="H311" s="19" t="s">
        <v>465</v>
      </c>
      <c r="I311" s="19">
        <v>92500</v>
      </c>
    </row>
    <row r="312" spans="1:9" s="1" customFormat="1" x14ac:dyDescent="0.2">
      <c r="A312" s="1" t="s">
        <v>39</v>
      </c>
      <c r="B312" s="2" t="s">
        <v>38</v>
      </c>
      <c r="D312" s="5" t="s">
        <v>464</v>
      </c>
      <c r="E312" s="3"/>
      <c r="F312" s="3"/>
      <c r="G312" s="57" t="str">
        <f t="shared" si="4"/>
        <v>-</v>
      </c>
      <c r="H312" s="19" t="s">
        <v>465</v>
      </c>
      <c r="I312" s="19">
        <v>92500</v>
      </c>
    </row>
    <row r="313" spans="1:9" s="1" customFormat="1" x14ac:dyDescent="0.2">
      <c r="A313" s="1" t="s">
        <v>39</v>
      </c>
      <c r="B313" s="2" t="s">
        <v>38</v>
      </c>
      <c r="D313" s="5" t="s">
        <v>464</v>
      </c>
      <c r="E313" s="3"/>
      <c r="F313" s="3"/>
      <c r="G313" s="57" t="str">
        <f t="shared" si="4"/>
        <v>-</v>
      </c>
      <c r="H313" s="19">
        <v>92500</v>
      </c>
      <c r="I313" s="19" t="s">
        <v>465</v>
      </c>
    </row>
    <row r="314" spans="1:9" s="1" customFormat="1" x14ac:dyDescent="0.2">
      <c r="A314" s="1" t="s">
        <v>39</v>
      </c>
      <c r="B314" s="2" t="s">
        <v>38</v>
      </c>
      <c r="D314" s="5" t="s">
        <v>464</v>
      </c>
      <c r="E314" s="3"/>
      <c r="F314" s="3"/>
      <c r="G314" s="57" t="str">
        <f t="shared" si="4"/>
        <v>-</v>
      </c>
      <c r="H314" s="19">
        <v>92500</v>
      </c>
      <c r="I314" s="19" t="s">
        <v>465</v>
      </c>
    </row>
    <row r="315" spans="1:9" s="1" customFormat="1" x14ac:dyDescent="0.2">
      <c r="A315" s="1" t="s">
        <v>39</v>
      </c>
      <c r="B315" s="2" t="s">
        <v>38</v>
      </c>
      <c r="D315" s="5" t="s">
        <v>464</v>
      </c>
      <c r="E315" s="3"/>
      <c r="F315" s="3"/>
      <c r="G315" s="57" t="str">
        <f t="shared" si="4"/>
        <v>-</v>
      </c>
      <c r="H315" s="19">
        <v>92500</v>
      </c>
      <c r="I315" s="19" t="s">
        <v>465</v>
      </c>
    </row>
    <row r="316" spans="1:9" s="1" customFormat="1" x14ac:dyDescent="0.2">
      <c r="A316" s="1" t="s">
        <v>39</v>
      </c>
      <c r="B316" s="2" t="s">
        <v>38</v>
      </c>
      <c r="D316" s="5" t="s">
        <v>464</v>
      </c>
      <c r="E316" s="3"/>
      <c r="F316" s="3"/>
      <c r="G316" s="57" t="str">
        <f t="shared" si="4"/>
        <v>-</v>
      </c>
      <c r="H316" s="19">
        <v>92500</v>
      </c>
      <c r="I316" s="19" t="s">
        <v>465</v>
      </c>
    </row>
    <row r="317" spans="1:9" s="1" customFormat="1" x14ac:dyDescent="0.2">
      <c r="A317" s="1" t="s">
        <v>39</v>
      </c>
      <c r="B317" s="2" t="s">
        <v>38</v>
      </c>
      <c r="D317" s="5" t="s">
        <v>464</v>
      </c>
      <c r="E317" s="3"/>
      <c r="F317" s="3"/>
      <c r="G317" s="57" t="str">
        <f t="shared" si="4"/>
        <v>-</v>
      </c>
      <c r="H317" s="19">
        <v>92500</v>
      </c>
      <c r="I317" s="19" t="s">
        <v>465</v>
      </c>
    </row>
    <row r="318" spans="1:9" s="1" customFormat="1" x14ac:dyDescent="0.2">
      <c r="A318" s="1" t="s">
        <v>39</v>
      </c>
      <c r="B318" s="2" t="s">
        <v>38</v>
      </c>
      <c r="D318" s="5" t="s">
        <v>464</v>
      </c>
      <c r="E318" s="3"/>
      <c r="F318" s="3"/>
      <c r="G318" s="57" t="str">
        <f t="shared" si="4"/>
        <v>-</v>
      </c>
      <c r="H318" s="19">
        <v>92500</v>
      </c>
      <c r="I318" s="19" t="s">
        <v>465</v>
      </c>
    </row>
    <row r="319" spans="1:9" s="1" customFormat="1" x14ac:dyDescent="0.2">
      <c r="A319" s="1" t="s">
        <v>39</v>
      </c>
      <c r="B319" s="2" t="s">
        <v>38</v>
      </c>
      <c r="D319" s="5" t="s">
        <v>464</v>
      </c>
      <c r="E319" s="3"/>
      <c r="F319" s="3"/>
      <c r="G319" s="57" t="str">
        <f t="shared" si="4"/>
        <v>-</v>
      </c>
      <c r="H319" s="19">
        <v>92500</v>
      </c>
      <c r="I319" s="19" t="s">
        <v>465</v>
      </c>
    </row>
    <row r="320" spans="1:9" s="1" customFormat="1" x14ac:dyDescent="0.2">
      <c r="A320" s="1" t="s">
        <v>39</v>
      </c>
      <c r="B320" s="2" t="s">
        <v>38</v>
      </c>
      <c r="D320" s="5" t="s">
        <v>464</v>
      </c>
      <c r="E320" s="3"/>
      <c r="F320" s="3"/>
      <c r="G320" s="57" t="str">
        <f t="shared" si="4"/>
        <v>-</v>
      </c>
      <c r="H320" s="19">
        <v>92500</v>
      </c>
      <c r="I320" s="19" t="s">
        <v>465</v>
      </c>
    </row>
    <row r="321" spans="1:9" s="1" customFormat="1" x14ac:dyDescent="0.2">
      <c r="A321" s="1" t="s">
        <v>39</v>
      </c>
      <c r="B321" s="2" t="s">
        <v>38</v>
      </c>
      <c r="D321" s="5" t="s">
        <v>464</v>
      </c>
      <c r="E321" s="3"/>
      <c r="F321" s="3"/>
      <c r="G321" s="57" t="str">
        <f t="shared" si="4"/>
        <v>-</v>
      </c>
      <c r="H321" s="19">
        <v>92500</v>
      </c>
      <c r="I321" s="19" t="s">
        <v>465</v>
      </c>
    </row>
    <row r="322" spans="1:9" s="1" customFormat="1" x14ac:dyDescent="0.2">
      <c r="A322" s="1" t="s">
        <v>39</v>
      </c>
      <c r="B322" s="2" t="s">
        <v>38</v>
      </c>
      <c r="D322" s="5" t="s">
        <v>464</v>
      </c>
      <c r="E322" s="3"/>
      <c r="F322" s="3"/>
      <c r="G322" s="57" t="str">
        <f t="shared" si="4"/>
        <v>-</v>
      </c>
      <c r="H322" s="19">
        <v>92500</v>
      </c>
      <c r="I322" s="19" t="s">
        <v>465</v>
      </c>
    </row>
    <row r="323" spans="1:9" s="1" customFormat="1" x14ac:dyDescent="0.2">
      <c r="A323" s="1" t="s">
        <v>39</v>
      </c>
      <c r="B323" s="2" t="s">
        <v>38</v>
      </c>
      <c r="D323" s="5" t="s">
        <v>464</v>
      </c>
      <c r="E323" s="3"/>
      <c r="F323" s="3"/>
      <c r="G323" s="57" t="str">
        <f t="shared" ref="G323:G386" si="5">IF(ISERROR((F323-E323)/E323),"-",(F323-E323)/E323)</f>
        <v>-</v>
      </c>
      <c r="H323" s="19">
        <v>92500</v>
      </c>
      <c r="I323" s="19" t="s">
        <v>465</v>
      </c>
    </row>
    <row r="324" spans="1:9" s="1" customFormat="1" x14ac:dyDescent="0.2">
      <c r="A324" s="1" t="s">
        <v>39</v>
      </c>
      <c r="B324" s="2" t="s">
        <v>38</v>
      </c>
      <c r="D324" s="5" t="s">
        <v>464</v>
      </c>
      <c r="E324" s="3"/>
      <c r="F324" s="3"/>
      <c r="G324" s="57" t="str">
        <f t="shared" si="5"/>
        <v>-</v>
      </c>
      <c r="H324" s="19">
        <v>92500</v>
      </c>
      <c r="I324" s="19" t="s">
        <v>465</v>
      </c>
    </row>
    <row r="325" spans="1:9" s="1" customFormat="1" x14ac:dyDescent="0.2">
      <c r="A325" s="1" t="s">
        <v>39</v>
      </c>
      <c r="B325" s="2" t="s">
        <v>38</v>
      </c>
      <c r="D325" s="5" t="s">
        <v>464</v>
      </c>
      <c r="E325" s="3"/>
      <c r="F325" s="3"/>
      <c r="G325" s="57" t="str">
        <f t="shared" si="5"/>
        <v>-</v>
      </c>
      <c r="H325" s="19">
        <v>92500</v>
      </c>
      <c r="I325" s="19" t="s">
        <v>465</v>
      </c>
    </row>
    <row r="326" spans="1:9" s="1" customFormat="1" x14ac:dyDescent="0.2">
      <c r="A326" s="1" t="s">
        <v>39</v>
      </c>
      <c r="B326" s="2" t="s">
        <v>38</v>
      </c>
      <c r="D326" s="5" t="s">
        <v>464</v>
      </c>
      <c r="E326" s="3"/>
      <c r="F326" s="3"/>
      <c r="G326" s="57" t="str">
        <f t="shared" si="5"/>
        <v>-</v>
      </c>
      <c r="H326" s="19">
        <v>92500</v>
      </c>
      <c r="I326" s="19" t="s">
        <v>465</v>
      </c>
    </row>
    <row r="327" spans="1:9" s="1" customFormat="1" x14ac:dyDescent="0.2">
      <c r="A327" s="1" t="s">
        <v>39</v>
      </c>
      <c r="B327" s="2" t="s">
        <v>38</v>
      </c>
      <c r="D327" s="5" t="s">
        <v>464</v>
      </c>
      <c r="E327" s="3"/>
      <c r="F327" s="3"/>
      <c r="G327" s="57" t="str">
        <f t="shared" si="5"/>
        <v>-</v>
      </c>
      <c r="H327" s="19" t="s">
        <v>465</v>
      </c>
      <c r="I327" s="19">
        <v>97500</v>
      </c>
    </row>
    <row r="328" spans="1:9" s="1" customFormat="1" x14ac:dyDescent="0.2">
      <c r="A328" s="1" t="s">
        <v>39</v>
      </c>
      <c r="B328" s="2" t="s">
        <v>38</v>
      </c>
      <c r="D328" s="5" t="s">
        <v>464</v>
      </c>
      <c r="E328" s="3"/>
      <c r="F328" s="3"/>
      <c r="G328" s="57" t="str">
        <f t="shared" si="5"/>
        <v>-</v>
      </c>
      <c r="H328" s="19" t="s">
        <v>465</v>
      </c>
      <c r="I328" s="19">
        <v>97500</v>
      </c>
    </row>
    <row r="329" spans="1:9" s="1" customFormat="1" x14ac:dyDescent="0.2">
      <c r="A329" s="1" t="s">
        <v>39</v>
      </c>
      <c r="B329" s="2" t="s">
        <v>38</v>
      </c>
      <c r="D329" s="5" t="s">
        <v>464</v>
      </c>
      <c r="E329" s="3"/>
      <c r="F329" s="3"/>
      <c r="G329" s="57" t="str">
        <f t="shared" si="5"/>
        <v>-</v>
      </c>
      <c r="H329" s="19" t="s">
        <v>465</v>
      </c>
      <c r="I329" s="19">
        <v>97500</v>
      </c>
    </row>
    <row r="330" spans="1:9" s="1" customFormat="1" x14ac:dyDescent="0.2">
      <c r="A330" s="1" t="s">
        <v>39</v>
      </c>
      <c r="B330" s="2" t="s">
        <v>38</v>
      </c>
      <c r="D330" s="5" t="s">
        <v>464</v>
      </c>
      <c r="E330" s="3"/>
      <c r="F330" s="3"/>
      <c r="G330" s="57" t="str">
        <f t="shared" si="5"/>
        <v>-</v>
      </c>
      <c r="H330" s="19" t="s">
        <v>465</v>
      </c>
      <c r="I330" s="19">
        <v>97500</v>
      </c>
    </row>
    <row r="331" spans="1:9" s="1" customFormat="1" x14ac:dyDescent="0.2">
      <c r="A331" s="1" t="s">
        <v>39</v>
      </c>
      <c r="B331" s="2" t="s">
        <v>38</v>
      </c>
      <c r="D331" s="5" t="s">
        <v>464</v>
      </c>
      <c r="E331" s="3"/>
      <c r="F331" s="3"/>
      <c r="G331" s="57" t="str">
        <f t="shared" si="5"/>
        <v>-</v>
      </c>
      <c r="H331" s="19" t="s">
        <v>465</v>
      </c>
      <c r="I331" s="19">
        <v>97500</v>
      </c>
    </row>
    <row r="332" spans="1:9" s="1" customFormat="1" x14ac:dyDescent="0.2">
      <c r="A332" s="1" t="s">
        <v>39</v>
      </c>
      <c r="B332" s="2" t="s">
        <v>38</v>
      </c>
      <c r="D332" s="5" t="s">
        <v>464</v>
      </c>
      <c r="E332" s="3"/>
      <c r="F332" s="3"/>
      <c r="G332" s="57" t="str">
        <f t="shared" si="5"/>
        <v>-</v>
      </c>
      <c r="H332" s="19" t="s">
        <v>465</v>
      </c>
      <c r="I332" s="19">
        <v>97500</v>
      </c>
    </row>
    <row r="333" spans="1:9" s="1" customFormat="1" x14ac:dyDescent="0.2">
      <c r="A333" s="1" t="s">
        <v>39</v>
      </c>
      <c r="B333" s="2" t="s">
        <v>38</v>
      </c>
      <c r="D333" s="5" t="s">
        <v>464</v>
      </c>
      <c r="E333" s="3"/>
      <c r="F333" s="3"/>
      <c r="G333" s="57" t="str">
        <f t="shared" si="5"/>
        <v>-</v>
      </c>
      <c r="H333" s="19">
        <v>97500</v>
      </c>
      <c r="I333" s="19" t="s">
        <v>465</v>
      </c>
    </row>
    <row r="334" spans="1:9" s="1" customFormat="1" x14ac:dyDescent="0.2">
      <c r="A334" s="1" t="s">
        <v>39</v>
      </c>
      <c r="B334" s="2" t="s">
        <v>38</v>
      </c>
      <c r="D334" s="5" t="s">
        <v>464</v>
      </c>
      <c r="E334" s="3"/>
      <c r="F334" s="3"/>
      <c r="G334" s="57" t="str">
        <f t="shared" si="5"/>
        <v>-</v>
      </c>
      <c r="H334" s="19">
        <v>97500</v>
      </c>
      <c r="I334" s="19" t="s">
        <v>465</v>
      </c>
    </row>
    <row r="335" spans="1:9" s="1" customFormat="1" x14ac:dyDescent="0.2">
      <c r="A335" s="1" t="s">
        <v>39</v>
      </c>
      <c r="B335" s="2" t="s">
        <v>38</v>
      </c>
      <c r="D335" s="5" t="s">
        <v>464</v>
      </c>
      <c r="E335" s="3" t="s">
        <v>465</v>
      </c>
      <c r="F335" s="3">
        <v>102500</v>
      </c>
      <c r="G335" s="57" t="str">
        <f t="shared" si="5"/>
        <v>-</v>
      </c>
      <c r="H335" s="19"/>
      <c r="I335" s="19"/>
    </row>
    <row r="336" spans="1:9" s="1" customFormat="1" x14ac:dyDescent="0.2">
      <c r="A336" s="1" t="s">
        <v>39</v>
      </c>
      <c r="B336" s="2" t="s">
        <v>38</v>
      </c>
      <c r="D336" s="5" t="s">
        <v>464</v>
      </c>
      <c r="E336" s="3" t="s">
        <v>465</v>
      </c>
      <c r="F336" s="3">
        <v>102500</v>
      </c>
      <c r="G336" s="57" t="str">
        <f t="shared" si="5"/>
        <v>-</v>
      </c>
      <c r="H336" s="19"/>
      <c r="I336" s="19"/>
    </row>
    <row r="337" spans="1:10" x14ac:dyDescent="0.2">
      <c r="A337" s="1" t="s">
        <v>39</v>
      </c>
      <c r="B337" s="2" t="s">
        <v>38</v>
      </c>
      <c r="C337" s="1"/>
      <c r="D337" s="5" t="s">
        <v>464</v>
      </c>
      <c r="E337" s="3">
        <v>102500</v>
      </c>
      <c r="F337" s="3" t="s">
        <v>465</v>
      </c>
      <c r="G337" s="57" t="str">
        <f t="shared" si="5"/>
        <v>-</v>
      </c>
    </row>
    <row r="338" spans="1:10" x14ac:dyDescent="0.2">
      <c r="A338" s="1" t="s">
        <v>39</v>
      </c>
      <c r="B338" s="2" t="s">
        <v>38</v>
      </c>
      <c r="C338" s="1"/>
      <c r="D338" s="5" t="s">
        <v>464</v>
      </c>
      <c r="E338" s="3">
        <v>102500</v>
      </c>
      <c r="F338" s="3" t="s">
        <v>465</v>
      </c>
      <c r="G338" s="57" t="str">
        <f t="shared" si="5"/>
        <v>-</v>
      </c>
    </row>
    <row r="339" spans="1:10" x14ac:dyDescent="0.2">
      <c r="A339" s="1" t="s">
        <v>39</v>
      </c>
      <c r="B339" s="2" t="s">
        <v>38</v>
      </c>
      <c r="C339" s="1"/>
      <c r="D339" s="5" t="s">
        <v>464</v>
      </c>
      <c r="E339" s="3">
        <v>102500</v>
      </c>
      <c r="F339" s="3" t="s">
        <v>465</v>
      </c>
      <c r="G339" s="57" t="str">
        <f t="shared" si="5"/>
        <v>-</v>
      </c>
    </row>
    <row r="340" spans="1:10" x14ac:dyDescent="0.2">
      <c r="A340" s="1" t="s">
        <v>39</v>
      </c>
      <c r="B340" s="2" t="s">
        <v>38</v>
      </c>
      <c r="C340" s="1"/>
      <c r="D340" s="5" t="s">
        <v>464</v>
      </c>
      <c r="E340" s="3" t="s">
        <v>465</v>
      </c>
      <c r="F340" s="3">
        <v>107500</v>
      </c>
      <c r="G340" s="57" t="str">
        <f t="shared" si="5"/>
        <v>-</v>
      </c>
    </row>
    <row r="341" spans="1:10" x14ac:dyDescent="0.2">
      <c r="A341" s="1" t="s">
        <v>39</v>
      </c>
      <c r="B341" s="2" t="s">
        <v>38</v>
      </c>
      <c r="C341" s="1"/>
      <c r="D341" s="5" t="s">
        <v>464</v>
      </c>
      <c r="E341" s="3" t="s">
        <v>465</v>
      </c>
      <c r="F341" s="3">
        <v>107500</v>
      </c>
      <c r="G341" s="57" t="str">
        <f t="shared" si="5"/>
        <v>-</v>
      </c>
    </row>
    <row r="342" spans="1:10" x14ac:dyDescent="0.2">
      <c r="A342" s="1" t="s">
        <v>39</v>
      </c>
      <c r="B342" s="2" t="s">
        <v>38</v>
      </c>
      <c r="C342" s="1"/>
      <c r="D342" s="5" t="s">
        <v>464</v>
      </c>
      <c r="E342" s="3">
        <v>107500</v>
      </c>
      <c r="F342" s="3" t="s">
        <v>465</v>
      </c>
      <c r="G342" s="57" t="str">
        <f t="shared" si="5"/>
        <v>-</v>
      </c>
    </row>
    <row r="343" spans="1:10" x14ac:dyDescent="0.2">
      <c r="A343" s="1" t="s">
        <v>39</v>
      </c>
      <c r="B343" s="2" t="s">
        <v>38</v>
      </c>
      <c r="C343" s="1"/>
      <c r="D343" s="5" t="s">
        <v>464</v>
      </c>
      <c r="E343" s="3" t="s">
        <v>465</v>
      </c>
      <c r="F343" s="3">
        <v>112500</v>
      </c>
      <c r="G343" s="57" t="str">
        <f t="shared" si="5"/>
        <v>-</v>
      </c>
    </row>
    <row r="344" spans="1:10" x14ac:dyDescent="0.2">
      <c r="A344" s="1" t="s">
        <v>39</v>
      </c>
      <c r="B344" s="2" t="s">
        <v>38</v>
      </c>
      <c r="C344" s="1"/>
      <c r="D344" s="5" t="s">
        <v>464</v>
      </c>
      <c r="E344" s="3" t="s">
        <v>465</v>
      </c>
      <c r="F344" s="3">
        <v>112500</v>
      </c>
      <c r="G344" s="57" t="str">
        <f t="shared" si="5"/>
        <v>-</v>
      </c>
    </row>
    <row r="345" spans="1:10" x14ac:dyDescent="0.2">
      <c r="A345" s="1" t="s">
        <v>39</v>
      </c>
      <c r="B345" s="2" t="s">
        <v>38</v>
      </c>
      <c r="C345" s="1"/>
      <c r="D345" s="5" t="s">
        <v>464</v>
      </c>
      <c r="E345" s="3">
        <v>117500</v>
      </c>
      <c r="F345" s="3" t="s">
        <v>465</v>
      </c>
      <c r="G345" s="57" t="str">
        <f t="shared" si="5"/>
        <v>-</v>
      </c>
    </row>
    <row r="346" spans="1:10" x14ac:dyDescent="0.2">
      <c r="A346" s="1" t="s">
        <v>39</v>
      </c>
      <c r="B346" s="2" t="s">
        <v>38</v>
      </c>
      <c r="C346" s="1"/>
      <c r="D346" s="5" t="s">
        <v>464</v>
      </c>
      <c r="E346" s="3" t="s">
        <v>465</v>
      </c>
      <c r="F346" s="3">
        <v>147500</v>
      </c>
      <c r="G346" s="57" t="str">
        <f t="shared" si="5"/>
        <v>-</v>
      </c>
    </row>
    <row r="347" spans="1:10" ht="25.5" x14ac:dyDescent="0.2">
      <c r="A347" s="1" t="s">
        <v>8</v>
      </c>
      <c r="B347" s="2" t="s">
        <v>40</v>
      </c>
      <c r="C347" s="1"/>
      <c r="D347" s="5" t="s">
        <v>450</v>
      </c>
      <c r="E347" s="3">
        <v>110064</v>
      </c>
      <c r="F347" s="3">
        <v>109699</v>
      </c>
      <c r="G347" s="57">
        <f t="shared" si="5"/>
        <v>-3.3162523622619565E-3</v>
      </c>
      <c r="J347" s="5" t="s">
        <v>1769</v>
      </c>
    </row>
    <row r="348" spans="1:10" ht="25.5" x14ac:dyDescent="0.2">
      <c r="A348" s="1" t="s">
        <v>8</v>
      </c>
      <c r="B348" s="2" t="s">
        <v>40</v>
      </c>
      <c r="C348" s="1"/>
      <c r="D348" s="5" t="s">
        <v>455</v>
      </c>
      <c r="E348" s="3">
        <v>102961</v>
      </c>
      <c r="F348" s="3">
        <v>102392</v>
      </c>
      <c r="G348" s="57">
        <f t="shared" si="5"/>
        <v>-5.526364351550587E-3</v>
      </c>
      <c r="J348" s="5" t="s">
        <v>1770</v>
      </c>
    </row>
    <row r="349" spans="1:10" ht="76.5" x14ac:dyDescent="0.2">
      <c r="A349" s="1" t="s">
        <v>6</v>
      </c>
      <c r="B349" s="2" t="s">
        <v>41</v>
      </c>
      <c r="C349" s="1" t="s">
        <v>1771</v>
      </c>
      <c r="D349" s="5" t="s">
        <v>4147</v>
      </c>
      <c r="E349" s="6">
        <v>183000</v>
      </c>
      <c r="F349" s="6">
        <v>183000</v>
      </c>
      <c r="G349" s="57">
        <f t="shared" si="5"/>
        <v>0</v>
      </c>
      <c r="J349" s="5" t="s">
        <v>4149</v>
      </c>
    </row>
    <row r="350" spans="1:10" s="13" customFormat="1" ht="25.5" x14ac:dyDescent="0.2">
      <c r="A350" s="1" t="s">
        <v>6</v>
      </c>
      <c r="B350" s="12" t="s">
        <v>41</v>
      </c>
      <c r="D350" s="7" t="s">
        <v>4148</v>
      </c>
      <c r="E350" s="6" t="s">
        <v>465</v>
      </c>
      <c r="F350" s="6">
        <v>145000</v>
      </c>
      <c r="G350" s="57" t="str">
        <f t="shared" si="5"/>
        <v>-</v>
      </c>
      <c r="H350" s="21"/>
      <c r="I350" s="21"/>
      <c r="J350" s="7" t="s">
        <v>1773</v>
      </c>
    </row>
    <row r="351" spans="1:10" x14ac:dyDescent="0.2">
      <c r="A351" s="1" t="s">
        <v>6</v>
      </c>
      <c r="B351" s="2" t="s">
        <v>41</v>
      </c>
      <c r="C351" s="1"/>
      <c r="D351" s="5" t="s">
        <v>1772</v>
      </c>
      <c r="E351" s="6">
        <v>145000</v>
      </c>
      <c r="F351" s="6" t="s">
        <v>465</v>
      </c>
      <c r="G351" s="57" t="str">
        <f t="shared" si="5"/>
        <v>-</v>
      </c>
    </row>
    <row r="352" spans="1:10" ht="27" customHeight="1" x14ac:dyDescent="0.2">
      <c r="A352" s="1" t="s">
        <v>6</v>
      </c>
      <c r="B352" s="2" t="s">
        <v>41</v>
      </c>
      <c r="C352" s="1"/>
      <c r="D352" s="5" t="s">
        <v>1774</v>
      </c>
      <c r="E352" s="6">
        <v>140000</v>
      </c>
      <c r="F352" s="6" t="s">
        <v>465</v>
      </c>
      <c r="G352" s="57" t="str">
        <f t="shared" si="5"/>
        <v>-</v>
      </c>
    </row>
    <row r="353" spans="1:10" x14ac:dyDescent="0.2">
      <c r="A353" s="1" t="s">
        <v>6</v>
      </c>
      <c r="B353" s="2" t="s">
        <v>41</v>
      </c>
      <c r="C353" s="1"/>
      <c r="D353" s="5" t="s">
        <v>496</v>
      </c>
      <c r="E353" s="6">
        <v>129000</v>
      </c>
      <c r="F353" s="6">
        <v>130000</v>
      </c>
      <c r="G353" s="57">
        <f t="shared" si="5"/>
        <v>7.7519379844961239E-3</v>
      </c>
      <c r="J353" s="5" t="s">
        <v>1776</v>
      </c>
    </row>
    <row r="354" spans="1:10" s="13" customFormat="1" ht="25.5" x14ac:dyDescent="0.2">
      <c r="A354" s="1" t="s">
        <v>6</v>
      </c>
      <c r="B354" s="12" t="s">
        <v>41</v>
      </c>
      <c r="D354" s="7" t="s">
        <v>1777</v>
      </c>
      <c r="E354" s="6">
        <v>126000</v>
      </c>
      <c r="F354" s="6">
        <v>174000</v>
      </c>
      <c r="G354" s="57">
        <f t="shared" si="5"/>
        <v>0.38095238095238093</v>
      </c>
      <c r="H354" s="21"/>
      <c r="I354" s="21"/>
      <c r="J354" s="7" t="s">
        <v>3708</v>
      </c>
    </row>
    <row r="355" spans="1:10" s="13" customFormat="1" ht="25.5" x14ac:dyDescent="0.2">
      <c r="A355" s="1" t="s">
        <v>6</v>
      </c>
      <c r="B355" s="12" t="s">
        <v>41</v>
      </c>
      <c r="D355" s="7" t="s">
        <v>1778</v>
      </c>
      <c r="E355" s="6">
        <v>126000</v>
      </c>
      <c r="F355" s="6">
        <v>160000</v>
      </c>
      <c r="G355" s="57">
        <f t="shared" si="5"/>
        <v>0.26984126984126983</v>
      </c>
      <c r="H355" s="21"/>
      <c r="I355" s="21"/>
      <c r="J355" s="7" t="s">
        <v>3709</v>
      </c>
    </row>
    <row r="356" spans="1:10" ht="25.5" x14ac:dyDescent="0.2">
      <c r="A356" s="1" t="s">
        <v>6</v>
      </c>
      <c r="B356" s="2" t="s">
        <v>41</v>
      </c>
      <c r="C356" s="1"/>
      <c r="D356" s="5" t="s">
        <v>4604</v>
      </c>
      <c r="E356" s="3">
        <v>119000</v>
      </c>
      <c r="F356" s="6">
        <v>111000</v>
      </c>
      <c r="G356" s="57">
        <f t="shared" si="5"/>
        <v>-6.7226890756302518E-2</v>
      </c>
      <c r="J356" s="5" t="s">
        <v>1779</v>
      </c>
    </row>
    <row r="357" spans="1:10" ht="25.5" x14ac:dyDescent="0.2">
      <c r="A357" s="1" t="s">
        <v>6</v>
      </c>
      <c r="B357" s="2" t="s">
        <v>41</v>
      </c>
      <c r="C357" s="1"/>
      <c r="D357" s="7" t="s">
        <v>3710</v>
      </c>
      <c r="E357" s="3">
        <v>114000</v>
      </c>
      <c r="F357" s="6">
        <v>124000</v>
      </c>
      <c r="G357" s="57">
        <f t="shared" si="5"/>
        <v>8.771929824561403E-2</v>
      </c>
      <c r="J357" s="5" t="s">
        <v>1780</v>
      </c>
    </row>
    <row r="358" spans="1:10" x14ac:dyDescent="0.2">
      <c r="A358" s="1" t="s">
        <v>6</v>
      </c>
      <c r="B358" s="2" t="s">
        <v>41</v>
      </c>
      <c r="C358" s="1"/>
      <c r="D358" s="5" t="s">
        <v>3749</v>
      </c>
      <c r="E358" s="3">
        <v>107000</v>
      </c>
      <c r="F358" s="6">
        <v>136000</v>
      </c>
      <c r="G358" s="57">
        <f t="shared" si="5"/>
        <v>0.27102803738317754</v>
      </c>
      <c r="J358" s="5" t="s">
        <v>1781</v>
      </c>
    </row>
    <row r="359" spans="1:10" x14ac:dyDescent="0.2">
      <c r="A359" s="1" t="s">
        <v>6</v>
      </c>
      <c r="B359" s="2" t="s">
        <v>41</v>
      </c>
      <c r="C359" s="1"/>
      <c r="D359" s="5" t="s">
        <v>1782</v>
      </c>
      <c r="E359" s="3">
        <v>106000</v>
      </c>
      <c r="F359" s="6">
        <v>105000</v>
      </c>
      <c r="G359" s="57">
        <f t="shared" si="5"/>
        <v>-9.433962264150943E-3</v>
      </c>
      <c r="J359" s="5" t="s">
        <v>1783</v>
      </c>
    </row>
    <row r="360" spans="1:10" s="13" customFormat="1" x14ac:dyDescent="0.2">
      <c r="A360" s="1" t="s">
        <v>6</v>
      </c>
      <c r="B360" s="12" t="s">
        <v>41</v>
      </c>
      <c r="D360" s="7" t="s">
        <v>3711</v>
      </c>
      <c r="E360" s="6" t="s">
        <v>465</v>
      </c>
      <c r="F360" s="6">
        <v>142000</v>
      </c>
      <c r="G360" s="57" t="str">
        <f t="shared" si="5"/>
        <v>-</v>
      </c>
      <c r="H360" s="21"/>
      <c r="I360" s="21"/>
      <c r="J360" s="7" t="s">
        <v>1775</v>
      </c>
    </row>
    <row r="361" spans="1:10" s="13" customFormat="1" ht="25.5" x14ac:dyDescent="0.2">
      <c r="A361" s="1" t="s">
        <v>6</v>
      </c>
      <c r="B361" s="12" t="s">
        <v>41</v>
      </c>
      <c r="D361" s="7" t="s">
        <v>3712</v>
      </c>
      <c r="E361" s="6">
        <v>97000</v>
      </c>
      <c r="F361" s="6">
        <v>130000</v>
      </c>
      <c r="G361" s="57">
        <f t="shared" si="5"/>
        <v>0.34020618556701032</v>
      </c>
      <c r="H361" s="21"/>
      <c r="I361" s="21"/>
      <c r="J361" s="7" t="s">
        <v>3713</v>
      </c>
    </row>
    <row r="362" spans="1:10" s="13" customFormat="1" ht="25.5" x14ac:dyDescent="0.2">
      <c r="A362" s="1" t="s">
        <v>6</v>
      </c>
      <c r="B362" s="12" t="s">
        <v>41</v>
      </c>
      <c r="D362" s="7" t="s">
        <v>3714</v>
      </c>
      <c r="E362" s="6">
        <v>86000</v>
      </c>
      <c r="F362" s="6">
        <v>117000</v>
      </c>
      <c r="G362" s="57">
        <f t="shared" si="5"/>
        <v>0.36046511627906974</v>
      </c>
      <c r="H362" s="21"/>
      <c r="I362" s="21"/>
      <c r="J362" s="7" t="s">
        <v>3715</v>
      </c>
    </row>
    <row r="363" spans="1:10" s="13" customFormat="1" x14ac:dyDescent="0.2">
      <c r="A363" s="1" t="s">
        <v>6</v>
      </c>
      <c r="B363" s="12" t="s">
        <v>41</v>
      </c>
      <c r="D363" s="7" t="s">
        <v>507</v>
      </c>
      <c r="E363" s="6">
        <v>83000</v>
      </c>
      <c r="F363" s="6">
        <v>105000</v>
      </c>
      <c r="G363" s="57">
        <f t="shared" si="5"/>
        <v>0.26506024096385544</v>
      </c>
      <c r="H363" s="21"/>
      <c r="I363" s="21"/>
      <c r="J363" s="7" t="s">
        <v>1783</v>
      </c>
    </row>
    <row r="364" spans="1:10" s="13" customFormat="1" ht="25.5" x14ac:dyDescent="0.2">
      <c r="A364" s="1" t="s">
        <v>6</v>
      </c>
      <c r="B364" s="12" t="s">
        <v>41</v>
      </c>
      <c r="D364" s="7" t="s">
        <v>3716</v>
      </c>
      <c r="E364" s="6">
        <v>91000</v>
      </c>
      <c r="F364" s="6">
        <v>101000</v>
      </c>
      <c r="G364" s="57">
        <f t="shared" si="5"/>
        <v>0.10989010989010989</v>
      </c>
      <c r="H364" s="21"/>
      <c r="I364" s="21"/>
      <c r="J364" s="7" t="s">
        <v>3717</v>
      </c>
    </row>
    <row r="365" spans="1:10" x14ac:dyDescent="0.2">
      <c r="A365" s="1" t="s">
        <v>6</v>
      </c>
      <c r="B365" s="2" t="s">
        <v>41</v>
      </c>
      <c r="C365" s="1"/>
      <c r="D365" s="5" t="s">
        <v>464</v>
      </c>
      <c r="G365" s="57" t="str">
        <f t="shared" si="5"/>
        <v>-</v>
      </c>
      <c r="H365" s="19" t="s">
        <v>465</v>
      </c>
      <c r="I365" s="19">
        <v>92500</v>
      </c>
      <c r="J365" s="5" t="s">
        <v>3718</v>
      </c>
    </row>
    <row r="366" spans="1:10" x14ac:dyDescent="0.2">
      <c r="A366" s="1" t="s">
        <v>6</v>
      </c>
      <c r="B366" s="2" t="s">
        <v>41</v>
      </c>
      <c r="C366" s="1"/>
      <c r="D366" s="5" t="s">
        <v>464</v>
      </c>
      <c r="G366" s="57" t="str">
        <f t="shared" si="5"/>
        <v>-</v>
      </c>
      <c r="H366" s="19" t="s">
        <v>465</v>
      </c>
      <c r="I366" s="19">
        <v>92500</v>
      </c>
      <c r="J366" s="5" t="s">
        <v>3718</v>
      </c>
    </row>
    <row r="367" spans="1:10" x14ac:dyDescent="0.2">
      <c r="A367" s="1" t="s">
        <v>6</v>
      </c>
      <c r="B367" s="2" t="s">
        <v>41</v>
      </c>
      <c r="C367" s="1"/>
      <c r="D367" s="5" t="s">
        <v>464</v>
      </c>
      <c r="G367" s="57" t="str">
        <f t="shared" si="5"/>
        <v>-</v>
      </c>
      <c r="H367" s="19">
        <v>97500</v>
      </c>
      <c r="I367" s="19" t="s">
        <v>465</v>
      </c>
      <c r="J367" s="5" t="s">
        <v>3718</v>
      </c>
    </row>
    <row r="368" spans="1:10" x14ac:dyDescent="0.2">
      <c r="A368" s="1" t="s">
        <v>6</v>
      </c>
      <c r="B368" s="2" t="s">
        <v>41</v>
      </c>
      <c r="C368" s="1"/>
      <c r="D368" s="5" t="s">
        <v>464</v>
      </c>
      <c r="E368" s="3" t="s">
        <v>465</v>
      </c>
      <c r="F368" s="3">
        <v>107500</v>
      </c>
      <c r="G368" s="57" t="str">
        <f t="shared" si="5"/>
        <v>-</v>
      </c>
      <c r="J368" s="5" t="s">
        <v>3718</v>
      </c>
    </row>
    <row r="369" spans="1:10" x14ac:dyDescent="0.2">
      <c r="A369" s="1" t="s">
        <v>6</v>
      </c>
      <c r="B369" s="2" t="s">
        <v>41</v>
      </c>
      <c r="C369" s="1"/>
      <c r="D369" s="5" t="s">
        <v>464</v>
      </c>
      <c r="E369" s="3">
        <v>112500</v>
      </c>
      <c r="F369" s="3" t="s">
        <v>465</v>
      </c>
      <c r="G369" s="57" t="str">
        <f t="shared" si="5"/>
        <v>-</v>
      </c>
      <c r="J369" s="5" t="s">
        <v>3718</v>
      </c>
    </row>
    <row r="370" spans="1:10" x14ac:dyDescent="0.2">
      <c r="A370" s="1" t="s">
        <v>6</v>
      </c>
      <c r="B370" s="2" t="s">
        <v>41</v>
      </c>
      <c r="C370" s="1"/>
      <c r="D370" s="5" t="s">
        <v>464</v>
      </c>
      <c r="E370" s="3" t="s">
        <v>465</v>
      </c>
      <c r="F370" s="3">
        <v>112500</v>
      </c>
      <c r="G370" s="57" t="str">
        <f t="shared" si="5"/>
        <v>-</v>
      </c>
      <c r="J370" s="5" t="s">
        <v>3718</v>
      </c>
    </row>
    <row r="371" spans="1:10" x14ac:dyDescent="0.2">
      <c r="A371" s="1" t="s">
        <v>6</v>
      </c>
      <c r="B371" s="2" t="s">
        <v>41</v>
      </c>
      <c r="C371" s="1"/>
      <c r="D371" s="5" t="s">
        <v>464</v>
      </c>
      <c r="E371" s="3">
        <v>142500</v>
      </c>
      <c r="F371" s="3" t="s">
        <v>465</v>
      </c>
      <c r="G371" s="57" t="str">
        <f t="shared" si="5"/>
        <v>-</v>
      </c>
      <c r="J371" s="5" t="s">
        <v>3718</v>
      </c>
    </row>
    <row r="372" spans="1:10" ht="25.5" x14ac:dyDescent="0.2">
      <c r="A372" s="1" t="s">
        <v>6</v>
      </c>
      <c r="B372" s="2" t="s">
        <v>42</v>
      </c>
      <c r="C372" s="1"/>
      <c r="D372" s="5" t="s">
        <v>450</v>
      </c>
      <c r="E372" s="3">
        <v>168039</v>
      </c>
      <c r="F372" s="3">
        <v>169350</v>
      </c>
      <c r="G372" s="57">
        <f t="shared" si="5"/>
        <v>7.8017603056433332E-3</v>
      </c>
      <c r="J372" s="5" t="s">
        <v>1784</v>
      </c>
    </row>
    <row r="373" spans="1:10" ht="25.5" x14ac:dyDescent="0.2">
      <c r="A373" s="1" t="s">
        <v>6</v>
      </c>
      <c r="B373" s="2" t="s">
        <v>42</v>
      </c>
      <c r="C373" s="1"/>
      <c r="D373" s="5" t="s">
        <v>463</v>
      </c>
      <c r="E373" s="3" t="s">
        <v>465</v>
      </c>
      <c r="F373" s="3">
        <v>110116</v>
      </c>
      <c r="G373" s="57" t="str">
        <f t="shared" si="5"/>
        <v>-</v>
      </c>
      <c r="J373" s="5" t="s">
        <v>3719</v>
      </c>
    </row>
    <row r="374" spans="1:10" ht="25.5" x14ac:dyDescent="0.2">
      <c r="A374" s="1" t="s">
        <v>6</v>
      </c>
      <c r="B374" s="2" t="s">
        <v>42</v>
      </c>
      <c r="C374" s="1"/>
      <c r="D374" s="5" t="s">
        <v>1785</v>
      </c>
      <c r="E374" s="3" t="s">
        <v>465</v>
      </c>
      <c r="F374" s="3">
        <v>148654</v>
      </c>
      <c r="G374" s="57" t="str">
        <f t="shared" si="5"/>
        <v>-</v>
      </c>
      <c r="J374" s="5" t="s">
        <v>1786</v>
      </c>
    </row>
    <row r="375" spans="1:10" ht="25.5" x14ac:dyDescent="0.2">
      <c r="A375" s="1" t="s">
        <v>6</v>
      </c>
      <c r="B375" s="2" t="s">
        <v>42</v>
      </c>
      <c r="C375" s="1"/>
      <c r="D375" s="5" t="s">
        <v>1787</v>
      </c>
      <c r="E375" s="3" t="s">
        <v>465</v>
      </c>
      <c r="F375" s="3">
        <v>129096</v>
      </c>
      <c r="G375" s="57" t="str">
        <f t="shared" si="5"/>
        <v>-</v>
      </c>
      <c r="J375" s="5" t="s">
        <v>1788</v>
      </c>
    </row>
    <row r="376" spans="1:10" s="13" customFormat="1" ht="38.25" x14ac:dyDescent="0.2">
      <c r="A376" s="1" t="s">
        <v>6</v>
      </c>
      <c r="B376" s="12" t="s">
        <v>42</v>
      </c>
      <c r="D376" s="7" t="s">
        <v>3720</v>
      </c>
      <c r="E376" s="6">
        <v>175995</v>
      </c>
      <c r="F376" s="6">
        <v>195304</v>
      </c>
      <c r="G376" s="57">
        <f t="shared" si="5"/>
        <v>0.10971334412909457</v>
      </c>
      <c r="H376" s="21"/>
      <c r="I376" s="21"/>
      <c r="J376" s="7" t="s">
        <v>4150</v>
      </c>
    </row>
    <row r="377" spans="1:10" s="13" customFormat="1" x14ac:dyDescent="0.2">
      <c r="A377" s="1" t="s">
        <v>6</v>
      </c>
      <c r="B377" s="12" t="s">
        <v>42</v>
      </c>
      <c r="D377" s="7" t="s">
        <v>3721</v>
      </c>
      <c r="E377" s="6">
        <v>338447</v>
      </c>
      <c r="F377" s="6" t="s">
        <v>465</v>
      </c>
      <c r="G377" s="57" t="str">
        <f t="shared" si="5"/>
        <v>-</v>
      </c>
      <c r="H377" s="21"/>
      <c r="I377" s="21"/>
      <c r="J377" s="7" t="s">
        <v>3661</v>
      </c>
    </row>
    <row r="378" spans="1:10" s="13" customFormat="1" x14ac:dyDescent="0.2">
      <c r="A378" s="1" t="s">
        <v>6</v>
      </c>
      <c r="B378" s="12" t="s">
        <v>42</v>
      </c>
      <c r="D378" s="7" t="s">
        <v>3722</v>
      </c>
      <c r="E378" s="6">
        <v>135862</v>
      </c>
      <c r="F378" s="6" t="s">
        <v>465</v>
      </c>
      <c r="G378" s="57" t="str">
        <f t="shared" si="5"/>
        <v>-</v>
      </c>
      <c r="H378" s="21"/>
      <c r="I378" s="21"/>
      <c r="J378" s="7"/>
    </row>
    <row r="379" spans="1:10" s="13" customFormat="1" x14ac:dyDescent="0.2">
      <c r="A379" s="1" t="s">
        <v>6</v>
      </c>
      <c r="B379" s="12" t="s">
        <v>42</v>
      </c>
      <c r="D379" s="7" t="s">
        <v>3723</v>
      </c>
      <c r="E379" s="6">
        <v>311864</v>
      </c>
      <c r="F379" s="6" t="s">
        <v>465</v>
      </c>
      <c r="G379" s="57" t="str">
        <f t="shared" si="5"/>
        <v>-</v>
      </c>
      <c r="H379" s="21"/>
      <c r="I379" s="21"/>
      <c r="J379" s="7" t="s">
        <v>3661</v>
      </c>
    </row>
    <row r="380" spans="1:10" s="13" customFormat="1" x14ac:dyDescent="0.2">
      <c r="A380" s="1" t="s">
        <v>6</v>
      </c>
      <c r="B380" s="12" t="s">
        <v>42</v>
      </c>
      <c r="D380" s="7" t="s">
        <v>3724</v>
      </c>
      <c r="E380" s="6">
        <v>120636</v>
      </c>
      <c r="F380" s="6" t="s">
        <v>465</v>
      </c>
      <c r="G380" s="57" t="str">
        <f t="shared" si="5"/>
        <v>-</v>
      </c>
      <c r="H380" s="21"/>
      <c r="I380" s="21"/>
      <c r="J380" s="7" t="s">
        <v>3661</v>
      </c>
    </row>
    <row r="381" spans="1:10" s="13" customFormat="1" x14ac:dyDescent="0.2">
      <c r="A381" s="1" t="s">
        <v>6</v>
      </c>
      <c r="B381" s="12" t="s">
        <v>42</v>
      </c>
      <c r="D381" s="7" t="s">
        <v>3725</v>
      </c>
      <c r="E381" s="6">
        <v>130021</v>
      </c>
      <c r="F381" s="6" t="s">
        <v>465</v>
      </c>
      <c r="G381" s="57" t="str">
        <f t="shared" si="5"/>
        <v>-</v>
      </c>
      <c r="H381" s="21"/>
      <c r="I381" s="21"/>
      <c r="J381" s="7"/>
    </row>
    <row r="382" spans="1:10" x14ac:dyDescent="0.2">
      <c r="A382" s="1" t="s">
        <v>6</v>
      </c>
      <c r="B382" s="2" t="s">
        <v>42</v>
      </c>
      <c r="C382" s="1"/>
      <c r="D382" s="5" t="s">
        <v>464</v>
      </c>
      <c r="G382" s="57" t="str">
        <f t="shared" si="5"/>
        <v>-</v>
      </c>
      <c r="H382" s="19">
        <v>92500</v>
      </c>
      <c r="I382" s="19" t="s">
        <v>465</v>
      </c>
      <c r="J382" s="5" t="s">
        <v>3718</v>
      </c>
    </row>
    <row r="383" spans="1:10" x14ac:dyDescent="0.2">
      <c r="A383" s="1" t="s">
        <v>6</v>
      </c>
      <c r="B383" s="2" t="s">
        <v>42</v>
      </c>
      <c r="C383" s="1"/>
      <c r="D383" s="5" t="s">
        <v>464</v>
      </c>
      <c r="G383" s="57" t="str">
        <f t="shared" si="5"/>
        <v>-</v>
      </c>
      <c r="H383" s="19">
        <v>92500</v>
      </c>
      <c r="I383" s="19" t="s">
        <v>465</v>
      </c>
      <c r="J383" s="5" t="s">
        <v>3718</v>
      </c>
    </row>
    <row r="384" spans="1:10" x14ac:dyDescent="0.2">
      <c r="A384" s="1" t="s">
        <v>6</v>
      </c>
      <c r="B384" s="2" t="s">
        <v>42</v>
      </c>
      <c r="C384" s="1"/>
      <c r="D384" s="5" t="s">
        <v>464</v>
      </c>
      <c r="G384" s="57" t="str">
        <f t="shared" si="5"/>
        <v>-</v>
      </c>
      <c r="H384" s="19">
        <v>92500</v>
      </c>
      <c r="I384" s="19" t="s">
        <v>465</v>
      </c>
      <c r="J384" s="5" t="s">
        <v>3718</v>
      </c>
    </row>
    <row r="385" spans="1:10" x14ac:dyDescent="0.2">
      <c r="A385" s="1" t="s">
        <v>6</v>
      </c>
      <c r="B385" s="2" t="s">
        <v>42</v>
      </c>
      <c r="C385" s="1"/>
      <c r="D385" s="5" t="s">
        <v>464</v>
      </c>
      <c r="G385" s="57" t="str">
        <f t="shared" si="5"/>
        <v>-</v>
      </c>
      <c r="H385" s="19" t="s">
        <v>465</v>
      </c>
      <c r="I385" s="19">
        <v>92500</v>
      </c>
      <c r="J385" s="5" t="s">
        <v>3718</v>
      </c>
    </row>
    <row r="386" spans="1:10" x14ac:dyDescent="0.2">
      <c r="A386" s="1" t="s">
        <v>6</v>
      </c>
      <c r="B386" s="2" t="s">
        <v>42</v>
      </c>
      <c r="C386" s="1"/>
      <c r="D386" s="5" t="s">
        <v>464</v>
      </c>
      <c r="G386" s="57" t="str">
        <f t="shared" si="5"/>
        <v>-</v>
      </c>
      <c r="H386" s="19" t="s">
        <v>465</v>
      </c>
      <c r="I386" s="19">
        <v>92500</v>
      </c>
      <c r="J386" s="5" t="s">
        <v>3718</v>
      </c>
    </row>
    <row r="387" spans="1:10" x14ac:dyDescent="0.2">
      <c r="A387" s="1" t="s">
        <v>6</v>
      </c>
      <c r="B387" s="2" t="s">
        <v>42</v>
      </c>
      <c r="C387" s="1"/>
      <c r="D387" s="5" t="s">
        <v>464</v>
      </c>
      <c r="G387" s="57" t="str">
        <f t="shared" ref="G387:G450" si="6">IF(ISERROR((F387-E387)/E387),"-",(F387-E387)/E387)</f>
        <v>-</v>
      </c>
      <c r="H387" s="19">
        <v>97500</v>
      </c>
      <c r="I387" s="19" t="s">
        <v>465</v>
      </c>
      <c r="J387" s="5" t="s">
        <v>3718</v>
      </c>
    </row>
    <row r="388" spans="1:10" x14ac:dyDescent="0.2">
      <c r="A388" s="1" t="s">
        <v>6</v>
      </c>
      <c r="B388" s="2" t="s">
        <v>42</v>
      </c>
      <c r="C388" s="1"/>
      <c r="D388" s="5" t="s">
        <v>464</v>
      </c>
      <c r="G388" s="57" t="str">
        <f t="shared" si="6"/>
        <v>-</v>
      </c>
      <c r="H388" s="19" t="s">
        <v>465</v>
      </c>
      <c r="I388" s="19">
        <v>97500</v>
      </c>
      <c r="J388" s="5" t="s">
        <v>3718</v>
      </c>
    </row>
    <row r="389" spans="1:10" x14ac:dyDescent="0.2">
      <c r="A389" s="1" t="s">
        <v>6</v>
      </c>
      <c r="B389" s="2" t="s">
        <v>42</v>
      </c>
      <c r="C389" s="1"/>
      <c r="D389" s="5" t="s">
        <v>464</v>
      </c>
      <c r="E389" s="3" t="s">
        <v>465</v>
      </c>
      <c r="F389" s="3">
        <v>102500</v>
      </c>
      <c r="G389" s="57" t="str">
        <f t="shared" si="6"/>
        <v>-</v>
      </c>
      <c r="J389" s="5" t="s">
        <v>3718</v>
      </c>
    </row>
    <row r="390" spans="1:10" x14ac:dyDescent="0.2">
      <c r="A390" s="1" t="s">
        <v>6</v>
      </c>
      <c r="B390" s="2" t="s">
        <v>42</v>
      </c>
      <c r="C390" s="1"/>
      <c r="D390" s="5" t="s">
        <v>464</v>
      </c>
      <c r="E390" s="3" t="s">
        <v>465</v>
      </c>
      <c r="F390" s="3">
        <v>107500</v>
      </c>
      <c r="G390" s="57" t="str">
        <f t="shared" si="6"/>
        <v>-</v>
      </c>
      <c r="J390" s="5" t="s">
        <v>3718</v>
      </c>
    </row>
    <row r="391" spans="1:10" x14ac:dyDescent="0.2">
      <c r="A391" s="1" t="s">
        <v>6</v>
      </c>
      <c r="B391" s="2" t="s">
        <v>42</v>
      </c>
      <c r="C391" s="1"/>
      <c r="D391" s="5" t="s">
        <v>464</v>
      </c>
      <c r="E391" s="3">
        <v>107500</v>
      </c>
      <c r="F391" s="3" t="s">
        <v>465</v>
      </c>
      <c r="G391" s="57" t="str">
        <f t="shared" si="6"/>
        <v>-</v>
      </c>
      <c r="J391" s="5" t="s">
        <v>3718</v>
      </c>
    </row>
    <row r="392" spans="1:10" x14ac:dyDescent="0.2">
      <c r="A392" s="1" t="s">
        <v>6</v>
      </c>
      <c r="B392" s="2" t="s">
        <v>42</v>
      </c>
      <c r="C392" s="1"/>
      <c r="D392" s="5" t="s">
        <v>464</v>
      </c>
      <c r="E392" s="3">
        <v>127500</v>
      </c>
      <c r="F392" s="3" t="s">
        <v>465</v>
      </c>
      <c r="G392" s="57" t="str">
        <f t="shared" si="6"/>
        <v>-</v>
      </c>
      <c r="J392" s="5" t="s">
        <v>3718</v>
      </c>
    </row>
    <row r="393" spans="1:10" x14ac:dyDescent="0.2">
      <c r="A393" s="1" t="s">
        <v>6</v>
      </c>
      <c r="B393" s="2" t="s">
        <v>42</v>
      </c>
      <c r="C393" s="1"/>
      <c r="D393" s="5" t="s">
        <v>464</v>
      </c>
      <c r="E393" s="3" t="s">
        <v>465</v>
      </c>
      <c r="F393" s="3">
        <v>132500</v>
      </c>
      <c r="G393" s="57" t="str">
        <f t="shared" si="6"/>
        <v>-</v>
      </c>
      <c r="J393" s="5" t="s">
        <v>3718</v>
      </c>
    </row>
    <row r="394" spans="1:10" x14ac:dyDescent="0.2">
      <c r="A394" s="1" t="s">
        <v>6</v>
      </c>
      <c r="B394" s="2" t="s">
        <v>42</v>
      </c>
      <c r="C394" s="1"/>
      <c r="D394" s="5" t="s">
        <v>464</v>
      </c>
      <c r="E394" s="3">
        <v>152500</v>
      </c>
      <c r="F394" s="3" t="s">
        <v>465</v>
      </c>
      <c r="G394" s="57" t="str">
        <f t="shared" si="6"/>
        <v>-</v>
      </c>
      <c r="J394" s="5" t="s">
        <v>3718</v>
      </c>
    </row>
    <row r="395" spans="1:10" ht="25.5" x14ac:dyDescent="0.2">
      <c r="A395" s="1" t="s">
        <v>44</v>
      </c>
      <c r="B395" s="2" t="s">
        <v>43</v>
      </c>
      <c r="C395" s="1"/>
      <c r="D395" s="5" t="s">
        <v>450</v>
      </c>
      <c r="E395" s="3">
        <v>141175</v>
      </c>
      <c r="F395" s="3">
        <v>163624</v>
      </c>
      <c r="G395" s="57">
        <f t="shared" si="6"/>
        <v>0.15901540641048345</v>
      </c>
      <c r="J395" s="5" t="s">
        <v>1789</v>
      </c>
    </row>
    <row r="396" spans="1:10" s="13" customFormat="1" ht="39" customHeight="1" x14ac:dyDescent="0.2">
      <c r="A396" s="1" t="s">
        <v>44</v>
      </c>
      <c r="B396" s="12" t="s">
        <v>43</v>
      </c>
      <c r="D396" s="7" t="s">
        <v>690</v>
      </c>
      <c r="E396" s="6" t="s">
        <v>465</v>
      </c>
      <c r="F396" s="6">
        <v>100325</v>
      </c>
      <c r="G396" s="57" t="str">
        <f t="shared" si="6"/>
        <v>-</v>
      </c>
      <c r="H396" s="21"/>
      <c r="I396" s="21"/>
      <c r="J396" s="7" t="s">
        <v>4151</v>
      </c>
    </row>
    <row r="397" spans="1:10" s="13" customFormat="1" ht="25.5" x14ac:dyDescent="0.2">
      <c r="A397" s="1" t="s">
        <v>44</v>
      </c>
      <c r="B397" s="12" t="s">
        <v>43</v>
      </c>
      <c r="D397" s="7" t="s">
        <v>942</v>
      </c>
      <c r="E397" s="6" t="s">
        <v>465</v>
      </c>
      <c r="F397" s="6">
        <v>100891</v>
      </c>
      <c r="G397" s="57" t="str">
        <f t="shared" si="6"/>
        <v>-</v>
      </c>
      <c r="H397" s="21"/>
      <c r="I397" s="21"/>
      <c r="J397" s="7" t="s">
        <v>3726</v>
      </c>
    </row>
    <row r="398" spans="1:10" s="13" customFormat="1" ht="25.5" x14ac:dyDescent="0.2">
      <c r="A398" s="1" t="s">
        <v>44</v>
      </c>
      <c r="B398" s="12" t="s">
        <v>43</v>
      </c>
      <c r="D398" s="7" t="s">
        <v>463</v>
      </c>
      <c r="E398" s="6" t="s">
        <v>465</v>
      </c>
      <c r="F398" s="6">
        <v>101110</v>
      </c>
      <c r="G398" s="57" t="str">
        <f t="shared" si="6"/>
        <v>-</v>
      </c>
      <c r="H398" s="21"/>
      <c r="I398" s="21"/>
      <c r="J398" s="7" t="s">
        <v>3727</v>
      </c>
    </row>
    <row r="399" spans="1:10" s="13" customFormat="1" ht="38.25" x14ac:dyDescent="0.2">
      <c r="A399" s="1" t="s">
        <v>44</v>
      </c>
      <c r="B399" s="12" t="s">
        <v>43</v>
      </c>
      <c r="D399" s="7" t="s">
        <v>1790</v>
      </c>
      <c r="E399" s="6">
        <v>123707</v>
      </c>
      <c r="F399" s="6">
        <v>6523</v>
      </c>
      <c r="G399" s="57">
        <f t="shared" si="6"/>
        <v>-0.94727056674238319</v>
      </c>
      <c r="H399" s="21"/>
      <c r="I399" s="21"/>
      <c r="J399" s="7" t="s">
        <v>4152</v>
      </c>
    </row>
    <row r="400" spans="1:10" s="13" customFormat="1" x14ac:dyDescent="0.2">
      <c r="A400" s="1" t="s">
        <v>44</v>
      </c>
      <c r="B400" s="12" t="s">
        <v>43</v>
      </c>
      <c r="D400" s="7" t="s">
        <v>3728</v>
      </c>
      <c r="E400" s="6">
        <v>197057</v>
      </c>
      <c r="F400" s="6" t="s">
        <v>465</v>
      </c>
      <c r="G400" s="57" t="str">
        <f t="shared" si="6"/>
        <v>-</v>
      </c>
      <c r="H400" s="21"/>
      <c r="I400" s="21"/>
      <c r="J400" s="7" t="s">
        <v>3729</v>
      </c>
    </row>
    <row r="401" spans="1:10" s="13" customFormat="1" ht="13.5" customHeight="1" x14ac:dyDescent="0.2">
      <c r="A401" s="1" t="s">
        <v>44</v>
      </c>
      <c r="B401" s="12" t="s">
        <v>43</v>
      </c>
      <c r="D401" s="7" t="s">
        <v>3730</v>
      </c>
      <c r="E401" s="6">
        <v>100663</v>
      </c>
      <c r="F401" s="6" t="s">
        <v>465</v>
      </c>
      <c r="G401" s="57" t="str">
        <f t="shared" si="6"/>
        <v>-</v>
      </c>
      <c r="H401" s="21"/>
      <c r="I401" s="21"/>
      <c r="J401" s="7"/>
    </row>
    <row r="402" spans="1:10" s="13" customFormat="1" ht="13.5" customHeight="1" x14ac:dyDescent="0.2">
      <c r="A402" s="1" t="s">
        <v>44</v>
      </c>
      <c r="B402" s="12" t="s">
        <v>43</v>
      </c>
      <c r="D402" s="7" t="s">
        <v>3660</v>
      </c>
      <c r="E402" s="6">
        <v>100780</v>
      </c>
      <c r="F402" s="6" t="s">
        <v>465</v>
      </c>
      <c r="G402" s="57" t="str">
        <f t="shared" si="6"/>
        <v>-</v>
      </c>
      <c r="H402" s="21"/>
      <c r="I402" s="21"/>
      <c r="J402" s="7"/>
    </row>
    <row r="403" spans="1:10" ht="13.5" customHeight="1" x14ac:dyDescent="0.2">
      <c r="A403" s="1" t="s">
        <v>44</v>
      </c>
      <c r="B403" s="2" t="s">
        <v>43</v>
      </c>
      <c r="C403" s="1"/>
      <c r="D403" s="5" t="s">
        <v>464</v>
      </c>
      <c r="E403" s="3" t="s">
        <v>465</v>
      </c>
      <c r="F403" s="3">
        <v>127500</v>
      </c>
      <c r="G403" s="57" t="str">
        <f t="shared" si="6"/>
        <v>-</v>
      </c>
      <c r="J403" s="7" t="s">
        <v>539</v>
      </c>
    </row>
    <row r="404" spans="1:10" ht="25.5" x14ac:dyDescent="0.2">
      <c r="A404" s="1" t="s">
        <v>8</v>
      </c>
      <c r="B404" s="2" t="s">
        <v>45</v>
      </c>
      <c r="C404" s="1"/>
      <c r="D404" s="5" t="s">
        <v>450</v>
      </c>
      <c r="E404" s="3">
        <v>110869</v>
      </c>
      <c r="F404" s="3">
        <v>112848</v>
      </c>
      <c r="G404" s="57">
        <f t="shared" si="6"/>
        <v>1.7849894921032932E-2</v>
      </c>
      <c r="J404" s="5" t="s">
        <v>1791</v>
      </c>
    </row>
    <row r="405" spans="1:10" x14ac:dyDescent="0.2">
      <c r="A405" s="1" t="s">
        <v>6</v>
      </c>
      <c r="B405" s="2" t="s">
        <v>46</v>
      </c>
      <c r="C405" s="1" t="s">
        <v>1792</v>
      </c>
      <c r="D405" s="5" t="s">
        <v>450</v>
      </c>
      <c r="E405" s="3">
        <v>190647</v>
      </c>
      <c r="F405" s="3">
        <v>196860</v>
      </c>
      <c r="G405" s="57">
        <f t="shared" si="6"/>
        <v>3.2589025791121815E-2</v>
      </c>
      <c r="J405" s="5" t="s">
        <v>1793</v>
      </c>
    </row>
    <row r="406" spans="1:10" x14ac:dyDescent="0.2">
      <c r="A406" s="1" t="s">
        <v>6</v>
      </c>
      <c r="B406" s="2" t="s">
        <v>46</v>
      </c>
      <c r="C406" s="1"/>
      <c r="D406" s="5" t="s">
        <v>854</v>
      </c>
      <c r="E406" s="3">
        <v>151039</v>
      </c>
      <c r="F406" s="3">
        <v>153435</v>
      </c>
      <c r="G406" s="57">
        <f t="shared" si="6"/>
        <v>1.5863452485781818E-2</v>
      </c>
      <c r="J406" s="5" t="s">
        <v>1794</v>
      </c>
    </row>
    <row r="407" spans="1:10" x14ac:dyDescent="0.2">
      <c r="A407" s="1" t="s">
        <v>6</v>
      </c>
      <c r="B407" s="2" t="s">
        <v>46</v>
      </c>
      <c r="C407" s="1"/>
      <c r="D407" s="5" t="s">
        <v>562</v>
      </c>
      <c r="E407" s="3">
        <v>148101</v>
      </c>
      <c r="F407" s="3">
        <v>150540</v>
      </c>
      <c r="G407" s="57">
        <f t="shared" si="6"/>
        <v>1.6468491097291715E-2</v>
      </c>
      <c r="J407" s="5" t="s">
        <v>1795</v>
      </c>
    </row>
    <row r="408" spans="1:10" x14ac:dyDescent="0.2">
      <c r="A408" s="1" t="s">
        <v>6</v>
      </c>
      <c r="B408" s="2" t="s">
        <v>46</v>
      </c>
      <c r="C408" s="1"/>
      <c r="D408" s="5" t="s">
        <v>1796</v>
      </c>
      <c r="E408" s="3">
        <v>122873</v>
      </c>
      <c r="F408" s="3">
        <v>150540</v>
      </c>
      <c r="G408" s="57">
        <f t="shared" si="6"/>
        <v>0.22516744931758809</v>
      </c>
      <c r="J408" s="5" t="s">
        <v>1795</v>
      </c>
    </row>
    <row r="409" spans="1:10" x14ac:dyDescent="0.2">
      <c r="A409" s="1" t="s">
        <v>6</v>
      </c>
      <c r="B409" s="2" t="s">
        <v>46</v>
      </c>
      <c r="C409" s="1"/>
      <c r="D409" s="5" t="s">
        <v>1797</v>
      </c>
      <c r="E409" s="3">
        <v>148502</v>
      </c>
      <c r="F409" s="3">
        <v>150540</v>
      </c>
      <c r="G409" s="57">
        <f t="shared" si="6"/>
        <v>1.372372089264791E-2</v>
      </c>
      <c r="J409" s="5" t="s">
        <v>1795</v>
      </c>
    </row>
    <row r="410" spans="1:10" x14ac:dyDescent="0.2">
      <c r="A410" s="1" t="s">
        <v>6</v>
      </c>
      <c r="B410" s="2" t="s">
        <v>46</v>
      </c>
      <c r="C410" s="1"/>
      <c r="D410" s="5" t="s">
        <v>476</v>
      </c>
      <c r="E410" s="3">
        <v>148773</v>
      </c>
      <c r="F410" s="3">
        <v>127380</v>
      </c>
      <c r="G410" s="57">
        <f t="shared" si="6"/>
        <v>-0.14379625335242283</v>
      </c>
      <c r="J410" s="5" t="s">
        <v>1798</v>
      </c>
    </row>
    <row r="411" spans="1:10" x14ac:dyDescent="0.2">
      <c r="A411" s="1" t="s">
        <v>6</v>
      </c>
      <c r="B411" s="2" t="s">
        <v>46</v>
      </c>
      <c r="C411" s="1"/>
      <c r="D411" s="5" t="s">
        <v>1799</v>
      </c>
      <c r="E411" s="3">
        <v>125836</v>
      </c>
      <c r="F411" s="3">
        <v>127380</v>
      </c>
      <c r="G411" s="57">
        <f t="shared" si="6"/>
        <v>1.2269938650306749E-2</v>
      </c>
      <c r="J411" s="5" t="s">
        <v>1798</v>
      </c>
    </row>
    <row r="412" spans="1:10" x14ac:dyDescent="0.2">
      <c r="A412" s="1" t="s">
        <v>6</v>
      </c>
      <c r="B412" s="2" t="s">
        <v>46</v>
      </c>
      <c r="C412" s="1"/>
      <c r="D412" s="5" t="s">
        <v>464</v>
      </c>
      <c r="G412" s="57" t="str">
        <f t="shared" si="6"/>
        <v>-</v>
      </c>
      <c r="H412" s="19" t="s">
        <v>465</v>
      </c>
      <c r="I412" s="19">
        <v>92500</v>
      </c>
    </row>
    <row r="413" spans="1:10" x14ac:dyDescent="0.2">
      <c r="A413" s="1" t="s">
        <v>6</v>
      </c>
      <c r="B413" s="2" t="s">
        <v>46</v>
      </c>
      <c r="C413" s="1"/>
      <c r="D413" s="5" t="s">
        <v>464</v>
      </c>
      <c r="E413" s="3">
        <v>107500</v>
      </c>
      <c r="F413" s="3" t="s">
        <v>465</v>
      </c>
      <c r="G413" s="57" t="str">
        <f t="shared" si="6"/>
        <v>-</v>
      </c>
    </row>
    <row r="414" spans="1:10" x14ac:dyDescent="0.2">
      <c r="A414" s="1" t="s">
        <v>6</v>
      </c>
      <c r="B414" s="2" t="s">
        <v>46</v>
      </c>
      <c r="C414" s="1"/>
      <c r="D414" s="5" t="s">
        <v>464</v>
      </c>
      <c r="E414" s="3">
        <v>107500</v>
      </c>
      <c r="F414" s="3" t="s">
        <v>465</v>
      </c>
      <c r="G414" s="57" t="str">
        <f t="shared" si="6"/>
        <v>-</v>
      </c>
    </row>
    <row r="415" spans="1:10" x14ac:dyDescent="0.2">
      <c r="A415" s="1" t="s">
        <v>6</v>
      </c>
      <c r="B415" s="2" t="s">
        <v>46</v>
      </c>
      <c r="C415" s="1"/>
      <c r="D415" s="5" t="s">
        <v>464</v>
      </c>
      <c r="E415" s="3" t="s">
        <v>465</v>
      </c>
      <c r="F415" s="3">
        <v>112500</v>
      </c>
      <c r="G415" s="57" t="str">
        <f t="shared" si="6"/>
        <v>-</v>
      </c>
    </row>
    <row r="416" spans="1:10" x14ac:dyDescent="0.2">
      <c r="A416" s="1" t="s">
        <v>6</v>
      </c>
      <c r="B416" s="2" t="s">
        <v>46</v>
      </c>
      <c r="C416" s="1"/>
      <c r="D416" s="5" t="s">
        <v>464</v>
      </c>
      <c r="E416" s="3" t="s">
        <v>465</v>
      </c>
      <c r="F416" s="3">
        <v>112500</v>
      </c>
      <c r="G416" s="57" t="str">
        <f t="shared" si="6"/>
        <v>-</v>
      </c>
    </row>
    <row r="417" spans="1:10" x14ac:dyDescent="0.2">
      <c r="A417" s="1" t="s">
        <v>6</v>
      </c>
      <c r="B417" s="2" t="s">
        <v>46</v>
      </c>
      <c r="C417" s="1"/>
      <c r="D417" s="5" t="s">
        <v>464</v>
      </c>
      <c r="E417" s="3" t="s">
        <v>465</v>
      </c>
      <c r="F417" s="3">
        <v>122500</v>
      </c>
      <c r="G417" s="57" t="str">
        <f t="shared" si="6"/>
        <v>-</v>
      </c>
    </row>
    <row r="418" spans="1:10" x14ac:dyDescent="0.2">
      <c r="A418" s="1" t="s">
        <v>6</v>
      </c>
      <c r="B418" s="2" t="s">
        <v>46</v>
      </c>
      <c r="C418" s="1"/>
      <c r="D418" s="5" t="s">
        <v>464</v>
      </c>
      <c r="E418" s="3" t="s">
        <v>465</v>
      </c>
      <c r="F418" s="3">
        <v>127500</v>
      </c>
      <c r="G418" s="57" t="str">
        <f t="shared" si="6"/>
        <v>-</v>
      </c>
    </row>
    <row r="419" spans="1:10" x14ac:dyDescent="0.2">
      <c r="A419" s="1" t="s">
        <v>6</v>
      </c>
      <c r="B419" s="2" t="s">
        <v>46</v>
      </c>
      <c r="C419" s="1"/>
      <c r="D419" s="5" t="s">
        <v>464</v>
      </c>
      <c r="E419" s="3" t="s">
        <v>465</v>
      </c>
      <c r="F419" s="3">
        <v>127500</v>
      </c>
      <c r="G419" s="57" t="str">
        <f t="shared" si="6"/>
        <v>-</v>
      </c>
    </row>
    <row r="420" spans="1:10" x14ac:dyDescent="0.2">
      <c r="A420" s="1" t="s">
        <v>6</v>
      </c>
      <c r="B420" s="2" t="s">
        <v>46</v>
      </c>
      <c r="C420" s="1"/>
      <c r="D420" s="5" t="s">
        <v>464</v>
      </c>
      <c r="E420" s="3" t="s">
        <v>465</v>
      </c>
      <c r="F420" s="3">
        <v>127500</v>
      </c>
      <c r="G420" s="57" t="str">
        <f t="shared" si="6"/>
        <v>-</v>
      </c>
    </row>
    <row r="421" spans="1:10" x14ac:dyDescent="0.2">
      <c r="A421" s="1" t="s">
        <v>6</v>
      </c>
      <c r="B421" s="2" t="s">
        <v>46</v>
      </c>
      <c r="C421" s="1"/>
      <c r="D421" s="5" t="s">
        <v>464</v>
      </c>
      <c r="E421" s="3">
        <v>127500</v>
      </c>
      <c r="F421" s="3" t="s">
        <v>465</v>
      </c>
      <c r="G421" s="57" t="str">
        <f t="shared" si="6"/>
        <v>-</v>
      </c>
    </row>
    <row r="422" spans="1:10" x14ac:dyDescent="0.2">
      <c r="A422" s="1" t="s">
        <v>6</v>
      </c>
      <c r="B422" s="2" t="s">
        <v>46</v>
      </c>
      <c r="C422" s="1"/>
      <c r="D422" s="5" t="s">
        <v>464</v>
      </c>
      <c r="E422" s="3">
        <v>127500</v>
      </c>
      <c r="F422" s="3" t="s">
        <v>465</v>
      </c>
      <c r="G422" s="57" t="str">
        <f t="shared" si="6"/>
        <v>-</v>
      </c>
    </row>
    <row r="423" spans="1:10" x14ac:dyDescent="0.2">
      <c r="A423" s="1" t="s">
        <v>6</v>
      </c>
      <c r="B423" s="2" t="s">
        <v>46</v>
      </c>
      <c r="C423" s="1"/>
      <c r="D423" s="5" t="s">
        <v>464</v>
      </c>
      <c r="E423" s="3">
        <v>127500</v>
      </c>
      <c r="F423" s="3" t="s">
        <v>465</v>
      </c>
      <c r="G423" s="57" t="str">
        <f t="shared" si="6"/>
        <v>-</v>
      </c>
    </row>
    <row r="424" spans="1:10" x14ac:dyDescent="0.2">
      <c r="A424" s="1" t="s">
        <v>6</v>
      </c>
      <c r="B424" s="2" t="s">
        <v>46</v>
      </c>
      <c r="C424" s="1"/>
      <c r="D424" s="5" t="s">
        <v>464</v>
      </c>
      <c r="E424" s="3">
        <v>132500</v>
      </c>
      <c r="F424" s="3" t="s">
        <v>465</v>
      </c>
      <c r="G424" s="57" t="str">
        <f t="shared" si="6"/>
        <v>-</v>
      </c>
    </row>
    <row r="425" spans="1:10" x14ac:dyDescent="0.2">
      <c r="A425" s="1" t="s">
        <v>6</v>
      </c>
      <c r="B425" s="2" t="s">
        <v>46</v>
      </c>
      <c r="C425" s="1"/>
      <c r="D425" s="5" t="s">
        <v>464</v>
      </c>
      <c r="E425" s="3" t="s">
        <v>465</v>
      </c>
      <c r="F425" s="3">
        <v>132500</v>
      </c>
      <c r="G425" s="57" t="str">
        <f t="shared" si="6"/>
        <v>-</v>
      </c>
    </row>
    <row r="426" spans="1:10" x14ac:dyDescent="0.2">
      <c r="A426" s="1" t="s">
        <v>6</v>
      </c>
      <c r="B426" s="2" t="s">
        <v>46</v>
      </c>
      <c r="C426" s="1"/>
      <c r="D426" s="5" t="s">
        <v>464</v>
      </c>
      <c r="E426" s="3">
        <v>167500</v>
      </c>
      <c r="F426" s="3" t="s">
        <v>465</v>
      </c>
      <c r="G426" s="57" t="str">
        <f t="shared" si="6"/>
        <v>-</v>
      </c>
    </row>
    <row r="427" spans="1:10" x14ac:dyDescent="0.2">
      <c r="A427" s="1" t="s">
        <v>6</v>
      </c>
      <c r="B427" s="2" t="s">
        <v>46</v>
      </c>
      <c r="C427" s="1"/>
      <c r="D427" s="5" t="s">
        <v>464</v>
      </c>
      <c r="E427" s="3" t="s">
        <v>465</v>
      </c>
      <c r="F427" s="3">
        <v>172500</v>
      </c>
      <c r="G427" s="57" t="str">
        <f t="shared" si="6"/>
        <v>-</v>
      </c>
    </row>
    <row r="428" spans="1:10" ht="40.5" customHeight="1" x14ac:dyDescent="0.2">
      <c r="A428" s="1" t="s">
        <v>8</v>
      </c>
      <c r="B428" s="2" t="s">
        <v>47</v>
      </c>
      <c r="C428" s="1"/>
      <c r="D428" s="5" t="s">
        <v>450</v>
      </c>
      <c r="E428" s="3">
        <v>91932</v>
      </c>
      <c r="F428" s="3">
        <v>107700</v>
      </c>
      <c r="G428" s="57">
        <f t="shared" si="6"/>
        <v>0.17151807857981988</v>
      </c>
      <c r="J428" s="5" t="s">
        <v>4153</v>
      </c>
    </row>
    <row r="429" spans="1:10" x14ac:dyDescent="0.2">
      <c r="A429" s="1" t="s">
        <v>8</v>
      </c>
      <c r="B429" s="2" t="s">
        <v>47</v>
      </c>
      <c r="C429" s="1"/>
      <c r="D429" s="5" t="s">
        <v>504</v>
      </c>
      <c r="E429" s="3">
        <v>101751</v>
      </c>
      <c r="F429" s="3" t="s">
        <v>465</v>
      </c>
      <c r="G429" s="57" t="str">
        <f t="shared" si="6"/>
        <v>-</v>
      </c>
    </row>
    <row r="430" spans="1:10" s="13" customFormat="1" ht="25.5" x14ac:dyDescent="0.2">
      <c r="A430" s="13" t="s">
        <v>34</v>
      </c>
      <c r="B430" s="12" t="s">
        <v>48</v>
      </c>
      <c r="D430" s="7" t="s">
        <v>450</v>
      </c>
      <c r="E430" s="6">
        <v>149343</v>
      </c>
      <c r="F430" s="6">
        <v>149749</v>
      </c>
      <c r="G430" s="57">
        <f t="shared" si="6"/>
        <v>2.7185740208781127E-3</v>
      </c>
      <c r="H430" s="21"/>
      <c r="I430" s="21"/>
      <c r="J430" s="7" t="s">
        <v>3731</v>
      </c>
    </row>
    <row r="431" spans="1:10" x14ac:dyDescent="0.2">
      <c r="A431" s="13" t="s">
        <v>34</v>
      </c>
      <c r="B431" s="2" t="s">
        <v>48</v>
      </c>
      <c r="C431" s="1"/>
      <c r="D431" s="5" t="s">
        <v>1800</v>
      </c>
      <c r="E431" s="6">
        <v>58149</v>
      </c>
      <c r="F431" s="3">
        <v>149995</v>
      </c>
      <c r="G431" s="57">
        <f t="shared" si="6"/>
        <v>1.5794940583672978</v>
      </c>
      <c r="J431" s="5" t="s">
        <v>1801</v>
      </c>
    </row>
    <row r="432" spans="1:10" ht="25.5" x14ac:dyDescent="0.2">
      <c r="A432" s="13" t="s">
        <v>34</v>
      </c>
      <c r="B432" s="2" t="s">
        <v>48</v>
      </c>
      <c r="C432" s="1"/>
      <c r="D432" s="5" t="s">
        <v>1802</v>
      </c>
      <c r="E432" s="6">
        <v>125628</v>
      </c>
      <c r="F432" s="3">
        <v>124822</v>
      </c>
      <c r="G432" s="57">
        <f t="shared" si="6"/>
        <v>-6.4157671856592477E-3</v>
      </c>
      <c r="J432" s="5" t="s">
        <v>1803</v>
      </c>
    </row>
    <row r="433" spans="1:10" ht="25.5" x14ac:dyDescent="0.2">
      <c r="A433" s="13" t="s">
        <v>34</v>
      </c>
      <c r="B433" s="2" t="s">
        <v>48</v>
      </c>
      <c r="C433" s="1"/>
      <c r="D433" s="5" t="s">
        <v>1804</v>
      </c>
      <c r="E433" s="6">
        <v>123817</v>
      </c>
      <c r="F433" s="3">
        <v>124949</v>
      </c>
      <c r="G433" s="57">
        <f t="shared" si="6"/>
        <v>9.1425248552298964E-3</v>
      </c>
      <c r="J433" s="5" t="s">
        <v>1805</v>
      </c>
    </row>
    <row r="434" spans="1:10" ht="25.5" x14ac:dyDescent="0.2">
      <c r="A434" s="13" t="s">
        <v>34</v>
      </c>
      <c r="B434" s="2" t="s">
        <v>48</v>
      </c>
      <c r="C434" s="1"/>
      <c r="D434" s="5" t="s">
        <v>1806</v>
      </c>
      <c r="E434" s="6">
        <v>123817</v>
      </c>
      <c r="F434" s="3">
        <v>123514</v>
      </c>
      <c r="G434" s="57">
        <f t="shared" si="6"/>
        <v>-2.4471599214970479E-3</v>
      </c>
      <c r="J434" s="5" t="s">
        <v>1807</v>
      </c>
    </row>
    <row r="435" spans="1:10" s="13" customFormat="1" ht="25.5" x14ac:dyDescent="0.2">
      <c r="A435" s="13" t="s">
        <v>34</v>
      </c>
      <c r="B435" s="12" t="s">
        <v>48</v>
      </c>
      <c r="D435" s="7" t="s">
        <v>3732</v>
      </c>
      <c r="E435" s="6">
        <v>87903</v>
      </c>
      <c r="F435" s="6">
        <v>104106</v>
      </c>
      <c r="G435" s="57">
        <f t="shared" si="6"/>
        <v>0.1843281799255998</v>
      </c>
      <c r="H435" s="21"/>
      <c r="I435" s="21"/>
      <c r="J435" s="7" t="s">
        <v>1808</v>
      </c>
    </row>
    <row r="436" spans="1:10" s="13" customFormat="1" ht="25.5" x14ac:dyDescent="0.2">
      <c r="A436" s="13" t="s">
        <v>34</v>
      </c>
      <c r="B436" s="12" t="s">
        <v>48</v>
      </c>
      <c r="D436" s="7" t="s">
        <v>3733</v>
      </c>
      <c r="E436" s="6" t="s">
        <v>465</v>
      </c>
      <c r="F436" s="6">
        <v>100275</v>
      </c>
      <c r="G436" s="57" t="str">
        <f t="shared" si="6"/>
        <v>-</v>
      </c>
      <c r="H436" s="21"/>
      <c r="I436" s="21"/>
      <c r="J436" s="7" t="s">
        <v>3734</v>
      </c>
    </row>
    <row r="437" spans="1:10" s="13" customFormat="1" ht="25.5" x14ac:dyDescent="0.2">
      <c r="A437" s="13" t="s">
        <v>34</v>
      </c>
      <c r="B437" s="12" t="s">
        <v>48</v>
      </c>
      <c r="D437" s="7" t="s">
        <v>3733</v>
      </c>
      <c r="E437" s="6">
        <v>265842</v>
      </c>
      <c r="F437" s="6" t="s">
        <v>465</v>
      </c>
      <c r="G437" s="57" t="str">
        <f t="shared" si="6"/>
        <v>-</v>
      </c>
      <c r="H437" s="21"/>
      <c r="I437" s="21"/>
      <c r="J437" s="7" t="s">
        <v>4154</v>
      </c>
    </row>
    <row r="438" spans="1:10" s="13" customFormat="1" ht="25.5" x14ac:dyDescent="0.2">
      <c r="A438" s="13" t="s">
        <v>34</v>
      </c>
      <c r="B438" s="12" t="s">
        <v>48</v>
      </c>
      <c r="D438" s="7" t="s">
        <v>3735</v>
      </c>
      <c r="E438" s="6">
        <v>84950</v>
      </c>
      <c r="F438" s="6">
        <v>101478</v>
      </c>
      <c r="G438" s="57">
        <f t="shared" si="6"/>
        <v>0.19456150676868747</v>
      </c>
      <c r="H438" s="21"/>
      <c r="I438" s="21"/>
      <c r="J438" s="7" t="s">
        <v>3736</v>
      </c>
    </row>
    <row r="439" spans="1:10" s="13" customFormat="1" ht="25.5" x14ac:dyDescent="0.2">
      <c r="A439" s="13" t="s">
        <v>34</v>
      </c>
      <c r="B439" s="12" t="s">
        <v>48</v>
      </c>
      <c r="D439" s="7" t="s">
        <v>3737</v>
      </c>
      <c r="E439" s="6">
        <v>85058</v>
      </c>
      <c r="F439" s="6">
        <v>102871</v>
      </c>
      <c r="G439" s="57">
        <f t="shared" si="6"/>
        <v>0.20942180629687979</v>
      </c>
      <c r="H439" s="21"/>
      <c r="I439" s="21"/>
      <c r="J439" s="7" t="s">
        <v>1809</v>
      </c>
    </row>
    <row r="440" spans="1:10" s="13" customFormat="1" ht="38.25" x14ac:dyDescent="0.2">
      <c r="A440" s="13" t="s">
        <v>34</v>
      </c>
      <c r="B440" s="12" t="s">
        <v>48</v>
      </c>
      <c r="D440" s="7" t="s">
        <v>3738</v>
      </c>
      <c r="E440" s="6">
        <v>84950</v>
      </c>
      <c r="F440" s="6">
        <v>108139</v>
      </c>
      <c r="G440" s="57">
        <f t="shared" si="6"/>
        <v>0.27297233666862858</v>
      </c>
      <c r="H440" s="21"/>
      <c r="I440" s="21"/>
      <c r="J440" s="7" t="s">
        <v>4155</v>
      </c>
    </row>
    <row r="441" spans="1:10" s="13" customFormat="1" ht="25.5" x14ac:dyDescent="0.2">
      <c r="A441" s="13" t="s">
        <v>34</v>
      </c>
      <c r="B441" s="12" t="s">
        <v>48</v>
      </c>
      <c r="D441" s="7" t="s">
        <v>3739</v>
      </c>
      <c r="E441" s="6">
        <v>88902</v>
      </c>
      <c r="F441" s="6">
        <v>110609</v>
      </c>
      <c r="G441" s="57">
        <f t="shared" si="6"/>
        <v>0.24416773525904928</v>
      </c>
      <c r="H441" s="21"/>
      <c r="I441" s="21"/>
      <c r="J441" s="7" t="s">
        <v>3740</v>
      </c>
    </row>
    <row r="442" spans="1:10" s="13" customFormat="1" ht="25.5" x14ac:dyDescent="0.2">
      <c r="A442" s="13" t="s">
        <v>34</v>
      </c>
      <c r="B442" s="12" t="s">
        <v>48</v>
      </c>
      <c r="D442" s="7" t="s">
        <v>3741</v>
      </c>
      <c r="E442" s="6">
        <v>92211</v>
      </c>
      <c r="F442" s="6">
        <v>119055</v>
      </c>
      <c r="G442" s="57">
        <f t="shared" si="6"/>
        <v>0.29111494290269058</v>
      </c>
      <c r="H442" s="21"/>
      <c r="I442" s="21"/>
      <c r="J442" s="7" t="s">
        <v>1810</v>
      </c>
    </row>
    <row r="443" spans="1:10" s="13" customFormat="1" ht="25.5" x14ac:dyDescent="0.2">
      <c r="A443" s="13" t="s">
        <v>34</v>
      </c>
      <c r="B443" s="12" t="s">
        <v>48</v>
      </c>
      <c r="D443" s="7" t="s">
        <v>3742</v>
      </c>
      <c r="E443" s="6">
        <v>87066</v>
      </c>
      <c r="F443" s="6">
        <v>107564</v>
      </c>
      <c r="G443" s="57">
        <f t="shared" si="6"/>
        <v>0.23543059288355961</v>
      </c>
      <c r="H443" s="21"/>
      <c r="I443" s="21"/>
      <c r="J443" s="7" t="s">
        <v>3743</v>
      </c>
    </row>
    <row r="444" spans="1:10" s="13" customFormat="1" ht="25.5" x14ac:dyDescent="0.2">
      <c r="A444" s="13" t="s">
        <v>34</v>
      </c>
      <c r="B444" s="12" t="s">
        <v>48</v>
      </c>
      <c r="D444" s="7" t="s">
        <v>3744</v>
      </c>
      <c r="E444" s="6">
        <v>92232</v>
      </c>
      <c r="F444" s="6">
        <v>284767</v>
      </c>
      <c r="G444" s="57">
        <f t="shared" si="6"/>
        <v>2.0875075895567701</v>
      </c>
      <c r="H444" s="21"/>
      <c r="I444" s="21"/>
      <c r="J444" s="7" t="s">
        <v>4179</v>
      </c>
    </row>
    <row r="445" spans="1:10" s="13" customFormat="1" x14ac:dyDescent="0.2">
      <c r="A445" s="13" t="s">
        <v>34</v>
      </c>
      <c r="B445" s="12" t="s">
        <v>48</v>
      </c>
      <c r="D445" s="7" t="s">
        <v>464</v>
      </c>
      <c r="E445" s="6"/>
      <c r="F445" s="6"/>
      <c r="G445" s="57" t="str">
        <f t="shared" si="6"/>
        <v>-</v>
      </c>
      <c r="H445" s="21" t="s">
        <v>465</v>
      </c>
      <c r="I445" s="21">
        <v>92500</v>
      </c>
      <c r="J445" s="7"/>
    </row>
    <row r="446" spans="1:10" s="13" customFormat="1" x14ac:dyDescent="0.2">
      <c r="A446" s="13" t="s">
        <v>34</v>
      </c>
      <c r="B446" s="12" t="s">
        <v>48</v>
      </c>
      <c r="D446" s="7" t="s">
        <v>464</v>
      </c>
      <c r="E446" s="6"/>
      <c r="F446" s="6"/>
      <c r="G446" s="57" t="str">
        <f t="shared" si="6"/>
        <v>-</v>
      </c>
      <c r="H446" s="21" t="s">
        <v>465</v>
      </c>
      <c r="I446" s="21">
        <v>92500</v>
      </c>
      <c r="J446" s="7"/>
    </row>
    <row r="447" spans="1:10" s="13" customFormat="1" x14ac:dyDescent="0.2">
      <c r="A447" s="13" t="s">
        <v>34</v>
      </c>
      <c r="B447" s="12" t="s">
        <v>48</v>
      </c>
      <c r="D447" s="7" t="s">
        <v>464</v>
      </c>
      <c r="E447" s="6"/>
      <c r="F447" s="6"/>
      <c r="G447" s="57" t="str">
        <f t="shared" si="6"/>
        <v>-</v>
      </c>
      <c r="H447" s="21">
        <v>97500</v>
      </c>
      <c r="I447" s="21" t="s">
        <v>465</v>
      </c>
      <c r="J447" s="7"/>
    </row>
    <row r="448" spans="1:10" s="13" customFormat="1" x14ac:dyDescent="0.2">
      <c r="A448" s="13" t="s">
        <v>34</v>
      </c>
      <c r="B448" s="12" t="s">
        <v>48</v>
      </c>
      <c r="D448" s="7" t="s">
        <v>464</v>
      </c>
      <c r="E448" s="6"/>
      <c r="F448" s="6"/>
      <c r="G448" s="57" t="str">
        <f t="shared" si="6"/>
        <v>-</v>
      </c>
      <c r="H448" s="21">
        <v>97500</v>
      </c>
      <c r="I448" s="21" t="s">
        <v>465</v>
      </c>
      <c r="J448" s="7"/>
    </row>
    <row r="449" spans="1:10" s="13" customFormat="1" x14ac:dyDescent="0.2">
      <c r="A449" s="13" t="s">
        <v>34</v>
      </c>
      <c r="B449" s="12" t="s">
        <v>48</v>
      </c>
      <c r="D449" s="7" t="s">
        <v>464</v>
      </c>
      <c r="E449" s="6"/>
      <c r="F449" s="6"/>
      <c r="G449" s="57" t="str">
        <f t="shared" si="6"/>
        <v>-</v>
      </c>
      <c r="H449" s="21" t="s">
        <v>465</v>
      </c>
      <c r="I449" s="21">
        <v>97500</v>
      </c>
      <c r="J449" s="7"/>
    </row>
    <row r="450" spans="1:10" s="13" customFormat="1" x14ac:dyDescent="0.2">
      <c r="A450" s="13" t="s">
        <v>34</v>
      </c>
      <c r="B450" s="12" t="s">
        <v>48</v>
      </c>
      <c r="D450" s="7" t="s">
        <v>464</v>
      </c>
      <c r="E450" s="6"/>
      <c r="F450" s="6"/>
      <c r="G450" s="57" t="str">
        <f t="shared" si="6"/>
        <v>-</v>
      </c>
      <c r="H450" s="21" t="s">
        <v>465</v>
      </c>
      <c r="I450" s="21">
        <v>97500</v>
      </c>
      <c r="J450" s="7"/>
    </row>
    <row r="451" spans="1:10" s="13" customFormat="1" x14ac:dyDescent="0.2">
      <c r="A451" s="13" t="s">
        <v>34</v>
      </c>
      <c r="B451" s="12" t="s">
        <v>48</v>
      </c>
      <c r="D451" s="7" t="s">
        <v>464</v>
      </c>
      <c r="E451" s="6" t="s">
        <v>465</v>
      </c>
      <c r="F451" s="6">
        <v>102500</v>
      </c>
      <c r="G451" s="57" t="str">
        <f t="shared" ref="G451:G514" si="7">IF(ISERROR((F451-E451)/E451),"-",(F451-E451)/E451)</f>
        <v>-</v>
      </c>
      <c r="H451" s="21"/>
      <c r="I451" s="21"/>
      <c r="J451" s="7"/>
    </row>
    <row r="452" spans="1:10" s="13" customFormat="1" x14ac:dyDescent="0.2">
      <c r="A452" s="13" t="s">
        <v>34</v>
      </c>
      <c r="B452" s="12" t="s">
        <v>48</v>
      </c>
      <c r="D452" s="7" t="s">
        <v>464</v>
      </c>
      <c r="E452" s="6" t="s">
        <v>465</v>
      </c>
      <c r="F452" s="6">
        <v>102500</v>
      </c>
      <c r="G452" s="57" t="str">
        <f t="shared" si="7"/>
        <v>-</v>
      </c>
      <c r="H452" s="21"/>
      <c r="I452" s="21"/>
      <c r="J452" s="7"/>
    </row>
    <row r="453" spans="1:10" s="13" customFormat="1" x14ac:dyDescent="0.2">
      <c r="A453" s="13" t="s">
        <v>34</v>
      </c>
      <c r="B453" s="12" t="s">
        <v>48</v>
      </c>
      <c r="D453" s="7" t="s">
        <v>464</v>
      </c>
      <c r="E453" s="6" t="s">
        <v>465</v>
      </c>
      <c r="F453" s="6">
        <v>102500</v>
      </c>
      <c r="G453" s="57" t="str">
        <f t="shared" si="7"/>
        <v>-</v>
      </c>
      <c r="H453" s="21"/>
      <c r="I453" s="21"/>
      <c r="J453" s="7"/>
    </row>
    <row r="454" spans="1:10" s="13" customFormat="1" x14ac:dyDescent="0.2">
      <c r="A454" s="13" t="s">
        <v>34</v>
      </c>
      <c r="B454" s="12" t="s">
        <v>48</v>
      </c>
      <c r="D454" s="7" t="s">
        <v>464</v>
      </c>
      <c r="E454" s="6">
        <v>102500</v>
      </c>
      <c r="F454" s="6" t="s">
        <v>465</v>
      </c>
      <c r="G454" s="57" t="str">
        <f t="shared" si="7"/>
        <v>-</v>
      </c>
      <c r="H454" s="21"/>
      <c r="I454" s="21"/>
      <c r="J454" s="7"/>
    </row>
    <row r="455" spans="1:10" s="13" customFormat="1" x14ac:dyDescent="0.2">
      <c r="A455" s="13" t="s">
        <v>34</v>
      </c>
      <c r="B455" s="12" t="s">
        <v>48</v>
      </c>
      <c r="D455" s="7" t="s">
        <v>464</v>
      </c>
      <c r="E455" s="6" t="s">
        <v>465</v>
      </c>
      <c r="F455" s="6">
        <v>107500</v>
      </c>
      <c r="G455" s="57" t="str">
        <f t="shared" si="7"/>
        <v>-</v>
      </c>
      <c r="H455" s="21"/>
      <c r="I455" s="21"/>
      <c r="J455" s="7"/>
    </row>
    <row r="456" spans="1:10" s="13" customFormat="1" x14ac:dyDescent="0.2">
      <c r="A456" s="13" t="s">
        <v>34</v>
      </c>
      <c r="B456" s="12" t="s">
        <v>48</v>
      </c>
      <c r="D456" s="7" t="s">
        <v>464</v>
      </c>
      <c r="E456" s="6">
        <v>107500</v>
      </c>
      <c r="F456" s="6" t="s">
        <v>465</v>
      </c>
      <c r="G456" s="57" t="str">
        <f t="shared" si="7"/>
        <v>-</v>
      </c>
      <c r="H456" s="21"/>
      <c r="I456" s="21"/>
      <c r="J456" s="7"/>
    </row>
    <row r="457" spans="1:10" s="13" customFormat="1" x14ac:dyDescent="0.2">
      <c r="A457" s="13" t="s">
        <v>34</v>
      </c>
      <c r="B457" s="12" t="s">
        <v>48</v>
      </c>
      <c r="D457" s="7" t="s">
        <v>464</v>
      </c>
      <c r="E457" s="6" t="s">
        <v>465</v>
      </c>
      <c r="F457" s="6">
        <v>117500</v>
      </c>
      <c r="G457" s="57" t="str">
        <f t="shared" si="7"/>
        <v>-</v>
      </c>
      <c r="H457" s="21"/>
      <c r="I457" s="21"/>
      <c r="J457" s="7"/>
    </row>
    <row r="458" spans="1:10" ht="25.5" x14ac:dyDescent="0.2">
      <c r="A458" s="1" t="s">
        <v>4</v>
      </c>
      <c r="B458" s="2" t="s">
        <v>49</v>
      </c>
      <c r="C458" s="1" t="s">
        <v>1811</v>
      </c>
      <c r="D458" s="5" t="s">
        <v>450</v>
      </c>
      <c r="E458" s="3">
        <v>182600</v>
      </c>
      <c r="F458" s="3">
        <v>187200</v>
      </c>
      <c r="G458" s="57">
        <f t="shared" si="7"/>
        <v>2.5191675794085433E-2</v>
      </c>
      <c r="J458" s="5" t="s">
        <v>1812</v>
      </c>
    </row>
    <row r="459" spans="1:10" x14ac:dyDescent="0.2">
      <c r="A459" s="1" t="s">
        <v>4</v>
      </c>
      <c r="B459" s="2" t="s">
        <v>49</v>
      </c>
      <c r="C459" s="1"/>
      <c r="D459" s="5" t="s">
        <v>452</v>
      </c>
      <c r="E459" s="3">
        <v>131100</v>
      </c>
      <c r="F459" s="3">
        <v>134100</v>
      </c>
      <c r="G459" s="57">
        <f t="shared" si="7"/>
        <v>2.2883295194508008E-2</v>
      </c>
      <c r="J459" s="5" t="s">
        <v>1813</v>
      </c>
    </row>
    <row r="460" spans="1:10" s="13" customFormat="1" ht="25.5" x14ac:dyDescent="0.2">
      <c r="A460" s="1" t="s">
        <v>4</v>
      </c>
      <c r="B460" s="12" t="s">
        <v>49</v>
      </c>
      <c r="D460" s="7" t="s">
        <v>1814</v>
      </c>
      <c r="E460" s="6">
        <v>5800</v>
      </c>
      <c r="F460" s="6">
        <v>126000</v>
      </c>
      <c r="G460" s="57">
        <f t="shared" si="7"/>
        <v>20.724137931034484</v>
      </c>
      <c r="H460" s="21"/>
      <c r="I460" s="21"/>
      <c r="J460" s="7" t="s">
        <v>4156</v>
      </c>
    </row>
    <row r="461" spans="1:10" s="13" customFormat="1" ht="25.5" x14ac:dyDescent="0.2">
      <c r="A461" s="1" t="s">
        <v>4</v>
      </c>
      <c r="B461" s="12" t="s">
        <v>49</v>
      </c>
      <c r="D461" s="7" t="s">
        <v>3745</v>
      </c>
      <c r="E461" s="6">
        <v>112900</v>
      </c>
      <c r="F461" s="6" t="s">
        <v>465</v>
      </c>
      <c r="G461" s="57" t="str">
        <f t="shared" si="7"/>
        <v>-</v>
      </c>
      <c r="H461" s="21"/>
      <c r="I461" s="21"/>
      <c r="J461" s="7" t="s">
        <v>3746</v>
      </c>
    </row>
    <row r="462" spans="1:10" s="13" customFormat="1" ht="25.5" x14ac:dyDescent="0.2">
      <c r="A462" s="1" t="s">
        <v>4</v>
      </c>
      <c r="B462" s="12" t="s">
        <v>49</v>
      </c>
      <c r="D462" s="7" t="s">
        <v>790</v>
      </c>
      <c r="E462" s="6">
        <v>108200</v>
      </c>
      <c r="F462" s="6">
        <v>123800</v>
      </c>
      <c r="G462" s="57">
        <f t="shared" si="7"/>
        <v>0.14417744916820702</v>
      </c>
      <c r="H462" s="21"/>
      <c r="I462" s="21"/>
      <c r="J462" s="7" t="s">
        <v>4157</v>
      </c>
    </row>
    <row r="463" spans="1:10" x14ac:dyDescent="0.2">
      <c r="A463" s="1" t="s">
        <v>4</v>
      </c>
      <c r="B463" s="2" t="s">
        <v>49</v>
      </c>
      <c r="C463" s="1"/>
      <c r="D463" s="5" t="s">
        <v>1815</v>
      </c>
      <c r="E463" s="3">
        <v>135300</v>
      </c>
      <c r="F463" s="3">
        <v>134600</v>
      </c>
      <c r="G463" s="57">
        <f t="shared" si="7"/>
        <v>-5.1736881005173688E-3</v>
      </c>
      <c r="J463" s="5" t="s">
        <v>1816</v>
      </c>
    </row>
    <row r="464" spans="1:10" x14ac:dyDescent="0.2">
      <c r="A464" s="1" t="s">
        <v>4</v>
      </c>
      <c r="B464" s="2" t="s">
        <v>49</v>
      </c>
      <c r="C464" s="1"/>
      <c r="D464" s="5" t="s">
        <v>1314</v>
      </c>
      <c r="E464" s="3">
        <v>117200</v>
      </c>
      <c r="F464" s="3">
        <v>118400</v>
      </c>
      <c r="G464" s="57">
        <f t="shared" si="7"/>
        <v>1.0238907849829351E-2</v>
      </c>
      <c r="J464" s="5" t="s">
        <v>1817</v>
      </c>
    </row>
    <row r="465" spans="1:10" x14ac:dyDescent="0.2">
      <c r="A465" s="1" t="s">
        <v>4</v>
      </c>
      <c r="B465" s="2" t="s">
        <v>49</v>
      </c>
      <c r="C465" s="1"/>
      <c r="D465" s="5" t="s">
        <v>532</v>
      </c>
      <c r="E465" s="3">
        <v>100400</v>
      </c>
      <c r="F465" s="3">
        <v>101100</v>
      </c>
      <c r="G465" s="57">
        <f t="shared" si="7"/>
        <v>6.9721115537848604E-3</v>
      </c>
      <c r="J465" s="5" t="s">
        <v>1818</v>
      </c>
    </row>
    <row r="466" spans="1:10" x14ac:dyDescent="0.2">
      <c r="A466" s="1" t="s">
        <v>4</v>
      </c>
      <c r="B466" s="2" t="s">
        <v>49</v>
      </c>
      <c r="C466" s="1"/>
      <c r="D466" s="5" t="s">
        <v>464</v>
      </c>
      <c r="G466" s="57" t="str">
        <f t="shared" si="7"/>
        <v>-</v>
      </c>
      <c r="H466" s="19">
        <v>92500</v>
      </c>
      <c r="I466" s="19" t="s">
        <v>465</v>
      </c>
    </row>
    <row r="467" spans="1:10" x14ac:dyDescent="0.2">
      <c r="A467" s="1" t="s">
        <v>4</v>
      </c>
      <c r="B467" s="2" t="s">
        <v>49</v>
      </c>
      <c r="C467" s="1"/>
      <c r="D467" s="5" t="s">
        <v>464</v>
      </c>
      <c r="G467" s="57" t="str">
        <f t="shared" si="7"/>
        <v>-</v>
      </c>
      <c r="H467" s="19">
        <v>92500</v>
      </c>
      <c r="I467" s="19" t="s">
        <v>465</v>
      </c>
    </row>
    <row r="468" spans="1:10" x14ac:dyDescent="0.2">
      <c r="A468" s="1" t="s">
        <v>4</v>
      </c>
      <c r="B468" s="2" t="s">
        <v>49</v>
      </c>
      <c r="C468" s="1"/>
      <c r="D468" s="5" t="s">
        <v>464</v>
      </c>
      <c r="G468" s="57" t="str">
        <f t="shared" si="7"/>
        <v>-</v>
      </c>
      <c r="H468" s="19" t="s">
        <v>465</v>
      </c>
      <c r="I468" s="19">
        <v>92500</v>
      </c>
    </row>
    <row r="469" spans="1:10" x14ac:dyDescent="0.2">
      <c r="A469" s="1" t="s">
        <v>4</v>
      </c>
      <c r="B469" s="2" t="s">
        <v>49</v>
      </c>
      <c r="C469" s="1"/>
      <c r="D469" s="5" t="s">
        <v>464</v>
      </c>
      <c r="G469" s="57" t="str">
        <f t="shared" si="7"/>
        <v>-</v>
      </c>
      <c r="H469" s="19" t="s">
        <v>465</v>
      </c>
      <c r="I469" s="19">
        <v>97500</v>
      </c>
    </row>
    <row r="470" spans="1:10" x14ac:dyDescent="0.2">
      <c r="A470" s="1" t="s">
        <v>4</v>
      </c>
      <c r="B470" s="2" t="s">
        <v>49</v>
      </c>
      <c r="C470" s="1"/>
      <c r="D470" s="5" t="s">
        <v>464</v>
      </c>
      <c r="G470" s="57" t="str">
        <f t="shared" si="7"/>
        <v>-</v>
      </c>
      <c r="H470" s="19" t="s">
        <v>465</v>
      </c>
      <c r="I470" s="19">
        <v>97500</v>
      </c>
    </row>
    <row r="471" spans="1:10" ht="25.5" x14ac:dyDescent="0.2">
      <c r="A471" s="1" t="s">
        <v>28</v>
      </c>
      <c r="B471" s="2" t="s">
        <v>50</v>
      </c>
      <c r="C471" s="1" t="s">
        <v>1819</v>
      </c>
      <c r="D471" s="5" t="s">
        <v>450</v>
      </c>
      <c r="E471" s="3">
        <v>223760</v>
      </c>
      <c r="F471" s="3">
        <v>227234</v>
      </c>
      <c r="G471" s="57">
        <f t="shared" si="7"/>
        <v>1.5525563103324992E-2</v>
      </c>
      <c r="J471" s="5" t="s">
        <v>1820</v>
      </c>
    </row>
    <row r="472" spans="1:10" s="13" customFormat="1" ht="25.5" x14ac:dyDescent="0.2">
      <c r="A472" s="1" t="s">
        <v>28</v>
      </c>
      <c r="B472" s="12" t="s">
        <v>50</v>
      </c>
      <c r="D472" s="7" t="s">
        <v>3747</v>
      </c>
      <c r="E472" s="6" t="s">
        <v>465</v>
      </c>
      <c r="F472" s="6">
        <v>132314</v>
      </c>
      <c r="G472" s="57" t="str">
        <f t="shared" si="7"/>
        <v>-</v>
      </c>
      <c r="H472" s="21"/>
      <c r="I472" s="21"/>
      <c r="J472" s="7" t="s">
        <v>3748</v>
      </c>
    </row>
    <row r="473" spans="1:10" s="13" customFormat="1" ht="25.5" x14ac:dyDescent="0.2">
      <c r="A473" s="1" t="s">
        <v>28</v>
      </c>
      <c r="B473" s="12" t="s">
        <v>50</v>
      </c>
      <c r="D473" s="7" t="s">
        <v>3749</v>
      </c>
      <c r="E473" s="6" t="s">
        <v>465</v>
      </c>
      <c r="F473" s="6">
        <v>157294</v>
      </c>
      <c r="G473" s="57" t="str">
        <f t="shared" si="7"/>
        <v>-</v>
      </c>
      <c r="H473" s="21"/>
      <c r="I473" s="21"/>
      <c r="J473" s="7" t="s">
        <v>1824</v>
      </c>
    </row>
    <row r="474" spans="1:10" ht="25.5" x14ac:dyDescent="0.2">
      <c r="A474" s="1" t="s">
        <v>28</v>
      </c>
      <c r="B474" s="2" t="s">
        <v>50</v>
      </c>
      <c r="C474" s="1"/>
      <c r="D474" s="5" t="s">
        <v>1821</v>
      </c>
      <c r="E474" s="6">
        <v>139029</v>
      </c>
      <c r="F474" s="3">
        <v>137048</v>
      </c>
      <c r="G474" s="57">
        <f t="shared" si="7"/>
        <v>-1.4248825784548547E-2</v>
      </c>
      <c r="J474" s="5" t="s">
        <v>1822</v>
      </c>
    </row>
    <row r="475" spans="1:10" x14ac:dyDescent="0.2">
      <c r="A475" s="1" t="s">
        <v>28</v>
      </c>
      <c r="B475" s="2" t="s">
        <v>50</v>
      </c>
      <c r="C475" s="1"/>
      <c r="D475" s="5" t="s">
        <v>1823</v>
      </c>
      <c r="E475" s="6">
        <v>164483</v>
      </c>
      <c r="F475" s="3" t="s">
        <v>465</v>
      </c>
      <c r="G475" s="57" t="str">
        <f t="shared" si="7"/>
        <v>-</v>
      </c>
      <c r="J475" s="1"/>
    </row>
    <row r="476" spans="1:10" ht="25.5" x14ac:dyDescent="0.2">
      <c r="A476" s="1" t="s">
        <v>28</v>
      </c>
      <c r="B476" s="2" t="s">
        <v>50</v>
      </c>
      <c r="C476" s="1"/>
      <c r="D476" s="5" t="s">
        <v>1825</v>
      </c>
      <c r="E476" s="6">
        <v>139466</v>
      </c>
      <c r="F476" s="3">
        <v>193807</v>
      </c>
      <c r="G476" s="57">
        <f t="shared" si="7"/>
        <v>0.38963618372936776</v>
      </c>
      <c r="J476" s="5" t="s">
        <v>4159</v>
      </c>
    </row>
    <row r="477" spans="1:10" ht="25.5" x14ac:dyDescent="0.2">
      <c r="A477" s="1" t="s">
        <v>28</v>
      </c>
      <c r="B477" s="2" t="s">
        <v>50</v>
      </c>
      <c r="C477" s="1"/>
      <c r="D477" s="5" t="s">
        <v>1826</v>
      </c>
      <c r="E477" s="6">
        <v>140040</v>
      </c>
      <c r="F477" s="3">
        <v>151235</v>
      </c>
      <c r="G477" s="57">
        <f t="shared" si="7"/>
        <v>7.9941445301342479E-2</v>
      </c>
      <c r="J477" s="5" t="s">
        <v>1827</v>
      </c>
    </row>
    <row r="478" spans="1:10" ht="25.5" x14ac:dyDescent="0.2">
      <c r="A478" s="1" t="s">
        <v>28</v>
      </c>
      <c r="B478" s="2" t="s">
        <v>50</v>
      </c>
      <c r="C478" s="1"/>
      <c r="D478" s="5" t="s">
        <v>1828</v>
      </c>
      <c r="E478" s="3" t="s">
        <v>465</v>
      </c>
      <c r="F478" s="3">
        <v>132214</v>
      </c>
      <c r="G478" s="57" t="str">
        <f t="shared" si="7"/>
        <v>-</v>
      </c>
      <c r="J478" s="5" t="s">
        <v>1829</v>
      </c>
    </row>
    <row r="479" spans="1:10" s="13" customFormat="1" ht="25.5" x14ac:dyDescent="0.2">
      <c r="A479" s="1" t="s">
        <v>28</v>
      </c>
      <c r="B479" s="12" t="s">
        <v>50</v>
      </c>
      <c r="D479" s="7" t="s">
        <v>4158</v>
      </c>
      <c r="E479" s="6" t="s">
        <v>465</v>
      </c>
      <c r="F479" s="6">
        <v>169997</v>
      </c>
      <c r="G479" s="57" t="str">
        <f t="shared" si="7"/>
        <v>-</v>
      </c>
      <c r="H479" s="21"/>
      <c r="I479" s="21"/>
      <c r="J479" s="7" t="s">
        <v>3750</v>
      </c>
    </row>
    <row r="480" spans="1:10" s="13" customFormat="1" ht="25.5" x14ac:dyDescent="0.2">
      <c r="A480" s="1" t="s">
        <v>28</v>
      </c>
      <c r="B480" s="12" t="s">
        <v>50</v>
      </c>
      <c r="D480" s="7" t="s">
        <v>3751</v>
      </c>
      <c r="E480" s="6">
        <v>117544</v>
      </c>
      <c r="F480" s="6">
        <v>127104</v>
      </c>
      <c r="G480" s="57">
        <f t="shared" si="7"/>
        <v>8.133124617164636E-2</v>
      </c>
      <c r="H480" s="21"/>
      <c r="I480" s="21"/>
      <c r="J480" s="7" t="s">
        <v>3752</v>
      </c>
    </row>
    <row r="481" spans="1:10" s="13" customFormat="1" ht="27.75" customHeight="1" x14ac:dyDescent="0.2">
      <c r="A481" s="1" t="s">
        <v>28</v>
      </c>
      <c r="B481" s="12" t="s">
        <v>50</v>
      </c>
      <c r="D481" s="7" t="s">
        <v>3753</v>
      </c>
      <c r="E481" s="6" t="s">
        <v>465</v>
      </c>
      <c r="F481" s="6">
        <v>105863</v>
      </c>
      <c r="G481" s="57" t="str">
        <f t="shared" si="7"/>
        <v>-</v>
      </c>
      <c r="H481" s="21"/>
      <c r="I481" s="21"/>
      <c r="J481" s="7" t="s">
        <v>3754</v>
      </c>
    </row>
    <row r="482" spans="1:10" s="13" customFormat="1" x14ac:dyDescent="0.2">
      <c r="A482" s="1" t="s">
        <v>28</v>
      </c>
      <c r="B482" s="12" t="s">
        <v>50</v>
      </c>
      <c r="D482" s="7" t="s">
        <v>3755</v>
      </c>
      <c r="E482" s="6">
        <v>174101</v>
      </c>
      <c r="F482" s="6" t="s">
        <v>465</v>
      </c>
      <c r="G482" s="57" t="str">
        <f t="shared" si="7"/>
        <v>-</v>
      </c>
      <c r="H482" s="21"/>
      <c r="I482" s="21"/>
      <c r="J482" s="7" t="s">
        <v>465</v>
      </c>
    </row>
    <row r="483" spans="1:10" s="13" customFormat="1" ht="27" customHeight="1" x14ac:dyDescent="0.2">
      <c r="A483" s="1" t="s">
        <v>28</v>
      </c>
      <c r="B483" s="12" t="s">
        <v>50</v>
      </c>
      <c r="D483" s="7" t="s">
        <v>3756</v>
      </c>
      <c r="E483" s="6">
        <v>134300</v>
      </c>
      <c r="F483" s="6" t="s">
        <v>465</v>
      </c>
      <c r="G483" s="57" t="str">
        <f t="shared" si="7"/>
        <v>-</v>
      </c>
      <c r="H483" s="21"/>
      <c r="I483" s="21"/>
      <c r="J483" s="7" t="s">
        <v>465</v>
      </c>
    </row>
    <row r="484" spans="1:10" x14ac:dyDescent="0.2">
      <c r="A484" s="1" t="s">
        <v>28</v>
      </c>
      <c r="B484" s="2" t="s">
        <v>50</v>
      </c>
      <c r="C484" s="1"/>
      <c r="D484" s="5" t="s">
        <v>464</v>
      </c>
      <c r="G484" s="57" t="str">
        <f t="shared" si="7"/>
        <v>-</v>
      </c>
      <c r="H484" s="19">
        <v>92500</v>
      </c>
      <c r="I484" s="19" t="s">
        <v>465</v>
      </c>
    </row>
    <row r="485" spans="1:10" x14ac:dyDescent="0.2">
      <c r="A485" s="1" t="s">
        <v>28</v>
      </c>
      <c r="B485" s="2" t="s">
        <v>50</v>
      </c>
      <c r="C485" s="1"/>
      <c r="D485" s="5" t="s">
        <v>464</v>
      </c>
      <c r="G485" s="57" t="str">
        <f t="shared" si="7"/>
        <v>-</v>
      </c>
      <c r="H485" s="19">
        <v>92500</v>
      </c>
      <c r="I485" s="19" t="s">
        <v>465</v>
      </c>
    </row>
    <row r="486" spans="1:10" x14ac:dyDescent="0.2">
      <c r="A486" s="1" t="s">
        <v>28</v>
      </c>
      <c r="B486" s="2" t="s">
        <v>50</v>
      </c>
      <c r="C486" s="1"/>
      <c r="D486" s="5" t="s">
        <v>464</v>
      </c>
      <c r="G486" s="57" t="str">
        <f t="shared" si="7"/>
        <v>-</v>
      </c>
      <c r="H486" s="19">
        <v>92500</v>
      </c>
      <c r="I486" s="19" t="s">
        <v>465</v>
      </c>
    </row>
    <row r="487" spans="1:10" x14ac:dyDescent="0.2">
      <c r="A487" s="1" t="s">
        <v>28</v>
      </c>
      <c r="B487" s="2" t="s">
        <v>50</v>
      </c>
      <c r="C487" s="1"/>
      <c r="D487" s="5" t="s">
        <v>464</v>
      </c>
      <c r="G487" s="57" t="str">
        <f t="shared" si="7"/>
        <v>-</v>
      </c>
      <c r="H487" s="19">
        <v>92500</v>
      </c>
      <c r="I487" s="19" t="s">
        <v>465</v>
      </c>
    </row>
    <row r="488" spans="1:10" x14ac:dyDescent="0.2">
      <c r="A488" s="1" t="s">
        <v>28</v>
      </c>
      <c r="B488" s="2" t="s">
        <v>50</v>
      </c>
      <c r="C488" s="1"/>
      <c r="D488" s="5" t="s">
        <v>464</v>
      </c>
      <c r="G488" s="57" t="str">
        <f t="shared" si="7"/>
        <v>-</v>
      </c>
      <c r="H488" s="19">
        <v>92500</v>
      </c>
      <c r="I488" s="19" t="s">
        <v>465</v>
      </c>
    </row>
    <row r="489" spans="1:10" x14ac:dyDescent="0.2">
      <c r="A489" s="1" t="s">
        <v>28</v>
      </c>
      <c r="B489" s="2" t="s">
        <v>50</v>
      </c>
      <c r="C489" s="1"/>
      <c r="D489" s="5" t="s">
        <v>464</v>
      </c>
      <c r="G489" s="57" t="str">
        <f t="shared" si="7"/>
        <v>-</v>
      </c>
      <c r="H489" s="19">
        <v>92500</v>
      </c>
      <c r="I489" s="19" t="s">
        <v>465</v>
      </c>
    </row>
    <row r="490" spans="1:10" x14ac:dyDescent="0.2">
      <c r="A490" s="1" t="s">
        <v>28</v>
      </c>
      <c r="B490" s="2" t="s">
        <v>50</v>
      </c>
      <c r="C490" s="1"/>
      <c r="D490" s="5" t="s">
        <v>464</v>
      </c>
      <c r="G490" s="57" t="str">
        <f t="shared" si="7"/>
        <v>-</v>
      </c>
      <c r="H490" s="19">
        <v>92500</v>
      </c>
      <c r="I490" s="19" t="s">
        <v>465</v>
      </c>
    </row>
    <row r="491" spans="1:10" x14ac:dyDescent="0.2">
      <c r="A491" s="1" t="s">
        <v>28</v>
      </c>
      <c r="B491" s="2" t="s">
        <v>50</v>
      </c>
      <c r="C491" s="1"/>
      <c r="D491" s="5" t="s">
        <v>464</v>
      </c>
      <c r="G491" s="57" t="str">
        <f t="shared" si="7"/>
        <v>-</v>
      </c>
      <c r="H491" s="19">
        <v>92500</v>
      </c>
      <c r="I491" s="19" t="s">
        <v>465</v>
      </c>
    </row>
    <row r="492" spans="1:10" x14ac:dyDescent="0.2">
      <c r="A492" s="1" t="s">
        <v>28</v>
      </c>
      <c r="B492" s="2" t="s">
        <v>50</v>
      </c>
      <c r="C492" s="1"/>
      <c r="D492" s="5" t="s">
        <v>464</v>
      </c>
      <c r="G492" s="57" t="str">
        <f t="shared" si="7"/>
        <v>-</v>
      </c>
      <c r="H492" s="19">
        <v>92500</v>
      </c>
      <c r="I492" s="19" t="s">
        <v>465</v>
      </c>
    </row>
    <row r="493" spans="1:10" x14ac:dyDescent="0.2">
      <c r="A493" s="1" t="s">
        <v>28</v>
      </c>
      <c r="B493" s="2" t="s">
        <v>50</v>
      </c>
      <c r="C493" s="1"/>
      <c r="D493" s="5" t="s">
        <v>464</v>
      </c>
      <c r="G493" s="57" t="str">
        <f t="shared" si="7"/>
        <v>-</v>
      </c>
      <c r="H493" s="19" t="s">
        <v>465</v>
      </c>
      <c r="I493" s="19">
        <v>92500</v>
      </c>
    </row>
    <row r="494" spans="1:10" x14ac:dyDescent="0.2">
      <c r="A494" s="1" t="s">
        <v>28</v>
      </c>
      <c r="B494" s="2" t="s">
        <v>50</v>
      </c>
      <c r="C494" s="1"/>
      <c r="D494" s="5" t="s">
        <v>464</v>
      </c>
      <c r="G494" s="57" t="str">
        <f t="shared" si="7"/>
        <v>-</v>
      </c>
      <c r="H494" s="19" t="s">
        <v>465</v>
      </c>
      <c r="I494" s="19">
        <v>92500</v>
      </c>
    </row>
    <row r="495" spans="1:10" x14ac:dyDescent="0.2">
      <c r="A495" s="1" t="s">
        <v>28</v>
      </c>
      <c r="B495" s="2" t="s">
        <v>50</v>
      </c>
      <c r="C495" s="1"/>
      <c r="D495" s="5" t="s">
        <v>464</v>
      </c>
      <c r="G495" s="57" t="str">
        <f t="shared" si="7"/>
        <v>-</v>
      </c>
      <c r="H495" s="19" t="s">
        <v>465</v>
      </c>
      <c r="I495" s="19">
        <v>92500</v>
      </c>
    </row>
    <row r="496" spans="1:10" x14ac:dyDescent="0.2">
      <c r="A496" s="1" t="s">
        <v>28</v>
      </c>
      <c r="B496" s="2" t="s">
        <v>50</v>
      </c>
      <c r="C496" s="1"/>
      <c r="D496" s="5" t="s">
        <v>464</v>
      </c>
      <c r="G496" s="57" t="str">
        <f t="shared" si="7"/>
        <v>-</v>
      </c>
      <c r="H496" s="19" t="s">
        <v>465</v>
      </c>
      <c r="I496" s="19">
        <v>92500</v>
      </c>
    </row>
    <row r="497" spans="1:9" s="1" customFormat="1" x14ac:dyDescent="0.2">
      <c r="A497" s="1" t="s">
        <v>28</v>
      </c>
      <c r="B497" s="2" t="s">
        <v>50</v>
      </c>
      <c r="D497" s="5" t="s">
        <v>464</v>
      </c>
      <c r="E497" s="3"/>
      <c r="F497" s="3"/>
      <c r="G497" s="57" t="str">
        <f t="shared" si="7"/>
        <v>-</v>
      </c>
      <c r="H497" s="19" t="s">
        <v>465</v>
      </c>
      <c r="I497" s="19">
        <v>92500</v>
      </c>
    </row>
    <row r="498" spans="1:9" s="1" customFormat="1" x14ac:dyDescent="0.2">
      <c r="A498" s="1" t="s">
        <v>28</v>
      </c>
      <c r="B498" s="2" t="s">
        <v>50</v>
      </c>
      <c r="D498" s="5" t="s">
        <v>464</v>
      </c>
      <c r="E498" s="3"/>
      <c r="F498" s="3"/>
      <c r="G498" s="57" t="str">
        <f t="shared" si="7"/>
        <v>-</v>
      </c>
      <c r="H498" s="19" t="s">
        <v>465</v>
      </c>
      <c r="I498" s="19">
        <v>92500</v>
      </c>
    </row>
    <row r="499" spans="1:9" s="1" customFormat="1" x14ac:dyDescent="0.2">
      <c r="A499" s="1" t="s">
        <v>28</v>
      </c>
      <c r="B499" s="2" t="s">
        <v>50</v>
      </c>
      <c r="D499" s="5" t="s">
        <v>464</v>
      </c>
      <c r="E499" s="3"/>
      <c r="F499" s="3"/>
      <c r="G499" s="57" t="str">
        <f t="shared" si="7"/>
        <v>-</v>
      </c>
      <c r="H499" s="19" t="s">
        <v>465</v>
      </c>
      <c r="I499" s="19">
        <v>92500</v>
      </c>
    </row>
    <row r="500" spans="1:9" s="1" customFormat="1" x14ac:dyDescent="0.2">
      <c r="A500" s="1" t="s">
        <v>28</v>
      </c>
      <c r="B500" s="2" t="s">
        <v>50</v>
      </c>
      <c r="D500" s="5" t="s">
        <v>464</v>
      </c>
      <c r="E500" s="3"/>
      <c r="F500" s="3"/>
      <c r="G500" s="57" t="str">
        <f t="shared" si="7"/>
        <v>-</v>
      </c>
      <c r="H500" s="19">
        <v>97500</v>
      </c>
      <c r="I500" s="19" t="s">
        <v>465</v>
      </c>
    </row>
    <row r="501" spans="1:9" s="1" customFormat="1" x14ac:dyDescent="0.2">
      <c r="A501" s="1" t="s">
        <v>28</v>
      </c>
      <c r="B501" s="2" t="s">
        <v>50</v>
      </c>
      <c r="D501" s="5" t="s">
        <v>464</v>
      </c>
      <c r="E501" s="3"/>
      <c r="F501" s="3"/>
      <c r="G501" s="57" t="str">
        <f t="shared" si="7"/>
        <v>-</v>
      </c>
      <c r="H501" s="19">
        <v>97500</v>
      </c>
      <c r="I501" s="19" t="s">
        <v>465</v>
      </c>
    </row>
    <row r="502" spans="1:9" s="1" customFormat="1" x14ac:dyDescent="0.2">
      <c r="A502" s="1" t="s">
        <v>28</v>
      </c>
      <c r="B502" s="2" t="s">
        <v>50</v>
      </c>
      <c r="D502" s="5" t="s">
        <v>464</v>
      </c>
      <c r="E502" s="3"/>
      <c r="F502" s="3"/>
      <c r="G502" s="57" t="str">
        <f t="shared" si="7"/>
        <v>-</v>
      </c>
      <c r="H502" s="19">
        <v>97500</v>
      </c>
      <c r="I502" s="19" t="s">
        <v>465</v>
      </c>
    </row>
    <row r="503" spans="1:9" s="1" customFormat="1" x14ac:dyDescent="0.2">
      <c r="A503" s="1" t="s">
        <v>28</v>
      </c>
      <c r="B503" s="2" t="s">
        <v>50</v>
      </c>
      <c r="D503" s="5" t="s">
        <v>464</v>
      </c>
      <c r="E503" s="3"/>
      <c r="F503" s="3"/>
      <c r="G503" s="57" t="str">
        <f t="shared" si="7"/>
        <v>-</v>
      </c>
      <c r="H503" s="19">
        <v>97500</v>
      </c>
      <c r="I503" s="19" t="s">
        <v>465</v>
      </c>
    </row>
    <row r="504" spans="1:9" s="1" customFormat="1" x14ac:dyDescent="0.2">
      <c r="A504" s="1" t="s">
        <v>28</v>
      </c>
      <c r="B504" s="2" t="s">
        <v>50</v>
      </c>
      <c r="D504" s="5" t="s">
        <v>464</v>
      </c>
      <c r="E504" s="3"/>
      <c r="F504" s="3"/>
      <c r="G504" s="57" t="str">
        <f t="shared" si="7"/>
        <v>-</v>
      </c>
      <c r="H504" s="19">
        <v>97500</v>
      </c>
      <c r="I504" s="19" t="s">
        <v>465</v>
      </c>
    </row>
    <row r="505" spans="1:9" s="1" customFormat="1" x14ac:dyDescent="0.2">
      <c r="A505" s="1" t="s">
        <v>28</v>
      </c>
      <c r="B505" s="2" t="s">
        <v>50</v>
      </c>
      <c r="D505" s="5" t="s">
        <v>464</v>
      </c>
      <c r="E505" s="3"/>
      <c r="F505" s="3"/>
      <c r="G505" s="57" t="str">
        <f t="shared" si="7"/>
        <v>-</v>
      </c>
      <c r="H505" s="19" t="s">
        <v>465</v>
      </c>
      <c r="I505" s="19">
        <v>97500</v>
      </c>
    </row>
    <row r="506" spans="1:9" s="1" customFormat="1" x14ac:dyDescent="0.2">
      <c r="A506" s="1" t="s">
        <v>28</v>
      </c>
      <c r="B506" s="2" t="s">
        <v>50</v>
      </c>
      <c r="D506" s="5" t="s">
        <v>464</v>
      </c>
      <c r="E506" s="3"/>
      <c r="F506" s="3"/>
      <c r="G506" s="57" t="str">
        <f t="shared" si="7"/>
        <v>-</v>
      </c>
      <c r="H506" s="19" t="s">
        <v>465</v>
      </c>
      <c r="I506" s="19">
        <v>97500</v>
      </c>
    </row>
    <row r="507" spans="1:9" s="1" customFormat="1" x14ac:dyDescent="0.2">
      <c r="A507" s="1" t="s">
        <v>28</v>
      </c>
      <c r="B507" s="2" t="s">
        <v>50</v>
      </c>
      <c r="D507" s="5" t="s">
        <v>464</v>
      </c>
      <c r="E507" s="3"/>
      <c r="F507" s="3"/>
      <c r="G507" s="57" t="str">
        <f t="shared" si="7"/>
        <v>-</v>
      </c>
      <c r="H507" s="19" t="s">
        <v>465</v>
      </c>
      <c r="I507" s="19">
        <v>97500</v>
      </c>
    </row>
    <row r="508" spans="1:9" s="1" customFormat="1" x14ac:dyDescent="0.2">
      <c r="A508" s="1" t="s">
        <v>28</v>
      </c>
      <c r="B508" s="2" t="s">
        <v>50</v>
      </c>
      <c r="D508" s="5" t="s">
        <v>464</v>
      </c>
      <c r="E508" s="3"/>
      <c r="F508" s="3"/>
      <c r="G508" s="57" t="str">
        <f t="shared" si="7"/>
        <v>-</v>
      </c>
      <c r="H508" s="19" t="s">
        <v>465</v>
      </c>
      <c r="I508" s="19">
        <v>97500</v>
      </c>
    </row>
    <row r="509" spans="1:9" s="1" customFormat="1" x14ac:dyDescent="0.2">
      <c r="A509" s="1" t="s">
        <v>28</v>
      </c>
      <c r="B509" s="2" t="s">
        <v>50</v>
      </c>
      <c r="D509" s="5" t="s">
        <v>464</v>
      </c>
      <c r="E509" s="3"/>
      <c r="F509" s="3"/>
      <c r="G509" s="57" t="str">
        <f t="shared" si="7"/>
        <v>-</v>
      </c>
      <c r="H509" s="19" t="s">
        <v>465</v>
      </c>
      <c r="I509" s="19">
        <v>97500</v>
      </c>
    </row>
    <row r="510" spans="1:9" s="1" customFormat="1" x14ac:dyDescent="0.2">
      <c r="A510" s="1" t="s">
        <v>28</v>
      </c>
      <c r="B510" s="2" t="s">
        <v>50</v>
      </c>
      <c r="D510" s="5" t="s">
        <v>464</v>
      </c>
      <c r="E510" s="3"/>
      <c r="F510" s="3"/>
      <c r="G510" s="57" t="str">
        <f t="shared" si="7"/>
        <v>-</v>
      </c>
      <c r="H510" s="19" t="s">
        <v>465</v>
      </c>
      <c r="I510" s="19">
        <v>97500</v>
      </c>
    </row>
    <row r="511" spans="1:9" s="1" customFormat="1" x14ac:dyDescent="0.2">
      <c r="A511" s="1" t="s">
        <v>28</v>
      </c>
      <c r="B511" s="2" t="s">
        <v>50</v>
      </c>
      <c r="D511" s="5" t="s">
        <v>464</v>
      </c>
      <c r="E511" s="3"/>
      <c r="F511" s="3"/>
      <c r="G511" s="57" t="str">
        <f t="shared" si="7"/>
        <v>-</v>
      </c>
      <c r="H511" s="19" t="s">
        <v>465</v>
      </c>
      <c r="I511" s="19">
        <v>97500</v>
      </c>
    </row>
    <row r="512" spans="1:9" s="1" customFormat="1" x14ac:dyDescent="0.2">
      <c r="A512" s="1" t="s">
        <v>28</v>
      </c>
      <c r="B512" s="2" t="s">
        <v>50</v>
      </c>
      <c r="D512" s="5" t="s">
        <v>464</v>
      </c>
      <c r="E512" s="3">
        <v>102500</v>
      </c>
      <c r="F512" s="58" t="s">
        <v>465</v>
      </c>
      <c r="G512" s="57" t="str">
        <f t="shared" si="7"/>
        <v>-</v>
      </c>
      <c r="H512" s="19"/>
      <c r="I512" s="19"/>
    </row>
    <row r="513" spans="1:10" x14ac:dyDescent="0.2">
      <c r="A513" s="1" t="s">
        <v>28</v>
      </c>
      <c r="B513" s="2" t="s">
        <v>50</v>
      </c>
      <c r="C513" s="1"/>
      <c r="D513" s="5" t="s">
        <v>464</v>
      </c>
      <c r="E513" s="3">
        <v>102500</v>
      </c>
      <c r="F513" s="58" t="s">
        <v>465</v>
      </c>
      <c r="G513" s="57" t="str">
        <f t="shared" si="7"/>
        <v>-</v>
      </c>
    </row>
    <row r="514" spans="1:10" x14ac:dyDescent="0.2">
      <c r="A514" s="1" t="s">
        <v>28</v>
      </c>
      <c r="B514" s="2" t="s">
        <v>50</v>
      </c>
      <c r="C514" s="1"/>
      <c r="D514" s="5" t="s">
        <v>464</v>
      </c>
      <c r="E514" s="58" t="s">
        <v>465</v>
      </c>
      <c r="F514" s="3">
        <v>102500</v>
      </c>
      <c r="G514" s="57" t="str">
        <f t="shared" si="7"/>
        <v>-</v>
      </c>
    </row>
    <row r="515" spans="1:10" x14ac:dyDescent="0.2">
      <c r="A515" s="1" t="s">
        <v>28</v>
      </c>
      <c r="B515" s="2" t="s">
        <v>50</v>
      </c>
      <c r="C515" s="1"/>
      <c r="D515" s="5" t="s">
        <v>464</v>
      </c>
      <c r="E515" s="58" t="s">
        <v>465</v>
      </c>
      <c r="F515" s="3">
        <v>102500</v>
      </c>
      <c r="G515" s="57" t="str">
        <f t="shared" ref="G515:G578" si="8">IF(ISERROR((F515-E515)/E515),"-",(F515-E515)/E515)</f>
        <v>-</v>
      </c>
    </row>
    <row r="516" spans="1:10" x14ac:dyDescent="0.2">
      <c r="A516" s="1" t="s">
        <v>28</v>
      </c>
      <c r="B516" s="2" t="s">
        <v>50</v>
      </c>
      <c r="C516" s="1"/>
      <c r="D516" s="5" t="s">
        <v>464</v>
      </c>
      <c r="E516" s="3">
        <v>107500</v>
      </c>
      <c r="F516" s="58" t="s">
        <v>465</v>
      </c>
      <c r="G516" s="57" t="str">
        <f t="shared" si="8"/>
        <v>-</v>
      </c>
    </row>
    <row r="517" spans="1:10" x14ac:dyDescent="0.2">
      <c r="A517" s="1" t="s">
        <v>28</v>
      </c>
      <c r="B517" s="2" t="s">
        <v>50</v>
      </c>
      <c r="C517" s="1"/>
      <c r="D517" s="5" t="s">
        <v>464</v>
      </c>
      <c r="E517" s="3">
        <v>107500</v>
      </c>
      <c r="F517" s="58" t="s">
        <v>465</v>
      </c>
      <c r="G517" s="57" t="str">
        <f t="shared" si="8"/>
        <v>-</v>
      </c>
    </row>
    <row r="518" spans="1:10" x14ac:dyDescent="0.2">
      <c r="A518" s="1" t="s">
        <v>28</v>
      </c>
      <c r="B518" s="2" t="s">
        <v>50</v>
      </c>
      <c r="C518" s="1"/>
      <c r="D518" s="5" t="s">
        <v>464</v>
      </c>
      <c r="E518" s="58" t="s">
        <v>465</v>
      </c>
      <c r="F518" s="3">
        <v>107500</v>
      </c>
      <c r="G518" s="57" t="str">
        <f t="shared" si="8"/>
        <v>-</v>
      </c>
    </row>
    <row r="519" spans="1:10" x14ac:dyDescent="0.2">
      <c r="A519" s="1" t="s">
        <v>28</v>
      </c>
      <c r="B519" s="2" t="s">
        <v>50</v>
      </c>
      <c r="C519" s="1"/>
      <c r="D519" s="5" t="s">
        <v>464</v>
      </c>
      <c r="E519" s="58" t="s">
        <v>465</v>
      </c>
      <c r="F519" s="3">
        <v>107500</v>
      </c>
      <c r="G519" s="57" t="str">
        <f t="shared" si="8"/>
        <v>-</v>
      </c>
    </row>
    <row r="520" spans="1:10" x14ac:dyDescent="0.2">
      <c r="A520" s="1" t="s">
        <v>28</v>
      </c>
      <c r="B520" s="2" t="s">
        <v>50</v>
      </c>
      <c r="C520" s="1"/>
      <c r="D520" s="5" t="s">
        <v>464</v>
      </c>
      <c r="E520" s="3">
        <v>122500</v>
      </c>
      <c r="F520" s="58" t="s">
        <v>465</v>
      </c>
      <c r="G520" s="57" t="str">
        <f t="shared" si="8"/>
        <v>-</v>
      </c>
    </row>
    <row r="521" spans="1:10" x14ac:dyDescent="0.2">
      <c r="A521" s="1" t="s">
        <v>28</v>
      </c>
      <c r="B521" s="2" t="s">
        <v>50</v>
      </c>
      <c r="C521" s="1"/>
      <c r="D521" s="5" t="s">
        <v>464</v>
      </c>
      <c r="E521" s="3">
        <v>122500</v>
      </c>
      <c r="F521" s="58" t="s">
        <v>465</v>
      </c>
      <c r="G521" s="57" t="str">
        <f t="shared" si="8"/>
        <v>-</v>
      </c>
    </row>
    <row r="522" spans="1:10" x14ac:dyDescent="0.2">
      <c r="A522" s="1" t="s">
        <v>28</v>
      </c>
      <c r="B522" s="2" t="s">
        <v>50</v>
      </c>
      <c r="C522" s="1"/>
      <c r="D522" s="5" t="s">
        <v>464</v>
      </c>
      <c r="E522" s="58" t="s">
        <v>465</v>
      </c>
      <c r="F522" s="3">
        <v>122500</v>
      </c>
      <c r="G522" s="57" t="str">
        <f t="shared" si="8"/>
        <v>-</v>
      </c>
    </row>
    <row r="523" spans="1:10" x14ac:dyDescent="0.2">
      <c r="A523" s="1" t="s">
        <v>28</v>
      </c>
      <c r="B523" s="2" t="s">
        <v>50</v>
      </c>
      <c r="C523" s="1"/>
      <c r="D523" s="5" t="s">
        <v>464</v>
      </c>
      <c r="E523" s="58" t="s">
        <v>465</v>
      </c>
      <c r="F523" s="3">
        <v>122500</v>
      </c>
      <c r="G523" s="57" t="str">
        <f t="shared" si="8"/>
        <v>-</v>
      </c>
    </row>
    <row r="524" spans="1:10" x14ac:dyDescent="0.2">
      <c r="A524" s="1" t="s">
        <v>28</v>
      </c>
      <c r="B524" s="2" t="s">
        <v>50</v>
      </c>
      <c r="C524" s="1"/>
      <c r="D524" s="5" t="s">
        <v>464</v>
      </c>
      <c r="E524" s="58" t="s">
        <v>465</v>
      </c>
      <c r="F524" s="3">
        <v>122500</v>
      </c>
      <c r="G524" s="57" t="str">
        <f t="shared" si="8"/>
        <v>-</v>
      </c>
    </row>
    <row r="525" spans="1:10" x14ac:dyDescent="0.2">
      <c r="A525" s="1" t="s">
        <v>28</v>
      </c>
      <c r="B525" s="2" t="s">
        <v>50</v>
      </c>
      <c r="C525" s="1"/>
      <c r="D525" s="5" t="s">
        <v>464</v>
      </c>
      <c r="E525" s="3">
        <v>147500</v>
      </c>
      <c r="F525" s="58" t="s">
        <v>465</v>
      </c>
      <c r="G525" s="57" t="str">
        <f t="shared" si="8"/>
        <v>-</v>
      </c>
    </row>
    <row r="526" spans="1:10" x14ac:dyDescent="0.2">
      <c r="A526" s="1" t="s">
        <v>20</v>
      </c>
      <c r="B526" s="2" t="s">
        <v>51</v>
      </c>
      <c r="C526" s="1"/>
      <c r="D526" s="5" t="s">
        <v>450</v>
      </c>
      <c r="E526" s="3">
        <v>147000</v>
      </c>
      <c r="F526" s="3">
        <v>149000</v>
      </c>
      <c r="G526" s="57">
        <f t="shared" si="8"/>
        <v>1.3605442176870748E-2</v>
      </c>
      <c r="J526" s="5" t="s">
        <v>1830</v>
      </c>
    </row>
    <row r="527" spans="1:10" s="13" customFormat="1" x14ac:dyDescent="0.2">
      <c r="A527" s="1" t="s">
        <v>20</v>
      </c>
      <c r="B527" s="12" t="s">
        <v>51</v>
      </c>
      <c r="D527" s="7" t="s">
        <v>468</v>
      </c>
      <c r="E527" s="6" t="s">
        <v>465</v>
      </c>
      <c r="F527" s="6">
        <v>103000</v>
      </c>
      <c r="G527" s="57" t="str">
        <f t="shared" si="8"/>
        <v>-</v>
      </c>
      <c r="H527" s="21"/>
      <c r="I527" s="21"/>
      <c r="J527" s="7" t="s">
        <v>1831</v>
      </c>
    </row>
    <row r="528" spans="1:10" s="13" customFormat="1" x14ac:dyDescent="0.2">
      <c r="A528" s="1" t="s">
        <v>20</v>
      </c>
      <c r="B528" s="12" t="s">
        <v>51</v>
      </c>
      <c r="D528" s="7" t="s">
        <v>468</v>
      </c>
      <c r="E528" s="6">
        <v>104000</v>
      </c>
      <c r="F528" s="6" t="s">
        <v>465</v>
      </c>
      <c r="G528" s="57" t="str">
        <f t="shared" si="8"/>
        <v>-</v>
      </c>
      <c r="H528" s="21"/>
      <c r="I528" s="21"/>
      <c r="J528" s="7"/>
    </row>
    <row r="529" spans="1:10" s="13" customFormat="1" x14ac:dyDescent="0.2">
      <c r="A529" s="1" t="s">
        <v>20</v>
      </c>
      <c r="B529" s="12" t="s">
        <v>51</v>
      </c>
      <c r="D529" s="7" t="s">
        <v>468</v>
      </c>
      <c r="E529" s="6">
        <v>108000</v>
      </c>
      <c r="F529" s="6" t="s">
        <v>465</v>
      </c>
      <c r="G529" s="57" t="str">
        <f t="shared" si="8"/>
        <v>-</v>
      </c>
      <c r="H529" s="21"/>
      <c r="I529" s="21"/>
      <c r="J529" s="7"/>
    </row>
    <row r="530" spans="1:10" ht="25.5" x14ac:dyDescent="0.2">
      <c r="A530" s="1" t="s">
        <v>20</v>
      </c>
      <c r="B530" s="2" t="s">
        <v>51</v>
      </c>
      <c r="C530" s="1"/>
      <c r="D530" s="5" t="s">
        <v>4160</v>
      </c>
      <c r="E530" s="3">
        <v>66000</v>
      </c>
      <c r="F530" s="3">
        <v>102000</v>
      </c>
      <c r="G530" s="57">
        <f t="shared" si="8"/>
        <v>0.54545454545454541</v>
      </c>
      <c r="J530" s="5" t="s">
        <v>4161</v>
      </c>
    </row>
    <row r="531" spans="1:10" ht="25.5" x14ac:dyDescent="0.2">
      <c r="A531" s="1" t="s">
        <v>20</v>
      </c>
      <c r="B531" s="2" t="s">
        <v>51</v>
      </c>
      <c r="C531" s="1"/>
      <c r="D531" s="5" t="s">
        <v>4162</v>
      </c>
      <c r="E531" s="3">
        <v>69000</v>
      </c>
      <c r="F531" s="3">
        <v>120000</v>
      </c>
      <c r="G531" s="57">
        <f t="shared" si="8"/>
        <v>0.73913043478260865</v>
      </c>
      <c r="J531" s="5" t="s">
        <v>4163</v>
      </c>
    </row>
    <row r="532" spans="1:10" s="13" customFormat="1" x14ac:dyDescent="0.2">
      <c r="A532" s="1" t="s">
        <v>20</v>
      </c>
      <c r="B532" s="12" t="s">
        <v>51</v>
      </c>
      <c r="D532" s="7" t="s">
        <v>635</v>
      </c>
      <c r="E532" s="6">
        <v>107000</v>
      </c>
      <c r="F532" s="6" t="s">
        <v>465</v>
      </c>
      <c r="G532" s="57" t="str">
        <f t="shared" si="8"/>
        <v>-</v>
      </c>
      <c r="H532" s="21"/>
      <c r="I532" s="21"/>
      <c r="J532" s="7" t="s">
        <v>4164</v>
      </c>
    </row>
    <row r="533" spans="1:10" x14ac:dyDescent="0.2">
      <c r="A533" s="1" t="s">
        <v>20</v>
      </c>
      <c r="B533" s="2" t="s">
        <v>51</v>
      </c>
      <c r="C533" s="1"/>
      <c r="D533" s="5" t="s">
        <v>464</v>
      </c>
      <c r="G533" s="57" t="str">
        <f t="shared" si="8"/>
        <v>-</v>
      </c>
      <c r="H533" s="19">
        <v>97500</v>
      </c>
      <c r="I533" s="19" t="s">
        <v>465</v>
      </c>
      <c r="J533" s="5" t="s">
        <v>539</v>
      </c>
    </row>
    <row r="534" spans="1:10" x14ac:dyDescent="0.2">
      <c r="A534" s="1" t="s">
        <v>20</v>
      </c>
      <c r="B534" s="2" t="s">
        <v>51</v>
      </c>
      <c r="C534" s="1"/>
      <c r="D534" s="5" t="s">
        <v>464</v>
      </c>
      <c r="E534" s="3">
        <v>107500</v>
      </c>
      <c r="F534" s="3" t="s">
        <v>465</v>
      </c>
      <c r="G534" s="57" t="str">
        <f t="shared" si="8"/>
        <v>-</v>
      </c>
      <c r="J534" s="5" t="s">
        <v>539</v>
      </c>
    </row>
    <row r="535" spans="1:10" s="13" customFormat="1" ht="38.25" x14ac:dyDescent="0.2">
      <c r="A535" s="13" t="s">
        <v>20</v>
      </c>
      <c r="B535" s="17" t="s">
        <v>4166</v>
      </c>
      <c r="D535" s="7" t="s">
        <v>450</v>
      </c>
      <c r="E535" s="6">
        <v>133099</v>
      </c>
      <c r="F535" s="6">
        <v>38953</v>
      </c>
      <c r="G535" s="57">
        <f t="shared" si="8"/>
        <v>-0.70733814679298868</v>
      </c>
      <c r="H535" s="21"/>
      <c r="I535" s="21"/>
      <c r="J535" s="7" t="s">
        <v>4165</v>
      </c>
    </row>
    <row r="536" spans="1:10" x14ac:dyDescent="0.2">
      <c r="A536" s="13" t="s">
        <v>20</v>
      </c>
      <c r="B536" s="2" t="s">
        <v>52</v>
      </c>
      <c r="C536" s="1"/>
      <c r="D536" s="5" t="s">
        <v>455</v>
      </c>
      <c r="E536" s="3">
        <v>105862</v>
      </c>
      <c r="F536" s="3">
        <v>110700</v>
      </c>
      <c r="G536" s="57">
        <f t="shared" si="8"/>
        <v>4.5701006971340045E-2</v>
      </c>
      <c r="J536" s="5" t="s">
        <v>1832</v>
      </c>
    </row>
    <row r="537" spans="1:10" x14ac:dyDescent="0.2">
      <c r="A537" s="1" t="s">
        <v>25</v>
      </c>
      <c r="B537" s="2" t="s">
        <v>53</v>
      </c>
      <c r="C537" s="1" t="s">
        <v>1833</v>
      </c>
      <c r="D537" s="5" t="s">
        <v>450</v>
      </c>
      <c r="E537" s="3">
        <v>233870</v>
      </c>
      <c r="F537" s="3">
        <v>232646</v>
      </c>
      <c r="G537" s="57">
        <f t="shared" si="8"/>
        <v>-5.2336768290075679E-3</v>
      </c>
      <c r="J537" s="5" t="s">
        <v>1834</v>
      </c>
    </row>
    <row r="538" spans="1:10" ht="25.5" x14ac:dyDescent="0.2">
      <c r="A538" s="1" t="s">
        <v>25</v>
      </c>
      <c r="B538" s="2" t="s">
        <v>53</v>
      </c>
      <c r="C538" s="1"/>
      <c r="D538" s="5" t="s">
        <v>4170</v>
      </c>
      <c r="E538" s="3">
        <v>161303</v>
      </c>
      <c r="F538" s="3">
        <v>230342</v>
      </c>
      <c r="G538" s="57">
        <f t="shared" si="8"/>
        <v>0.42800815855873731</v>
      </c>
      <c r="J538" s="5" t="s">
        <v>4171</v>
      </c>
    </row>
    <row r="539" spans="1:10" s="13" customFormat="1" ht="25.5" x14ac:dyDescent="0.2">
      <c r="A539" s="1" t="s">
        <v>25</v>
      </c>
      <c r="B539" s="2" t="s">
        <v>53</v>
      </c>
      <c r="D539" s="7" t="s">
        <v>4169</v>
      </c>
      <c r="E539" s="6">
        <v>161303</v>
      </c>
      <c r="F539" s="6">
        <v>69898</v>
      </c>
      <c r="G539" s="57">
        <f t="shared" si="8"/>
        <v>-0.56666646001624277</v>
      </c>
      <c r="H539" s="21"/>
      <c r="I539" s="21"/>
      <c r="J539" s="7" t="s">
        <v>4168</v>
      </c>
    </row>
    <row r="540" spans="1:10" x14ac:dyDescent="0.2">
      <c r="A540" s="1" t="s">
        <v>25</v>
      </c>
      <c r="B540" s="2" t="s">
        <v>53</v>
      </c>
      <c r="C540" s="1"/>
      <c r="D540" s="5" t="s">
        <v>977</v>
      </c>
      <c r="E540" s="3">
        <v>161303</v>
      </c>
      <c r="F540" s="3">
        <v>161303</v>
      </c>
      <c r="G540" s="57">
        <f t="shared" si="8"/>
        <v>0</v>
      </c>
      <c r="J540" s="5" t="s">
        <v>1835</v>
      </c>
    </row>
    <row r="541" spans="1:10" s="13" customFormat="1" ht="25.5" x14ac:dyDescent="0.2">
      <c r="A541" s="1" t="s">
        <v>25</v>
      </c>
      <c r="B541" s="12" t="s">
        <v>53</v>
      </c>
      <c r="D541" s="7" t="s">
        <v>3757</v>
      </c>
      <c r="E541" s="6">
        <v>161303</v>
      </c>
      <c r="F541" s="6">
        <v>86288</v>
      </c>
      <c r="G541" s="57">
        <f t="shared" si="8"/>
        <v>-0.46505644656330014</v>
      </c>
      <c r="H541" s="21"/>
      <c r="I541" s="21"/>
      <c r="J541" s="7" t="s">
        <v>4174</v>
      </c>
    </row>
    <row r="542" spans="1:10" ht="25.5" x14ac:dyDescent="0.2">
      <c r="A542" s="1" t="s">
        <v>25</v>
      </c>
      <c r="B542" s="2" t="s">
        <v>53</v>
      </c>
      <c r="C542" s="1"/>
      <c r="D542" s="5" t="s">
        <v>4175</v>
      </c>
      <c r="E542" s="3">
        <v>161303</v>
      </c>
      <c r="F542" s="3">
        <v>161303</v>
      </c>
      <c r="G542" s="57">
        <f t="shared" si="8"/>
        <v>0</v>
      </c>
      <c r="J542" s="5" t="s">
        <v>1835</v>
      </c>
    </row>
    <row r="543" spans="1:10" s="13" customFormat="1" ht="25.5" x14ac:dyDescent="0.2">
      <c r="A543" s="1" t="s">
        <v>25</v>
      </c>
      <c r="B543" s="12" t="s">
        <v>53</v>
      </c>
      <c r="D543" s="7" t="s">
        <v>4172</v>
      </c>
      <c r="E543" s="6">
        <v>149781</v>
      </c>
      <c r="F543" s="6">
        <v>109675</v>
      </c>
      <c r="G543" s="57">
        <f t="shared" si="8"/>
        <v>-0.26776426916631618</v>
      </c>
      <c r="H543" s="21"/>
      <c r="I543" s="21"/>
      <c r="J543" s="7" t="s">
        <v>4173</v>
      </c>
    </row>
    <row r="544" spans="1:10" ht="38.25" x14ac:dyDescent="0.2">
      <c r="A544" s="1" t="s">
        <v>25</v>
      </c>
      <c r="B544" s="2" t="s">
        <v>53</v>
      </c>
      <c r="C544" s="1"/>
      <c r="D544" s="5" t="s">
        <v>4176</v>
      </c>
      <c r="E544" s="3">
        <v>144657</v>
      </c>
      <c r="F544" s="3">
        <v>124080</v>
      </c>
      <c r="G544" s="57">
        <f t="shared" si="8"/>
        <v>-0.14224683216159606</v>
      </c>
      <c r="J544" s="5" t="s">
        <v>1836</v>
      </c>
    </row>
    <row r="545" spans="1:10" ht="25.5" x14ac:dyDescent="0.2">
      <c r="A545" s="1" t="s">
        <v>25</v>
      </c>
      <c r="B545" s="2" t="s">
        <v>53</v>
      </c>
      <c r="C545" s="1"/>
      <c r="D545" s="5" t="s">
        <v>4177</v>
      </c>
      <c r="E545" s="3" t="s">
        <v>465</v>
      </c>
      <c r="F545" s="3">
        <v>104284</v>
      </c>
      <c r="G545" s="57" t="str">
        <f t="shared" si="8"/>
        <v>-</v>
      </c>
      <c r="J545" s="5" t="s">
        <v>4178</v>
      </c>
    </row>
    <row r="546" spans="1:10" x14ac:dyDescent="0.2">
      <c r="A546" s="1" t="s">
        <v>25</v>
      </c>
      <c r="B546" s="2" t="s">
        <v>53</v>
      </c>
      <c r="C546" s="1"/>
      <c r="D546" s="5" t="s">
        <v>3758</v>
      </c>
      <c r="E546" s="3">
        <v>105301</v>
      </c>
      <c r="F546" s="3" t="s">
        <v>465</v>
      </c>
      <c r="G546" s="57" t="str">
        <f t="shared" si="8"/>
        <v>-</v>
      </c>
      <c r="J546" s="5" t="s">
        <v>3759</v>
      </c>
    </row>
    <row r="547" spans="1:10" x14ac:dyDescent="0.2">
      <c r="A547" s="1" t="s">
        <v>25</v>
      </c>
      <c r="B547" s="2" t="s">
        <v>53</v>
      </c>
      <c r="C547" s="1"/>
      <c r="D547" s="5" t="s">
        <v>464</v>
      </c>
      <c r="G547" s="57" t="str">
        <f t="shared" si="8"/>
        <v>-</v>
      </c>
      <c r="H547" s="19">
        <v>92500</v>
      </c>
      <c r="I547" s="19" t="s">
        <v>465</v>
      </c>
    </row>
    <row r="548" spans="1:10" x14ac:dyDescent="0.2">
      <c r="A548" s="1" t="s">
        <v>25</v>
      </c>
      <c r="B548" s="2" t="s">
        <v>53</v>
      </c>
      <c r="C548" s="1"/>
      <c r="D548" s="5" t="s">
        <v>464</v>
      </c>
      <c r="G548" s="57" t="str">
        <f t="shared" si="8"/>
        <v>-</v>
      </c>
      <c r="H548" s="19" t="s">
        <v>465</v>
      </c>
      <c r="I548" s="19">
        <v>92500</v>
      </c>
    </row>
    <row r="549" spans="1:10" x14ac:dyDescent="0.2">
      <c r="A549" s="1" t="s">
        <v>25</v>
      </c>
      <c r="B549" s="2" t="s">
        <v>53</v>
      </c>
      <c r="C549" s="1"/>
      <c r="D549" s="5" t="s">
        <v>464</v>
      </c>
      <c r="G549" s="57" t="str">
        <f t="shared" si="8"/>
        <v>-</v>
      </c>
      <c r="H549" s="19" t="s">
        <v>465</v>
      </c>
      <c r="I549" s="19">
        <v>92500</v>
      </c>
    </row>
    <row r="550" spans="1:10" x14ac:dyDescent="0.2">
      <c r="A550" s="1" t="s">
        <v>25</v>
      </c>
      <c r="B550" s="2" t="s">
        <v>53</v>
      </c>
      <c r="C550" s="1"/>
      <c r="D550" s="5" t="s">
        <v>464</v>
      </c>
      <c r="G550" s="57" t="str">
        <f t="shared" si="8"/>
        <v>-</v>
      </c>
      <c r="H550" s="19" t="s">
        <v>465</v>
      </c>
      <c r="I550" s="19">
        <v>92500</v>
      </c>
    </row>
    <row r="551" spans="1:10" x14ac:dyDescent="0.2">
      <c r="A551" s="1" t="s">
        <v>25</v>
      </c>
      <c r="B551" s="2" t="s">
        <v>53</v>
      </c>
      <c r="C551" s="1"/>
      <c r="D551" s="5" t="s">
        <v>464</v>
      </c>
      <c r="G551" s="57" t="str">
        <f t="shared" si="8"/>
        <v>-</v>
      </c>
      <c r="H551" s="19">
        <v>97500</v>
      </c>
      <c r="I551" s="19" t="s">
        <v>465</v>
      </c>
    </row>
    <row r="552" spans="1:10" x14ac:dyDescent="0.2">
      <c r="A552" s="1" t="s">
        <v>25</v>
      </c>
      <c r="B552" s="2" t="s">
        <v>53</v>
      </c>
      <c r="C552" s="1"/>
      <c r="D552" s="5" t="s">
        <v>464</v>
      </c>
      <c r="G552" s="57" t="str">
        <f t="shared" si="8"/>
        <v>-</v>
      </c>
      <c r="H552" s="19">
        <v>97500</v>
      </c>
      <c r="I552" s="19" t="s">
        <v>465</v>
      </c>
    </row>
    <row r="553" spans="1:10" x14ac:dyDescent="0.2">
      <c r="A553" s="1" t="s">
        <v>25</v>
      </c>
      <c r="B553" s="2" t="s">
        <v>53</v>
      </c>
      <c r="C553" s="1"/>
      <c r="D553" s="5" t="s">
        <v>464</v>
      </c>
      <c r="G553" s="57" t="str">
        <f t="shared" si="8"/>
        <v>-</v>
      </c>
      <c r="H553" s="19" t="s">
        <v>465</v>
      </c>
      <c r="I553" s="19">
        <v>97500</v>
      </c>
    </row>
    <row r="554" spans="1:10" x14ac:dyDescent="0.2">
      <c r="A554" s="1" t="s">
        <v>25</v>
      </c>
      <c r="B554" s="2" t="s">
        <v>53</v>
      </c>
      <c r="C554" s="1"/>
      <c r="D554" s="5" t="s">
        <v>464</v>
      </c>
      <c r="G554" s="57" t="str">
        <f t="shared" si="8"/>
        <v>-</v>
      </c>
      <c r="H554" s="19" t="s">
        <v>465</v>
      </c>
      <c r="I554" s="19">
        <v>97500</v>
      </c>
    </row>
    <row r="555" spans="1:10" x14ac:dyDescent="0.2">
      <c r="A555" s="1" t="s">
        <v>25</v>
      </c>
      <c r="B555" s="2" t="s">
        <v>53</v>
      </c>
      <c r="C555" s="1"/>
      <c r="D555" s="5" t="s">
        <v>464</v>
      </c>
      <c r="E555" s="3" t="s">
        <v>465</v>
      </c>
      <c r="F555" s="3">
        <v>102500</v>
      </c>
      <c r="G555" s="57" t="str">
        <f t="shared" si="8"/>
        <v>-</v>
      </c>
    </row>
    <row r="556" spans="1:10" x14ac:dyDescent="0.2">
      <c r="A556" s="1" t="s">
        <v>25</v>
      </c>
      <c r="B556" s="2" t="s">
        <v>53</v>
      </c>
      <c r="C556" s="1"/>
      <c r="D556" s="5" t="s">
        <v>464</v>
      </c>
      <c r="E556" s="3" t="s">
        <v>465</v>
      </c>
      <c r="F556" s="3">
        <v>102500</v>
      </c>
      <c r="G556" s="57" t="str">
        <f t="shared" si="8"/>
        <v>-</v>
      </c>
    </row>
    <row r="557" spans="1:10" x14ac:dyDescent="0.2">
      <c r="A557" s="1" t="s">
        <v>25</v>
      </c>
      <c r="B557" s="2" t="s">
        <v>53</v>
      </c>
      <c r="C557" s="1"/>
      <c r="D557" s="5" t="s">
        <v>464</v>
      </c>
      <c r="E557" s="3" t="s">
        <v>465</v>
      </c>
      <c r="F557" s="3">
        <v>102500</v>
      </c>
      <c r="G557" s="57" t="str">
        <f t="shared" si="8"/>
        <v>-</v>
      </c>
    </row>
    <row r="558" spans="1:10" x14ac:dyDescent="0.2">
      <c r="A558" s="1" t="s">
        <v>25</v>
      </c>
      <c r="B558" s="2" t="s">
        <v>53</v>
      </c>
      <c r="C558" s="1"/>
      <c r="D558" s="5" t="s">
        <v>464</v>
      </c>
      <c r="E558" s="3" t="s">
        <v>465</v>
      </c>
      <c r="F558" s="3">
        <v>102500</v>
      </c>
      <c r="G558" s="57" t="str">
        <f t="shared" si="8"/>
        <v>-</v>
      </c>
    </row>
    <row r="559" spans="1:10" x14ac:dyDescent="0.2">
      <c r="A559" s="1" t="s">
        <v>25</v>
      </c>
      <c r="B559" s="2" t="s">
        <v>53</v>
      </c>
      <c r="C559" s="1"/>
      <c r="D559" s="5" t="s">
        <v>464</v>
      </c>
      <c r="E559" s="3" t="s">
        <v>465</v>
      </c>
      <c r="F559" s="3">
        <v>102500</v>
      </c>
      <c r="G559" s="57" t="str">
        <f t="shared" si="8"/>
        <v>-</v>
      </c>
    </row>
    <row r="560" spans="1:10" x14ac:dyDescent="0.2">
      <c r="A560" s="1" t="s">
        <v>25</v>
      </c>
      <c r="B560" s="2" t="s">
        <v>53</v>
      </c>
      <c r="C560" s="1"/>
      <c r="D560" s="5" t="s">
        <v>464</v>
      </c>
      <c r="E560" s="3" t="s">
        <v>465</v>
      </c>
      <c r="F560" s="3">
        <v>102500</v>
      </c>
      <c r="G560" s="57" t="str">
        <f t="shared" si="8"/>
        <v>-</v>
      </c>
    </row>
    <row r="561" spans="1:9" s="1" customFormat="1" x14ac:dyDescent="0.2">
      <c r="A561" s="1" t="s">
        <v>25</v>
      </c>
      <c r="B561" s="2" t="s">
        <v>53</v>
      </c>
      <c r="D561" s="5" t="s">
        <v>464</v>
      </c>
      <c r="E561" s="3">
        <v>102500</v>
      </c>
      <c r="F561" s="3" t="s">
        <v>465</v>
      </c>
      <c r="G561" s="57" t="str">
        <f t="shared" si="8"/>
        <v>-</v>
      </c>
      <c r="H561" s="19"/>
      <c r="I561" s="19"/>
    </row>
    <row r="562" spans="1:9" s="1" customFormat="1" x14ac:dyDescent="0.2">
      <c r="A562" s="1" t="s">
        <v>25</v>
      </c>
      <c r="B562" s="2" t="s">
        <v>53</v>
      </c>
      <c r="D562" s="5" t="s">
        <v>464</v>
      </c>
      <c r="E562" s="3">
        <v>102500</v>
      </c>
      <c r="F562" s="3" t="s">
        <v>465</v>
      </c>
      <c r="G562" s="57" t="str">
        <f t="shared" si="8"/>
        <v>-</v>
      </c>
      <c r="H562" s="19"/>
      <c r="I562" s="19"/>
    </row>
    <row r="563" spans="1:9" s="1" customFormat="1" x14ac:dyDescent="0.2">
      <c r="A563" s="1" t="s">
        <v>25</v>
      </c>
      <c r="B563" s="2" t="s">
        <v>53</v>
      </c>
      <c r="D563" s="5" t="s">
        <v>464</v>
      </c>
      <c r="E563" s="3">
        <v>102500</v>
      </c>
      <c r="F563" s="3" t="s">
        <v>465</v>
      </c>
      <c r="G563" s="57" t="str">
        <f t="shared" si="8"/>
        <v>-</v>
      </c>
      <c r="H563" s="19"/>
      <c r="I563" s="19"/>
    </row>
    <row r="564" spans="1:9" s="1" customFormat="1" x14ac:dyDescent="0.2">
      <c r="A564" s="1" t="s">
        <v>25</v>
      </c>
      <c r="B564" s="2" t="s">
        <v>53</v>
      </c>
      <c r="D564" s="5" t="s">
        <v>464</v>
      </c>
      <c r="E564" s="3">
        <v>102500</v>
      </c>
      <c r="F564" s="3" t="s">
        <v>465</v>
      </c>
      <c r="G564" s="57" t="str">
        <f t="shared" si="8"/>
        <v>-</v>
      </c>
      <c r="H564" s="19"/>
      <c r="I564" s="19"/>
    </row>
    <row r="565" spans="1:9" s="1" customFormat="1" x14ac:dyDescent="0.2">
      <c r="A565" s="1" t="s">
        <v>25</v>
      </c>
      <c r="B565" s="2" t="s">
        <v>53</v>
      </c>
      <c r="D565" s="5" t="s">
        <v>464</v>
      </c>
      <c r="E565" s="3">
        <v>102500</v>
      </c>
      <c r="F565" s="3" t="s">
        <v>465</v>
      </c>
      <c r="G565" s="57" t="str">
        <f t="shared" si="8"/>
        <v>-</v>
      </c>
      <c r="H565" s="19"/>
      <c r="I565" s="19"/>
    </row>
    <row r="566" spans="1:9" s="1" customFormat="1" x14ac:dyDescent="0.2">
      <c r="A566" s="1" t="s">
        <v>25</v>
      </c>
      <c r="B566" s="2" t="s">
        <v>53</v>
      </c>
      <c r="D566" s="5" t="s">
        <v>464</v>
      </c>
      <c r="E566" s="3" t="s">
        <v>465</v>
      </c>
      <c r="F566" s="3">
        <v>107500</v>
      </c>
      <c r="G566" s="57" t="str">
        <f t="shared" si="8"/>
        <v>-</v>
      </c>
      <c r="H566" s="19"/>
      <c r="I566" s="19"/>
    </row>
    <row r="567" spans="1:9" s="1" customFormat="1" x14ac:dyDescent="0.2">
      <c r="A567" s="1" t="s">
        <v>25</v>
      </c>
      <c r="B567" s="2" t="s">
        <v>53</v>
      </c>
      <c r="D567" s="5" t="s">
        <v>464</v>
      </c>
      <c r="E567" s="3" t="s">
        <v>465</v>
      </c>
      <c r="F567" s="3">
        <v>107500</v>
      </c>
      <c r="G567" s="57" t="str">
        <f t="shared" si="8"/>
        <v>-</v>
      </c>
      <c r="H567" s="19"/>
      <c r="I567" s="19"/>
    </row>
    <row r="568" spans="1:9" s="1" customFormat="1" x14ac:dyDescent="0.2">
      <c r="A568" s="1" t="s">
        <v>25</v>
      </c>
      <c r="B568" s="2" t="s">
        <v>53</v>
      </c>
      <c r="D568" s="5" t="s">
        <v>464</v>
      </c>
      <c r="E568" s="3" t="s">
        <v>465</v>
      </c>
      <c r="F568" s="3">
        <v>107500</v>
      </c>
      <c r="G568" s="57" t="str">
        <f t="shared" si="8"/>
        <v>-</v>
      </c>
      <c r="H568" s="19"/>
      <c r="I568" s="19"/>
    </row>
    <row r="569" spans="1:9" s="1" customFormat="1" x14ac:dyDescent="0.2">
      <c r="A569" s="1" t="s">
        <v>25</v>
      </c>
      <c r="B569" s="2" t="s">
        <v>53</v>
      </c>
      <c r="D569" s="5" t="s">
        <v>464</v>
      </c>
      <c r="E569" s="3" t="s">
        <v>465</v>
      </c>
      <c r="F569" s="3">
        <v>107500</v>
      </c>
      <c r="G569" s="57" t="str">
        <f t="shared" si="8"/>
        <v>-</v>
      </c>
      <c r="H569" s="19"/>
      <c r="I569" s="19"/>
    </row>
    <row r="570" spans="1:9" s="1" customFormat="1" x14ac:dyDescent="0.2">
      <c r="A570" s="1" t="s">
        <v>25</v>
      </c>
      <c r="B570" s="2" t="s">
        <v>53</v>
      </c>
      <c r="D570" s="5" t="s">
        <v>464</v>
      </c>
      <c r="E570" s="3" t="s">
        <v>465</v>
      </c>
      <c r="F570" s="3">
        <v>107500</v>
      </c>
      <c r="G570" s="57" t="str">
        <f t="shared" si="8"/>
        <v>-</v>
      </c>
      <c r="H570" s="19"/>
      <c r="I570" s="19"/>
    </row>
    <row r="571" spans="1:9" s="1" customFormat="1" x14ac:dyDescent="0.2">
      <c r="A571" s="1" t="s">
        <v>25</v>
      </c>
      <c r="B571" s="2" t="s">
        <v>53</v>
      </c>
      <c r="D571" s="5" t="s">
        <v>464</v>
      </c>
      <c r="E571" s="3">
        <v>107500</v>
      </c>
      <c r="F571" s="3" t="s">
        <v>465</v>
      </c>
      <c r="G571" s="57" t="str">
        <f t="shared" si="8"/>
        <v>-</v>
      </c>
      <c r="H571" s="19"/>
      <c r="I571" s="19"/>
    </row>
    <row r="572" spans="1:9" s="1" customFormat="1" x14ac:dyDescent="0.2">
      <c r="A572" s="1" t="s">
        <v>25</v>
      </c>
      <c r="B572" s="2" t="s">
        <v>53</v>
      </c>
      <c r="D572" s="5" t="s">
        <v>464</v>
      </c>
      <c r="E572" s="3">
        <v>107500</v>
      </c>
      <c r="F572" s="3" t="s">
        <v>465</v>
      </c>
      <c r="G572" s="57" t="str">
        <f t="shared" si="8"/>
        <v>-</v>
      </c>
      <c r="H572" s="19"/>
      <c r="I572" s="19"/>
    </row>
    <row r="573" spans="1:9" s="1" customFormat="1" x14ac:dyDescent="0.2">
      <c r="A573" s="1" t="s">
        <v>25</v>
      </c>
      <c r="B573" s="2" t="s">
        <v>53</v>
      </c>
      <c r="D573" s="5" t="s">
        <v>464</v>
      </c>
      <c r="E573" s="3">
        <v>107500</v>
      </c>
      <c r="F573" s="3" t="s">
        <v>465</v>
      </c>
      <c r="G573" s="57" t="str">
        <f t="shared" si="8"/>
        <v>-</v>
      </c>
      <c r="H573" s="19"/>
      <c r="I573" s="19"/>
    </row>
    <row r="574" spans="1:9" s="1" customFormat="1" x14ac:dyDescent="0.2">
      <c r="A574" s="1" t="s">
        <v>25</v>
      </c>
      <c r="B574" s="2" t="s">
        <v>53</v>
      </c>
      <c r="D574" s="5" t="s">
        <v>464</v>
      </c>
      <c r="E574" s="3">
        <v>107500</v>
      </c>
      <c r="F574" s="3" t="s">
        <v>465</v>
      </c>
      <c r="G574" s="57" t="str">
        <f t="shared" si="8"/>
        <v>-</v>
      </c>
      <c r="H574" s="19"/>
      <c r="I574" s="19"/>
    </row>
    <row r="575" spans="1:9" s="1" customFormat="1" x14ac:dyDescent="0.2">
      <c r="A575" s="1" t="s">
        <v>25</v>
      </c>
      <c r="B575" s="2" t="s">
        <v>53</v>
      </c>
      <c r="D575" s="5" t="s">
        <v>464</v>
      </c>
      <c r="E575" s="3">
        <v>107500</v>
      </c>
      <c r="F575" s="3" t="s">
        <v>465</v>
      </c>
      <c r="G575" s="57" t="str">
        <f t="shared" si="8"/>
        <v>-</v>
      </c>
      <c r="H575" s="19"/>
      <c r="I575" s="19"/>
    </row>
    <row r="576" spans="1:9" s="1" customFormat="1" x14ac:dyDescent="0.2">
      <c r="A576" s="1" t="s">
        <v>25</v>
      </c>
      <c r="B576" s="2" t="s">
        <v>53</v>
      </c>
      <c r="D576" s="5" t="s">
        <v>464</v>
      </c>
      <c r="E576" s="3">
        <v>107500</v>
      </c>
      <c r="F576" s="3" t="s">
        <v>465</v>
      </c>
      <c r="G576" s="57" t="str">
        <f t="shared" si="8"/>
        <v>-</v>
      </c>
      <c r="H576" s="19"/>
      <c r="I576" s="19"/>
    </row>
    <row r="577" spans="1:10" x14ac:dyDescent="0.2">
      <c r="A577" s="1" t="s">
        <v>25</v>
      </c>
      <c r="B577" s="2" t="s">
        <v>53</v>
      </c>
      <c r="C577" s="1"/>
      <c r="D577" s="5" t="s">
        <v>464</v>
      </c>
      <c r="E577" s="3" t="s">
        <v>465</v>
      </c>
      <c r="F577" s="3">
        <v>112500</v>
      </c>
      <c r="G577" s="57" t="str">
        <f t="shared" si="8"/>
        <v>-</v>
      </c>
    </row>
    <row r="578" spans="1:10" x14ac:dyDescent="0.2">
      <c r="A578" s="1" t="s">
        <v>25</v>
      </c>
      <c r="B578" s="2" t="s">
        <v>53</v>
      </c>
      <c r="C578" s="1"/>
      <c r="D578" s="5" t="s">
        <v>464</v>
      </c>
      <c r="E578" s="3" t="s">
        <v>465</v>
      </c>
      <c r="F578" s="3">
        <v>112500</v>
      </c>
      <c r="G578" s="57" t="str">
        <f t="shared" si="8"/>
        <v>-</v>
      </c>
    </row>
    <row r="579" spans="1:10" x14ac:dyDescent="0.2">
      <c r="A579" s="1" t="s">
        <v>25</v>
      </c>
      <c r="B579" s="2" t="s">
        <v>53</v>
      </c>
      <c r="C579" s="1"/>
      <c r="D579" s="5" t="s">
        <v>464</v>
      </c>
      <c r="E579" s="3" t="s">
        <v>465</v>
      </c>
      <c r="F579" s="3">
        <v>117500</v>
      </c>
      <c r="G579" s="57" t="str">
        <f t="shared" ref="G579:G642" si="9">IF(ISERROR((F579-E579)/E579),"-",(F579-E579)/E579)</f>
        <v>-</v>
      </c>
    </row>
    <row r="580" spans="1:10" x14ac:dyDescent="0.2">
      <c r="A580" s="1" t="s">
        <v>25</v>
      </c>
      <c r="B580" s="2" t="s">
        <v>53</v>
      </c>
      <c r="C580" s="1"/>
      <c r="D580" s="5" t="s">
        <v>464</v>
      </c>
      <c r="E580" s="3" t="s">
        <v>465</v>
      </c>
      <c r="F580" s="3">
        <v>122500</v>
      </c>
      <c r="G580" s="57" t="str">
        <f t="shared" si="9"/>
        <v>-</v>
      </c>
    </row>
    <row r="581" spans="1:10" x14ac:dyDescent="0.2">
      <c r="A581" s="1" t="s">
        <v>25</v>
      </c>
      <c r="B581" s="2" t="s">
        <v>53</v>
      </c>
      <c r="C581" s="1"/>
      <c r="D581" s="5" t="s">
        <v>464</v>
      </c>
      <c r="E581" s="3" t="s">
        <v>465</v>
      </c>
      <c r="F581" s="3">
        <v>132500</v>
      </c>
      <c r="G581" s="57" t="str">
        <f t="shared" si="9"/>
        <v>-</v>
      </c>
    </row>
    <row r="582" spans="1:10" x14ac:dyDescent="0.2">
      <c r="A582" s="1" t="s">
        <v>25</v>
      </c>
      <c r="B582" s="2" t="s">
        <v>53</v>
      </c>
      <c r="C582" s="1"/>
      <c r="D582" s="5" t="s">
        <v>464</v>
      </c>
      <c r="E582" s="3" t="s">
        <v>465</v>
      </c>
      <c r="F582" s="3">
        <v>192500</v>
      </c>
      <c r="G582" s="57" t="str">
        <f t="shared" si="9"/>
        <v>-</v>
      </c>
    </row>
    <row r="583" spans="1:10" x14ac:dyDescent="0.2">
      <c r="A583" s="1" t="s">
        <v>25</v>
      </c>
      <c r="B583" s="2" t="s">
        <v>53</v>
      </c>
      <c r="C583" s="1"/>
      <c r="D583" s="5" t="s">
        <v>464</v>
      </c>
      <c r="E583" s="3">
        <v>192500</v>
      </c>
      <c r="F583" s="3" t="s">
        <v>465</v>
      </c>
      <c r="G583" s="57" t="str">
        <f t="shared" si="9"/>
        <v>-</v>
      </c>
    </row>
    <row r="584" spans="1:10" x14ac:dyDescent="0.2">
      <c r="A584" s="1" t="s">
        <v>20</v>
      </c>
      <c r="B584" s="2" t="s">
        <v>54</v>
      </c>
      <c r="C584" s="1"/>
      <c r="D584" s="5" t="s">
        <v>470</v>
      </c>
      <c r="E584" s="3">
        <v>106561</v>
      </c>
      <c r="F584" s="3">
        <v>105249</v>
      </c>
      <c r="G584" s="57">
        <f t="shared" si="9"/>
        <v>-1.2312196769925208E-2</v>
      </c>
      <c r="J584" s="5" t="s">
        <v>1837</v>
      </c>
    </row>
    <row r="585" spans="1:10" ht="25.5" x14ac:dyDescent="0.2">
      <c r="A585" s="1" t="s">
        <v>20</v>
      </c>
      <c r="B585" s="2" t="s">
        <v>54</v>
      </c>
      <c r="C585" s="1"/>
      <c r="D585" s="5" t="s">
        <v>1838</v>
      </c>
      <c r="E585" s="3">
        <v>34247</v>
      </c>
      <c r="F585" s="3">
        <v>120482</v>
      </c>
      <c r="G585" s="57">
        <f t="shared" si="9"/>
        <v>2.5180307764183723</v>
      </c>
      <c r="J585" s="5" t="s">
        <v>4428</v>
      </c>
    </row>
    <row r="586" spans="1:10" x14ac:dyDescent="0.2">
      <c r="A586" s="1" t="s">
        <v>20</v>
      </c>
      <c r="B586" s="2" t="s">
        <v>54</v>
      </c>
      <c r="C586" s="1"/>
      <c r="D586" s="5" t="s">
        <v>464</v>
      </c>
      <c r="G586" s="57" t="str">
        <f t="shared" si="9"/>
        <v>-</v>
      </c>
      <c r="H586" s="19" t="s">
        <v>465</v>
      </c>
      <c r="I586" s="19">
        <v>92500</v>
      </c>
      <c r="J586" s="5" t="s">
        <v>539</v>
      </c>
    </row>
    <row r="587" spans="1:10" ht="25.5" x14ac:dyDescent="0.2">
      <c r="A587" s="1" t="s">
        <v>44</v>
      </c>
      <c r="B587" s="2" t="s">
        <v>55</v>
      </c>
      <c r="C587" s="1"/>
      <c r="D587" s="5" t="s">
        <v>450</v>
      </c>
      <c r="E587" s="3">
        <v>170310</v>
      </c>
      <c r="F587" s="3">
        <v>169469</v>
      </c>
      <c r="G587" s="57">
        <f t="shared" si="9"/>
        <v>-4.9380541365744816E-3</v>
      </c>
      <c r="J587" s="5" t="s">
        <v>1839</v>
      </c>
    </row>
    <row r="588" spans="1:10" ht="25.5" x14ac:dyDescent="0.2">
      <c r="A588" s="1" t="s">
        <v>44</v>
      </c>
      <c r="B588" s="2" t="s">
        <v>55</v>
      </c>
      <c r="C588" s="1"/>
      <c r="D588" s="5" t="s">
        <v>1840</v>
      </c>
      <c r="E588" s="3">
        <v>130027</v>
      </c>
      <c r="F588" s="3">
        <v>130990</v>
      </c>
      <c r="G588" s="57">
        <f t="shared" si="9"/>
        <v>7.4061541064548136E-3</v>
      </c>
      <c r="J588" s="5" t="s">
        <v>1841</v>
      </c>
    </row>
    <row r="589" spans="1:10" ht="25.5" x14ac:dyDescent="0.2">
      <c r="A589" s="1" t="s">
        <v>44</v>
      </c>
      <c r="B589" s="2" t="s">
        <v>55</v>
      </c>
      <c r="C589" s="1"/>
      <c r="D589" s="5" t="s">
        <v>655</v>
      </c>
      <c r="E589" s="3">
        <v>127875</v>
      </c>
      <c r="F589" s="3">
        <v>132500</v>
      </c>
      <c r="G589" s="57">
        <f t="shared" si="9"/>
        <v>3.6168132942326493E-2</v>
      </c>
      <c r="J589" s="5" t="s">
        <v>1842</v>
      </c>
    </row>
    <row r="590" spans="1:10" x14ac:dyDescent="0.2">
      <c r="A590" s="1" t="s">
        <v>44</v>
      </c>
      <c r="B590" s="2" t="s">
        <v>55</v>
      </c>
      <c r="C590" s="1"/>
      <c r="D590" s="5" t="s">
        <v>1843</v>
      </c>
      <c r="E590" s="3">
        <v>126773</v>
      </c>
      <c r="F590" s="3">
        <v>129173</v>
      </c>
      <c r="G590" s="57">
        <f t="shared" si="9"/>
        <v>1.8931475945193378E-2</v>
      </c>
      <c r="J590" s="5" t="s">
        <v>1844</v>
      </c>
    </row>
    <row r="591" spans="1:10" ht="25.5" x14ac:dyDescent="0.2">
      <c r="A591" s="1" t="s">
        <v>44</v>
      </c>
      <c r="B591" s="2" t="s">
        <v>55</v>
      </c>
      <c r="C591" s="1"/>
      <c r="D591" s="5" t="s">
        <v>1845</v>
      </c>
      <c r="E591" s="3">
        <v>116139</v>
      </c>
      <c r="F591" s="3">
        <v>120739</v>
      </c>
      <c r="G591" s="57">
        <f t="shared" si="9"/>
        <v>3.960771144921172E-2</v>
      </c>
      <c r="J591" s="5" t="s">
        <v>1846</v>
      </c>
    </row>
    <row r="592" spans="1:10" ht="25.5" x14ac:dyDescent="0.2">
      <c r="A592" s="1" t="s">
        <v>44</v>
      </c>
      <c r="B592" s="2" t="s">
        <v>55</v>
      </c>
      <c r="C592" s="1"/>
      <c r="D592" s="5" t="s">
        <v>1847</v>
      </c>
      <c r="E592" s="3">
        <v>112926</v>
      </c>
      <c r="F592" s="3">
        <v>116386</v>
      </c>
      <c r="G592" s="57">
        <f t="shared" si="9"/>
        <v>3.0639533854028303E-2</v>
      </c>
      <c r="J592" s="5" t="s">
        <v>1848</v>
      </c>
    </row>
    <row r="593" spans="1:10" x14ac:dyDescent="0.2">
      <c r="A593" s="1" t="s">
        <v>44</v>
      </c>
      <c r="B593" s="2" t="s">
        <v>55</v>
      </c>
      <c r="C593" s="1"/>
      <c r="D593" s="5" t="s">
        <v>464</v>
      </c>
      <c r="G593" s="57" t="str">
        <f t="shared" si="9"/>
        <v>-</v>
      </c>
      <c r="H593" s="19">
        <v>92500</v>
      </c>
      <c r="I593" s="19" t="s">
        <v>465</v>
      </c>
    </row>
    <row r="594" spans="1:10" x14ac:dyDescent="0.2">
      <c r="A594" s="1" t="s">
        <v>44</v>
      </c>
      <c r="B594" s="2" t="s">
        <v>55</v>
      </c>
      <c r="C594" s="1"/>
      <c r="D594" s="5" t="s">
        <v>464</v>
      </c>
      <c r="G594" s="57" t="str">
        <f t="shared" si="9"/>
        <v>-</v>
      </c>
      <c r="H594" s="19">
        <v>92500</v>
      </c>
      <c r="I594" s="19" t="s">
        <v>465</v>
      </c>
    </row>
    <row r="595" spans="1:10" x14ac:dyDescent="0.2">
      <c r="A595" s="1" t="s">
        <v>44</v>
      </c>
      <c r="B595" s="2" t="s">
        <v>55</v>
      </c>
      <c r="C595" s="1"/>
      <c r="D595" s="5" t="s">
        <v>464</v>
      </c>
      <c r="G595" s="57" t="str">
        <f t="shared" si="9"/>
        <v>-</v>
      </c>
      <c r="H595" s="19">
        <v>97500</v>
      </c>
      <c r="I595" s="19" t="s">
        <v>465</v>
      </c>
    </row>
    <row r="596" spans="1:10" x14ac:dyDescent="0.2">
      <c r="A596" s="1" t="s">
        <v>44</v>
      </c>
      <c r="B596" s="2" t="s">
        <v>55</v>
      </c>
      <c r="C596" s="1"/>
      <c r="D596" s="5" t="s">
        <v>464</v>
      </c>
      <c r="E596" s="3">
        <v>102500</v>
      </c>
      <c r="F596" s="3" t="s">
        <v>465</v>
      </c>
      <c r="G596" s="57" t="str">
        <f t="shared" si="9"/>
        <v>-</v>
      </c>
    </row>
    <row r="597" spans="1:10" x14ac:dyDescent="0.2">
      <c r="A597" s="1" t="s">
        <v>44</v>
      </c>
      <c r="B597" s="2" t="s">
        <v>55</v>
      </c>
      <c r="C597" s="1"/>
      <c r="D597" s="5" t="s">
        <v>464</v>
      </c>
      <c r="E597" s="3">
        <v>102500</v>
      </c>
      <c r="F597" s="3" t="s">
        <v>465</v>
      </c>
      <c r="G597" s="57" t="str">
        <f t="shared" si="9"/>
        <v>-</v>
      </c>
    </row>
    <row r="598" spans="1:10" x14ac:dyDescent="0.2">
      <c r="A598" s="1" t="s">
        <v>44</v>
      </c>
      <c r="B598" s="2" t="s">
        <v>55</v>
      </c>
      <c r="C598" s="1"/>
      <c r="D598" s="5" t="s">
        <v>464</v>
      </c>
      <c r="E598" s="3" t="s">
        <v>465</v>
      </c>
      <c r="F598" s="3">
        <v>107500</v>
      </c>
      <c r="G598" s="57" t="str">
        <f t="shared" si="9"/>
        <v>-</v>
      </c>
    </row>
    <row r="599" spans="1:10" x14ac:dyDescent="0.2">
      <c r="A599" s="1" t="s">
        <v>44</v>
      </c>
      <c r="B599" s="2" t="s">
        <v>55</v>
      </c>
      <c r="C599" s="1"/>
      <c r="D599" s="5" t="s">
        <v>464</v>
      </c>
      <c r="E599" s="3" t="s">
        <v>465</v>
      </c>
      <c r="F599" s="3">
        <v>107500</v>
      </c>
      <c r="G599" s="57" t="str">
        <f t="shared" si="9"/>
        <v>-</v>
      </c>
    </row>
    <row r="600" spans="1:10" ht="25.5" x14ac:dyDescent="0.2">
      <c r="A600" s="1" t="s">
        <v>4</v>
      </c>
      <c r="B600" s="2" t="s">
        <v>56</v>
      </c>
      <c r="C600" s="1" t="s">
        <v>1849</v>
      </c>
      <c r="D600" s="5" t="s">
        <v>450</v>
      </c>
      <c r="E600" s="3">
        <v>107900</v>
      </c>
      <c r="F600" s="3">
        <v>220100</v>
      </c>
      <c r="G600" s="57">
        <f t="shared" si="9"/>
        <v>1.0398517145505097</v>
      </c>
      <c r="J600" s="5" t="s">
        <v>4429</v>
      </c>
    </row>
    <row r="601" spans="1:10" ht="25.5" x14ac:dyDescent="0.2">
      <c r="A601" s="1" t="s">
        <v>4</v>
      </c>
      <c r="B601" s="2" t="s">
        <v>56</v>
      </c>
      <c r="C601" s="1"/>
      <c r="D601" s="5" t="s">
        <v>1850</v>
      </c>
      <c r="E601" s="3">
        <v>58500</v>
      </c>
      <c r="F601" s="3">
        <v>175500</v>
      </c>
      <c r="G601" s="57">
        <f t="shared" si="9"/>
        <v>2</v>
      </c>
      <c r="J601" s="5" t="s">
        <v>1851</v>
      </c>
    </row>
    <row r="602" spans="1:10" s="13" customFormat="1" ht="25.5" x14ac:dyDescent="0.2">
      <c r="A602" s="1" t="s">
        <v>4</v>
      </c>
      <c r="B602" s="12" t="s">
        <v>56</v>
      </c>
      <c r="D602" s="7" t="s">
        <v>1852</v>
      </c>
      <c r="E602" s="6">
        <v>110500</v>
      </c>
      <c r="F602" s="6">
        <v>154800</v>
      </c>
      <c r="G602" s="57">
        <f t="shared" si="9"/>
        <v>0.40090497737556563</v>
      </c>
      <c r="H602" s="21"/>
      <c r="I602" s="21"/>
      <c r="J602" s="7" t="s">
        <v>3760</v>
      </c>
    </row>
    <row r="603" spans="1:10" ht="25.5" x14ac:dyDescent="0.2">
      <c r="A603" s="1" t="s">
        <v>4</v>
      </c>
      <c r="B603" s="2" t="s">
        <v>56</v>
      </c>
      <c r="C603" s="1"/>
      <c r="D603" s="5" t="s">
        <v>1853</v>
      </c>
      <c r="E603" s="3">
        <v>126400</v>
      </c>
      <c r="F603" s="3">
        <v>219100</v>
      </c>
      <c r="G603" s="57">
        <f t="shared" si="9"/>
        <v>0.73338607594936711</v>
      </c>
      <c r="J603" s="5" t="s">
        <v>1854</v>
      </c>
    </row>
    <row r="604" spans="1:10" ht="25.5" x14ac:dyDescent="0.2">
      <c r="A604" s="1" t="s">
        <v>4</v>
      </c>
      <c r="B604" s="2" t="s">
        <v>56</v>
      </c>
      <c r="C604" s="1"/>
      <c r="D604" s="5" t="s">
        <v>562</v>
      </c>
      <c r="E604" s="3">
        <v>143400</v>
      </c>
      <c r="F604" s="3">
        <v>359500</v>
      </c>
      <c r="G604" s="57">
        <f t="shared" si="9"/>
        <v>1.5069735006973501</v>
      </c>
      <c r="J604" s="5" t="s">
        <v>1855</v>
      </c>
    </row>
    <row r="605" spans="1:10" x14ac:dyDescent="0.2">
      <c r="A605" s="1" t="s">
        <v>4</v>
      </c>
      <c r="B605" s="2" t="s">
        <v>56</v>
      </c>
      <c r="C605" s="1"/>
      <c r="D605" s="5" t="s">
        <v>790</v>
      </c>
      <c r="E605" s="3">
        <v>128500</v>
      </c>
      <c r="F605" s="3" t="s">
        <v>465</v>
      </c>
      <c r="G605" s="57" t="str">
        <f t="shared" si="9"/>
        <v>-</v>
      </c>
      <c r="J605" s="5" t="s">
        <v>3761</v>
      </c>
    </row>
    <row r="606" spans="1:10" x14ac:dyDescent="0.2">
      <c r="A606" s="1" t="s">
        <v>4</v>
      </c>
      <c r="B606" s="2" t="s">
        <v>56</v>
      </c>
      <c r="C606" s="1"/>
      <c r="D606" s="5" t="s">
        <v>464</v>
      </c>
      <c r="G606" s="57" t="str">
        <f t="shared" si="9"/>
        <v>-</v>
      </c>
      <c r="H606" s="19">
        <v>92500</v>
      </c>
      <c r="I606" s="19" t="s">
        <v>465</v>
      </c>
    </row>
    <row r="607" spans="1:10" x14ac:dyDescent="0.2">
      <c r="A607" s="1" t="s">
        <v>4</v>
      </c>
      <c r="B607" s="2" t="s">
        <v>56</v>
      </c>
      <c r="C607" s="1"/>
      <c r="D607" s="5" t="s">
        <v>464</v>
      </c>
      <c r="G607" s="57" t="str">
        <f t="shared" si="9"/>
        <v>-</v>
      </c>
      <c r="H607" s="19" t="s">
        <v>465</v>
      </c>
      <c r="I607" s="19">
        <v>92500</v>
      </c>
    </row>
    <row r="608" spans="1:10" x14ac:dyDescent="0.2">
      <c r="A608" s="1" t="s">
        <v>4</v>
      </c>
      <c r="B608" s="2" t="s">
        <v>56</v>
      </c>
      <c r="C608" s="1"/>
      <c r="D608" s="5" t="s">
        <v>464</v>
      </c>
      <c r="G608" s="57" t="str">
        <f t="shared" si="9"/>
        <v>-</v>
      </c>
      <c r="H608" s="19">
        <v>97500</v>
      </c>
      <c r="I608" s="19" t="s">
        <v>465</v>
      </c>
    </row>
    <row r="609" spans="1:10" x14ac:dyDescent="0.2">
      <c r="A609" s="1" t="s">
        <v>4</v>
      </c>
      <c r="B609" s="2" t="s">
        <v>56</v>
      </c>
      <c r="C609" s="1"/>
      <c r="D609" s="5" t="s">
        <v>464</v>
      </c>
      <c r="G609" s="57" t="str">
        <f t="shared" si="9"/>
        <v>-</v>
      </c>
      <c r="H609" s="19" t="s">
        <v>465</v>
      </c>
      <c r="I609" s="19">
        <v>97500</v>
      </c>
    </row>
    <row r="610" spans="1:10" x14ac:dyDescent="0.2">
      <c r="A610" s="1" t="s">
        <v>4</v>
      </c>
      <c r="B610" s="2" t="s">
        <v>56</v>
      </c>
      <c r="C610" s="1"/>
      <c r="D610" s="5" t="s">
        <v>464</v>
      </c>
      <c r="G610" s="57" t="str">
        <f t="shared" si="9"/>
        <v>-</v>
      </c>
      <c r="H610" s="19" t="s">
        <v>465</v>
      </c>
      <c r="I610" s="19">
        <v>97500</v>
      </c>
    </row>
    <row r="611" spans="1:10" x14ac:dyDescent="0.2">
      <c r="A611" s="1" t="s">
        <v>4</v>
      </c>
      <c r="B611" s="2" t="s">
        <v>56</v>
      </c>
      <c r="C611" s="1"/>
      <c r="D611" s="5" t="s">
        <v>464</v>
      </c>
      <c r="E611" s="3">
        <v>102500</v>
      </c>
      <c r="F611" s="3" t="s">
        <v>465</v>
      </c>
      <c r="G611" s="57" t="str">
        <f t="shared" si="9"/>
        <v>-</v>
      </c>
    </row>
    <row r="612" spans="1:10" x14ac:dyDescent="0.2">
      <c r="A612" s="1" t="s">
        <v>4</v>
      </c>
      <c r="B612" s="2" t="s">
        <v>56</v>
      </c>
      <c r="C612" s="1"/>
      <c r="D612" s="5" t="s">
        <v>464</v>
      </c>
      <c r="E612" s="3" t="s">
        <v>465</v>
      </c>
      <c r="F612" s="3">
        <v>102500</v>
      </c>
      <c r="G612" s="57" t="str">
        <f t="shared" si="9"/>
        <v>-</v>
      </c>
    </row>
    <row r="613" spans="1:10" x14ac:dyDescent="0.2">
      <c r="A613" s="1" t="s">
        <v>4</v>
      </c>
      <c r="B613" s="2" t="s">
        <v>56</v>
      </c>
      <c r="C613" s="1"/>
      <c r="D613" s="5" t="s">
        <v>464</v>
      </c>
      <c r="E613" s="3">
        <v>107500</v>
      </c>
      <c r="F613" s="3" t="s">
        <v>465</v>
      </c>
      <c r="G613" s="57" t="str">
        <f t="shared" si="9"/>
        <v>-</v>
      </c>
    </row>
    <row r="614" spans="1:10" x14ac:dyDescent="0.2">
      <c r="A614" s="1" t="s">
        <v>4</v>
      </c>
      <c r="B614" s="2" t="s">
        <v>56</v>
      </c>
      <c r="C614" s="1"/>
      <c r="D614" s="5" t="s">
        <v>464</v>
      </c>
      <c r="E614" s="3">
        <v>107500</v>
      </c>
      <c r="F614" s="3" t="s">
        <v>465</v>
      </c>
      <c r="G614" s="57" t="str">
        <f t="shared" si="9"/>
        <v>-</v>
      </c>
    </row>
    <row r="615" spans="1:10" x14ac:dyDescent="0.2">
      <c r="A615" s="1" t="s">
        <v>4</v>
      </c>
      <c r="B615" s="2" t="s">
        <v>56</v>
      </c>
      <c r="C615" s="1"/>
      <c r="D615" s="5" t="s">
        <v>464</v>
      </c>
      <c r="E615" s="3">
        <v>107500</v>
      </c>
      <c r="F615" s="3" t="s">
        <v>465</v>
      </c>
      <c r="G615" s="57" t="str">
        <f t="shared" si="9"/>
        <v>-</v>
      </c>
    </row>
    <row r="616" spans="1:10" x14ac:dyDescent="0.2">
      <c r="A616" s="1" t="s">
        <v>4</v>
      </c>
      <c r="B616" s="2" t="s">
        <v>56</v>
      </c>
      <c r="C616" s="1"/>
      <c r="D616" s="5" t="s">
        <v>464</v>
      </c>
      <c r="E616" s="3" t="s">
        <v>465</v>
      </c>
      <c r="F616" s="3">
        <v>107500</v>
      </c>
      <c r="G616" s="57" t="str">
        <f t="shared" si="9"/>
        <v>-</v>
      </c>
    </row>
    <row r="617" spans="1:10" x14ac:dyDescent="0.2">
      <c r="A617" s="1" t="s">
        <v>4</v>
      </c>
      <c r="B617" s="2" t="s">
        <v>56</v>
      </c>
      <c r="C617" s="1"/>
      <c r="D617" s="5" t="s">
        <v>464</v>
      </c>
      <c r="E617" s="3">
        <v>112500</v>
      </c>
      <c r="F617" s="3" t="s">
        <v>465</v>
      </c>
      <c r="G617" s="57" t="str">
        <f t="shared" si="9"/>
        <v>-</v>
      </c>
    </row>
    <row r="618" spans="1:10" x14ac:dyDescent="0.2">
      <c r="A618" s="1" t="s">
        <v>4</v>
      </c>
      <c r="B618" s="2" t="s">
        <v>56</v>
      </c>
      <c r="C618" s="1"/>
      <c r="D618" s="5" t="s">
        <v>464</v>
      </c>
      <c r="E618" s="3" t="s">
        <v>465</v>
      </c>
      <c r="F618" s="3">
        <v>112500</v>
      </c>
      <c r="G618" s="57" t="str">
        <f t="shared" si="9"/>
        <v>-</v>
      </c>
    </row>
    <row r="619" spans="1:10" x14ac:dyDescent="0.2">
      <c r="A619" s="1" t="s">
        <v>34</v>
      </c>
      <c r="B619" s="2" t="s">
        <v>57</v>
      </c>
      <c r="C619" s="1" t="s">
        <v>1856</v>
      </c>
      <c r="D619" s="5" t="s">
        <v>450</v>
      </c>
      <c r="E619" s="3">
        <v>220457</v>
      </c>
      <c r="F619" s="3">
        <v>222133</v>
      </c>
      <c r="G619" s="57">
        <f t="shared" si="9"/>
        <v>7.6023895816417714E-3</v>
      </c>
      <c r="J619" s="5" t="s">
        <v>1857</v>
      </c>
    </row>
    <row r="620" spans="1:10" s="13" customFormat="1" ht="27" customHeight="1" x14ac:dyDescent="0.2">
      <c r="A620" s="1" t="s">
        <v>34</v>
      </c>
      <c r="B620" s="12" t="s">
        <v>57</v>
      </c>
      <c r="D620" s="7" t="s">
        <v>455</v>
      </c>
      <c r="E620" s="6">
        <v>157876</v>
      </c>
      <c r="F620" s="6">
        <v>68666</v>
      </c>
      <c r="G620" s="57">
        <f t="shared" si="9"/>
        <v>-0.56506372089487955</v>
      </c>
      <c r="H620" s="21"/>
      <c r="I620" s="21"/>
      <c r="J620" s="7" t="s">
        <v>4184</v>
      </c>
    </row>
    <row r="621" spans="1:10" ht="25.5" x14ac:dyDescent="0.2">
      <c r="A621" s="1" t="s">
        <v>34</v>
      </c>
      <c r="B621" s="2" t="s">
        <v>57</v>
      </c>
      <c r="C621" s="1"/>
      <c r="D621" s="5" t="s">
        <v>3762</v>
      </c>
      <c r="E621" s="3">
        <v>144017</v>
      </c>
      <c r="F621" s="3">
        <v>150409</v>
      </c>
      <c r="G621" s="57">
        <f t="shared" si="9"/>
        <v>4.4383649152530603E-2</v>
      </c>
      <c r="J621" s="5" t="s">
        <v>1858</v>
      </c>
    </row>
    <row r="622" spans="1:10" x14ac:dyDescent="0.2">
      <c r="A622" s="1" t="s">
        <v>34</v>
      </c>
      <c r="B622" s="2" t="s">
        <v>57</v>
      </c>
      <c r="C622" s="1"/>
      <c r="D622" s="5" t="s">
        <v>1859</v>
      </c>
      <c r="E622" s="3">
        <v>130950</v>
      </c>
      <c r="F622" s="3">
        <v>131964</v>
      </c>
      <c r="G622" s="57">
        <f t="shared" si="9"/>
        <v>7.7434135166093926E-3</v>
      </c>
      <c r="J622" s="5" t="s">
        <v>1860</v>
      </c>
    </row>
    <row r="623" spans="1:10" s="13" customFormat="1" ht="51" x14ac:dyDescent="0.2">
      <c r="A623" s="1" t="s">
        <v>34</v>
      </c>
      <c r="B623" s="12" t="s">
        <v>57</v>
      </c>
      <c r="D623" s="7" t="s">
        <v>4186</v>
      </c>
      <c r="E623" s="6" t="s">
        <v>465</v>
      </c>
      <c r="F623" s="6">
        <v>160235</v>
      </c>
      <c r="G623" s="57" t="str">
        <f t="shared" si="9"/>
        <v>-</v>
      </c>
      <c r="H623" s="21"/>
      <c r="I623" s="21"/>
      <c r="J623" s="7" t="s">
        <v>4185</v>
      </c>
    </row>
    <row r="624" spans="1:10" s="13" customFormat="1" ht="25.5" x14ac:dyDescent="0.2">
      <c r="A624" s="1" t="s">
        <v>34</v>
      </c>
      <c r="B624" s="12" t="s">
        <v>57</v>
      </c>
      <c r="D624" s="7" t="s">
        <v>4186</v>
      </c>
      <c r="E624" s="6">
        <v>121364</v>
      </c>
      <c r="F624" s="6">
        <v>33997</v>
      </c>
      <c r="G624" s="57">
        <f t="shared" si="9"/>
        <v>-0.7198757456906496</v>
      </c>
      <c r="H624" s="21"/>
      <c r="I624" s="21"/>
      <c r="J624" s="7" t="s">
        <v>4187</v>
      </c>
    </row>
    <row r="625" spans="1:10" s="13" customFormat="1" ht="25.5" x14ac:dyDescent="0.2">
      <c r="A625" s="1" t="s">
        <v>34</v>
      </c>
      <c r="B625" s="12" t="s">
        <v>57</v>
      </c>
      <c r="D625" s="7" t="s">
        <v>2378</v>
      </c>
      <c r="E625" s="6">
        <v>103387</v>
      </c>
      <c r="F625" s="6">
        <v>72580</v>
      </c>
      <c r="G625" s="57">
        <f t="shared" si="9"/>
        <v>-0.29797750200702217</v>
      </c>
      <c r="H625" s="21"/>
      <c r="I625" s="21"/>
      <c r="J625" s="7" t="s">
        <v>4188</v>
      </c>
    </row>
    <row r="626" spans="1:10" s="13" customFormat="1" x14ac:dyDescent="0.2">
      <c r="A626" s="1" t="s">
        <v>34</v>
      </c>
      <c r="B626" s="12" t="s">
        <v>57</v>
      </c>
      <c r="D626" s="7" t="s">
        <v>4190</v>
      </c>
      <c r="E626" s="6">
        <v>122273</v>
      </c>
      <c r="F626" s="6">
        <v>63042</v>
      </c>
      <c r="G626" s="57">
        <f t="shared" si="9"/>
        <v>-0.48441601988991845</v>
      </c>
      <c r="H626" s="21"/>
      <c r="I626" s="21"/>
      <c r="J626" s="7" t="s">
        <v>4189</v>
      </c>
    </row>
    <row r="627" spans="1:10" x14ac:dyDescent="0.2">
      <c r="A627" s="1" t="s">
        <v>34</v>
      </c>
      <c r="B627" s="2" t="s">
        <v>57</v>
      </c>
      <c r="C627" s="1"/>
      <c r="D627" s="5" t="s">
        <v>464</v>
      </c>
      <c r="G627" s="57" t="str">
        <f t="shared" si="9"/>
        <v>-</v>
      </c>
      <c r="H627" s="19">
        <v>92500</v>
      </c>
      <c r="I627" s="19" t="s">
        <v>465</v>
      </c>
    </row>
    <row r="628" spans="1:10" x14ac:dyDescent="0.2">
      <c r="A628" s="1" t="s">
        <v>34</v>
      </c>
      <c r="B628" s="2" t="s">
        <v>57</v>
      </c>
      <c r="C628" s="1"/>
      <c r="D628" s="5" t="s">
        <v>464</v>
      </c>
      <c r="G628" s="57" t="str">
        <f t="shared" si="9"/>
        <v>-</v>
      </c>
      <c r="H628" s="19" t="s">
        <v>465</v>
      </c>
      <c r="I628" s="19">
        <v>92500</v>
      </c>
    </row>
    <row r="629" spans="1:10" x14ac:dyDescent="0.2">
      <c r="A629" s="1" t="s">
        <v>34</v>
      </c>
      <c r="B629" s="2" t="s">
        <v>57</v>
      </c>
      <c r="C629" s="1"/>
      <c r="D629" s="5" t="s">
        <v>464</v>
      </c>
      <c r="G629" s="57" t="str">
        <f t="shared" si="9"/>
        <v>-</v>
      </c>
      <c r="H629" s="19" t="s">
        <v>465</v>
      </c>
      <c r="I629" s="19">
        <v>92500</v>
      </c>
    </row>
    <row r="630" spans="1:10" x14ac:dyDescent="0.2">
      <c r="A630" s="1" t="s">
        <v>34</v>
      </c>
      <c r="B630" s="2" t="s">
        <v>57</v>
      </c>
      <c r="C630" s="1"/>
      <c r="D630" s="5" t="s">
        <v>464</v>
      </c>
      <c r="G630" s="57" t="str">
        <f t="shared" si="9"/>
        <v>-</v>
      </c>
      <c r="H630" s="19">
        <v>97500</v>
      </c>
      <c r="I630" s="19" t="s">
        <v>465</v>
      </c>
    </row>
    <row r="631" spans="1:10" x14ac:dyDescent="0.2">
      <c r="A631" s="1" t="s">
        <v>34</v>
      </c>
      <c r="B631" s="2" t="s">
        <v>57</v>
      </c>
      <c r="C631" s="1"/>
      <c r="D631" s="5" t="s">
        <v>464</v>
      </c>
      <c r="G631" s="57" t="str">
        <f t="shared" si="9"/>
        <v>-</v>
      </c>
      <c r="H631" s="19">
        <v>97500</v>
      </c>
      <c r="I631" s="19" t="s">
        <v>465</v>
      </c>
    </row>
    <row r="632" spans="1:10" x14ac:dyDescent="0.2">
      <c r="A632" s="1" t="s">
        <v>34</v>
      </c>
      <c r="B632" s="2" t="s">
        <v>57</v>
      </c>
      <c r="C632" s="1"/>
      <c r="D632" s="5" t="s">
        <v>464</v>
      </c>
      <c r="G632" s="57" t="str">
        <f t="shared" si="9"/>
        <v>-</v>
      </c>
      <c r="H632" s="19">
        <v>97500</v>
      </c>
      <c r="I632" s="19" t="s">
        <v>465</v>
      </c>
    </row>
    <row r="633" spans="1:10" x14ac:dyDescent="0.2">
      <c r="A633" s="1" t="s">
        <v>34</v>
      </c>
      <c r="B633" s="2" t="s">
        <v>57</v>
      </c>
      <c r="C633" s="1"/>
      <c r="D633" s="5" t="s">
        <v>464</v>
      </c>
      <c r="G633" s="57" t="str">
        <f t="shared" si="9"/>
        <v>-</v>
      </c>
      <c r="H633" s="19">
        <v>97500</v>
      </c>
      <c r="I633" s="19" t="s">
        <v>465</v>
      </c>
    </row>
    <row r="634" spans="1:10" x14ac:dyDescent="0.2">
      <c r="A634" s="1" t="s">
        <v>34</v>
      </c>
      <c r="B634" s="2" t="s">
        <v>57</v>
      </c>
      <c r="C634" s="1"/>
      <c r="D634" s="5" t="s">
        <v>464</v>
      </c>
      <c r="G634" s="57" t="str">
        <f t="shared" si="9"/>
        <v>-</v>
      </c>
      <c r="H634" s="19">
        <v>97500</v>
      </c>
      <c r="I634" s="19" t="s">
        <v>465</v>
      </c>
    </row>
    <row r="635" spans="1:10" x14ac:dyDescent="0.2">
      <c r="A635" s="1" t="s">
        <v>34</v>
      </c>
      <c r="B635" s="2" t="s">
        <v>57</v>
      </c>
      <c r="C635" s="1"/>
      <c r="D635" s="5" t="s">
        <v>464</v>
      </c>
      <c r="G635" s="57" t="str">
        <f t="shared" si="9"/>
        <v>-</v>
      </c>
      <c r="H635" s="19">
        <v>97500</v>
      </c>
      <c r="I635" s="19" t="s">
        <v>465</v>
      </c>
    </row>
    <row r="636" spans="1:10" x14ac:dyDescent="0.2">
      <c r="A636" s="1" t="s">
        <v>34</v>
      </c>
      <c r="B636" s="2" t="s">
        <v>57</v>
      </c>
      <c r="C636" s="1"/>
      <c r="D636" s="5" t="s">
        <v>464</v>
      </c>
      <c r="G636" s="57" t="str">
        <f t="shared" si="9"/>
        <v>-</v>
      </c>
      <c r="H636" s="19" t="s">
        <v>465</v>
      </c>
      <c r="I636" s="19">
        <v>97500</v>
      </c>
    </row>
    <row r="637" spans="1:10" x14ac:dyDescent="0.2">
      <c r="A637" s="1" t="s">
        <v>34</v>
      </c>
      <c r="B637" s="2" t="s">
        <v>57</v>
      </c>
      <c r="C637" s="1"/>
      <c r="D637" s="5" t="s">
        <v>464</v>
      </c>
      <c r="E637" s="3">
        <v>102500</v>
      </c>
      <c r="F637" s="3" t="s">
        <v>465</v>
      </c>
      <c r="G637" s="57" t="str">
        <f t="shared" si="9"/>
        <v>-</v>
      </c>
    </row>
    <row r="638" spans="1:10" x14ac:dyDescent="0.2">
      <c r="A638" s="1" t="s">
        <v>34</v>
      </c>
      <c r="B638" s="2" t="s">
        <v>57</v>
      </c>
      <c r="C638" s="1"/>
      <c r="D638" s="5" t="s">
        <v>464</v>
      </c>
      <c r="E638" s="3">
        <v>102500</v>
      </c>
      <c r="F638" s="3" t="s">
        <v>465</v>
      </c>
      <c r="G638" s="57" t="str">
        <f t="shared" si="9"/>
        <v>-</v>
      </c>
    </row>
    <row r="639" spans="1:10" x14ac:dyDescent="0.2">
      <c r="A639" s="1" t="s">
        <v>34</v>
      </c>
      <c r="B639" s="2" t="s">
        <v>57</v>
      </c>
      <c r="C639" s="1"/>
      <c r="D639" s="5" t="s">
        <v>464</v>
      </c>
      <c r="E639" s="3">
        <v>102500</v>
      </c>
      <c r="F639" s="3" t="s">
        <v>465</v>
      </c>
      <c r="G639" s="57" t="str">
        <f t="shared" si="9"/>
        <v>-</v>
      </c>
    </row>
    <row r="640" spans="1:10" x14ac:dyDescent="0.2">
      <c r="A640" s="1" t="s">
        <v>34</v>
      </c>
      <c r="B640" s="2" t="s">
        <v>57</v>
      </c>
      <c r="C640" s="1"/>
      <c r="D640" s="5" t="s">
        <v>464</v>
      </c>
      <c r="E640" s="3" t="s">
        <v>465</v>
      </c>
      <c r="F640" s="3">
        <v>102500</v>
      </c>
      <c r="G640" s="57" t="str">
        <f t="shared" si="9"/>
        <v>-</v>
      </c>
    </row>
    <row r="641" spans="1:10" x14ac:dyDescent="0.2">
      <c r="A641" s="1" t="s">
        <v>34</v>
      </c>
      <c r="B641" s="2" t="s">
        <v>57</v>
      </c>
      <c r="C641" s="1"/>
      <c r="D641" s="5" t="s">
        <v>464</v>
      </c>
      <c r="E641" s="3">
        <v>122500</v>
      </c>
      <c r="F641" s="3" t="s">
        <v>465</v>
      </c>
      <c r="G641" s="57" t="str">
        <f t="shared" si="9"/>
        <v>-</v>
      </c>
    </row>
    <row r="642" spans="1:10" x14ac:dyDescent="0.2">
      <c r="A642" s="1" t="s">
        <v>34</v>
      </c>
      <c r="B642" s="2" t="s">
        <v>57</v>
      </c>
      <c r="C642" s="1"/>
      <c r="D642" s="5" t="s">
        <v>464</v>
      </c>
      <c r="E642" s="3" t="s">
        <v>465</v>
      </c>
      <c r="F642" s="3">
        <v>157500</v>
      </c>
      <c r="G642" s="57" t="str">
        <f t="shared" si="9"/>
        <v>-</v>
      </c>
    </row>
    <row r="643" spans="1:10" ht="25.5" customHeight="1" x14ac:dyDescent="0.2">
      <c r="A643" s="1" t="s">
        <v>20</v>
      </c>
      <c r="B643" s="2" t="s">
        <v>58</v>
      </c>
      <c r="C643" s="1"/>
      <c r="D643" s="5" t="s">
        <v>450</v>
      </c>
      <c r="E643" s="3">
        <v>135371</v>
      </c>
      <c r="F643" s="3">
        <v>130264</v>
      </c>
      <c r="G643" s="57">
        <f t="shared" ref="G643:G706" si="10">IF(ISERROR((F643-E643)/E643),"-",(F643-E643)/E643)</f>
        <v>-3.7725953121421872E-2</v>
      </c>
      <c r="J643" s="5" t="s">
        <v>1861</v>
      </c>
    </row>
    <row r="644" spans="1:10" x14ac:dyDescent="0.2">
      <c r="A644" s="1" t="s">
        <v>25</v>
      </c>
      <c r="B644" s="2" t="s">
        <v>59</v>
      </c>
      <c r="C644" s="1" t="s">
        <v>1862</v>
      </c>
      <c r="D644" s="5" t="s">
        <v>450</v>
      </c>
      <c r="E644" s="3">
        <v>202760</v>
      </c>
      <c r="F644" s="3">
        <v>202295</v>
      </c>
      <c r="G644" s="57">
        <f t="shared" si="10"/>
        <v>-2.2933517459064905E-3</v>
      </c>
      <c r="J644" s="5" t="s">
        <v>1863</v>
      </c>
    </row>
    <row r="645" spans="1:10" x14ac:dyDescent="0.2">
      <c r="A645" s="1" t="s">
        <v>25</v>
      </c>
      <c r="B645" s="2" t="s">
        <v>59</v>
      </c>
      <c r="C645" s="1"/>
      <c r="D645" s="5" t="s">
        <v>1864</v>
      </c>
      <c r="E645" s="3">
        <v>155570</v>
      </c>
      <c r="F645" s="3">
        <v>159361</v>
      </c>
      <c r="G645" s="57">
        <f t="shared" si="10"/>
        <v>2.4368451500932056E-2</v>
      </c>
      <c r="J645" s="5" t="s">
        <v>1865</v>
      </c>
    </row>
    <row r="646" spans="1:10" s="13" customFormat="1" ht="25.5" x14ac:dyDescent="0.2">
      <c r="A646" s="1" t="s">
        <v>25</v>
      </c>
      <c r="B646" s="12" t="s">
        <v>59</v>
      </c>
      <c r="D646" s="7" t="s">
        <v>1866</v>
      </c>
      <c r="E646" s="6">
        <v>124026</v>
      </c>
      <c r="F646" s="6">
        <v>138534</v>
      </c>
      <c r="G646" s="57">
        <f t="shared" si="10"/>
        <v>0.11697547288471773</v>
      </c>
      <c r="H646" s="21"/>
      <c r="I646" s="21"/>
      <c r="J646" s="7" t="s">
        <v>3763</v>
      </c>
    </row>
    <row r="647" spans="1:10" x14ac:dyDescent="0.2">
      <c r="A647" s="1" t="s">
        <v>25</v>
      </c>
      <c r="B647" s="2" t="s">
        <v>59</v>
      </c>
      <c r="C647" s="1"/>
      <c r="D647" s="5" t="s">
        <v>1867</v>
      </c>
      <c r="E647" s="3">
        <v>123687</v>
      </c>
      <c r="F647" s="3">
        <v>128037</v>
      </c>
      <c r="G647" s="57">
        <f t="shared" si="10"/>
        <v>3.5169419583303017E-2</v>
      </c>
      <c r="J647" s="5" t="s">
        <v>1868</v>
      </c>
    </row>
    <row r="648" spans="1:10" x14ac:dyDescent="0.2">
      <c r="A648" s="1" t="s">
        <v>25</v>
      </c>
      <c r="B648" s="2" t="s">
        <v>59</v>
      </c>
      <c r="C648" s="1"/>
      <c r="D648" s="5" t="s">
        <v>1869</v>
      </c>
      <c r="E648" s="3">
        <v>134014</v>
      </c>
      <c r="F648" s="3">
        <v>134014</v>
      </c>
      <c r="G648" s="57">
        <f t="shared" si="10"/>
        <v>0</v>
      </c>
      <c r="J648" s="5" t="s">
        <v>1870</v>
      </c>
    </row>
    <row r="649" spans="1:10" ht="25.5" x14ac:dyDescent="0.2">
      <c r="A649" s="1" t="s">
        <v>25</v>
      </c>
      <c r="B649" s="2" t="s">
        <v>59</v>
      </c>
      <c r="C649" s="1"/>
      <c r="D649" s="5" t="s">
        <v>476</v>
      </c>
      <c r="E649" s="3">
        <v>134254</v>
      </c>
      <c r="F649" s="3">
        <v>134393</v>
      </c>
      <c r="G649" s="57">
        <f t="shared" si="10"/>
        <v>1.0353509020215412E-3</v>
      </c>
      <c r="J649" s="5" t="s">
        <v>1871</v>
      </c>
    </row>
    <row r="650" spans="1:10" x14ac:dyDescent="0.2">
      <c r="A650" s="1" t="s">
        <v>25</v>
      </c>
      <c r="B650" s="2" t="s">
        <v>59</v>
      </c>
      <c r="C650" s="1"/>
      <c r="D650" s="5" t="s">
        <v>1872</v>
      </c>
      <c r="E650" s="3">
        <v>154201</v>
      </c>
      <c r="F650" s="3">
        <v>154138</v>
      </c>
      <c r="G650" s="57">
        <f t="shared" si="10"/>
        <v>-4.085576617531663E-4</v>
      </c>
      <c r="J650" s="5" t="s">
        <v>1873</v>
      </c>
    </row>
    <row r="651" spans="1:10" s="13" customFormat="1" ht="25.5" x14ac:dyDescent="0.2">
      <c r="A651" s="1" t="s">
        <v>25</v>
      </c>
      <c r="B651" s="12" t="s">
        <v>59</v>
      </c>
      <c r="D651" s="7" t="s">
        <v>1797</v>
      </c>
      <c r="E651" s="6">
        <v>153934</v>
      </c>
      <c r="F651" s="6">
        <v>154455</v>
      </c>
      <c r="G651" s="57">
        <f t="shared" si="10"/>
        <v>3.3845674120077437E-3</v>
      </c>
      <c r="H651" s="21"/>
      <c r="I651" s="21"/>
      <c r="J651" s="7" t="s">
        <v>3764</v>
      </c>
    </row>
    <row r="652" spans="1:10" x14ac:dyDescent="0.2">
      <c r="A652" s="1" t="s">
        <v>25</v>
      </c>
      <c r="B652" s="2" t="s">
        <v>59</v>
      </c>
      <c r="C652" s="1"/>
      <c r="D652" s="5" t="s">
        <v>464</v>
      </c>
      <c r="G652" s="57" t="str">
        <f t="shared" si="10"/>
        <v>-</v>
      </c>
      <c r="H652" s="19">
        <v>92500</v>
      </c>
      <c r="I652" s="19" t="s">
        <v>465</v>
      </c>
    </row>
    <row r="653" spans="1:10" x14ac:dyDescent="0.2">
      <c r="A653" s="1" t="s">
        <v>25</v>
      </c>
      <c r="B653" s="2" t="s">
        <v>59</v>
      </c>
      <c r="C653" s="1"/>
      <c r="D653" s="5" t="s">
        <v>464</v>
      </c>
      <c r="G653" s="57" t="str">
        <f t="shared" si="10"/>
        <v>-</v>
      </c>
      <c r="H653" s="19" t="s">
        <v>465</v>
      </c>
      <c r="I653" s="19">
        <v>92500</v>
      </c>
    </row>
    <row r="654" spans="1:10" x14ac:dyDescent="0.2">
      <c r="A654" s="1" t="s">
        <v>25</v>
      </c>
      <c r="B654" s="2" t="s">
        <v>59</v>
      </c>
      <c r="C654" s="1"/>
      <c r="D654" s="5" t="s">
        <v>464</v>
      </c>
      <c r="G654" s="57" t="str">
        <f t="shared" si="10"/>
        <v>-</v>
      </c>
      <c r="H654" s="19" t="s">
        <v>465</v>
      </c>
      <c r="I654" s="19">
        <v>92500</v>
      </c>
    </row>
    <row r="655" spans="1:10" x14ac:dyDescent="0.2">
      <c r="A655" s="1" t="s">
        <v>25</v>
      </c>
      <c r="B655" s="2" t="s">
        <v>59</v>
      </c>
      <c r="C655" s="1"/>
      <c r="D655" s="5" t="s">
        <v>464</v>
      </c>
      <c r="G655" s="57" t="str">
        <f t="shared" si="10"/>
        <v>-</v>
      </c>
      <c r="H655" s="19">
        <v>97500</v>
      </c>
      <c r="I655" s="19" t="s">
        <v>465</v>
      </c>
    </row>
    <row r="656" spans="1:10" x14ac:dyDescent="0.2">
      <c r="A656" s="1" t="s">
        <v>25</v>
      </c>
      <c r="B656" s="2" t="s">
        <v>59</v>
      </c>
      <c r="C656" s="1"/>
      <c r="D656" s="5" t="s">
        <v>464</v>
      </c>
      <c r="G656" s="57" t="str">
        <f t="shared" si="10"/>
        <v>-</v>
      </c>
      <c r="H656" s="19" t="s">
        <v>465</v>
      </c>
      <c r="I656" s="19">
        <v>97500</v>
      </c>
    </row>
    <row r="657" spans="1:10" x14ac:dyDescent="0.2">
      <c r="A657" s="1" t="s">
        <v>25</v>
      </c>
      <c r="B657" s="2" t="s">
        <v>59</v>
      </c>
      <c r="C657" s="1"/>
      <c r="D657" s="5" t="s">
        <v>464</v>
      </c>
      <c r="E657" s="3">
        <v>102500</v>
      </c>
      <c r="F657" s="3" t="s">
        <v>465</v>
      </c>
      <c r="G657" s="57" t="str">
        <f t="shared" si="10"/>
        <v>-</v>
      </c>
    </row>
    <row r="658" spans="1:10" x14ac:dyDescent="0.2">
      <c r="A658" s="1" t="s">
        <v>25</v>
      </c>
      <c r="B658" s="2" t="s">
        <v>59</v>
      </c>
      <c r="C658" s="1"/>
      <c r="D658" s="5" t="s">
        <v>464</v>
      </c>
      <c r="E658" s="3">
        <v>102500</v>
      </c>
      <c r="F658" s="3" t="s">
        <v>465</v>
      </c>
      <c r="G658" s="57" t="str">
        <f t="shared" si="10"/>
        <v>-</v>
      </c>
    </row>
    <row r="659" spans="1:10" x14ac:dyDescent="0.2">
      <c r="A659" s="1" t="s">
        <v>25</v>
      </c>
      <c r="B659" s="2" t="s">
        <v>59</v>
      </c>
      <c r="C659" s="1"/>
      <c r="D659" s="5" t="s">
        <v>464</v>
      </c>
      <c r="E659" s="3" t="s">
        <v>465</v>
      </c>
      <c r="F659" s="3">
        <v>102500</v>
      </c>
      <c r="G659" s="57" t="str">
        <f t="shared" si="10"/>
        <v>-</v>
      </c>
    </row>
    <row r="660" spans="1:10" x14ac:dyDescent="0.2">
      <c r="A660" s="1" t="s">
        <v>25</v>
      </c>
      <c r="B660" s="2" t="s">
        <v>59</v>
      </c>
      <c r="C660" s="1"/>
      <c r="D660" s="5" t="s">
        <v>464</v>
      </c>
      <c r="E660" s="3" t="s">
        <v>465</v>
      </c>
      <c r="F660" s="3">
        <v>102500</v>
      </c>
      <c r="G660" s="57" t="str">
        <f t="shared" si="10"/>
        <v>-</v>
      </c>
    </row>
    <row r="661" spans="1:10" x14ac:dyDescent="0.2">
      <c r="A661" s="1" t="s">
        <v>25</v>
      </c>
      <c r="B661" s="2" t="s">
        <v>59</v>
      </c>
      <c r="C661" s="1"/>
      <c r="D661" s="5" t="s">
        <v>464</v>
      </c>
      <c r="E661" s="3">
        <v>107500</v>
      </c>
      <c r="F661" s="3" t="s">
        <v>465</v>
      </c>
      <c r="G661" s="57" t="str">
        <f t="shared" si="10"/>
        <v>-</v>
      </c>
    </row>
    <row r="662" spans="1:10" x14ac:dyDescent="0.2">
      <c r="A662" s="1" t="s">
        <v>25</v>
      </c>
      <c r="B662" s="2" t="s">
        <v>59</v>
      </c>
      <c r="C662" s="1"/>
      <c r="D662" s="5" t="s">
        <v>464</v>
      </c>
      <c r="E662" s="3">
        <v>107500</v>
      </c>
      <c r="F662" s="3" t="s">
        <v>465</v>
      </c>
      <c r="G662" s="57" t="str">
        <f t="shared" si="10"/>
        <v>-</v>
      </c>
    </row>
    <row r="663" spans="1:10" x14ac:dyDescent="0.2">
      <c r="A663" s="1" t="s">
        <v>25</v>
      </c>
      <c r="B663" s="2" t="s">
        <v>59</v>
      </c>
      <c r="C663" s="1"/>
      <c r="D663" s="5" t="s">
        <v>464</v>
      </c>
      <c r="E663" s="3">
        <v>122500</v>
      </c>
      <c r="F663" s="3" t="s">
        <v>465</v>
      </c>
      <c r="G663" s="57" t="str">
        <f t="shared" si="10"/>
        <v>-</v>
      </c>
    </row>
    <row r="664" spans="1:10" ht="38.25" x14ac:dyDescent="0.2">
      <c r="A664" s="1" t="s">
        <v>39</v>
      </c>
      <c r="B664" s="30" t="s">
        <v>4192</v>
      </c>
      <c r="C664" s="1"/>
      <c r="D664" s="5" t="s">
        <v>450</v>
      </c>
      <c r="E664" s="3">
        <v>132110</v>
      </c>
      <c r="F664" s="3">
        <v>137604</v>
      </c>
      <c r="G664" s="57">
        <f t="shared" si="10"/>
        <v>4.1586556657331013E-2</v>
      </c>
      <c r="J664" s="5" t="s">
        <v>4197</v>
      </c>
    </row>
    <row r="665" spans="1:10" s="13" customFormat="1" x14ac:dyDescent="0.2">
      <c r="A665" s="1" t="s">
        <v>39</v>
      </c>
      <c r="B665" s="12" t="s">
        <v>60</v>
      </c>
      <c r="D665" s="7" t="s">
        <v>4191</v>
      </c>
      <c r="E665" s="6">
        <v>100205</v>
      </c>
      <c r="F665" s="6" t="s">
        <v>465</v>
      </c>
      <c r="G665" s="57" t="str">
        <f t="shared" si="10"/>
        <v>-</v>
      </c>
      <c r="H665" s="21"/>
      <c r="I665" s="21"/>
      <c r="J665" s="7" t="s">
        <v>3765</v>
      </c>
    </row>
    <row r="666" spans="1:10" x14ac:dyDescent="0.2">
      <c r="A666" s="1" t="s">
        <v>20</v>
      </c>
      <c r="B666" s="2" t="s">
        <v>61</v>
      </c>
      <c r="C666" s="1"/>
      <c r="D666" s="5" t="s">
        <v>1874</v>
      </c>
      <c r="E666" s="3">
        <v>134080</v>
      </c>
      <c r="F666" s="3">
        <v>132147</v>
      </c>
      <c r="G666" s="57">
        <f t="shared" si="10"/>
        <v>-1.4416766109785203E-2</v>
      </c>
      <c r="J666" s="5" t="s">
        <v>1875</v>
      </c>
    </row>
    <row r="667" spans="1:10" s="13" customFormat="1" ht="25.5" x14ac:dyDescent="0.2">
      <c r="A667" s="1" t="s">
        <v>20</v>
      </c>
      <c r="B667" s="12" t="s">
        <v>61</v>
      </c>
      <c r="D667" s="7" t="s">
        <v>4196</v>
      </c>
      <c r="E667" s="6">
        <v>78293</v>
      </c>
      <c r="F667" s="6">
        <v>102230</v>
      </c>
      <c r="G667" s="57">
        <f t="shared" si="10"/>
        <v>0.3057361449938053</v>
      </c>
      <c r="H667" s="21"/>
      <c r="I667" s="21"/>
      <c r="J667" s="7" t="s">
        <v>3766</v>
      </c>
    </row>
    <row r="668" spans="1:10" x14ac:dyDescent="0.2">
      <c r="A668" s="1" t="s">
        <v>8</v>
      </c>
      <c r="B668" s="2" t="s">
        <v>62</v>
      </c>
      <c r="C668" s="1"/>
      <c r="D668" s="5" t="s">
        <v>450</v>
      </c>
      <c r="E668" s="3">
        <v>124328</v>
      </c>
      <c r="F668" s="3">
        <v>127448</v>
      </c>
      <c r="G668" s="57">
        <f t="shared" si="10"/>
        <v>2.5094910237436457E-2</v>
      </c>
      <c r="J668" s="5" t="s">
        <v>1876</v>
      </c>
    </row>
    <row r="669" spans="1:10" s="13" customFormat="1" x14ac:dyDescent="0.2">
      <c r="A669" s="1" t="s">
        <v>8</v>
      </c>
      <c r="B669" s="12" t="s">
        <v>62</v>
      </c>
      <c r="D669" s="7" t="s">
        <v>455</v>
      </c>
      <c r="E669" s="6">
        <v>105149</v>
      </c>
      <c r="F669" s="6">
        <v>101244</v>
      </c>
      <c r="G669" s="57">
        <f t="shared" si="10"/>
        <v>-3.7137775917983055E-2</v>
      </c>
      <c r="H669" s="21"/>
      <c r="I669" s="21"/>
      <c r="J669" s="7" t="s">
        <v>1877</v>
      </c>
    </row>
    <row r="670" spans="1:10" s="13" customFormat="1" ht="25.5" x14ac:dyDescent="0.2">
      <c r="A670" s="13" t="s">
        <v>4</v>
      </c>
      <c r="B670" s="12" t="s">
        <v>63</v>
      </c>
      <c r="C670" s="13" t="s">
        <v>1878</v>
      </c>
      <c r="D670" s="7" t="s">
        <v>450</v>
      </c>
      <c r="E670" s="6">
        <v>258868</v>
      </c>
      <c r="F670" s="6">
        <v>259104</v>
      </c>
      <c r="G670" s="57">
        <f t="shared" si="10"/>
        <v>9.1166154178963792E-4</v>
      </c>
      <c r="H670" s="21"/>
      <c r="I670" s="21"/>
      <c r="J670" s="7" t="s">
        <v>4199</v>
      </c>
    </row>
    <row r="671" spans="1:10" s="13" customFormat="1" ht="25.5" x14ac:dyDescent="0.2">
      <c r="A671" s="13" t="s">
        <v>4</v>
      </c>
      <c r="B671" s="12" t="s">
        <v>63</v>
      </c>
      <c r="D671" s="7" t="s">
        <v>3767</v>
      </c>
      <c r="E671" s="6">
        <v>176174</v>
      </c>
      <c r="F671" s="6">
        <v>176253</v>
      </c>
      <c r="G671" s="57">
        <f t="shared" si="10"/>
        <v>4.4842031173725975E-4</v>
      </c>
      <c r="H671" s="21"/>
      <c r="I671" s="21"/>
      <c r="J671" s="7" t="s">
        <v>3768</v>
      </c>
    </row>
    <row r="672" spans="1:10" s="13" customFormat="1" ht="25.5" x14ac:dyDescent="0.2">
      <c r="A672" s="13" t="s">
        <v>4</v>
      </c>
      <c r="B672" s="12" t="s">
        <v>63</v>
      </c>
      <c r="D672" s="7" t="s">
        <v>3769</v>
      </c>
      <c r="E672" s="6">
        <v>180460</v>
      </c>
      <c r="F672" s="6">
        <v>180712</v>
      </c>
      <c r="G672" s="57">
        <f t="shared" si="10"/>
        <v>1.3964313421256788E-3</v>
      </c>
      <c r="H672" s="21"/>
      <c r="I672" s="21"/>
      <c r="J672" s="7" t="s">
        <v>3770</v>
      </c>
    </row>
    <row r="673" spans="1:10" s="13" customFormat="1" ht="25.5" x14ac:dyDescent="0.2">
      <c r="A673" s="13" t="s">
        <v>4</v>
      </c>
      <c r="B673" s="12" t="s">
        <v>63</v>
      </c>
      <c r="D673" s="7" t="s">
        <v>1823</v>
      </c>
      <c r="E673" s="6">
        <v>176290</v>
      </c>
      <c r="F673" s="6">
        <v>175647</v>
      </c>
      <c r="G673" s="57">
        <f t="shared" si="10"/>
        <v>-3.6473991718191617E-3</v>
      </c>
      <c r="H673" s="21"/>
      <c r="I673" s="21"/>
      <c r="J673" s="7" t="s">
        <v>3771</v>
      </c>
    </row>
    <row r="674" spans="1:10" s="13" customFormat="1" ht="25.5" x14ac:dyDescent="0.2">
      <c r="A674" s="13" t="s">
        <v>4</v>
      </c>
      <c r="B674" s="12" t="s">
        <v>63</v>
      </c>
      <c r="D674" s="7" t="s">
        <v>1879</v>
      </c>
      <c r="E674" s="6">
        <v>174621</v>
      </c>
      <c r="F674" s="6">
        <v>5332</v>
      </c>
      <c r="G674" s="57">
        <f t="shared" si="10"/>
        <v>-0.96946529913355206</v>
      </c>
      <c r="H674" s="21"/>
      <c r="I674" s="21"/>
      <c r="J674" s="7" t="s">
        <v>4200</v>
      </c>
    </row>
    <row r="675" spans="1:10" s="13" customFormat="1" ht="25.5" x14ac:dyDescent="0.2">
      <c r="A675" s="13" t="s">
        <v>4</v>
      </c>
      <c r="B675" s="12" t="s">
        <v>63</v>
      </c>
      <c r="D675" s="7" t="s">
        <v>3772</v>
      </c>
      <c r="E675" s="6" t="s">
        <v>465</v>
      </c>
      <c r="F675" s="6">
        <v>178937</v>
      </c>
      <c r="G675" s="57" t="str">
        <f t="shared" si="10"/>
        <v>-</v>
      </c>
      <c r="H675" s="21"/>
      <c r="I675" s="21"/>
      <c r="J675" s="7" t="s">
        <v>3773</v>
      </c>
    </row>
    <row r="676" spans="1:10" s="13" customFormat="1" ht="25.5" x14ac:dyDescent="0.2">
      <c r="A676" s="13" t="s">
        <v>4</v>
      </c>
      <c r="B676" s="12" t="s">
        <v>63</v>
      </c>
      <c r="D676" s="7" t="s">
        <v>3774</v>
      </c>
      <c r="E676" s="6">
        <v>103961</v>
      </c>
      <c r="F676" s="6">
        <v>104285</v>
      </c>
      <c r="G676" s="57">
        <f t="shared" si="10"/>
        <v>3.1165533228806955E-3</v>
      </c>
      <c r="H676" s="21"/>
      <c r="I676" s="21"/>
      <c r="J676" s="7" t="s">
        <v>3775</v>
      </c>
    </row>
    <row r="677" spans="1:10" s="13" customFormat="1" ht="25.5" x14ac:dyDescent="0.2">
      <c r="A677" s="13" t="s">
        <v>4</v>
      </c>
      <c r="B677" s="12" t="s">
        <v>63</v>
      </c>
      <c r="D677" s="7" t="s">
        <v>3776</v>
      </c>
      <c r="E677" s="6">
        <v>171461</v>
      </c>
      <c r="F677" s="6" t="s">
        <v>465</v>
      </c>
      <c r="G677" s="57" t="str">
        <f t="shared" si="10"/>
        <v>-</v>
      </c>
      <c r="H677" s="21"/>
      <c r="I677" s="21"/>
      <c r="J677" s="7"/>
    </row>
    <row r="678" spans="1:10" s="13" customFormat="1" ht="25.5" x14ac:dyDescent="0.2">
      <c r="A678" s="13" t="s">
        <v>4</v>
      </c>
      <c r="B678" s="12" t="s">
        <v>63</v>
      </c>
      <c r="D678" s="7" t="s">
        <v>3777</v>
      </c>
      <c r="E678" s="6">
        <v>120055</v>
      </c>
      <c r="F678" s="6">
        <v>10895</v>
      </c>
      <c r="G678" s="57">
        <f t="shared" si="10"/>
        <v>-0.90924992711673813</v>
      </c>
      <c r="H678" s="21"/>
      <c r="I678" s="21"/>
      <c r="J678" s="7" t="s">
        <v>4198</v>
      </c>
    </row>
    <row r="679" spans="1:10" x14ac:dyDescent="0.2">
      <c r="A679" s="13" t="s">
        <v>4</v>
      </c>
      <c r="B679" s="2" t="s">
        <v>63</v>
      </c>
      <c r="C679" s="1"/>
      <c r="D679" s="5" t="s">
        <v>464</v>
      </c>
      <c r="G679" s="57" t="str">
        <f t="shared" si="10"/>
        <v>-</v>
      </c>
      <c r="H679" s="19">
        <v>92500</v>
      </c>
      <c r="I679" s="19" t="s">
        <v>465</v>
      </c>
    </row>
    <row r="680" spans="1:10" x14ac:dyDescent="0.2">
      <c r="A680" s="13" t="s">
        <v>4</v>
      </c>
      <c r="B680" s="2" t="s">
        <v>63</v>
      </c>
      <c r="C680" s="1"/>
      <c r="D680" s="5" t="s">
        <v>464</v>
      </c>
      <c r="G680" s="57" t="str">
        <f t="shared" si="10"/>
        <v>-</v>
      </c>
      <c r="H680" s="19">
        <v>92500</v>
      </c>
      <c r="I680" s="19" t="s">
        <v>465</v>
      </c>
    </row>
    <row r="681" spans="1:10" x14ac:dyDescent="0.2">
      <c r="A681" s="13" t="s">
        <v>4</v>
      </c>
      <c r="B681" s="2" t="s">
        <v>63</v>
      </c>
      <c r="C681" s="1"/>
      <c r="D681" s="5" t="s">
        <v>464</v>
      </c>
      <c r="G681" s="57" t="str">
        <f t="shared" si="10"/>
        <v>-</v>
      </c>
      <c r="H681" s="19">
        <v>92500</v>
      </c>
      <c r="I681" s="19" t="s">
        <v>465</v>
      </c>
    </row>
    <row r="682" spans="1:10" x14ac:dyDescent="0.2">
      <c r="A682" s="13" t="s">
        <v>4</v>
      </c>
      <c r="B682" s="2" t="s">
        <v>63</v>
      </c>
      <c r="C682" s="1"/>
      <c r="D682" s="5" t="s">
        <v>464</v>
      </c>
      <c r="G682" s="57" t="str">
        <f t="shared" si="10"/>
        <v>-</v>
      </c>
      <c r="H682" s="19">
        <v>92500</v>
      </c>
      <c r="I682" s="19" t="s">
        <v>465</v>
      </c>
    </row>
    <row r="683" spans="1:10" x14ac:dyDescent="0.2">
      <c r="A683" s="13" t="s">
        <v>4</v>
      </c>
      <c r="B683" s="2" t="s">
        <v>63</v>
      </c>
      <c r="C683" s="1"/>
      <c r="D683" s="5" t="s">
        <v>464</v>
      </c>
      <c r="G683" s="57" t="str">
        <f t="shared" si="10"/>
        <v>-</v>
      </c>
      <c r="H683" s="19">
        <v>92500</v>
      </c>
      <c r="I683" s="19" t="s">
        <v>465</v>
      </c>
    </row>
    <row r="684" spans="1:10" x14ac:dyDescent="0.2">
      <c r="A684" s="13" t="s">
        <v>4</v>
      </c>
      <c r="B684" s="2" t="s">
        <v>63</v>
      </c>
      <c r="C684" s="1"/>
      <c r="D684" s="5" t="s">
        <v>464</v>
      </c>
      <c r="G684" s="57" t="str">
        <f t="shared" si="10"/>
        <v>-</v>
      </c>
      <c r="H684" s="19">
        <v>92500</v>
      </c>
      <c r="I684" s="19" t="s">
        <v>465</v>
      </c>
    </row>
    <row r="685" spans="1:10" x14ac:dyDescent="0.2">
      <c r="A685" s="13" t="s">
        <v>4</v>
      </c>
      <c r="B685" s="2" t="s">
        <v>63</v>
      </c>
      <c r="C685" s="1"/>
      <c r="D685" s="5" t="s">
        <v>464</v>
      </c>
      <c r="G685" s="57" t="str">
        <f t="shared" si="10"/>
        <v>-</v>
      </c>
      <c r="H685" s="19" t="s">
        <v>465</v>
      </c>
      <c r="I685" s="19">
        <v>92500</v>
      </c>
    </row>
    <row r="686" spans="1:10" x14ac:dyDescent="0.2">
      <c r="A686" s="13" t="s">
        <v>4</v>
      </c>
      <c r="B686" s="2" t="s">
        <v>63</v>
      </c>
      <c r="C686" s="1"/>
      <c r="D686" s="5" t="s">
        <v>464</v>
      </c>
      <c r="G686" s="57" t="str">
        <f t="shared" si="10"/>
        <v>-</v>
      </c>
      <c r="H686" s="19" t="s">
        <v>465</v>
      </c>
      <c r="I686" s="19">
        <v>92500</v>
      </c>
    </row>
    <row r="687" spans="1:10" x14ac:dyDescent="0.2">
      <c r="A687" s="13" t="s">
        <v>4</v>
      </c>
      <c r="B687" s="2" t="s">
        <v>63</v>
      </c>
      <c r="C687" s="1"/>
      <c r="D687" s="5" t="s">
        <v>464</v>
      </c>
      <c r="G687" s="57" t="str">
        <f t="shared" si="10"/>
        <v>-</v>
      </c>
      <c r="H687" s="19" t="s">
        <v>465</v>
      </c>
      <c r="I687" s="19">
        <v>92500</v>
      </c>
    </row>
    <row r="688" spans="1:10" x14ac:dyDescent="0.2">
      <c r="A688" s="13" t="s">
        <v>4</v>
      </c>
      <c r="B688" s="2" t="s">
        <v>63</v>
      </c>
      <c r="C688" s="1"/>
      <c r="D688" s="5" t="s">
        <v>464</v>
      </c>
      <c r="G688" s="57" t="str">
        <f t="shared" si="10"/>
        <v>-</v>
      </c>
      <c r="H688" s="19" t="s">
        <v>465</v>
      </c>
      <c r="I688" s="19">
        <v>92500</v>
      </c>
    </row>
    <row r="689" spans="1:10" x14ac:dyDescent="0.2">
      <c r="A689" s="13" t="s">
        <v>4</v>
      </c>
      <c r="B689" s="2" t="s">
        <v>63</v>
      </c>
      <c r="C689" s="1"/>
      <c r="D689" s="5" t="s">
        <v>464</v>
      </c>
      <c r="G689" s="57" t="str">
        <f t="shared" si="10"/>
        <v>-</v>
      </c>
      <c r="H689" s="19">
        <v>97500</v>
      </c>
      <c r="I689" s="19" t="s">
        <v>465</v>
      </c>
    </row>
    <row r="690" spans="1:10" x14ac:dyDescent="0.2">
      <c r="A690" s="13" t="s">
        <v>4</v>
      </c>
      <c r="B690" s="2" t="s">
        <v>63</v>
      </c>
      <c r="C690" s="1"/>
      <c r="D690" s="5" t="s">
        <v>464</v>
      </c>
      <c r="G690" s="57" t="str">
        <f t="shared" si="10"/>
        <v>-</v>
      </c>
      <c r="H690" s="19">
        <v>97500</v>
      </c>
      <c r="I690" s="19" t="s">
        <v>465</v>
      </c>
    </row>
    <row r="691" spans="1:10" x14ac:dyDescent="0.2">
      <c r="A691" s="13" t="s">
        <v>4</v>
      </c>
      <c r="B691" s="2" t="s">
        <v>63</v>
      </c>
      <c r="C691" s="1"/>
      <c r="D691" s="5" t="s">
        <v>464</v>
      </c>
      <c r="G691" s="57" t="str">
        <f t="shared" si="10"/>
        <v>-</v>
      </c>
      <c r="H691" s="19">
        <v>97500</v>
      </c>
      <c r="I691" s="19" t="s">
        <v>465</v>
      </c>
    </row>
    <row r="692" spans="1:10" x14ac:dyDescent="0.2">
      <c r="A692" s="13" t="s">
        <v>4</v>
      </c>
      <c r="B692" s="2" t="s">
        <v>63</v>
      </c>
      <c r="C692" s="1"/>
      <c r="D692" s="5" t="s">
        <v>464</v>
      </c>
      <c r="G692" s="57" t="str">
        <f t="shared" si="10"/>
        <v>-</v>
      </c>
      <c r="H692" s="19" t="s">
        <v>465</v>
      </c>
      <c r="I692" s="19">
        <v>97500</v>
      </c>
    </row>
    <row r="693" spans="1:10" x14ac:dyDescent="0.2">
      <c r="A693" s="13" t="s">
        <v>4</v>
      </c>
      <c r="B693" s="2" t="s">
        <v>63</v>
      </c>
      <c r="C693" s="1"/>
      <c r="D693" s="5" t="s">
        <v>464</v>
      </c>
      <c r="G693" s="57" t="str">
        <f t="shared" si="10"/>
        <v>-</v>
      </c>
      <c r="H693" s="19" t="s">
        <v>465</v>
      </c>
      <c r="I693" s="19">
        <v>97500</v>
      </c>
    </row>
    <row r="694" spans="1:10" x14ac:dyDescent="0.2">
      <c r="A694" s="13" t="s">
        <v>4</v>
      </c>
      <c r="B694" s="2" t="s">
        <v>63</v>
      </c>
      <c r="C694" s="1"/>
      <c r="D694" s="5" t="s">
        <v>464</v>
      </c>
      <c r="E694" s="3" t="s">
        <v>465</v>
      </c>
      <c r="F694" s="3">
        <v>102500</v>
      </c>
      <c r="G694" s="57" t="str">
        <f t="shared" si="10"/>
        <v>-</v>
      </c>
    </row>
    <row r="695" spans="1:10" ht="25.5" x14ac:dyDescent="0.2">
      <c r="A695" s="1" t="s">
        <v>6</v>
      </c>
      <c r="B695" s="2" t="s">
        <v>64</v>
      </c>
      <c r="C695" s="1" t="s">
        <v>1880</v>
      </c>
      <c r="D695" s="5" t="s">
        <v>450</v>
      </c>
      <c r="E695" s="3">
        <v>135404</v>
      </c>
      <c r="F695" s="3">
        <v>135432</v>
      </c>
      <c r="G695" s="57">
        <f t="shared" si="10"/>
        <v>2.0678857345425542E-4</v>
      </c>
      <c r="J695" s="5" t="s">
        <v>1881</v>
      </c>
    </row>
    <row r="696" spans="1:10" x14ac:dyDescent="0.2">
      <c r="A696" s="1" t="s">
        <v>6</v>
      </c>
      <c r="B696" s="2" t="s">
        <v>64</v>
      </c>
      <c r="C696" s="1"/>
      <c r="D696" s="5" t="s">
        <v>464</v>
      </c>
      <c r="G696" s="57" t="str">
        <f t="shared" si="10"/>
        <v>-</v>
      </c>
      <c r="H696" s="19" t="s">
        <v>465</v>
      </c>
      <c r="I696" s="19">
        <v>97500</v>
      </c>
    </row>
    <row r="697" spans="1:10" s="13" customFormat="1" ht="25.5" x14ac:dyDescent="0.2">
      <c r="A697" s="1" t="s">
        <v>6</v>
      </c>
      <c r="B697" s="12" t="s">
        <v>65</v>
      </c>
      <c r="C697" s="13" t="s">
        <v>1882</v>
      </c>
      <c r="D697" s="7" t="s">
        <v>450</v>
      </c>
      <c r="E697" s="6">
        <v>192982</v>
      </c>
      <c r="F697" s="6">
        <v>173735</v>
      </c>
      <c r="G697" s="57">
        <f t="shared" si="10"/>
        <v>-9.9734690281995206E-2</v>
      </c>
      <c r="H697" s="21"/>
      <c r="I697" s="21"/>
      <c r="J697" s="7" t="s">
        <v>4201</v>
      </c>
    </row>
    <row r="698" spans="1:10" ht="25.5" x14ac:dyDescent="0.2">
      <c r="A698" s="1" t="s">
        <v>6</v>
      </c>
      <c r="B698" s="2" t="s">
        <v>65</v>
      </c>
      <c r="C698" s="1"/>
      <c r="D698" s="5" t="s">
        <v>455</v>
      </c>
      <c r="E698" s="3">
        <v>141870</v>
      </c>
      <c r="F698" s="3">
        <v>159040</v>
      </c>
      <c r="G698" s="57">
        <f t="shared" si="10"/>
        <v>0.12102629167547754</v>
      </c>
      <c r="J698" s="5" t="s">
        <v>3778</v>
      </c>
    </row>
    <row r="699" spans="1:10" x14ac:dyDescent="0.2">
      <c r="A699" s="1" t="s">
        <v>6</v>
      </c>
      <c r="B699" s="2" t="s">
        <v>65</v>
      </c>
      <c r="C699" s="1"/>
      <c r="D699" s="5" t="s">
        <v>4605</v>
      </c>
      <c r="E699" s="3">
        <v>125661</v>
      </c>
      <c r="F699" s="3">
        <v>129417</v>
      </c>
      <c r="G699" s="57">
        <f t="shared" si="10"/>
        <v>2.988994198677394E-2</v>
      </c>
      <c r="J699" s="5" t="s">
        <v>1883</v>
      </c>
    </row>
    <row r="700" spans="1:10" x14ac:dyDescent="0.2">
      <c r="A700" s="1" t="s">
        <v>6</v>
      </c>
      <c r="B700" s="2" t="s">
        <v>65</v>
      </c>
      <c r="C700" s="1"/>
      <c r="D700" s="5" t="s">
        <v>1884</v>
      </c>
      <c r="E700" s="3">
        <v>113843</v>
      </c>
      <c r="F700" s="3">
        <v>116882</v>
      </c>
      <c r="G700" s="57">
        <f t="shared" si="10"/>
        <v>2.6694658433105242E-2</v>
      </c>
      <c r="J700" s="5" t="s">
        <v>1885</v>
      </c>
    </row>
    <row r="701" spans="1:10" x14ac:dyDescent="0.2">
      <c r="A701" s="1" t="s">
        <v>6</v>
      </c>
      <c r="B701" s="2" t="s">
        <v>65</v>
      </c>
      <c r="C701" s="1"/>
      <c r="D701" s="5" t="s">
        <v>1886</v>
      </c>
      <c r="E701" s="3">
        <v>113843</v>
      </c>
      <c r="F701" s="3">
        <v>116882</v>
      </c>
      <c r="G701" s="57">
        <f t="shared" si="10"/>
        <v>2.6694658433105242E-2</v>
      </c>
      <c r="J701" s="5" t="s">
        <v>1885</v>
      </c>
    </row>
    <row r="702" spans="1:10" x14ac:dyDescent="0.2">
      <c r="A702" s="1" t="s">
        <v>6</v>
      </c>
      <c r="B702" s="2" t="s">
        <v>65</v>
      </c>
      <c r="C702" s="1"/>
      <c r="D702" s="5" t="s">
        <v>1887</v>
      </c>
      <c r="E702" s="3">
        <v>103424</v>
      </c>
      <c r="F702" s="3">
        <v>106545</v>
      </c>
      <c r="G702" s="57">
        <f t="shared" si="10"/>
        <v>3.0176748143564358E-2</v>
      </c>
      <c r="J702" s="5" t="s">
        <v>1888</v>
      </c>
    </row>
    <row r="703" spans="1:10" x14ac:dyDescent="0.2">
      <c r="A703" s="1" t="s">
        <v>6</v>
      </c>
      <c r="B703" s="2" t="s">
        <v>65</v>
      </c>
      <c r="C703" s="1"/>
      <c r="D703" s="5" t="s">
        <v>464</v>
      </c>
      <c r="G703" s="57" t="str">
        <f t="shared" si="10"/>
        <v>-</v>
      </c>
      <c r="H703" s="19">
        <v>92500</v>
      </c>
      <c r="I703" s="19" t="s">
        <v>465</v>
      </c>
    </row>
    <row r="704" spans="1:10" x14ac:dyDescent="0.2">
      <c r="A704" s="1" t="s">
        <v>6</v>
      </c>
      <c r="B704" s="2" t="s">
        <v>65</v>
      </c>
      <c r="C704" s="1"/>
      <c r="D704" s="5" t="s">
        <v>464</v>
      </c>
      <c r="G704" s="57" t="str">
        <f t="shared" si="10"/>
        <v>-</v>
      </c>
      <c r="H704" s="19" t="s">
        <v>465</v>
      </c>
      <c r="I704" s="19">
        <v>97500</v>
      </c>
    </row>
    <row r="705" spans="1:10" x14ac:dyDescent="0.2">
      <c r="A705" s="1" t="s">
        <v>6</v>
      </c>
      <c r="B705" s="2" t="s">
        <v>65</v>
      </c>
      <c r="C705" s="1"/>
      <c r="D705" s="5" t="s">
        <v>464</v>
      </c>
      <c r="E705" s="3">
        <v>112500</v>
      </c>
      <c r="F705" s="3" t="s">
        <v>465</v>
      </c>
      <c r="G705" s="57" t="str">
        <f t="shared" si="10"/>
        <v>-</v>
      </c>
    </row>
    <row r="706" spans="1:10" x14ac:dyDescent="0.2">
      <c r="A706" s="1" t="s">
        <v>6</v>
      </c>
      <c r="B706" s="2" t="s">
        <v>65</v>
      </c>
      <c r="C706" s="1"/>
      <c r="D706" s="5" t="s">
        <v>464</v>
      </c>
      <c r="E706" s="3" t="s">
        <v>465</v>
      </c>
      <c r="F706" s="3">
        <v>112500</v>
      </c>
      <c r="G706" s="57" t="str">
        <f t="shared" si="10"/>
        <v>-</v>
      </c>
    </row>
    <row r="707" spans="1:10" ht="25.5" x14ac:dyDescent="0.2">
      <c r="A707" s="1" t="s">
        <v>44</v>
      </c>
      <c r="B707" s="2" t="s">
        <v>66</v>
      </c>
      <c r="C707" s="1"/>
      <c r="D707" s="5" t="s">
        <v>450</v>
      </c>
      <c r="E707" s="3">
        <v>161229</v>
      </c>
      <c r="F707" s="3">
        <v>117926</v>
      </c>
      <c r="G707" s="57">
        <f t="shared" ref="G707:G770" si="11">IF(ISERROR((F707-E707)/E707),"-",(F707-E707)/E707)</f>
        <v>-0.26858071438761016</v>
      </c>
      <c r="J707" s="5" t="s">
        <v>4430</v>
      </c>
    </row>
    <row r="708" spans="1:10" s="13" customFormat="1" ht="75" customHeight="1" x14ac:dyDescent="0.2">
      <c r="A708" s="1" t="s">
        <v>44</v>
      </c>
      <c r="B708" s="12" t="s">
        <v>66</v>
      </c>
      <c r="D708" s="7" t="s">
        <v>4202</v>
      </c>
      <c r="E708" s="6">
        <v>122731</v>
      </c>
      <c r="F708" s="6">
        <f>61538+71525</f>
        <v>133063</v>
      </c>
      <c r="G708" s="57">
        <f t="shared" si="11"/>
        <v>8.4184109964067763E-2</v>
      </c>
      <c r="H708" s="21"/>
      <c r="I708" s="21"/>
      <c r="J708" s="7" t="s">
        <v>4606</v>
      </c>
    </row>
    <row r="709" spans="1:10" s="13" customFormat="1" ht="65.25" customHeight="1" x14ac:dyDescent="0.2">
      <c r="A709" s="1" t="s">
        <v>44</v>
      </c>
      <c r="B709" s="12" t="s">
        <v>66</v>
      </c>
      <c r="D709" s="7" t="s">
        <v>4203</v>
      </c>
      <c r="E709" s="6">
        <v>119455</v>
      </c>
      <c r="F709" s="6">
        <f>63565+73074</f>
        <v>136639</v>
      </c>
      <c r="G709" s="57">
        <f t="shared" si="11"/>
        <v>0.14385333389142355</v>
      </c>
      <c r="H709" s="21"/>
      <c r="I709" s="21"/>
      <c r="J709" s="7" t="s">
        <v>4607</v>
      </c>
    </row>
    <row r="710" spans="1:10" ht="25.5" customHeight="1" x14ac:dyDescent="0.2">
      <c r="A710" s="1" t="s">
        <v>44</v>
      </c>
      <c r="B710" s="2" t="s">
        <v>66</v>
      </c>
      <c r="C710" s="1"/>
      <c r="D710" s="5" t="s">
        <v>690</v>
      </c>
      <c r="E710" s="3">
        <v>116642</v>
      </c>
      <c r="F710" s="3">
        <v>120520</v>
      </c>
      <c r="G710" s="57">
        <f t="shared" si="11"/>
        <v>3.324702937192435E-2</v>
      </c>
      <c r="J710" s="5" t="s">
        <v>1889</v>
      </c>
    </row>
    <row r="711" spans="1:10" ht="26.25" customHeight="1" x14ac:dyDescent="0.2">
      <c r="A711" s="1" t="s">
        <v>44</v>
      </c>
      <c r="B711" s="2" t="s">
        <v>66</v>
      </c>
      <c r="C711" s="1"/>
      <c r="D711" s="5" t="s">
        <v>1890</v>
      </c>
      <c r="E711" s="3">
        <v>115470</v>
      </c>
      <c r="F711" s="3">
        <v>119251</v>
      </c>
      <c r="G711" s="57">
        <f t="shared" si="11"/>
        <v>3.2744435784186371E-2</v>
      </c>
      <c r="J711" s="5" t="s">
        <v>1891</v>
      </c>
    </row>
    <row r="712" spans="1:10" ht="25.5" x14ac:dyDescent="0.2">
      <c r="A712" s="1" t="s">
        <v>28</v>
      </c>
      <c r="B712" s="2" t="s">
        <v>67</v>
      </c>
      <c r="C712" s="1"/>
      <c r="D712" s="5" t="s">
        <v>450</v>
      </c>
      <c r="E712" s="3">
        <v>166000</v>
      </c>
      <c r="F712" s="3">
        <v>170000</v>
      </c>
      <c r="G712" s="57">
        <f t="shared" si="11"/>
        <v>2.4096385542168676E-2</v>
      </c>
      <c r="J712" s="5" t="s">
        <v>1892</v>
      </c>
    </row>
    <row r="713" spans="1:10" ht="25.5" x14ac:dyDescent="0.2">
      <c r="A713" s="1" t="s">
        <v>28</v>
      </c>
      <c r="B713" s="2" t="s">
        <v>67</v>
      </c>
      <c r="C713" s="1"/>
      <c r="D713" s="5" t="s">
        <v>455</v>
      </c>
      <c r="E713" s="3">
        <v>138000</v>
      </c>
      <c r="F713" s="3">
        <v>132000</v>
      </c>
      <c r="G713" s="57">
        <f t="shared" si="11"/>
        <v>-4.3478260869565216E-2</v>
      </c>
      <c r="J713" s="5" t="s">
        <v>4431</v>
      </c>
    </row>
    <row r="714" spans="1:10" x14ac:dyDescent="0.2">
      <c r="A714" s="1" t="s">
        <v>28</v>
      </c>
      <c r="B714" s="2" t="s">
        <v>67</v>
      </c>
      <c r="C714" s="1"/>
      <c r="D714" s="5" t="s">
        <v>740</v>
      </c>
      <c r="E714" s="3">
        <v>103000</v>
      </c>
      <c r="F714" s="3">
        <v>106000</v>
      </c>
      <c r="G714" s="57">
        <f t="shared" si="11"/>
        <v>2.9126213592233011E-2</v>
      </c>
      <c r="J714" s="5" t="s">
        <v>1893</v>
      </c>
    </row>
    <row r="715" spans="1:10" ht="25.5" x14ac:dyDescent="0.2">
      <c r="A715" s="1" t="s">
        <v>28</v>
      </c>
      <c r="B715" s="2" t="s">
        <v>67</v>
      </c>
      <c r="C715" s="1"/>
      <c r="D715" s="5" t="s">
        <v>1894</v>
      </c>
      <c r="E715" s="3">
        <v>87000</v>
      </c>
      <c r="F715" s="3">
        <v>141000</v>
      </c>
      <c r="G715" s="57">
        <f t="shared" si="11"/>
        <v>0.62068965517241381</v>
      </c>
      <c r="J715" s="5" t="s">
        <v>4433</v>
      </c>
    </row>
    <row r="716" spans="1:10" ht="25.5" x14ac:dyDescent="0.2">
      <c r="A716" s="1" t="s">
        <v>28</v>
      </c>
      <c r="B716" s="2" t="s">
        <v>67</v>
      </c>
      <c r="C716" s="1"/>
      <c r="D716" s="5" t="s">
        <v>1895</v>
      </c>
      <c r="E716" s="3">
        <v>79000</v>
      </c>
      <c r="F716" s="3">
        <v>140000</v>
      </c>
      <c r="G716" s="57">
        <f t="shared" si="11"/>
        <v>0.77215189873417722</v>
      </c>
      <c r="J716" s="5" t="s">
        <v>4432</v>
      </c>
    </row>
    <row r="717" spans="1:10" ht="25.5" x14ac:dyDescent="0.2">
      <c r="A717" s="1" t="s">
        <v>28</v>
      </c>
      <c r="B717" s="2" t="s">
        <v>67</v>
      </c>
      <c r="C717" s="1"/>
      <c r="D717" s="5" t="s">
        <v>1896</v>
      </c>
      <c r="E717" s="3">
        <v>31000</v>
      </c>
      <c r="F717" s="3">
        <v>130000</v>
      </c>
      <c r="G717" s="57">
        <f t="shared" si="11"/>
        <v>3.193548387096774</v>
      </c>
      <c r="J717" s="5" t="s">
        <v>4434</v>
      </c>
    </row>
    <row r="718" spans="1:10" ht="25.5" x14ac:dyDescent="0.2">
      <c r="A718" s="1" t="s">
        <v>28</v>
      </c>
      <c r="B718" s="2" t="s">
        <v>67</v>
      </c>
      <c r="C718" s="1"/>
      <c r="D718" s="5" t="s">
        <v>1897</v>
      </c>
      <c r="E718" s="3">
        <v>134000</v>
      </c>
      <c r="F718" s="3">
        <v>135000</v>
      </c>
      <c r="G718" s="57">
        <f t="shared" si="11"/>
        <v>7.462686567164179E-3</v>
      </c>
      <c r="J718" s="5" t="s">
        <v>1898</v>
      </c>
    </row>
    <row r="719" spans="1:10" x14ac:dyDescent="0.2">
      <c r="A719" s="1" t="s">
        <v>28</v>
      </c>
      <c r="B719" s="2" t="s">
        <v>67</v>
      </c>
      <c r="C719" s="1"/>
      <c r="D719" s="5" t="s">
        <v>3779</v>
      </c>
      <c r="E719" s="3">
        <v>246000</v>
      </c>
      <c r="F719" s="3" t="s">
        <v>465</v>
      </c>
      <c r="G719" s="57" t="str">
        <f t="shared" si="11"/>
        <v>-</v>
      </c>
      <c r="J719" s="5" t="s">
        <v>3780</v>
      </c>
    </row>
    <row r="720" spans="1:10" x14ac:dyDescent="0.2">
      <c r="A720" s="1" t="s">
        <v>28</v>
      </c>
      <c r="B720" s="2" t="s">
        <v>67</v>
      </c>
      <c r="C720" s="1"/>
      <c r="D720" s="5" t="s">
        <v>464</v>
      </c>
      <c r="G720" s="57" t="str">
        <f t="shared" si="11"/>
        <v>-</v>
      </c>
      <c r="H720" s="19">
        <v>92500</v>
      </c>
      <c r="I720" s="19" t="s">
        <v>465</v>
      </c>
    </row>
    <row r="721" spans="1:10" x14ac:dyDescent="0.2">
      <c r="A721" s="1" t="s">
        <v>28</v>
      </c>
      <c r="B721" s="2" t="s">
        <v>67</v>
      </c>
      <c r="C721" s="1"/>
      <c r="D721" s="5" t="s">
        <v>464</v>
      </c>
      <c r="E721" s="3">
        <v>102500</v>
      </c>
      <c r="F721" s="3" t="s">
        <v>465</v>
      </c>
      <c r="G721" s="57" t="str">
        <f t="shared" si="11"/>
        <v>-</v>
      </c>
    </row>
    <row r="722" spans="1:10" x14ac:dyDescent="0.2">
      <c r="A722" s="1" t="s">
        <v>28</v>
      </c>
      <c r="B722" s="2" t="s">
        <v>67</v>
      </c>
      <c r="C722" s="1"/>
      <c r="D722" s="5" t="s">
        <v>464</v>
      </c>
      <c r="E722" s="3">
        <v>112500</v>
      </c>
      <c r="F722" s="3" t="s">
        <v>465</v>
      </c>
      <c r="G722" s="57" t="str">
        <f t="shared" si="11"/>
        <v>-</v>
      </c>
    </row>
    <row r="723" spans="1:10" x14ac:dyDescent="0.2">
      <c r="A723" s="1" t="s">
        <v>28</v>
      </c>
      <c r="B723" s="2" t="s">
        <v>67</v>
      </c>
      <c r="C723" s="1"/>
      <c r="D723" s="5" t="s">
        <v>464</v>
      </c>
      <c r="E723" s="3" t="s">
        <v>465</v>
      </c>
      <c r="F723" s="3">
        <v>112500</v>
      </c>
      <c r="G723" s="57" t="str">
        <f t="shared" si="11"/>
        <v>-</v>
      </c>
    </row>
    <row r="724" spans="1:10" x14ac:dyDescent="0.2">
      <c r="A724" s="1" t="s">
        <v>28</v>
      </c>
      <c r="B724" s="2" t="s">
        <v>67</v>
      </c>
      <c r="C724" s="1"/>
      <c r="D724" s="5" t="s">
        <v>464</v>
      </c>
      <c r="E724" s="3" t="s">
        <v>465</v>
      </c>
      <c r="F724" s="3">
        <v>117500</v>
      </c>
      <c r="G724" s="57" t="str">
        <f t="shared" si="11"/>
        <v>-</v>
      </c>
    </row>
    <row r="725" spans="1:10" x14ac:dyDescent="0.2">
      <c r="A725" s="1" t="s">
        <v>28</v>
      </c>
      <c r="B725" s="2" t="s">
        <v>67</v>
      </c>
      <c r="C725" s="1"/>
      <c r="D725" s="5" t="s">
        <v>464</v>
      </c>
      <c r="E725" s="3">
        <v>127500</v>
      </c>
      <c r="F725" s="3" t="s">
        <v>465</v>
      </c>
      <c r="G725" s="57" t="str">
        <f t="shared" si="11"/>
        <v>-</v>
      </c>
    </row>
    <row r="726" spans="1:10" x14ac:dyDescent="0.2">
      <c r="A726" s="1" t="s">
        <v>28</v>
      </c>
      <c r="B726" s="2" t="s">
        <v>67</v>
      </c>
      <c r="C726" s="1"/>
      <c r="D726" s="5" t="s">
        <v>464</v>
      </c>
      <c r="E726" s="3">
        <v>127500</v>
      </c>
      <c r="F726" s="3" t="s">
        <v>465</v>
      </c>
      <c r="G726" s="57" t="str">
        <f t="shared" si="11"/>
        <v>-</v>
      </c>
    </row>
    <row r="727" spans="1:10" x14ac:dyDescent="0.2">
      <c r="A727" s="1" t="s">
        <v>28</v>
      </c>
      <c r="B727" s="2" t="s">
        <v>67</v>
      </c>
      <c r="C727" s="1"/>
      <c r="D727" s="5" t="s">
        <v>464</v>
      </c>
      <c r="E727" s="3">
        <v>132500</v>
      </c>
      <c r="F727" s="3" t="s">
        <v>465</v>
      </c>
      <c r="G727" s="57" t="str">
        <f t="shared" si="11"/>
        <v>-</v>
      </c>
    </row>
    <row r="728" spans="1:10" x14ac:dyDescent="0.2">
      <c r="A728" s="1" t="s">
        <v>28</v>
      </c>
      <c r="B728" s="2" t="s">
        <v>67</v>
      </c>
      <c r="C728" s="1"/>
      <c r="D728" s="5" t="s">
        <v>464</v>
      </c>
      <c r="E728" s="3">
        <v>132500</v>
      </c>
      <c r="F728" s="3" t="s">
        <v>465</v>
      </c>
      <c r="G728" s="57" t="str">
        <f t="shared" si="11"/>
        <v>-</v>
      </c>
    </row>
    <row r="729" spans="1:10" x14ac:dyDescent="0.2">
      <c r="A729" s="1" t="s">
        <v>28</v>
      </c>
      <c r="B729" s="2" t="s">
        <v>67</v>
      </c>
      <c r="C729" s="1"/>
      <c r="D729" s="5" t="s">
        <v>464</v>
      </c>
      <c r="E729" s="3">
        <v>162500</v>
      </c>
      <c r="F729" s="3" t="s">
        <v>465</v>
      </c>
      <c r="G729" s="57" t="str">
        <f t="shared" si="11"/>
        <v>-</v>
      </c>
    </row>
    <row r="730" spans="1:10" x14ac:dyDescent="0.2">
      <c r="A730" s="1" t="s">
        <v>28</v>
      </c>
      <c r="B730" s="2" t="s">
        <v>67</v>
      </c>
      <c r="C730" s="1"/>
      <c r="D730" s="5" t="s">
        <v>464</v>
      </c>
      <c r="E730" s="3">
        <v>172500</v>
      </c>
      <c r="F730" s="3" t="s">
        <v>465</v>
      </c>
      <c r="G730" s="57" t="str">
        <f t="shared" si="11"/>
        <v>-</v>
      </c>
    </row>
    <row r="731" spans="1:10" x14ac:dyDescent="0.2">
      <c r="A731" s="1" t="s">
        <v>28</v>
      </c>
      <c r="B731" s="2" t="s">
        <v>67</v>
      </c>
      <c r="C731" s="1"/>
      <c r="D731" s="5" t="s">
        <v>464</v>
      </c>
      <c r="E731" s="3">
        <v>212500</v>
      </c>
      <c r="F731" s="3" t="s">
        <v>465</v>
      </c>
      <c r="G731" s="57" t="str">
        <f t="shared" si="11"/>
        <v>-</v>
      </c>
    </row>
    <row r="732" spans="1:10" ht="25.5" x14ac:dyDescent="0.2">
      <c r="A732" s="1" t="s">
        <v>20</v>
      </c>
      <c r="B732" s="2" t="s">
        <v>68</v>
      </c>
      <c r="C732" s="1" t="s">
        <v>1899</v>
      </c>
      <c r="D732" s="5" t="s">
        <v>450</v>
      </c>
      <c r="E732" s="3">
        <v>107342</v>
      </c>
      <c r="F732" s="3">
        <v>134399</v>
      </c>
      <c r="G732" s="57">
        <f t="shared" si="11"/>
        <v>0.25206349797842409</v>
      </c>
      <c r="J732" s="5" t="s">
        <v>4206</v>
      </c>
    </row>
    <row r="733" spans="1:10" ht="25.5" x14ac:dyDescent="0.2">
      <c r="A733" s="1" t="s">
        <v>20</v>
      </c>
      <c r="B733" s="2" t="s">
        <v>68</v>
      </c>
      <c r="C733" s="1" t="s">
        <v>1900</v>
      </c>
      <c r="D733" s="5" t="s">
        <v>463</v>
      </c>
      <c r="E733" s="3">
        <v>109196</v>
      </c>
      <c r="F733" s="3">
        <v>109946</v>
      </c>
      <c r="G733" s="57">
        <f t="shared" si="11"/>
        <v>6.868383457269497E-3</v>
      </c>
      <c r="J733" s="5" t="s">
        <v>4207</v>
      </c>
    </row>
    <row r="734" spans="1:10" ht="25.5" x14ac:dyDescent="0.2">
      <c r="A734" s="1" t="s">
        <v>20</v>
      </c>
      <c r="B734" s="2" t="s">
        <v>68</v>
      </c>
      <c r="C734" s="1" t="s">
        <v>1901</v>
      </c>
      <c r="D734" s="5" t="s">
        <v>4208</v>
      </c>
      <c r="E734" s="3">
        <v>100650</v>
      </c>
      <c r="F734" s="3">
        <v>105134</v>
      </c>
      <c r="G734" s="57">
        <f t="shared" si="11"/>
        <v>4.455042225534029E-2</v>
      </c>
      <c r="J734" s="5" t="s">
        <v>4209</v>
      </c>
    </row>
    <row r="735" spans="1:10" s="13" customFormat="1" ht="25.5" x14ac:dyDescent="0.2">
      <c r="A735" s="1" t="s">
        <v>20</v>
      </c>
      <c r="B735" s="12" t="s">
        <v>68</v>
      </c>
      <c r="C735" s="13" t="s">
        <v>1902</v>
      </c>
      <c r="D735" s="7" t="s">
        <v>4204</v>
      </c>
      <c r="E735" s="6">
        <v>104944</v>
      </c>
      <c r="F735" s="6">
        <v>109921</v>
      </c>
      <c r="G735" s="57">
        <f t="shared" si="11"/>
        <v>4.7425293489861256E-2</v>
      </c>
      <c r="H735" s="21"/>
      <c r="I735" s="21"/>
      <c r="J735" s="7" t="s">
        <v>4205</v>
      </c>
    </row>
    <row r="736" spans="1:10" x14ac:dyDescent="0.2">
      <c r="A736" s="1" t="s">
        <v>20</v>
      </c>
      <c r="B736" s="2" t="s">
        <v>69</v>
      </c>
      <c r="C736" s="1" t="s">
        <v>1903</v>
      </c>
      <c r="D736" s="5" t="s">
        <v>450</v>
      </c>
      <c r="E736" s="3">
        <v>230456</v>
      </c>
      <c r="F736" s="3">
        <v>233200</v>
      </c>
      <c r="G736" s="57">
        <f t="shared" si="11"/>
        <v>1.1906828201478807E-2</v>
      </c>
      <c r="J736" s="5" t="s">
        <v>1904</v>
      </c>
    </row>
    <row r="737" spans="1:10" s="13" customFormat="1" ht="25.5" x14ac:dyDescent="0.2">
      <c r="A737" s="1" t="s">
        <v>20</v>
      </c>
      <c r="B737" s="12" t="s">
        <v>69</v>
      </c>
      <c r="C737" s="13" t="s">
        <v>4211</v>
      </c>
      <c r="D737" s="7" t="s">
        <v>1905</v>
      </c>
      <c r="E737" s="6">
        <v>178166</v>
      </c>
      <c r="F737" s="6">
        <v>97217</v>
      </c>
      <c r="G737" s="57">
        <f t="shared" si="11"/>
        <v>-0.45434594703815545</v>
      </c>
      <c r="H737" s="21"/>
      <c r="I737" s="21"/>
      <c r="J737" s="7" t="s">
        <v>4210</v>
      </c>
    </row>
    <row r="738" spans="1:10" s="13" customFormat="1" ht="38.25" x14ac:dyDescent="0.2">
      <c r="A738" s="1" t="s">
        <v>20</v>
      </c>
      <c r="B738" s="2" t="s">
        <v>69</v>
      </c>
      <c r="D738" s="7" t="s">
        <v>1905</v>
      </c>
      <c r="E738" s="6" t="s">
        <v>465</v>
      </c>
      <c r="F738" s="6">
        <v>136450</v>
      </c>
      <c r="G738" s="57" t="str">
        <f t="shared" si="11"/>
        <v>-</v>
      </c>
      <c r="H738" s="21"/>
      <c r="I738" s="21"/>
      <c r="J738" s="7" t="s">
        <v>4212</v>
      </c>
    </row>
    <row r="739" spans="1:10" x14ac:dyDescent="0.2">
      <c r="A739" s="1" t="s">
        <v>20</v>
      </c>
      <c r="B739" s="2" t="s">
        <v>69</v>
      </c>
      <c r="C739" s="1"/>
      <c r="D739" s="5" t="s">
        <v>1906</v>
      </c>
      <c r="E739" s="3">
        <v>144823</v>
      </c>
      <c r="F739" s="3">
        <v>143086</v>
      </c>
      <c r="G739" s="57">
        <f t="shared" si="11"/>
        <v>-1.1993951237027269E-2</v>
      </c>
      <c r="J739" s="5" t="s">
        <v>1907</v>
      </c>
    </row>
    <row r="740" spans="1:10" ht="25.5" x14ac:dyDescent="0.2">
      <c r="A740" s="1" t="s">
        <v>20</v>
      </c>
      <c r="B740" s="2" t="s">
        <v>69</v>
      </c>
      <c r="C740" s="1"/>
      <c r="D740" s="5" t="s">
        <v>1908</v>
      </c>
      <c r="E740" s="3">
        <v>140761</v>
      </c>
      <c r="F740" s="3">
        <v>145364</v>
      </c>
      <c r="G740" s="57">
        <f t="shared" si="11"/>
        <v>3.2700819118932092E-2</v>
      </c>
      <c r="J740" s="5" t="s">
        <v>1909</v>
      </c>
    </row>
    <row r="741" spans="1:10" ht="25.5" x14ac:dyDescent="0.2">
      <c r="A741" s="1" t="s">
        <v>20</v>
      </c>
      <c r="B741" s="2" t="s">
        <v>69</v>
      </c>
      <c r="C741" s="1"/>
      <c r="D741" s="5" t="s">
        <v>1910</v>
      </c>
      <c r="E741" s="4" t="s">
        <v>465</v>
      </c>
      <c r="F741" s="3">
        <v>143086</v>
      </c>
      <c r="G741" s="57" t="str">
        <f t="shared" si="11"/>
        <v>-</v>
      </c>
      <c r="J741" s="5" t="s">
        <v>3781</v>
      </c>
    </row>
    <row r="742" spans="1:10" x14ac:dyDescent="0.2">
      <c r="A742" s="1" t="s">
        <v>20</v>
      </c>
      <c r="B742" s="2" t="s">
        <v>69</v>
      </c>
      <c r="C742" s="1"/>
      <c r="D742" s="5" t="s">
        <v>1910</v>
      </c>
      <c r="E742" s="3">
        <v>399063</v>
      </c>
      <c r="F742" s="3" t="s">
        <v>465</v>
      </c>
      <c r="G742" s="57" t="str">
        <f t="shared" si="11"/>
        <v>-</v>
      </c>
      <c r="J742" s="5" t="s">
        <v>3661</v>
      </c>
    </row>
    <row r="743" spans="1:10" ht="38.25" x14ac:dyDescent="0.2">
      <c r="A743" s="1" t="s">
        <v>20</v>
      </c>
      <c r="B743" s="2" t="s">
        <v>69</v>
      </c>
      <c r="C743" s="1"/>
      <c r="D743" s="5" t="s">
        <v>4436</v>
      </c>
      <c r="E743" s="3">
        <v>136904</v>
      </c>
      <c r="F743" s="3">
        <v>171104</v>
      </c>
      <c r="G743" s="57">
        <f t="shared" si="11"/>
        <v>0.24981008589960849</v>
      </c>
      <c r="J743" s="5" t="s">
        <v>4435</v>
      </c>
    </row>
    <row r="744" spans="1:10" ht="25.5" x14ac:dyDescent="0.2">
      <c r="A744" s="1" t="s">
        <v>20</v>
      </c>
      <c r="B744" s="2" t="s">
        <v>69</v>
      </c>
      <c r="C744" s="1"/>
      <c r="D744" s="5" t="s">
        <v>1911</v>
      </c>
      <c r="E744" s="3">
        <v>121598</v>
      </c>
      <c r="F744" s="3">
        <v>123046</v>
      </c>
      <c r="G744" s="57">
        <f t="shared" si="11"/>
        <v>1.1908090593595289E-2</v>
      </c>
      <c r="J744" s="5" t="s">
        <v>4608</v>
      </c>
    </row>
    <row r="745" spans="1:10" x14ac:dyDescent="0.2">
      <c r="A745" s="1" t="s">
        <v>20</v>
      </c>
      <c r="B745" s="2" t="s">
        <v>69</v>
      </c>
      <c r="C745" s="1"/>
      <c r="D745" s="5" t="s">
        <v>464</v>
      </c>
      <c r="G745" s="57" t="str">
        <f t="shared" si="11"/>
        <v>-</v>
      </c>
      <c r="H745" s="19">
        <v>92500</v>
      </c>
      <c r="I745" s="19" t="s">
        <v>465</v>
      </c>
      <c r="J745" s="5" t="s">
        <v>3718</v>
      </c>
    </row>
    <row r="746" spans="1:10" x14ac:dyDescent="0.2">
      <c r="A746" s="1" t="s">
        <v>20</v>
      </c>
      <c r="B746" s="2" t="s">
        <v>69</v>
      </c>
      <c r="C746" s="1"/>
      <c r="D746" s="5" t="s">
        <v>464</v>
      </c>
      <c r="G746" s="57" t="str">
        <f t="shared" si="11"/>
        <v>-</v>
      </c>
      <c r="H746" s="19">
        <v>92500</v>
      </c>
      <c r="I746" s="19" t="s">
        <v>465</v>
      </c>
      <c r="J746" s="5" t="s">
        <v>3718</v>
      </c>
    </row>
    <row r="747" spans="1:10" x14ac:dyDescent="0.2">
      <c r="A747" s="1" t="s">
        <v>20</v>
      </c>
      <c r="B747" s="2" t="s">
        <v>69</v>
      </c>
      <c r="C747" s="1"/>
      <c r="D747" s="5" t="s">
        <v>464</v>
      </c>
      <c r="G747" s="57" t="str">
        <f t="shared" si="11"/>
        <v>-</v>
      </c>
      <c r="H747" s="19">
        <v>92500</v>
      </c>
      <c r="I747" s="19" t="s">
        <v>465</v>
      </c>
      <c r="J747" s="5" t="s">
        <v>3718</v>
      </c>
    </row>
    <row r="748" spans="1:10" x14ac:dyDescent="0.2">
      <c r="A748" s="1" t="s">
        <v>20</v>
      </c>
      <c r="B748" s="2" t="s">
        <v>69</v>
      </c>
      <c r="C748" s="1"/>
      <c r="D748" s="5" t="s">
        <v>464</v>
      </c>
      <c r="G748" s="57" t="str">
        <f t="shared" si="11"/>
        <v>-</v>
      </c>
      <c r="H748" s="19" t="s">
        <v>465</v>
      </c>
      <c r="I748" s="19">
        <v>92500</v>
      </c>
      <c r="J748" s="5" t="s">
        <v>3718</v>
      </c>
    </row>
    <row r="749" spans="1:10" x14ac:dyDescent="0.2">
      <c r="A749" s="1" t="s">
        <v>20</v>
      </c>
      <c r="B749" s="2" t="s">
        <v>69</v>
      </c>
      <c r="C749" s="1"/>
      <c r="D749" s="5" t="s">
        <v>464</v>
      </c>
      <c r="G749" s="57" t="str">
        <f t="shared" si="11"/>
        <v>-</v>
      </c>
      <c r="H749" s="19" t="s">
        <v>465</v>
      </c>
      <c r="I749" s="19">
        <v>92500</v>
      </c>
      <c r="J749" s="5" t="s">
        <v>3718</v>
      </c>
    </row>
    <row r="750" spans="1:10" x14ac:dyDescent="0.2">
      <c r="A750" s="1" t="s">
        <v>20</v>
      </c>
      <c r="B750" s="2" t="s">
        <v>69</v>
      </c>
      <c r="C750" s="1"/>
      <c r="D750" s="5" t="s">
        <v>464</v>
      </c>
      <c r="G750" s="57" t="str">
        <f t="shared" si="11"/>
        <v>-</v>
      </c>
      <c r="H750" s="19" t="s">
        <v>465</v>
      </c>
      <c r="I750" s="19">
        <v>92500</v>
      </c>
      <c r="J750" s="5" t="s">
        <v>3718</v>
      </c>
    </row>
    <row r="751" spans="1:10" x14ac:dyDescent="0.2">
      <c r="A751" s="1" t="s">
        <v>20</v>
      </c>
      <c r="B751" s="2" t="s">
        <v>69</v>
      </c>
      <c r="C751" s="1"/>
      <c r="D751" s="5" t="s">
        <v>464</v>
      </c>
      <c r="G751" s="57" t="str">
        <f t="shared" si="11"/>
        <v>-</v>
      </c>
      <c r="H751" s="19" t="s">
        <v>465</v>
      </c>
      <c r="I751" s="19">
        <v>92500</v>
      </c>
      <c r="J751" s="5" t="s">
        <v>3718</v>
      </c>
    </row>
    <row r="752" spans="1:10" x14ac:dyDescent="0.2">
      <c r="A752" s="1" t="s">
        <v>20</v>
      </c>
      <c r="B752" s="2" t="s">
        <v>69</v>
      </c>
      <c r="C752" s="1"/>
      <c r="D752" s="5" t="s">
        <v>464</v>
      </c>
      <c r="G752" s="57" t="str">
        <f t="shared" si="11"/>
        <v>-</v>
      </c>
      <c r="H752" s="19">
        <v>97500</v>
      </c>
      <c r="I752" s="19" t="s">
        <v>465</v>
      </c>
      <c r="J752" s="5" t="s">
        <v>3718</v>
      </c>
    </row>
    <row r="753" spans="1:10" x14ac:dyDescent="0.2">
      <c r="A753" s="1" t="s">
        <v>20</v>
      </c>
      <c r="B753" s="2" t="s">
        <v>69</v>
      </c>
      <c r="C753" s="1"/>
      <c r="D753" s="5" t="s">
        <v>464</v>
      </c>
      <c r="G753" s="57" t="str">
        <f t="shared" si="11"/>
        <v>-</v>
      </c>
      <c r="H753" s="19">
        <v>97500</v>
      </c>
      <c r="I753" s="19" t="s">
        <v>465</v>
      </c>
      <c r="J753" s="5" t="s">
        <v>3718</v>
      </c>
    </row>
    <row r="754" spans="1:10" x14ac:dyDescent="0.2">
      <c r="A754" s="1" t="s">
        <v>20</v>
      </c>
      <c r="B754" s="2" t="s">
        <v>69</v>
      </c>
      <c r="C754" s="1"/>
      <c r="D754" s="5" t="s">
        <v>464</v>
      </c>
      <c r="E754" s="3">
        <v>102500</v>
      </c>
      <c r="F754" s="3" t="s">
        <v>465</v>
      </c>
      <c r="G754" s="57" t="str">
        <f t="shared" si="11"/>
        <v>-</v>
      </c>
      <c r="J754" s="5" t="s">
        <v>3718</v>
      </c>
    </row>
    <row r="755" spans="1:10" x14ac:dyDescent="0.2">
      <c r="A755" s="1" t="s">
        <v>20</v>
      </c>
      <c r="B755" s="2" t="s">
        <v>69</v>
      </c>
      <c r="C755" s="1"/>
      <c r="D755" s="5" t="s">
        <v>464</v>
      </c>
      <c r="E755" s="3" t="s">
        <v>465</v>
      </c>
      <c r="F755" s="3">
        <v>102500</v>
      </c>
      <c r="G755" s="57" t="str">
        <f t="shared" si="11"/>
        <v>-</v>
      </c>
      <c r="J755" s="5" t="s">
        <v>3718</v>
      </c>
    </row>
    <row r="756" spans="1:10" x14ac:dyDescent="0.2">
      <c r="A756" s="1" t="s">
        <v>20</v>
      </c>
      <c r="B756" s="2" t="s">
        <v>69</v>
      </c>
      <c r="C756" s="1"/>
      <c r="D756" s="5" t="s">
        <v>464</v>
      </c>
      <c r="E756" s="3" t="s">
        <v>465</v>
      </c>
      <c r="F756" s="3">
        <v>102500</v>
      </c>
      <c r="G756" s="57" t="str">
        <f t="shared" si="11"/>
        <v>-</v>
      </c>
      <c r="J756" s="5" t="s">
        <v>3718</v>
      </c>
    </row>
    <row r="757" spans="1:10" x14ac:dyDescent="0.2">
      <c r="A757" s="1" t="s">
        <v>20</v>
      </c>
      <c r="B757" s="2" t="s">
        <v>69</v>
      </c>
      <c r="C757" s="1"/>
      <c r="D757" s="5" t="s">
        <v>464</v>
      </c>
      <c r="E757" s="3" t="s">
        <v>465</v>
      </c>
      <c r="F757" s="3">
        <v>102500</v>
      </c>
      <c r="G757" s="57" t="str">
        <f t="shared" si="11"/>
        <v>-</v>
      </c>
      <c r="J757" s="5" t="s">
        <v>3718</v>
      </c>
    </row>
    <row r="758" spans="1:10" x14ac:dyDescent="0.2">
      <c r="A758" s="1" t="s">
        <v>20</v>
      </c>
      <c r="B758" s="2" t="s">
        <v>69</v>
      </c>
      <c r="C758" s="1"/>
      <c r="D758" s="5" t="s">
        <v>464</v>
      </c>
      <c r="E758" s="3">
        <v>107500</v>
      </c>
      <c r="F758" s="3" t="s">
        <v>465</v>
      </c>
      <c r="G758" s="57" t="str">
        <f t="shared" si="11"/>
        <v>-</v>
      </c>
      <c r="J758" s="5" t="s">
        <v>3718</v>
      </c>
    </row>
    <row r="759" spans="1:10" x14ac:dyDescent="0.2">
      <c r="A759" s="1" t="s">
        <v>20</v>
      </c>
      <c r="B759" s="2" t="s">
        <v>69</v>
      </c>
      <c r="C759" s="1"/>
      <c r="D759" s="5" t="s">
        <v>464</v>
      </c>
      <c r="E759" s="3" t="s">
        <v>465</v>
      </c>
      <c r="F759" s="3">
        <v>107500</v>
      </c>
      <c r="G759" s="57" t="str">
        <f t="shared" si="11"/>
        <v>-</v>
      </c>
      <c r="J759" s="5" t="s">
        <v>3718</v>
      </c>
    </row>
    <row r="760" spans="1:10" x14ac:dyDescent="0.2">
      <c r="A760" s="1" t="s">
        <v>20</v>
      </c>
      <c r="B760" s="2" t="s">
        <v>69</v>
      </c>
      <c r="C760" s="1"/>
      <c r="D760" s="5" t="s">
        <v>464</v>
      </c>
      <c r="E760" s="3" t="s">
        <v>465</v>
      </c>
      <c r="F760" s="3">
        <v>107500</v>
      </c>
      <c r="G760" s="57" t="str">
        <f t="shared" si="11"/>
        <v>-</v>
      </c>
      <c r="J760" s="5" t="s">
        <v>3718</v>
      </c>
    </row>
    <row r="761" spans="1:10" x14ac:dyDescent="0.2">
      <c r="A761" s="1" t="s">
        <v>25</v>
      </c>
      <c r="B761" s="2" t="s">
        <v>70</v>
      </c>
      <c r="C761" s="1" t="s">
        <v>3782</v>
      </c>
      <c r="D761" s="5" t="s">
        <v>450</v>
      </c>
      <c r="E761" s="19">
        <f>211442+29998</f>
        <v>241440</v>
      </c>
      <c r="F761" s="19">
        <f>204961+31908</f>
        <v>236869</v>
      </c>
      <c r="G761" s="57">
        <f t="shared" si="11"/>
        <v>-1.8932239893969516E-2</v>
      </c>
      <c r="J761" s="5" t="s">
        <v>1912</v>
      </c>
    </row>
    <row r="762" spans="1:10" s="13" customFormat="1" x14ac:dyDescent="0.2">
      <c r="A762" s="1" t="s">
        <v>25</v>
      </c>
      <c r="B762" s="12" t="s">
        <v>70</v>
      </c>
      <c r="C762" s="13" t="s">
        <v>3783</v>
      </c>
      <c r="D762" s="7" t="s">
        <v>1913</v>
      </c>
      <c r="E762" s="21">
        <f>160446+22783</f>
        <v>183229</v>
      </c>
      <c r="F762" s="21">
        <f>23378+159010</f>
        <v>182388</v>
      </c>
      <c r="G762" s="57">
        <f t="shared" si="11"/>
        <v>-4.5898847889799107E-3</v>
      </c>
      <c r="H762" s="21"/>
      <c r="I762" s="21"/>
      <c r="J762" s="7" t="s">
        <v>1914</v>
      </c>
    </row>
    <row r="763" spans="1:10" x14ac:dyDescent="0.2">
      <c r="A763" s="1" t="s">
        <v>25</v>
      </c>
      <c r="B763" s="2" t="s">
        <v>70</v>
      </c>
      <c r="C763" s="1" t="s">
        <v>3784</v>
      </c>
      <c r="D763" s="5" t="s">
        <v>1915</v>
      </c>
      <c r="E763" s="19">
        <f>157304+21812</f>
        <v>179116</v>
      </c>
      <c r="F763" s="19">
        <f>156110+22864</f>
        <v>178974</v>
      </c>
      <c r="G763" s="57">
        <f t="shared" si="11"/>
        <v>-7.9278233100337208E-4</v>
      </c>
      <c r="J763" s="5" t="s">
        <v>1916</v>
      </c>
    </row>
    <row r="764" spans="1:10" x14ac:dyDescent="0.2">
      <c r="A764" s="1" t="s">
        <v>25</v>
      </c>
      <c r="B764" s="2" t="s">
        <v>70</v>
      </c>
      <c r="C764" s="1" t="s">
        <v>3785</v>
      </c>
      <c r="D764" s="5" t="s">
        <v>507</v>
      </c>
      <c r="E764" s="19">
        <f>157144+23009</f>
        <v>180153</v>
      </c>
      <c r="F764" s="19">
        <f>155035+23995</f>
        <v>179030</v>
      </c>
      <c r="G764" s="57">
        <f t="shared" si="11"/>
        <v>-6.2335903371023519E-3</v>
      </c>
      <c r="J764" s="5" t="s">
        <v>1917</v>
      </c>
    </row>
    <row r="765" spans="1:10" s="13" customFormat="1" ht="25.5" x14ac:dyDescent="0.2">
      <c r="A765" s="1" t="s">
        <v>25</v>
      </c>
      <c r="B765" s="12" t="s">
        <v>70</v>
      </c>
      <c r="D765" s="7" t="s">
        <v>3786</v>
      </c>
      <c r="E765" s="21">
        <f>149052+20585</f>
        <v>169637</v>
      </c>
      <c r="F765" s="21" t="s">
        <v>465</v>
      </c>
      <c r="G765" s="57" t="str">
        <f t="shared" si="11"/>
        <v>-</v>
      </c>
      <c r="H765" s="21"/>
      <c r="I765" s="21"/>
      <c r="J765" s="7"/>
    </row>
    <row r="766" spans="1:10" ht="51" x14ac:dyDescent="0.2">
      <c r="A766" s="1" t="s">
        <v>25</v>
      </c>
      <c r="B766" s="2" t="s">
        <v>70</v>
      </c>
      <c r="C766" s="1"/>
      <c r="D766" s="5" t="s">
        <v>4437</v>
      </c>
      <c r="E766" s="19">
        <f>149052+20585</f>
        <v>169637</v>
      </c>
      <c r="F766" s="19">
        <f>152294+22350</f>
        <v>174644</v>
      </c>
      <c r="G766" s="57">
        <f t="shared" si="11"/>
        <v>2.9515966445999398E-2</v>
      </c>
      <c r="J766" s="5" t="s">
        <v>4438</v>
      </c>
    </row>
    <row r="767" spans="1:10" ht="38.25" x14ac:dyDescent="0.2">
      <c r="A767" s="1" t="s">
        <v>25</v>
      </c>
      <c r="B767" s="2" t="s">
        <v>70</v>
      </c>
      <c r="C767" s="1"/>
      <c r="D767" s="5" t="s">
        <v>4215</v>
      </c>
      <c r="E767" s="19">
        <f>111618+15815</f>
        <v>127433</v>
      </c>
      <c r="F767" s="19">
        <f>108300+16074</f>
        <v>124374</v>
      </c>
      <c r="G767" s="57">
        <f t="shared" si="11"/>
        <v>-2.4004771134635457E-2</v>
      </c>
      <c r="J767" s="5" t="s">
        <v>1918</v>
      </c>
    </row>
    <row r="768" spans="1:10" x14ac:dyDescent="0.2">
      <c r="A768" s="1" t="s">
        <v>25</v>
      </c>
      <c r="B768" s="2" t="s">
        <v>70</v>
      </c>
      <c r="C768" s="1"/>
      <c r="D768" s="5" t="s">
        <v>1919</v>
      </c>
      <c r="E768" s="19">
        <f>109364+15501</f>
        <v>124865</v>
      </c>
      <c r="F768" s="19">
        <f>108050+15751</f>
        <v>123801</v>
      </c>
      <c r="G768" s="57">
        <f t="shared" si="11"/>
        <v>-8.5212028991310616E-3</v>
      </c>
      <c r="J768" s="5" t="s">
        <v>1920</v>
      </c>
    </row>
    <row r="769" spans="1:10" x14ac:dyDescent="0.2">
      <c r="A769" s="1" t="s">
        <v>25</v>
      </c>
      <c r="B769" s="2" t="s">
        <v>70</v>
      </c>
      <c r="C769" s="1"/>
      <c r="D769" s="5" t="s">
        <v>1921</v>
      </c>
      <c r="E769" s="19">
        <f>110217+15754</f>
        <v>125971</v>
      </c>
      <c r="F769" s="19">
        <f>108050+15946</f>
        <v>123996</v>
      </c>
      <c r="G769" s="57">
        <f t="shared" si="11"/>
        <v>-1.5678211651888135E-2</v>
      </c>
      <c r="J769" s="5" t="s">
        <v>1922</v>
      </c>
    </row>
    <row r="770" spans="1:10" ht="25.5" x14ac:dyDescent="0.2">
      <c r="A770" s="1" t="s">
        <v>25</v>
      </c>
      <c r="B770" s="2" t="s">
        <v>70</v>
      </c>
      <c r="C770" s="1"/>
      <c r="D770" s="5" t="s">
        <v>3787</v>
      </c>
      <c r="E770" s="19">
        <f>110523+15588</f>
        <v>126111</v>
      </c>
      <c r="F770" s="19">
        <f>107938+15924</f>
        <v>123862</v>
      </c>
      <c r="G770" s="57">
        <f t="shared" si="11"/>
        <v>-1.7833495888542633E-2</v>
      </c>
      <c r="J770" s="5" t="s">
        <v>1923</v>
      </c>
    </row>
    <row r="771" spans="1:10" ht="25.5" x14ac:dyDescent="0.2">
      <c r="A771" s="1" t="s">
        <v>25</v>
      </c>
      <c r="B771" s="2" t="s">
        <v>70</v>
      </c>
      <c r="C771" s="1"/>
      <c r="D771" s="5" t="s">
        <v>4214</v>
      </c>
      <c r="E771" s="19">
        <f>108436+15229</f>
        <v>123665</v>
      </c>
      <c r="F771" s="19">
        <f>108821+15618</f>
        <v>124439</v>
      </c>
      <c r="G771" s="57">
        <f t="shared" ref="G771:G834" si="12">IF(ISERROR((F771-E771)/E771),"-",(F771-E771)/E771)</f>
        <v>6.2588444588202001E-3</v>
      </c>
      <c r="J771" s="5" t="s">
        <v>1924</v>
      </c>
    </row>
    <row r="772" spans="1:10" ht="51" x14ac:dyDescent="0.2">
      <c r="A772" s="1" t="s">
        <v>25</v>
      </c>
      <c r="B772" s="2" t="s">
        <v>70</v>
      </c>
      <c r="C772" s="1"/>
      <c r="D772" s="5" t="s">
        <v>4213</v>
      </c>
      <c r="E772" s="19">
        <f>108109+15334</f>
        <v>123443</v>
      </c>
      <c r="F772" s="19">
        <f>106991+15498</f>
        <v>122489</v>
      </c>
      <c r="G772" s="57">
        <f t="shared" si="12"/>
        <v>-7.7282632470046901E-3</v>
      </c>
      <c r="J772" s="5" t="s">
        <v>1925</v>
      </c>
    </row>
    <row r="773" spans="1:10" x14ac:dyDescent="0.2">
      <c r="A773" s="1" t="s">
        <v>25</v>
      </c>
      <c r="B773" s="2" t="s">
        <v>70</v>
      </c>
      <c r="C773" s="1"/>
      <c r="D773" s="5" t="s">
        <v>1926</v>
      </c>
      <c r="E773" s="19">
        <f>106236+14903</f>
        <v>121139</v>
      </c>
      <c r="F773" s="19">
        <f>104476+15263</f>
        <v>119739</v>
      </c>
      <c r="G773" s="57">
        <f t="shared" si="12"/>
        <v>-1.1556971743204088E-2</v>
      </c>
      <c r="J773" s="5" t="s">
        <v>1927</v>
      </c>
    </row>
    <row r="774" spans="1:10" ht="25.5" x14ac:dyDescent="0.2">
      <c r="A774" s="1" t="s">
        <v>25</v>
      </c>
      <c r="B774" s="2" t="s">
        <v>70</v>
      </c>
      <c r="C774" s="1"/>
      <c r="D774" s="5" t="s">
        <v>520</v>
      </c>
      <c r="E774" s="19">
        <f>114025+17237</f>
        <v>131262</v>
      </c>
      <c r="F774" s="19">
        <f>114749+17497</f>
        <v>132246</v>
      </c>
      <c r="G774" s="57">
        <f t="shared" si="12"/>
        <v>7.4964574667458978E-3</v>
      </c>
      <c r="J774" s="5" t="s">
        <v>3788</v>
      </c>
    </row>
    <row r="775" spans="1:10" s="13" customFormat="1" ht="38.25" x14ac:dyDescent="0.2">
      <c r="A775" s="1" t="s">
        <v>25</v>
      </c>
      <c r="B775" s="12" t="s">
        <v>70</v>
      </c>
      <c r="D775" s="7" t="s">
        <v>4216</v>
      </c>
      <c r="E775" s="21">
        <f>103956+14596</f>
        <v>118552</v>
      </c>
      <c r="F775" s="21">
        <f>102533+15040</f>
        <v>117573</v>
      </c>
      <c r="G775" s="57">
        <f t="shared" si="12"/>
        <v>-8.2579796207571353E-3</v>
      </c>
      <c r="H775" s="21"/>
      <c r="I775" s="21"/>
      <c r="J775" s="7" t="s">
        <v>1928</v>
      </c>
    </row>
    <row r="776" spans="1:10" ht="25.5" x14ac:dyDescent="0.2">
      <c r="A776" s="1" t="s">
        <v>25</v>
      </c>
      <c r="B776" s="2" t="s">
        <v>70</v>
      </c>
      <c r="C776" s="1"/>
      <c r="D776" s="5" t="s">
        <v>1929</v>
      </c>
      <c r="E776" s="19" t="s">
        <v>465</v>
      </c>
      <c r="F776" s="19">
        <f>103451+14814</f>
        <v>118265</v>
      </c>
      <c r="G776" s="57" t="str">
        <f t="shared" si="12"/>
        <v>-</v>
      </c>
      <c r="J776" s="5" t="s">
        <v>1930</v>
      </c>
    </row>
    <row r="777" spans="1:10" s="13" customFormat="1" ht="25.5" x14ac:dyDescent="0.2">
      <c r="A777" s="1" t="s">
        <v>25</v>
      </c>
      <c r="B777" s="12" t="s">
        <v>70</v>
      </c>
      <c r="D777" s="7" t="s">
        <v>1931</v>
      </c>
      <c r="E777" s="21">
        <f>112508+15800</f>
        <v>128308</v>
      </c>
      <c r="F777" s="21">
        <f>111522+16165</f>
        <v>127687</v>
      </c>
      <c r="G777" s="57">
        <f t="shared" si="12"/>
        <v>-4.8399164510396862E-3</v>
      </c>
      <c r="H777" s="21"/>
      <c r="I777" s="21"/>
      <c r="J777" s="7" t="s">
        <v>1932</v>
      </c>
    </row>
    <row r="778" spans="1:10" s="13" customFormat="1" ht="38.25" x14ac:dyDescent="0.2">
      <c r="A778" s="1" t="s">
        <v>25</v>
      </c>
      <c r="B778" s="12" t="s">
        <v>70</v>
      </c>
      <c r="D778" s="7" t="s">
        <v>4217</v>
      </c>
      <c r="E778" s="21">
        <f>98396+14036</f>
        <v>112432</v>
      </c>
      <c r="F778" s="21">
        <f>101003+14565</f>
        <v>115568</v>
      </c>
      <c r="G778" s="57">
        <f t="shared" si="12"/>
        <v>2.7892414970826812E-2</v>
      </c>
      <c r="H778" s="21"/>
      <c r="I778" s="21"/>
      <c r="J778" s="7" t="s">
        <v>1933</v>
      </c>
    </row>
    <row r="779" spans="1:10" ht="76.5" x14ac:dyDescent="0.2">
      <c r="A779" s="1" t="s">
        <v>25</v>
      </c>
      <c r="B779" s="2" t="s">
        <v>70</v>
      </c>
      <c r="C779" s="1"/>
      <c r="D779" s="5" t="s">
        <v>451</v>
      </c>
      <c r="E779" s="19" t="s">
        <v>465</v>
      </c>
      <c r="F779" s="19">
        <f>177146+15624</f>
        <v>192770</v>
      </c>
      <c r="G779" s="57" t="str">
        <f t="shared" si="12"/>
        <v>-</v>
      </c>
      <c r="J779" s="5" t="s">
        <v>4220</v>
      </c>
    </row>
    <row r="780" spans="1:10" x14ac:dyDescent="0.2">
      <c r="A780" s="1" t="s">
        <v>25</v>
      </c>
      <c r="B780" s="2" t="s">
        <v>70</v>
      </c>
      <c r="C780" s="1"/>
      <c r="D780" s="5" t="s">
        <v>1934</v>
      </c>
      <c r="E780" s="19">
        <f>96425+13659</f>
        <v>110084</v>
      </c>
      <c r="F780" s="19">
        <f>98516+14338</f>
        <v>112854</v>
      </c>
      <c r="G780" s="57">
        <f t="shared" si="12"/>
        <v>2.5162603103084918E-2</v>
      </c>
      <c r="J780" s="5" t="s">
        <v>1935</v>
      </c>
    </row>
    <row r="781" spans="1:10" s="13" customFormat="1" x14ac:dyDescent="0.2">
      <c r="A781" s="1" t="s">
        <v>25</v>
      </c>
      <c r="B781" s="12" t="s">
        <v>70</v>
      </c>
      <c r="D781" s="7" t="s">
        <v>1936</v>
      </c>
      <c r="E781" s="21">
        <f>97898+13621</f>
        <v>111519</v>
      </c>
      <c r="F781" s="21">
        <f>97135+14100</f>
        <v>111235</v>
      </c>
      <c r="G781" s="57">
        <f t="shared" si="12"/>
        <v>-2.5466512432858975E-3</v>
      </c>
      <c r="H781" s="21"/>
      <c r="I781" s="21"/>
      <c r="J781" s="7" t="s">
        <v>1937</v>
      </c>
    </row>
    <row r="782" spans="1:10" x14ac:dyDescent="0.2">
      <c r="A782" s="1" t="s">
        <v>25</v>
      </c>
      <c r="B782" s="2" t="s">
        <v>70</v>
      </c>
      <c r="C782" s="1"/>
      <c r="D782" s="5" t="s">
        <v>1938</v>
      </c>
      <c r="E782" s="19">
        <f>94982+13466</f>
        <v>108448</v>
      </c>
      <c r="F782" s="19">
        <f>95268+13744</f>
        <v>109012</v>
      </c>
      <c r="G782" s="57">
        <f t="shared" si="12"/>
        <v>5.2006491590439654E-3</v>
      </c>
      <c r="J782" s="5" t="s">
        <v>1939</v>
      </c>
    </row>
    <row r="783" spans="1:10" s="13" customFormat="1" ht="25.5" x14ac:dyDescent="0.2">
      <c r="A783" s="1" t="s">
        <v>25</v>
      </c>
      <c r="B783" s="12" t="s">
        <v>70</v>
      </c>
      <c r="D783" s="7" t="s">
        <v>4218</v>
      </c>
      <c r="E783" s="21">
        <f>92068+12566</f>
        <v>104634</v>
      </c>
      <c r="F783" s="21">
        <f>95070+13582</f>
        <v>108652</v>
      </c>
      <c r="G783" s="57">
        <f t="shared" si="12"/>
        <v>3.8400519907487052E-2</v>
      </c>
      <c r="H783" s="21"/>
      <c r="I783" s="21"/>
      <c r="J783" s="7" t="s">
        <v>1940</v>
      </c>
    </row>
    <row r="784" spans="1:10" s="13" customFormat="1" ht="38.25" x14ac:dyDescent="0.2">
      <c r="A784" s="1" t="s">
        <v>25</v>
      </c>
      <c r="B784" s="12" t="s">
        <v>70</v>
      </c>
      <c r="D784" s="7" t="s">
        <v>4219</v>
      </c>
      <c r="E784" s="21">
        <f>106723+15125</f>
        <v>121848</v>
      </c>
      <c r="F784" s="21">
        <f>88597+12421</f>
        <v>101018</v>
      </c>
      <c r="G784" s="57">
        <f t="shared" si="12"/>
        <v>-0.17095069266627275</v>
      </c>
      <c r="H784" s="21"/>
      <c r="I784" s="21"/>
      <c r="J784" s="7" t="s">
        <v>1941</v>
      </c>
    </row>
    <row r="785" spans="1:10" s="13" customFormat="1" x14ac:dyDescent="0.2">
      <c r="A785" s="1" t="s">
        <v>25</v>
      </c>
      <c r="B785" s="12" t="s">
        <v>70</v>
      </c>
      <c r="D785" s="7" t="s">
        <v>464</v>
      </c>
      <c r="E785" s="21"/>
      <c r="F785" s="21"/>
      <c r="G785" s="57" t="str">
        <f t="shared" si="12"/>
        <v>-</v>
      </c>
      <c r="H785" s="21" t="s">
        <v>465</v>
      </c>
      <c r="I785" s="21">
        <v>92500</v>
      </c>
      <c r="J785" s="7"/>
    </row>
    <row r="786" spans="1:10" x14ac:dyDescent="0.2">
      <c r="A786" s="1" t="s">
        <v>25</v>
      </c>
      <c r="B786" s="2" t="s">
        <v>70</v>
      </c>
      <c r="C786" s="1"/>
      <c r="D786" s="5" t="s">
        <v>464</v>
      </c>
      <c r="E786" s="19"/>
      <c r="F786" s="19"/>
      <c r="G786" s="57" t="str">
        <f t="shared" si="12"/>
        <v>-</v>
      </c>
      <c r="H786" s="19" t="s">
        <v>465</v>
      </c>
      <c r="I786" s="19">
        <v>92500</v>
      </c>
    </row>
    <row r="787" spans="1:10" x14ac:dyDescent="0.2">
      <c r="A787" s="1" t="s">
        <v>25</v>
      </c>
      <c r="B787" s="2" t="s">
        <v>70</v>
      </c>
      <c r="C787" s="1"/>
      <c r="D787" s="5" t="s">
        <v>464</v>
      </c>
      <c r="E787" s="19"/>
      <c r="F787" s="19"/>
      <c r="G787" s="57" t="str">
        <f t="shared" si="12"/>
        <v>-</v>
      </c>
      <c r="H787" s="19" t="s">
        <v>465</v>
      </c>
      <c r="I787" s="19">
        <v>92500</v>
      </c>
    </row>
    <row r="788" spans="1:10" x14ac:dyDescent="0.2">
      <c r="A788" s="1" t="s">
        <v>25</v>
      </c>
      <c r="B788" s="2" t="s">
        <v>70</v>
      </c>
      <c r="C788" s="1"/>
      <c r="D788" s="5" t="s">
        <v>464</v>
      </c>
      <c r="E788" s="19" t="s">
        <v>465</v>
      </c>
      <c r="F788" s="19">
        <v>102500</v>
      </c>
      <c r="G788" s="57" t="str">
        <f t="shared" si="12"/>
        <v>-</v>
      </c>
      <c r="J788" s="5" t="s">
        <v>539</v>
      </c>
    </row>
    <row r="789" spans="1:10" x14ac:dyDescent="0.2">
      <c r="A789" s="1" t="s">
        <v>25</v>
      </c>
      <c r="B789" s="2" t="s">
        <v>70</v>
      </c>
      <c r="C789" s="1"/>
      <c r="D789" s="5" t="s">
        <v>464</v>
      </c>
      <c r="E789" s="19" t="s">
        <v>465</v>
      </c>
      <c r="F789" s="19">
        <v>107500</v>
      </c>
      <c r="G789" s="57" t="str">
        <f t="shared" si="12"/>
        <v>-</v>
      </c>
    </row>
    <row r="790" spans="1:10" x14ac:dyDescent="0.2">
      <c r="A790" s="1" t="s">
        <v>25</v>
      </c>
      <c r="B790" s="2" t="s">
        <v>70</v>
      </c>
      <c r="C790" s="1"/>
      <c r="D790" s="5" t="s">
        <v>464</v>
      </c>
      <c r="E790" s="19">
        <v>102500</v>
      </c>
      <c r="F790" s="19" t="s">
        <v>465</v>
      </c>
      <c r="G790" s="57" t="str">
        <f t="shared" si="12"/>
        <v>-</v>
      </c>
    </row>
    <row r="791" spans="1:10" x14ac:dyDescent="0.2">
      <c r="A791" s="1" t="s">
        <v>25</v>
      </c>
      <c r="B791" s="2" t="s">
        <v>70</v>
      </c>
      <c r="C791" s="1"/>
      <c r="D791" s="5" t="s">
        <v>464</v>
      </c>
      <c r="E791" s="19">
        <v>132500</v>
      </c>
      <c r="F791" s="19" t="s">
        <v>465</v>
      </c>
      <c r="G791" s="57" t="str">
        <f t="shared" si="12"/>
        <v>-</v>
      </c>
    </row>
    <row r="792" spans="1:10" x14ac:dyDescent="0.2">
      <c r="A792" s="1" t="s">
        <v>25</v>
      </c>
      <c r="B792" s="2" t="s">
        <v>70</v>
      </c>
      <c r="C792" s="1"/>
      <c r="D792" s="5" t="s">
        <v>464</v>
      </c>
      <c r="E792" s="19">
        <v>142500</v>
      </c>
      <c r="F792" s="19" t="s">
        <v>465</v>
      </c>
      <c r="G792" s="57" t="str">
        <f t="shared" si="12"/>
        <v>-</v>
      </c>
    </row>
    <row r="793" spans="1:10" x14ac:dyDescent="0.2">
      <c r="A793" s="1" t="s">
        <v>25</v>
      </c>
      <c r="B793" s="2" t="s">
        <v>70</v>
      </c>
      <c r="C793" s="1"/>
      <c r="D793" s="5" t="s">
        <v>464</v>
      </c>
      <c r="E793" s="19">
        <v>152500</v>
      </c>
      <c r="F793" s="19" t="s">
        <v>465</v>
      </c>
      <c r="G793" s="57" t="str">
        <f t="shared" si="12"/>
        <v>-</v>
      </c>
    </row>
    <row r="794" spans="1:10" x14ac:dyDescent="0.2">
      <c r="A794" s="1" t="s">
        <v>25</v>
      </c>
      <c r="B794" s="2" t="s">
        <v>70</v>
      </c>
      <c r="C794" s="1"/>
      <c r="D794" s="5" t="s">
        <v>464</v>
      </c>
      <c r="E794" s="19">
        <v>162500</v>
      </c>
      <c r="F794" s="19" t="s">
        <v>465</v>
      </c>
      <c r="G794" s="57" t="str">
        <f t="shared" si="12"/>
        <v>-</v>
      </c>
    </row>
    <row r="795" spans="1:10" x14ac:dyDescent="0.2">
      <c r="A795" s="1" t="s">
        <v>39</v>
      </c>
      <c r="B795" s="2" t="s">
        <v>71</v>
      </c>
      <c r="C795" s="1"/>
      <c r="D795" s="5" t="s">
        <v>450</v>
      </c>
      <c r="E795" s="3">
        <v>136053</v>
      </c>
      <c r="F795" s="3">
        <v>138367</v>
      </c>
      <c r="G795" s="57">
        <f t="shared" si="12"/>
        <v>1.7008077734412326E-2</v>
      </c>
      <c r="J795" s="5" t="s">
        <v>1942</v>
      </c>
    </row>
    <row r="796" spans="1:10" x14ac:dyDescent="0.2">
      <c r="A796" s="1" t="s">
        <v>39</v>
      </c>
      <c r="B796" s="2" t="s">
        <v>71</v>
      </c>
      <c r="C796" s="1"/>
      <c r="D796" s="5" t="s">
        <v>455</v>
      </c>
      <c r="E796" s="3">
        <v>113931</v>
      </c>
      <c r="F796" s="3" t="s">
        <v>465</v>
      </c>
      <c r="G796" s="57" t="str">
        <f t="shared" si="12"/>
        <v>-</v>
      </c>
    </row>
    <row r="797" spans="1:10" x14ac:dyDescent="0.2">
      <c r="A797" s="1" t="s">
        <v>4</v>
      </c>
      <c r="B797" s="2" t="s">
        <v>72</v>
      </c>
      <c r="C797" s="1"/>
      <c r="D797" s="5" t="s">
        <v>450</v>
      </c>
      <c r="E797" s="3">
        <v>146000</v>
      </c>
      <c r="F797" s="3">
        <v>161000</v>
      </c>
      <c r="G797" s="57">
        <f t="shared" si="12"/>
        <v>0.10273972602739725</v>
      </c>
      <c r="J797" s="5" t="s">
        <v>1943</v>
      </c>
    </row>
    <row r="798" spans="1:10" ht="25.5" x14ac:dyDescent="0.2">
      <c r="A798" s="1" t="s">
        <v>4</v>
      </c>
      <c r="B798" s="2" t="s">
        <v>72</v>
      </c>
      <c r="C798" s="1"/>
      <c r="D798" s="5" t="s">
        <v>3789</v>
      </c>
      <c r="E798" s="3">
        <v>104000</v>
      </c>
      <c r="F798" s="3">
        <v>77000</v>
      </c>
      <c r="G798" s="57">
        <f t="shared" si="12"/>
        <v>-0.25961538461538464</v>
      </c>
      <c r="J798" s="5" t="s">
        <v>3790</v>
      </c>
    </row>
    <row r="799" spans="1:10" x14ac:dyDescent="0.2">
      <c r="A799" s="1" t="s">
        <v>44</v>
      </c>
      <c r="B799" s="2" t="s">
        <v>73</v>
      </c>
      <c r="C799" s="1"/>
      <c r="D799" s="5" t="s">
        <v>1944</v>
      </c>
      <c r="E799" s="3" t="s">
        <v>465</v>
      </c>
      <c r="F799" s="3">
        <v>159263</v>
      </c>
      <c r="G799" s="57" t="str">
        <f t="shared" si="12"/>
        <v>-</v>
      </c>
      <c r="J799" s="5" t="s">
        <v>1945</v>
      </c>
    </row>
    <row r="800" spans="1:10" x14ac:dyDescent="0.2">
      <c r="A800" s="1" t="s">
        <v>44</v>
      </c>
      <c r="B800" s="2" t="s">
        <v>73</v>
      </c>
      <c r="C800" s="1"/>
      <c r="D800" s="5" t="s">
        <v>1946</v>
      </c>
      <c r="E800" s="3">
        <v>158990</v>
      </c>
      <c r="F800" s="3">
        <v>158965</v>
      </c>
      <c r="G800" s="57">
        <f t="shared" si="12"/>
        <v>-1.5724259387382854E-4</v>
      </c>
      <c r="J800" s="5" t="s">
        <v>1947</v>
      </c>
    </row>
    <row r="801" spans="1:10" x14ac:dyDescent="0.2">
      <c r="A801" s="1" t="s">
        <v>44</v>
      </c>
      <c r="B801" s="2" t="s">
        <v>73</v>
      </c>
      <c r="C801" s="1"/>
      <c r="D801" s="5" t="s">
        <v>1948</v>
      </c>
      <c r="E801" s="3" t="s">
        <v>465</v>
      </c>
      <c r="F801" s="3">
        <v>129576</v>
      </c>
      <c r="G801" s="57" t="str">
        <f t="shared" si="12"/>
        <v>-</v>
      </c>
      <c r="J801" s="5" t="s">
        <v>1949</v>
      </c>
    </row>
    <row r="802" spans="1:10" x14ac:dyDescent="0.2">
      <c r="A802" s="1" t="s">
        <v>44</v>
      </c>
      <c r="B802" s="2" t="s">
        <v>73</v>
      </c>
      <c r="C802" s="1" t="s">
        <v>3791</v>
      </c>
      <c r="D802" s="5" t="s">
        <v>450</v>
      </c>
      <c r="E802" s="3" t="s">
        <v>465</v>
      </c>
      <c r="F802" s="3">
        <v>124492</v>
      </c>
      <c r="G802" s="57" t="str">
        <f t="shared" si="12"/>
        <v>-</v>
      </c>
      <c r="J802" s="5" t="s">
        <v>3792</v>
      </c>
    </row>
    <row r="803" spans="1:10" x14ac:dyDescent="0.2">
      <c r="A803" s="1" t="s">
        <v>44</v>
      </c>
      <c r="B803" s="2" t="s">
        <v>73</v>
      </c>
      <c r="C803" s="1"/>
      <c r="D803" s="5" t="s">
        <v>3793</v>
      </c>
      <c r="E803" s="3">
        <v>120766</v>
      </c>
      <c r="F803" s="3">
        <v>120993</v>
      </c>
      <c r="G803" s="57">
        <f t="shared" si="12"/>
        <v>1.8796681185101766E-3</v>
      </c>
      <c r="J803" s="5" t="s">
        <v>3794</v>
      </c>
    </row>
    <row r="804" spans="1:10" x14ac:dyDescent="0.2">
      <c r="A804" s="1" t="s">
        <v>44</v>
      </c>
      <c r="B804" s="2" t="s">
        <v>73</v>
      </c>
      <c r="C804" s="1"/>
      <c r="D804" s="5" t="s">
        <v>1950</v>
      </c>
      <c r="E804" s="3" t="s">
        <v>465</v>
      </c>
      <c r="F804" s="3">
        <v>120687</v>
      </c>
      <c r="G804" s="57" t="str">
        <f t="shared" si="12"/>
        <v>-</v>
      </c>
      <c r="J804" s="5" t="s">
        <v>1951</v>
      </c>
    </row>
    <row r="805" spans="1:10" s="13" customFormat="1" ht="38.25" customHeight="1" x14ac:dyDescent="0.2">
      <c r="A805" s="1" t="s">
        <v>44</v>
      </c>
      <c r="B805" s="2" t="s">
        <v>73</v>
      </c>
      <c r="C805" s="7" t="s">
        <v>3795</v>
      </c>
      <c r="D805" s="7" t="s">
        <v>450</v>
      </c>
      <c r="E805" s="6">
        <v>177001</v>
      </c>
      <c r="F805" s="6">
        <v>139575</v>
      </c>
      <c r="G805" s="57">
        <f t="shared" si="12"/>
        <v>-0.2114451330783442</v>
      </c>
      <c r="H805" s="21"/>
      <c r="I805" s="21"/>
      <c r="J805" s="7" t="s">
        <v>4221</v>
      </c>
    </row>
    <row r="806" spans="1:10" x14ac:dyDescent="0.2">
      <c r="A806" s="1" t="s">
        <v>44</v>
      </c>
      <c r="B806" s="2" t="s">
        <v>73</v>
      </c>
      <c r="C806" s="1"/>
      <c r="D806" s="5" t="s">
        <v>1952</v>
      </c>
      <c r="E806" s="3">
        <v>101629</v>
      </c>
      <c r="F806" s="3">
        <v>101879</v>
      </c>
      <c r="G806" s="57">
        <f t="shared" si="12"/>
        <v>2.4599277765204814E-3</v>
      </c>
      <c r="J806" s="5" t="s">
        <v>1953</v>
      </c>
    </row>
    <row r="807" spans="1:10" ht="25.5" x14ac:dyDescent="0.2">
      <c r="A807" s="1" t="s">
        <v>44</v>
      </c>
      <c r="B807" s="2" t="s">
        <v>73</v>
      </c>
      <c r="C807" s="1"/>
      <c r="D807" s="5" t="s">
        <v>1954</v>
      </c>
      <c r="E807" s="3">
        <v>113041</v>
      </c>
      <c r="F807" s="3">
        <v>149117</v>
      </c>
      <c r="G807" s="57">
        <f t="shared" si="12"/>
        <v>0.31914084270309001</v>
      </c>
      <c r="J807" s="5" t="s">
        <v>3796</v>
      </c>
    </row>
    <row r="808" spans="1:10" ht="25.5" x14ac:dyDescent="0.2">
      <c r="A808" s="1" t="s">
        <v>44</v>
      </c>
      <c r="B808" s="2" t="s">
        <v>73</v>
      </c>
      <c r="C808" s="1"/>
      <c r="D808" s="5" t="s">
        <v>1955</v>
      </c>
      <c r="E808" s="3">
        <v>101629</v>
      </c>
      <c r="F808" s="3">
        <v>148978</v>
      </c>
      <c r="G808" s="57">
        <f t="shared" si="12"/>
        <v>0.4659004811618731</v>
      </c>
      <c r="J808" s="5" t="s">
        <v>3797</v>
      </c>
    </row>
    <row r="809" spans="1:10" ht="25.5" x14ac:dyDescent="0.2">
      <c r="A809" s="1" t="s">
        <v>44</v>
      </c>
      <c r="B809" s="2" t="s">
        <v>73</v>
      </c>
      <c r="C809" s="1"/>
      <c r="D809" s="5" t="s">
        <v>1956</v>
      </c>
      <c r="E809" s="3">
        <v>101629</v>
      </c>
      <c r="F809" s="3">
        <v>143251</v>
      </c>
      <c r="G809" s="57">
        <f t="shared" si="12"/>
        <v>0.40954845565734188</v>
      </c>
      <c r="J809" s="5" t="s">
        <v>3798</v>
      </c>
    </row>
    <row r="810" spans="1:10" x14ac:dyDescent="0.2">
      <c r="A810" s="1" t="s">
        <v>44</v>
      </c>
      <c r="B810" s="2" t="s">
        <v>73</v>
      </c>
      <c r="C810" s="1"/>
      <c r="D810" s="5" t="s">
        <v>1957</v>
      </c>
      <c r="E810" s="3">
        <v>101629</v>
      </c>
      <c r="F810" s="3">
        <v>101629</v>
      </c>
      <c r="G810" s="57">
        <f t="shared" si="12"/>
        <v>0</v>
      </c>
      <c r="J810" s="5" t="s">
        <v>1958</v>
      </c>
    </row>
    <row r="811" spans="1:10" x14ac:dyDescent="0.2">
      <c r="A811" s="1" t="s">
        <v>44</v>
      </c>
      <c r="B811" s="2" t="s">
        <v>73</v>
      </c>
      <c r="C811" s="1"/>
      <c r="D811" s="5" t="s">
        <v>1959</v>
      </c>
      <c r="E811" s="3">
        <v>101629</v>
      </c>
      <c r="F811" s="3">
        <v>101629</v>
      </c>
      <c r="G811" s="57">
        <f t="shared" si="12"/>
        <v>0</v>
      </c>
      <c r="J811" s="5" t="s">
        <v>1958</v>
      </c>
    </row>
    <row r="812" spans="1:10" x14ac:dyDescent="0.2">
      <c r="A812" s="1" t="s">
        <v>44</v>
      </c>
      <c r="B812" s="2" t="s">
        <v>73</v>
      </c>
      <c r="C812" s="1"/>
      <c r="D812" s="7" t="s">
        <v>1960</v>
      </c>
      <c r="E812" s="3">
        <v>101629</v>
      </c>
      <c r="F812" s="3">
        <v>101629</v>
      </c>
      <c r="G812" s="57">
        <f t="shared" si="12"/>
        <v>0</v>
      </c>
      <c r="J812" s="5" t="s">
        <v>1958</v>
      </c>
    </row>
    <row r="813" spans="1:10" ht="25.5" x14ac:dyDescent="0.2">
      <c r="A813" s="1" t="s">
        <v>44</v>
      </c>
      <c r="B813" s="2" t="s">
        <v>73</v>
      </c>
      <c r="C813" s="1"/>
      <c r="D813" s="5" t="s">
        <v>3799</v>
      </c>
      <c r="E813" s="3">
        <v>129576</v>
      </c>
      <c r="F813" s="3">
        <v>131708</v>
      </c>
      <c r="G813" s="57">
        <f t="shared" si="12"/>
        <v>1.6453664258813359E-2</v>
      </c>
      <c r="J813" s="5" t="s">
        <v>3800</v>
      </c>
    </row>
    <row r="814" spans="1:10" x14ac:dyDescent="0.2">
      <c r="A814" s="1" t="s">
        <v>44</v>
      </c>
      <c r="B814" s="2" t="s">
        <v>73</v>
      </c>
      <c r="C814" s="1" t="s">
        <v>3801</v>
      </c>
      <c r="D814" s="5" t="s">
        <v>3802</v>
      </c>
      <c r="E814" s="3">
        <v>163404</v>
      </c>
      <c r="F814" s="3" t="s">
        <v>465</v>
      </c>
      <c r="G814" s="57" t="str">
        <f t="shared" si="12"/>
        <v>-</v>
      </c>
      <c r="J814" s="5" t="s">
        <v>3803</v>
      </c>
    </row>
    <row r="815" spans="1:10" x14ac:dyDescent="0.2">
      <c r="A815" s="1" t="s">
        <v>44</v>
      </c>
      <c r="B815" s="2" t="s">
        <v>73</v>
      </c>
      <c r="C815" s="1"/>
      <c r="D815" s="5" t="s">
        <v>3804</v>
      </c>
      <c r="E815" s="3">
        <v>129576</v>
      </c>
      <c r="F815" s="3" t="s">
        <v>465</v>
      </c>
      <c r="G815" s="57" t="str">
        <f t="shared" si="12"/>
        <v>-</v>
      </c>
    </row>
    <row r="816" spans="1:10" ht="25.5" x14ac:dyDescent="0.2">
      <c r="A816" s="1" t="s">
        <v>44</v>
      </c>
      <c r="B816" s="2" t="s">
        <v>73</v>
      </c>
      <c r="C816" s="1"/>
      <c r="D816" s="5" t="s">
        <v>3805</v>
      </c>
      <c r="E816" s="3">
        <v>120687</v>
      </c>
      <c r="F816" s="3" t="s">
        <v>465</v>
      </c>
      <c r="G816" s="57" t="str">
        <f t="shared" si="12"/>
        <v>-</v>
      </c>
    </row>
    <row r="817" spans="1:9" s="1" customFormat="1" ht="25.5" x14ac:dyDescent="0.2">
      <c r="A817" s="1" t="s">
        <v>44</v>
      </c>
      <c r="B817" s="2" t="s">
        <v>73</v>
      </c>
      <c r="D817" s="5" t="s">
        <v>3806</v>
      </c>
      <c r="E817" s="3">
        <v>113041</v>
      </c>
      <c r="F817" s="3" t="s">
        <v>465</v>
      </c>
      <c r="G817" s="57" t="str">
        <f t="shared" si="12"/>
        <v>-</v>
      </c>
      <c r="H817" s="19"/>
      <c r="I817" s="19"/>
    </row>
    <row r="818" spans="1:9" s="1" customFormat="1" x14ac:dyDescent="0.2">
      <c r="A818" s="1" t="s">
        <v>44</v>
      </c>
      <c r="B818" s="2" t="s">
        <v>73</v>
      </c>
      <c r="D818" s="5" t="s">
        <v>3807</v>
      </c>
      <c r="E818" s="3">
        <v>101629</v>
      </c>
      <c r="F818" s="3" t="s">
        <v>465</v>
      </c>
      <c r="G818" s="57" t="str">
        <f t="shared" si="12"/>
        <v>-</v>
      </c>
      <c r="H818" s="19"/>
      <c r="I818" s="19"/>
    </row>
    <row r="819" spans="1:9" s="1" customFormat="1" x14ac:dyDescent="0.2">
      <c r="A819" s="1" t="s">
        <v>44</v>
      </c>
      <c r="B819" s="2" t="s">
        <v>73</v>
      </c>
      <c r="D819" s="5" t="s">
        <v>464</v>
      </c>
      <c r="E819" s="3"/>
      <c r="F819" s="3"/>
      <c r="G819" s="57" t="str">
        <f t="shared" si="12"/>
        <v>-</v>
      </c>
      <c r="H819" s="19">
        <v>92500</v>
      </c>
      <c r="I819" s="19" t="s">
        <v>465</v>
      </c>
    </row>
    <row r="820" spans="1:9" s="1" customFormat="1" x14ac:dyDescent="0.2">
      <c r="A820" s="1" t="s">
        <v>44</v>
      </c>
      <c r="B820" s="2" t="s">
        <v>73</v>
      </c>
      <c r="D820" s="5" t="s">
        <v>464</v>
      </c>
      <c r="E820" s="3"/>
      <c r="F820" s="3"/>
      <c r="G820" s="57" t="str">
        <f t="shared" si="12"/>
        <v>-</v>
      </c>
      <c r="H820" s="19">
        <v>92500</v>
      </c>
      <c r="I820" s="19" t="s">
        <v>465</v>
      </c>
    </row>
    <row r="821" spans="1:9" s="1" customFormat="1" x14ac:dyDescent="0.2">
      <c r="A821" s="1" t="s">
        <v>44</v>
      </c>
      <c r="B821" s="2" t="s">
        <v>73</v>
      </c>
      <c r="D821" s="5" t="s">
        <v>464</v>
      </c>
      <c r="E821" s="3"/>
      <c r="F821" s="3"/>
      <c r="G821" s="57" t="str">
        <f t="shared" si="12"/>
        <v>-</v>
      </c>
      <c r="H821" s="19">
        <v>92500</v>
      </c>
      <c r="I821" s="19" t="s">
        <v>465</v>
      </c>
    </row>
    <row r="822" spans="1:9" s="1" customFormat="1" x14ac:dyDescent="0.2">
      <c r="A822" s="1" t="s">
        <v>44</v>
      </c>
      <c r="B822" s="2" t="s">
        <v>73</v>
      </c>
      <c r="D822" s="5" t="s">
        <v>464</v>
      </c>
      <c r="E822" s="3"/>
      <c r="F822" s="3"/>
      <c r="G822" s="57" t="str">
        <f t="shared" si="12"/>
        <v>-</v>
      </c>
      <c r="H822" s="19">
        <v>92500</v>
      </c>
      <c r="I822" s="19" t="s">
        <v>465</v>
      </c>
    </row>
    <row r="823" spans="1:9" s="1" customFormat="1" x14ac:dyDescent="0.2">
      <c r="A823" s="1" t="s">
        <v>44</v>
      </c>
      <c r="B823" s="2" t="s">
        <v>73</v>
      </c>
      <c r="D823" s="5" t="s">
        <v>464</v>
      </c>
      <c r="E823" s="3"/>
      <c r="F823" s="3"/>
      <c r="G823" s="57" t="str">
        <f t="shared" si="12"/>
        <v>-</v>
      </c>
      <c r="H823" s="19" t="s">
        <v>465</v>
      </c>
      <c r="I823" s="19">
        <v>92500</v>
      </c>
    </row>
    <row r="824" spans="1:9" s="1" customFormat="1" x14ac:dyDescent="0.2">
      <c r="A824" s="1" t="s">
        <v>44</v>
      </c>
      <c r="B824" s="2" t="s">
        <v>73</v>
      </c>
      <c r="D824" s="5" t="s">
        <v>464</v>
      </c>
      <c r="E824" s="3"/>
      <c r="F824" s="3"/>
      <c r="G824" s="57" t="str">
        <f t="shared" si="12"/>
        <v>-</v>
      </c>
      <c r="H824" s="19" t="s">
        <v>465</v>
      </c>
      <c r="I824" s="19">
        <v>92500</v>
      </c>
    </row>
    <row r="825" spans="1:9" s="1" customFormat="1" x14ac:dyDescent="0.2">
      <c r="A825" s="1" t="s">
        <v>44</v>
      </c>
      <c r="B825" s="2" t="s">
        <v>73</v>
      </c>
      <c r="D825" s="5" t="s">
        <v>464</v>
      </c>
      <c r="E825" s="3"/>
      <c r="F825" s="3"/>
      <c r="G825" s="57" t="str">
        <f t="shared" si="12"/>
        <v>-</v>
      </c>
      <c r="H825" s="19" t="s">
        <v>465</v>
      </c>
      <c r="I825" s="19">
        <v>92500</v>
      </c>
    </row>
    <row r="826" spans="1:9" s="1" customFormat="1" x14ac:dyDescent="0.2">
      <c r="A826" s="1" t="s">
        <v>44</v>
      </c>
      <c r="B826" s="2" t="s">
        <v>73</v>
      </c>
      <c r="D826" s="5" t="s">
        <v>464</v>
      </c>
      <c r="E826" s="3"/>
      <c r="F826" s="3"/>
      <c r="G826" s="57" t="str">
        <f t="shared" si="12"/>
        <v>-</v>
      </c>
      <c r="H826" s="19" t="s">
        <v>465</v>
      </c>
      <c r="I826" s="19">
        <v>92500</v>
      </c>
    </row>
    <row r="827" spans="1:9" s="1" customFormat="1" x14ac:dyDescent="0.2">
      <c r="A827" s="1" t="s">
        <v>44</v>
      </c>
      <c r="B827" s="2" t="s">
        <v>73</v>
      </c>
      <c r="D827" s="5" t="s">
        <v>464</v>
      </c>
      <c r="E827" s="3"/>
      <c r="F827" s="3"/>
      <c r="G827" s="57" t="str">
        <f t="shared" si="12"/>
        <v>-</v>
      </c>
      <c r="H827" s="19" t="s">
        <v>465</v>
      </c>
      <c r="I827" s="19">
        <v>92500</v>
      </c>
    </row>
    <row r="828" spans="1:9" s="1" customFormat="1" x14ac:dyDescent="0.2">
      <c r="A828" s="1" t="s">
        <v>44</v>
      </c>
      <c r="B828" s="2" t="s">
        <v>73</v>
      </c>
      <c r="D828" s="5" t="s">
        <v>464</v>
      </c>
      <c r="E828" s="3"/>
      <c r="F828" s="3"/>
      <c r="G828" s="57" t="str">
        <f t="shared" si="12"/>
        <v>-</v>
      </c>
      <c r="H828" s="19" t="s">
        <v>465</v>
      </c>
      <c r="I828" s="19">
        <v>92500</v>
      </c>
    </row>
    <row r="829" spans="1:9" s="1" customFormat="1" x14ac:dyDescent="0.2">
      <c r="A829" s="1" t="s">
        <v>44</v>
      </c>
      <c r="B829" s="2" t="s">
        <v>73</v>
      </c>
      <c r="D829" s="5" t="s">
        <v>464</v>
      </c>
      <c r="E829" s="3"/>
      <c r="F829" s="3"/>
      <c r="G829" s="57" t="str">
        <f t="shared" si="12"/>
        <v>-</v>
      </c>
      <c r="H829" s="19" t="s">
        <v>465</v>
      </c>
      <c r="I829" s="19">
        <v>92500</v>
      </c>
    </row>
    <row r="830" spans="1:9" s="1" customFormat="1" x14ac:dyDescent="0.2">
      <c r="A830" s="1" t="s">
        <v>44</v>
      </c>
      <c r="B830" s="2" t="s">
        <v>73</v>
      </c>
      <c r="D830" s="5" t="s">
        <v>464</v>
      </c>
      <c r="E830" s="3"/>
      <c r="F830" s="3"/>
      <c r="G830" s="57" t="str">
        <f t="shared" si="12"/>
        <v>-</v>
      </c>
      <c r="H830" s="19" t="s">
        <v>465</v>
      </c>
      <c r="I830" s="19">
        <v>92500</v>
      </c>
    </row>
    <row r="831" spans="1:9" s="1" customFormat="1" x14ac:dyDescent="0.2">
      <c r="A831" s="1" t="s">
        <v>44</v>
      </c>
      <c r="B831" s="2" t="s">
        <v>73</v>
      </c>
      <c r="D831" s="5" t="s">
        <v>464</v>
      </c>
      <c r="E831" s="3"/>
      <c r="F831" s="3"/>
      <c r="G831" s="57" t="str">
        <f t="shared" si="12"/>
        <v>-</v>
      </c>
      <c r="H831" s="19">
        <v>97500</v>
      </c>
      <c r="I831" s="19" t="s">
        <v>465</v>
      </c>
    </row>
    <row r="832" spans="1:9" s="1" customFormat="1" x14ac:dyDescent="0.2">
      <c r="A832" s="1" t="s">
        <v>44</v>
      </c>
      <c r="B832" s="2" t="s">
        <v>73</v>
      </c>
      <c r="D832" s="5" t="s">
        <v>464</v>
      </c>
      <c r="E832" s="3"/>
      <c r="F832" s="3"/>
      <c r="G832" s="57" t="str">
        <f t="shared" si="12"/>
        <v>-</v>
      </c>
      <c r="H832" s="19">
        <v>97500</v>
      </c>
      <c r="I832" s="19" t="s">
        <v>465</v>
      </c>
    </row>
    <row r="833" spans="1:10" x14ac:dyDescent="0.2">
      <c r="A833" s="1" t="s">
        <v>44</v>
      </c>
      <c r="B833" s="2" t="s">
        <v>73</v>
      </c>
      <c r="C833" s="1"/>
      <c r="D833" s="5" t="s">
        <v>464</v>
      </c>
      <c r="G833" s="57" t="str">
        <f t="shared" si="12"/>
        <v>-</v>
      </c>
      <c r="H833" s="19">
        <v>97500</v>
      </c>
      <c r="I833" s="19" t="s">
        <v>465</v>
      </c>
    </row>
    <row r="834" spans="1:10" x14ac:dyDescent="0.2">
      <c r="A834" s="1" t="s">
        <v>44</v>
      </c>
      <c r="B834" s="2" t="s">
        <v>73</v>
      </c>
      <c r="C834" s="1"/>
      <c r="D834" s="5" t="s">
        <v>464</v>
      </c>
      <c r="G834" s="57" t="str">
        <f t="shared" si="12"/>
        <v>-</v>
      </c>
      <c r="H834" s="19">
        <v>97500</v>
      </c>
      <c r="I834" s="19" t="s">
        <v>465</v>
      </c>
    </row>
    <row r="835" spans="1:10" x14ac:dyDescent="0.2">
      <c r="A835" s="1" t="s">
        <v>44</v>
      </c>
      <c r="B835" s="2" t="s">
        <v>73</v>
      </c>
      <c r="C835" s="1"/>
      <c r="D835" s="5" t="s">
        <v>464</v>
      </c>
      <c r="G835" s="57" t="str">
        <f t="shared" ref="G835:G898" si="13">IF(ISERROR((F835-E835)/E835),"-",(F835-E835)/E835)</f>
        <v>-</v>
      </c>
      <c r="H835" s="19" t="s">
        <v>465</v>
      </c>
      <c r="I835" s="19">
        <v>97500</v>
      </c>
    </row>
    <row r="836" spans="1:10" x14ac:dyDescent="0.2">
      <c r="A836" s="1" t="s">
        <v>44</v>
      </c>
      <c r="B836" s="2" t="s">
        <v>73</v>
      </c>
      <c r="C836" s="1"/>
      <c r="D836" s="5" t="s">
        <v>464</v>
      </c>
      <c r="G836" s="57" t="str">
        <f t="shared" si="13"/>
        <v>-</v>
      </c>
      <c r="H836" s="19" t="s">
        <v>465</v>
      </c>
      <c r="I836" s="19">
        <v>97500</v>
      </c>
    </row>
    <row r="837" spans="1:10" x14ac:dyDescent="0.2">
      <c r="A837" s="1" t="s">
        <v>44</v>
      </c>
      <c r="B837" s="2" t="s">
        <v>73</v>
      </c>
      <c r="C837" s="1"/>
      <c r="D837" s="5" t="s">
        <v>464</v>
      </c>
      <c r="E837" s="3" t="s">
        <v>465</v>
      </c>
      <c r="F837" s="3">
        <v>102500</v>
      </c>
      <c r="G837" s="57" t="str">
        <f t="shared" si="13"/>
        <v>-</v>
      </c>
    </row>
    <row r="838" spans="1:10" x14ac:dyDescent="0.2">
      <c r="A838" s="1" t="s">
        <v>44</v>
      </c>
      <c r="B838" s="2" t="s">
        <v>73</v>
      </c>
      <c r="C838" s="1"/>
      <c r="D838" s="5" t="s">
        <v>464</v>
      </c>
      <c r="E838" s="3" t="s">
        <v>465</v>
      </c>
      <c r="F838" s="3">
        <v>102500</v>
      </c>
      <c r="G838" s="57" t="str">
        <f t="shared" si="13"/>
        <v>-</v>
      </c>
    </row>
    <row r="839" spans="1:10" x14ac:dyDescent="0.2">
      <c r="A839" s="1" t="s">
        <v>44</v>
      </c>
      <c r="B839" s="2" t="s">
        <v>73</v>
      </c>
      <c r="C839" s="1"/>
      <c r="D839" s="5" t="s">
        <v>464</v>
      </c>
      <c r="E839" s="3" t="s">
        <v>465</v>
      </c>
      <c r="F839" s="3">
        <v>132500</v>
      </c>
      <c r="G839" s="57" t="str">
        <f t="shared" si="13"/>
        <v>-</v>
      </c>
    </row>
    <row r="840" spans="1:10" x14ac:dyDescent="0.2">
      <c r="A840" s="1" t="s">
        <v>44</v>
      </c>
      <c r="B840" s="2" t="s">
        <v>73</v>
      </c>
      <c r="C840" s="1"/>
      <c r="D840" s="5" t="s">
        <v>464</v>
      </c>
      <c r="E840" s="3" t="s">
        <v>465</v>
      </c>
      <c r="F840" s="3">
        <v>132500</v>
      </c>
      <c r="G840" s="57" t="str">
        <f t="shared" si="13"/>
        <v>-</v>
      </c>
    </row>
    <row r="841" spans="1:10" x14ac:dyDescent="0.2">
      <c r="A841" s="1" t="s">
        <v>6</v>
      </c>
      <c r="B841" s="2" t="s">
        <v>74</v>
      </c>
      <c r="C841" s="1"/>
      <c r="D841" s="5" t="s">
        <v>450</v>
      </c>
      <c r="E841" s="3">
        <v>130000</v>
      </c>
      <c r="F841" s="3">
        <v>131000</v>
      </c>
      <c r="G841" s="57">
        <f t="shared" si="13"/>
        <v>7.6923076923076927E-3</v>
      </c>
      <c r="J841" s="5" t="s">
        <v>1961</v>
      </c>
    </row>
    <row r="842" spans="1:10" x14ac:dyDescent="0.2">
      <c r="A842" s="1" t="s">
        <v>6</v>
      </c>
      <c r="B842" s="2" t="s">
        <v>74</v>
      </c>
      <c r="C842" s="1"/>
      <c r="D842" s="5" t="s">
        <v>3808</v>
      </c>
      <c r="E842" s="3">
        <v>100000</v>
      </c>
      <c r="F842" s="3">
        <v>103000</v>
      </c>
      <c r="G842" s="57">
        <f t="shared" si="13"/>
        <v>0.03</v>
      </c>
      <c r="J842" s="5" t="s">
        <v>1962</v>
      </c>
    </row>
    <row r="843" spans="1:10" x14ac:dyDescent="0.2">
      <c r="A843" s="1" t="s">
        <v>6</v>
      </c>
      <c r="B843" s="2" t="s">
        <v>74</v>
      </c>
      <c r="C843" s="1"/>
      <c r="D843" s="5" t="s">
        <v>855</v>
      </c>
      <c r="E843" s="3">
        <v>264000</v>
      </c>
      <c r="G843" s="57">
        <f t="shared" si="13"/>
        <v>-1</v>
      </c>
      <c r="J843" s="5" t="s">
        <v>3809</v>
      </c>
    </row>
    <row r="844" spans="1:10" x14ac:dyDescent="0.2">
      <c r="A844" s="1" t="s">
        <v>6</v>
      </c>
      <c r="B844" s="2" t="s">
        <v>74</v>
      </c>
      <c r="C844" s="1"/>
      <c r="D844" s="5" t="s">
        <v>1866</v>
      </c>
      <c r="E844" s="3">
        <v>220000</v>
      </c>
      <c r="G844" s="57">
        <f t="shared" si="13"/>
        <v>-1</v>
      </c>
      <c r="J844" s="5" t="s">
        <v>3809</v>
      </c>
    </row>
    <row r="845" spans="1:10" x14ac:dyDescent="0.2">
      <c r="A845" s="1" t="s">
        <v>6</v>
      </c>
      <c r="B845" s="2" t="s">
        <v>74</v>
      </c>
      <c r="C845" s="1"/>
      <c r="D845" s="5" t="s">
        <v>452</v>
      </c>
      <c r="E845" s="3">
        <v>140000</v>
      </c>
      <c r="G845" s="57">
        <f t="shared" si="13"/>
        <v>-1</v>
      </c>
      <c r="J845" s="5" t="s">
        <v>3810</v>
      </c>
    </row>
    <row r="846" spans="1:10" x14ac:dyDescent="0.2">
      <c r="A846" s="1" t="s">
        <v>44</v>
      </c>
      <c r="B846" s="2" t="s">
        <v>75</v>
      </c>
      <c r="C846" s="1" t="s">
        <v>1963</v>
      </c>
      <c r="D846" s="5" t="s">
        <v>450</v>
      </c>
      <c r="E846" s="3">
        <v>188018</v>
      </c>
      <c r="F846" s="3">
        <v>189178</v>
      </c>
      <c r="G846" s="57">
        <f t="shared" si="13"/>
        <v>6.1696220574625838E-3</v>
      </c>
      <c r="J846" s="5" t="s">
        <v>1964</v>
      </c>
    </row>
    <row r="847" spans="1:10" x14ac:dyDescent="0.2">
      <c r="A847" s="1" t="s">
        <v>44</v>
      </c>
      <c r="B847" s="2" t="s">
        <v>75</v>
      </c>
      <c r="C847" s="1"/>
      <c r="D847" s="5" t="s">
        <v>4609</v>
      </c>
      <c r="E847" s="3">
        <v>147637</v>
      </c>
      <c r="F847" s="3">
        <v>148710</v>
      </c>
      <c r="G847" s="57">
        <f t="shared" si="13"/>
        <v>7.2678258160217288E-3</v>
      </c>
      <c r="J847" s="5" t="s">
        <v>3811</v>
      </c>
    </row>
    <row r="848" spans="1:10" x14ac:dyDescent="0.2">
      <c r="A848" s="1" t="s">
        <v>44</v>
      </c>
      <c r="B848" s="2" t="s">
        <v>75</v>
      </c>
      <c r="C848" s="1"/>
      <c r="D848" s="5" t="s">
        <v>506</v>
      </c>
      <c r="E848" s="3">
        <v>135451</v>
      </c>
      <c r="F848" s="3">
        <v>136248</v>
      </c>
      <c r="G848" s="57">
        <f t="shared" si="13"/>
        <v>5.8840466294084208E-3</v>
      </c>
      <c r="J848" s="5" t="s">
        <v>1965</v>
      </c>
    </row>
    <row r="849" spans="1:10" x14ac:dyDescent="0.2">
      <c r="A849" s="1" t="s">
        <v>44</v>
      </c>
      <c r="B849" s="2" t="s">
        <v>75</v>
      </c>
      <c r="C849" s="1"/>
      <c r="D849" s="5" t="s">
        <v>1966</v>
      </c>
      <c r="E849" s="3">
        <v>135189</v>
      </c>
      <c r="F849" s="3">
        <v>135439</v>
      </c>
      <c r="G849" s="57">
        <f t="shared" si="13"/>
        <v>1.8492628838145115E-3</v>
      </c>
      <c r="J849" s="5" t="s">
        <v>1967</v>
      </c>
    </row>
    <row r="850" spans="1:10" x14ac:dyDescent="0.2">
      <c r="A850" s="1" t="s">
        <v>44</v>
      </c>
      <c r="B850" s="2" t="s">
        <v>75</v>
      </c>
      <c r="C850" s="1"/>
      <c r="D850" s="5" t="s">
        <v>463</v>
      </c>
      <c r="E850" s="3">
        <v>135219</v>
      </c>
      <c r="F850" s="3">
        <v>135321</v>
      </c>
      <c r="G850" s="57">
        <f t="shared" si="13"/>
        <v>7.5433186164666213E-4</v>
      </c>
      <c r="J850" s="5" t="s">
        <v>1968</v>
      </c>
    </row>
    <row r="851" spans="1:10" x14ac:dyDescent="0.2">
      <c r="A851" s="1" t="s">
        <v>44</v>
      </c>
      <c r="B851" s="2" t="s">
        <v>75</v>
      </c>
      <c r="C851" s="1"/>
      <c r="D851" s="5" t="s">
        <v>1011</v>
      </c>
      <c r="E851" s="3">
        <v>135333</v>
      </c>
      <c r="F851" s="3">
        <v>118565</v>
      </c>
      <c r="G851" s="57">
        <f t="shared" si="13"/>
        <v>-0.12390178300931776</v>
      </c>
      <c r="J851" s="5" t="s">
        <v>1969</v>
      </c>
    </row>
    <row r="852" spans="1:10" x14ac:dyDescent="0.2">
      <c r="A852" s="1" t="s">
        <v>44</v>
      </c>
      <c r="B852" s="2" t="s">
        <v>75</v>
      </c>
      <c r="C852" s="1"/>
      <c r="D852" s="5" t="s">
        <v>1970</v>
      </c>
      <c r="E852" s="3">
        <v>98984</v>
      </c>
      <c r="F852" s="3">
        <v>107649</v>
      </c>
      <c r="G852" s="57">
        <f t="shared" si="13"/>
        <v>8.7539400307120346E-2</v>
      </c>
      <c r="J852" s="5" t="s">
        <v>1971</v>
      </c>
    </row>
    <row r="853" spans="1:10" x14ac:dyDescent="0.2">
      <c r="A853" s="1" t="s">
        <v>44</v>
      </c>
      <c r="B853" s="2" t="s">
        <v>75</v>
      </c>
      <c r="C853" s="1"/>
      <c r="D853" s="5" t="s">
        <v>464</v>
      </c>
      <c r="G853" s="57" t="str">
        <f t="shared" si="13"/>
        <v>-</v>
      </c>
      <c r="H853" s="19">
        <v>92500</v>
      </c>
      <c r="I853" s="19" t="s">
        <v>465</v>
      </c>
    </row>
    <row r="854" spans="1:10" x14ac:dyDescent="0.2">
      <c r="A854" s="1" t="s">
        <v>44</v>
      </c>
      <c r="B854" s="2" t="s">
        <v>75</v>
      </c>
      <c r="C854" s="1"/>
      <c r="D854" s="5" t="s">
        <v>464</v>
      </c>
      <c r="G854" s="57" t="str">
        <f t="shared" si="13"/>
        <v>-</v>
      </c>
      <c r="H854" s="19">
        <v>92500</v>
      </c>
      <c r="I854" s="19" t="s">
        <v>465</v>
      </c>
    </row>
    <row r="855" spans="1:10" x14ac:dyDescent="0.2">
      <c r="A855" s="1" t="s">
        <v>44</v>
      </c>
      <c r="B855" s="2" t="s">
        <v>75</v>
      </c>
      <c r="C855" s="1"/>
      <c r="D855" s="5" t="s">
        <v>464</v>
      </c>
      <c r="G855" s="57" t="str">
        <f t="shared" si="13"/>
        <v>-</v>
      </c>
      <c r="H855" s="19">
        <v>97500</v>
      </c>
      <c r="I855" s="19" t="s">
        <v>465</v>
      </c>
    </row>
    <row r="856" spans="1:10" x14ac:dyDescent="0.2">
      <c r="A856" s="1" t="s">
        <v>44</v>
      </c>
      <c r="B856" s="2" t="s">
        <v>75</v>
      </c>
      <c r="C856" s="1"/>
      <c r="D856" s="5" t="s">
        <v>464</v>
      </c>
      <c r="G856" s="57" t="str">
        <f t="shared" si="13"/>
        <v>-</v>
      </c>
      <c r="H856" s="19">
        <v>97500</v>
      </c>
      <c r="I856" s="19" t="s">
        <v>465</v>
      </c>
    </row>
    <row r="857" spans="1:10" x14ac:dyDescent="0.2">
      <c r="A857" s="1" t="s">
        <v>44</v>
      </c>
      <c r="B857" s="2" t="s">
        <v>75</v>
      </c>
      <c r="C857" s="1"/>
      <c r="D857" s="5" t="s">
        <v>464</v>
      </c>
      <c r="G857" s="57" t="str">
        <f t="shared" si="13"/>
        <v>-</v>
      </c>
      <c r="H857" s="19" t="s">
        <v>465</v>
      </c>
      <c r="I857" s="19">
        <v>97500</v>
      </c>
    </row>
    <row r="858" spans="1:10" x14ac:dyDescent="0.2">
      <c r="A858" s="1" t="s">
        <v>44</v>
      </c>
      <c r="B858" s="2" t="s">
        <v>75</v>
      </c>
      <c r="C858" s="1"/>
      <c r="D858" s="5" t="s">
        <v>464</v>
      </c>
      <c r="G858" s="57" t="str">
        <f t="shared" si="13"/>
        <v>-</v>
      </c>
      <c r="H858" s="19" t="s">
        <v>465</v>
      </c>
      <c r="I858" s="19">
        <v>97500</v>
      </c>
    </row>
    <row r="859" spans="1:10" x14ac:dyDescent="0.2">
      <c r="A859" s="1" t="s">
        <v>44</v>
      </c>
      <c r="B859" s="2" t="s">
        <v>75</v>
      </c>
      <c r="C859" s="1"/>
      <c r="D859" s="5" t="s">
        <v>464</v>
      </c>
      <c r="G859" s="57" t="str">
        <f t="shared" si="13"/>
        <v>-</v>
      </c>
      <c r="H859" s="19" t="s">
        <v>465</v>
      </c>
      <c r="I859" s="19">
        <v>97500</v>
      </c>
    </row>
    <row r="860" spans="1:10" x14ac:dyDescent="0.2">
      <c r="A860" s="1" t="s">
        <v>44</v>
      </c>
      <c r="B860" s="2" t="s">
        <v>75</v>
      </c>
      <c r="C860" s="1"/>
      <c r="D860" s="5" t="s">
        <v>464</v>
      </c>
      <c r="G860" s="57" t="str">
        <f t="shared" si="13"/>
        <v>-</v>
      </c>
      <c r="H860" s="19" t="s">
        <v>465</v>
      </c>
      <c r="I860" s="19">
        <v>97500</v>
      </c>
    </row>
    <row r="861" spans="1:10" x14ac:dyDescent="0.2">
      <c r="A861" s="1" t="s">
        <v>44</v>
      </c>
      <c r="B861" s="2" t="s">
        <v>75</v>
      </c>
      <c r="C861" s="1"/>
      <c r="D861" s="5" t="s">
        <v>464</v>
      </c>
      <c r="G861" s="57" t="str">
        <f t="shared" si="13"/>
        <v>-</v>
      </c>
      <c r="H861" s="19" t="s">
        <v>465</v>
      </c>
      <c r="I861" s="19">
        <v>97500</v>
      </c>
    </row>
    <row r="862" spans="1:10" x14ac:dyDescent="0.2">
      <c r="A862" s="1" t="s">
        <v>44</v>
      </c>
      <c r="B862" s="2" t="s">
        <v>75</v>
      </c>
      <c r="C862" s="1"/>
      <c r="D862" s="5" t="s">
        <v>464</v>
      </c>
      <c r="E862" s="3">
        <v>102500</v>
      </c>
      <c r="F862" s="3" t="s">
        <v>465</v>
      </c>
      <c r="G862" s="57" t="str">
        <f t="shared" si="13"/>
        <v>-</v>
      </c>
    </row>
    <row r="863" spans="1:10" x14ac:dyDescent="0.2">
      <c r="A863" s="1" t="s">
        <v>44</v>
      </c>
      <c r="B863" s="2" t="s">
        <v>75</v>
      </c>
      <c r="C863" s="1"/>
      <c r="D863" s="5" t="s">
        <v>464</v>
      </c>
      <c r="E863" s="3">
        <v>102500</v>
      </c>
      <c r="F863" s="3" t="s">
        <v>465</v>
      </c>
      <c r="G863" s="57" t="str">
        <f t="shared" si="13"/>
        <v>-</v>
      </c>
    </row>
    <row r="864" spans="1:10" x14ac:dyDescent="0.2">
      <c r="A864" s="1" t="s">
        <v>44</v>
      </c>
      <c r="B864" s="2" t="s">
        <v>75</v>
      </c>
      <c r="C864" s="1"/>
      <c r="D864" s="5" t="s">
        <v>464</v>
      </c>
      <c r="E864" s="3" t="s">
        <v>465</v>
      </c>
      <c r="F864" s="3">
        <v>102500</v>
      </c>
      <c r="G864" s="57" t="str">
        <f t="shared" si="13"/>
        <v>-</v>
      </c>
    </row>
    <row r="865" spans="1:10" x14ac:dyDescent="0.2">
      <c r="A865" s="1" t="s">
        <v>44</v>
      </c>
      <c r="B865" s="2" t="s">
        <v>75</v>
      </c>
      <c r="C865" s="1"/>
      <c r="D865" s="5" t="s">
        <v>464</v>
      </c>
      <c r="E865" s="3" t="s">
        <v>465</v>
      </c>
      <c r="F865" s="3">
        <v>102500</v>
      </c>
      <c r="G865" s="57" t="str">
        <f t="shared" si="13"/>
        <v>-</v>
      </c>
    </row>
    <row r="866" spans="1:10" x14ac:dyDescent="0.2">
      <c r="A866" s="1" t="s">
        <v>11</v>
      </c>
      <c r="B866" s="2" t="s">
        <v>75</v>
      </c>
      <c r="C866" s="1"/>
      <c r="D866" s="5" t="s">
        <v>464</v>
      </c>
      <c r="E866" s="3" t="s">
        <v>465</v>
      </c>
      <c r="F866" s="3">
        <v>102500</v>
      </c>
      <c r="G866" s="57" t="str">
        <f t="shared" si="13"/>
        <v>-</v>
      </c>
    </row>
    <row r="867" spans="1:10" ht="25.5" x14ac:dyDescent="0.2">
      <c r="A867" s="1" t="s">
        <v>11</v>
      </c>
      <c r="B867" s="2" t="s">
        <v>76</v>
      </c>
      <c r="C867" s="29" t="s">
        <v>2697</v>
      </c>
      <c r="G867" s="57" t="str">
        <f t="shared" si="13"/>
        <v>-</v>
      </c>
    </row>
    <row r="868" spans="1:10" x14ac:dyDescent="0.2">
      <c r="A868" s="1" t="s">
        <v>20</v>
      </c>
      <c r="B868" s="2" t="s">
        <v>77</v>
      </c>
      <c r="C868" s="1" t="s">
        <v>1972</v>
      </c>
      <c r="D868" s="5" t="s">
        <v>450</v>
      </c>
      <c r="E868" s="3">
        <v>186293</v>
      </c>
      <c r="F868" s="3">
        <v>180200</v>
      </c>
      <c r="G868" s="57">
        <f t="shared" si="13"/>
        <v>-3.2706542918950254E-2</v>
      </c>
      <c r="J868" s="5" t="s">
        <v>1973</v>
      </c>
    </row>
    <row r="869" spans="1:10" x14ac:dyDescent="0.2">
      <c r="A869" s="1" t="s">
        <v>20</v>
      </c>
      <c r="B869" s="2" t="s">
        <v>77</v>
      </c>
      <c r="C869" s="1"/>
      <c r="D869" s="5" t="s">
        <v>504</v>
      </c>
      <c r="E869" s="3">
        <v>118852</v>
      </c>
      <c r="F869" s="3">
        <v>116645</v>
      </c>
      <c r="G869" s="57">
        <f t="shared" si="13"/>
        <v>-1.8569313095278161E-2</v>
      </c>
      <c r="J869" s="5" t="s">
        <v>1974</v>
      </c>
    </row>
    <row r="870" spans="1:10" x14ac:dyDescent="0.2">
      <c r="A870" s="1" t="s">
        <v>20</v>
      </c>
      <c r="B870" s="2" t="s">
        <v>77</v>
      </c>
      <c r="C870" s="1"/>
      <c r="D870" s="5" t="s">
        <v>504</v>
      </c>
      <c r="E870" s="3">
        <v>111775</v>
      </c>
      <c r="F870" s="3">
        <v>116668</v>
      </c>
      <c r="G870" s="57">
        <f t="shared" si="13"/>
        <v>4.3775441735629611E-2</v>
      </c>
      <c r="J870" s="5" t="s">
        <v>1975</v>
      </c>
    </row>
    <row r="871" spans="1:10" x14ac:dyDescent="0.2">
      <c r="A871" s="1" t="s">
        <v>20</v>
      </c>
      <c r="B871" s="2" t="s">
        <v>77</v>
      </c>
      <c r="C871" s="1"/>
      <c r="D871" s="5" t="s">
        <v>464</v>
      </c>
      <c r="E871" s="3" t="s">
        <v>465</v>
      </c>
      <c r="F871" s="3">
        <v>112500</v>
      </c>
      <c r="G871" s="57" t="str">
        <f t="shared" si="13"/>
        <v>-</v>
      </c>
      <c r="J871" s="5" t="s">
        <v>539</v>
      </c>
    </row>
    <row r="872" spans="1:10" ht="25.5" x14ac:dyDescent="0.2">
      <c r="A872" s="1" t="s">
        <v>11</v>
      </c>
      <c r="B872" s="2" t="s">
        <v>78</v>
      </c>
      <c r="C872" s="29" t="s">
        <v>2697</v>
      </c>
      <c r="G872" s="57" t="str">
        <f t="shared" si="13"/>
        <v>-</v>
      </c>
    </row>
    <row r="873" spans="1:10" x14ac:dyDescent="0.2">
      <c r="A873" s="1" t="s">
        <v>20</v>
      </c>
      <c r="B873" s="2" t="s">
        <v>79</v>
      </c>
      <c r="C873" s="1" t="s">
        <v>1976</v>
      </c>
      <c r="D873" s="5" t="s">
        <v>683</v>
      </c>
      <c r="E873" s="3">
        <v>152306</v>
      </c>
      <c r="F873" s="3">
        <v>158358</v>
      </c>
      <c r="G873" s="57">
        <f t="shared" si="13"/>
        <v>3.9735795044187359E-2</v>
      </c>
      <c r="J873" s="5" t="s">
        <v>1977</v>
      </c>
    </row>
    <row r="874" spans="1:10" ht="25.5" x14ac:dyDescent="0.2">
      <c r="A874" s="1" t="s">
        <v>20</v>
      </c>
      <c r="B874" s="2" t="s">
        <v>79</v>
      </c>
      <c r="C874" s="1" t="s">
        <v>1978</v>
      </c>
      <c r="D874" s="5" t="s">
        <v>1979</v>
      </c>
      <c r="E874" s="3">
        <v>106484</v>
      </c>
      <c r="F874" s="3">
        <v>101633</v>
      </c>
      <c r="G874" s="57">
        <f t="shared" si="13"/>
        <v>-4.5556139889560872E-2</v>
      </c>
      <c r="J874" s="5" t="s">
        <v>4610</v>
      </c>
    </row>
    <row r="875" spans="1:10" ht="25.5" x14ac:dyDescent="0.2">
      <c r="A875" s="1" t="s">
        <v>20</v>
      </c>
      <c r="B875" s="2" t="s">
        <v>79</v>
      </c>
      <c r="C875" s="1" t="s">
        <v>1980</v>
      </c>
      <c r="D875" s="5" t="s">
        <v>450</v>
      </c>
      <c r="E875" s="3">
        <v>98814</v>
      </c>
      <c r="F875" s="3">
        <v>228770</v>
      </c>
      <c r="G875" s="57">
        <f t="shared" si="13"/>
        <v>1.3151577711660292</v>
      </c>
      <c r="J875" s="5" t="s">
        <v>3812</v>
      </c>
    </row>
    <row r="876" spans="1:10" x14ac:dyDescent="0.2">
      <c r="A876" s="1" t="s">
        <v>20</v>
      </c>
      <c r="B876" s="2" t="s">
        <v>79</v>
      </c>
      <c r="C876" s="1" t="s">
        <v>1981</v>
      </c>
      <c r="D876" s="5" t="s">
        <v>1982</v>
      </c>
      <c r="E876" s="3">
        <v>153477</v>
      </c>
      <c r="F876" s="3">
        <v>160967</v>
      </c>
      <c r="G876" s="57">
        <f t="shared" si="13"/>
        <v>4.8802100640486845E-2</v>
      </c>
      <c r="J876" s="5" t="s">
        <v>1983</v>
      </c>
    </row>
    <row r="877" spans="1:10" ht="25.5" x14ac:dyDescent="0.2">
      <c r="A877" s="1" t="s">
        <v>20</v>
      </c>
      <c r="B877" s="2" t="s">
        <v>79</v>
      </c>
      <c r="C877" s="1" t="s">
        <v>1984</v>
      </c>
      <c r="D877" s="5" t="s">
        <v>1469</v>
      </c>
      <c r="E877" s="3">
        <v>195925</v>
      </c>
      <c r="F877" s="3">
        <v>194148</v>
      </c>
      <c r="G877" s="57">
        <f t="shared" si="13"/>
        <v>-9.0697971162434603E-3</v>
      </c>
      <c r="J877" s="5" t="s">
        <v>1985</v>
      </c>
    </row>
    <row r="878" spans="1:10" x14ac:dyDescent="0.2">
      <c r="A878" s="1" t="s">
        <v>20</v>
      </c>
      <c r="B878" s="2" t="s">
        <v>79</v>
      </c>
      <c r="C878" s="1" t="s">
        <v>1986</v>
      </c>
      <c r="D878" s="5" t="s">
        <v>1966</v>
      </c>
      <c r="E878" s="3">
        <v>176011</v>
      </c>
      <c r="F878" s="3">
        <v>176080</v>
      </c>
      <c r="G878" s="57">
        <f t="shared" si="13"/>
        <v>3.9202095323587731E-4</v>
      </c>
      <c r="J878" s="5" t="s">
        <v>1987</v>
      </c>
    </row>
    <row r="879" spans="1:10" x14ac:dyDescent="0.2">
      <c r="A879" s="1" t="s">
        <v>20</v>
      </c>
      <c r="B879" s="2" t="s">
        <v>79</v>
      </c>
      <c r="C879" s="1" t="s">
        <v>3813</v>
      </c>
      <c r="D879" s="5" t="s">
        <v>505</v>
      </c>
      <c r="E879" s="3">
        <v>368788</v>
      </c>
      <c r="F879" s="3" t="s">
        <v>465</v>
      </c>
      <c r="G879" s="57" t="str">
        <f t="shared" si="13"/>
        <v>-</v>
      </c>
      <c r="J879" s="5" t="s">
        <v>3814</v>
      </c>
    </row>
    <row r="880" spans="1:10" x14ac:dyDescent="0.2">
      <c r="A880" s="1" t="s">
        <v>20</v>
      </c>
      <c r="B880" s="2" t="s">
        <v>79</v>
      </c>
      <c r="C880" s="1"/>
      <c r="D880" s="5" t="s">
        <v>464</v>
      </c>
      <c r="G880" s="57" t="str">
        <f t="shared" si="13"/>
        <v>-</v>
      </c>
      <c r="H880" s="19">
        <v>92500</v>
      </c>
      <c r="I880" s="19" t="s">
        <v>465</v>
      </c>
    </row>
    <row r="881" spans="1:10" x14ac:dyDescent="0.2">
      <c r="A881" s="1" t="s">
        <v>20</v>
      </c>
      <c r="B881" s="2" t="s">
        <v>79</v>
      </c>
      <c r="C881" s="1"/>
      <c r="D881" s="5" t="s">
        <v>464</v>
      </c>
      <c r="G881" s="57" t="str">
        <f t="shared" si="13"/>
        <v>-</v>
      </c>
      <c r="H881" s="19">
        <v>92500</v>
      </c>
      <c r="I881" s="19" t="s">
        <v>465</v>
      </c>
    </row>
    <row r="882" spans="1:10" x14ac:dyDescent="0.2">
      <c r="A882" s="1" t="s">
        <v>20</v>
      </c>
      <c r="B882" s="2" t="s">
        <v>79</v>
      </c>
      <c r="C882" s="1"/>
      <c r="D882" s="5" t="s">
        <v>464</v>
      </c>
      <c r="G882" s="57" t="str">
        <f t="shared" si="13"/>
        <v>-</v>
      </c>
      <c r="H882" s="19">
        <v>92500</v>
      </c>
      <c r="I882" s="19" t="s">
        <v>465</v>
      </c>
    </row>
    <row r="883" spans="1:10" x14ac:dyDescent="0.2">
      <c r="A883" s="1" t="s">
        <v>20</v>
      </c>
      <c r="B883" s="2" t="s">
        <v>79</v>
      </c>
      <c r="C883" s="1"/>
      <c r="D883" s="5" t="s">
        <v>464</v>
      </c>
      <c r="G883" s="57" t="str">
        <f t="shared" si="13"/>
        <v>-</v>
      </c>
      <c r="H883" s="19" t="s">
        <v>465</v>
      </c>
      <c r="I883" s="19">
        <v>92500</v>
      </c>
    </row>
    <row r="884" spans="1:10" x14ac:dyDescent="0.2">
      <c r="A884" s="1" t="s">
        <v>20</v>
      </c>
      <c r="B884" s="2" t="s">
        <v>79</v>
      </c>
      <c r="C884" s="1"/>
      <c r="D884" s="5" t="s">
        <v>464</v>
      </c>
      <c r="G884" s="57" t="str">
        <f t="shared" si="13"/>
        <v>-</v>
      </c>
      <c r="H884" s="19" t="s">
        <v>465</v>
      </c>
      <c r="I884" s="19">
        <v>92500</v>
      </c>
    </row>
    <row r="885" spans="1:10" x14ac:dyDescent="0.2">
      <c r="A885" s="1" t="s">
        <v>20</v>
      </c>
      <c r="B885" s="2" t="s">
        <v>79</v>
      </c>
      <c r="C885" s="1"/>
      <c r="D885" s="5" t="s">
        <v>464</v>
      </c>
      <c r="G885" s="57" t="str">
        <f t="shared" si="13"/>
        <v>-</v>
      </c>
      <c r="H885" s="19" t="s">
        <v>465</v>
      </c>
      <c r="I885" s="19">
        <v>92500</v>
      </c>
    </row>
    <row r="886" spans="1:10" x14ac:dyDescent="0.2">
      <c r="A886" s="1" t="s">
        <v>20</v>
      </c>
      <c r="B886" s="2" t="s">
        <v>79</v>
      </c>
      <c r="C886" s="1"/>
      <c r="D886" s="5" t="s">
        <v>464</v>
      </c>
      <c r="G886" s="57" t="str">
        <f t="shared" si="13"/>
        <v>-</v>
      </c>
      <c r="H886" s="19" t="s">
        <v>465</v>
      </c>
      <c r="I886" s="19">
        <v>92500</v>
      </c>
    </row>
    <row r="887" spans="1:10" x14ac:dyDescent="0.2">
      <c r="A887" s="1" t="s">
        <v>20</v>
      </c>
      <c r="B887" s="2" t="s">
        <v>79</v>
      </c>
      <c r="C887" s="1"/>
      <c r="D887" s="5" t="s">
        <v>464</v>
      </c>
      <c r="G887" s="57" t="str">
        <f t="shared" si="13"/>
        <v>-</v>
      </c>
      <c r="H887" s="19" t="s">
        <v>465</v>
      </c>
      <c r="I887" s="19">
        <v>92500</v>
      </c>
    </row>
    <row r="888" spans="1:10" x14ac:dyDescent="0.2">
      <c r="A888" s="1" t="s">
        <v>20</v>
      </c>
      <c r="B888" s="2" t="s">
        <v>79</v>
      </c>
      <c r="C888" s="1"/>
      <c r="D888" s="5" t="s">
        <v>464</v>
      </c>
      <c r="G888" s="57" t="str">
        <f t="shared" si="13"/>
        <v>-</v>
      </c>
      <c r="H888" s="19" t="s">
        <v>465</v>
      </c>
      <c r="I888" s="19">
        <v>92500</v>
      </c>
    </row>
    <row r="889" spans="1:10" x14ac:dyDescent="0.2">
      <c r="A889" s="1" t="s">
        <v>20</v>
      </c>
      <c r="B889" s="2" t="s">
        <v>79</v>
      </c>
      <c r="C889" s="1"/>
      <c r="D889" s="5" t="s">
        <v>464</v>
      </c>
      <c r="G889" s="57" t="str">
        <f t="shared" si="13"/>
        <v>-</v>
      </c>
      <c r="H889" s="19" t="s">
        <v>465</v>
      </c>
      <c r="I889" s="19">
        <v>92500</v>
      </c>
    </row>
    <row r="890" spans="1:10" x14ac:dyDescent="0.2">
      <c r="A890" s="1" t="s">
        <v>20</v>
      </c>
      <c r="B890" s="2" t="s">
        <v>79</v>
      </c>
      <c r="C890" s="1"/>
      <c r="D890" s="5" t="s">
        <v>464</v>
      </c>
      <c r="G890" s="57" t="str">
        <f t="shared" si="13"/>
        <v>-</v>
      </c>
      <c r="H890" s="19">
        <v>97500</v>
      </c>
      <c r="I890" s="19" t="s">
        <v>465</v>
      </c>
    </row>
    <row r="891" spans="1:10" x14ac:dyDescent="0.2">
      <c r="A891" s="1" t="s">
        <v>20</v>
      </c>
      <c r="B891" s="2" t="s">
        <v>79</v>
      </c>
      <c r="C891" s="1"/>
      <c r="D891" s="5" t="s">
        <v>464</v>
      </c>
      <c r="G891" s="57" t="str">
        <f t="shared" si="13"/>
        <v>-</v>
      </c>
      <c r="H891" s="19">
        <v>97500</v>
      </c>
      <c r="I891" s="19" t="s">
        <v>465</v>
      </c>
    </row>
    <row r="892" spans="1:10" x14ac:dyDescent="0.2">
      <c r="A892" s="1" t="s">
        <v>20</v>
      </c>
      <c r="B892" s="2" t="s">
        <v>79</v>
      </c>
      <c r="C892" s="1"/>
      <c r="D892" s="5" t="s">
        <v>464</v>
      </c>
      <c r="G892" s="57" t="str">
        <f t="shared" si="13"/>
        <v>-</v>
      </c>
      <c r="H892" s="19" t="s">
        <v>465</v>
      </c>
      <c r="I892" s="19">
        <v>97500</v>
      </c>
    </row>
    <row r="893" spans="1:10" x14ac:dyDescent="0.2">
      <c r="A893" s="1" t="s">
        <v>20</v>
      </c>
      <c r="B893" s="2" t="s">
        <v>79</v>
      </c>
      <c r="C893" s="1"/>
      <c r="D893" s="5" t="s">
        <v>464</v>
      </c>
      <c r="E893" s="3">
        <v>112500</v>
      </c>
      <c r="G893" s="57">
        <f t="shared" si="13"/>
        <v>-1</v>
      </c>
    </row>
    <row r="894" spans="1:10" x14ac:dyDescent="0.2">
      <c r="A894" s="1" t="s">
        <v>20</v>
      </c>
      <c r="B894" s="2" t="s">
        <v>79</v>
      </c>
      <c r="C894" s="1"/>
      <c r="D894" s="5" t="s">
        <v>464</v>
      </c>
      <c r="E894" s="3" t="s">
        <v>465</v>
      </c>
      <c r="F894" s="3">
        <v>117500</v>
      </c>
      <c r="G894" s="57" t="str">
        <f t="shared" si="13"/>
        <v>-</v>
      </c>
    </row>
    <row r="895" spans="1:10" x14ac:dyDescent="0.2">
      <c r="A895" s="1" t="s">
        <v>20</v>
      </c>
      <c r="B895" s="2" t="s">
        <v>79</v>
      </c>
      <c r="C895" s="1"/>
      <c r="D895" s="5" t="s">
        <v>464</v>
      </c>
      <c r="E895" s="3" t="s">
        <v>465</v>
      </c>
      <c r="F895" s="3">
        <v>117500</v>
      </c>
      <c r="G895" s="57" t="str">
        <f t="shared" si="13"/>
        <v>-</v>
      </c>
      <c r="J895" s="5" t="s">
        <v>2256</v>
      </c>
    </row>
    <row r="896" spans="1:10" x14ac:dyDescent="0.2">
      <c r="A896" s="1" t="s">
        <v>20</v>
      </c>
      <c r="B896" s="2" t="s">
        <v>79</v>
      </c>
      <c r="C896" s="1"/>
      <c r="D896" s="5" t="s">
        <v>464</v>
      </c>
      <c r="E896" s="3" t="s">
        <v>465</v>
      </c>
      <c r="F896" s="3">
        <v>117500</v>
      </c>
      <c r="G896" s="57" t="str">
        <f t="shared" si="13"/>
        <v>-</v>
      </c>
      <c r="J896" s="5" t="s">
        <v>2256</v>
      </c>
    </row>
    <row r="897" spans="1:10" x14ac:dyDescent="0.2">
      <c r="A897" s="1" t="s">
        <v>20</v>
      </c>
      <c r="B897" s="2" t="s">
        <v>79</v>
      </c>
      <c r="C897" s="1"/>
      <c r="D897" s="5" t="s">
        <v>464</v>
      </c>
      <c r="E897" s="3">
        <v>122500</v>
      </c>
      <c r="F897" s="3" t="s">
        <v>465</v>
      </c>
      <c r="G897" s="57" t="str">
        <f t="shared" si="13"/>
        <v>-</v>
      </c>
    </row>
    <row r="898" spans="1:10" x14ac:dyDescent="0.2">
      <c r="A898" s="1" t="s">
        <v>20</v>
      </c>
      <c r="B898" s="2" t="s">
        <v>79</v>
      </c>
      <c r="C898" s="1"/>
      <c r="D898" s="5" t="s">
        <v>464</v>
      </c>
      <c r="E898" s="3">
        <v>127500</v>
      </c>
      <c r="F898" s="3" t="s">
        <v>465</v>
      </c>
      <c r="G898" s="57" t="str">
        <f t="shared" si="13"/>
        <v>-</v>
      </c>
    </row>
    <row r="899" spans="1:10" x14ac:dyDescent="0.2">
      <c r="A899" s="1" t="s">
        <v>20</v>
      </c>
      <c r="B899" s="2" t="s">
        <v>79</v>
      </c>
      <c r="C899" s="1"/>
      <c r="D899" s="5" t="s">
        <v>464</v>
      </c>
      <c r="E899" s="3">
        <v>127500</v>
      </c>
      <c r="F899" s="3" t="s">
        <v>465</v>
      </c>
      <c r="G899" s="57" t="str">
        <f t="shared" ref="G899:G962" si="14">IF(ISERROR((F899-E899)/E899),"-",(F899-E899)/E899)</f>
        <v>-</v>
      </c>
    </row>
    <row r="900" spans="1:10" x14ac:dyDescent="0.2">
      <c r="A900" s="1" t="s">
        <v>20</v>
      </c>
      <c r="B900" s="2" t="s">
        <v>79</v>
      </c>
      <c r="C900" s="1"/>
      <c r="D900" s="5" t="s">
        <v>464</v>
      </c>
      <c r="E900" s="3" t="s">
        <v>465</v>
      </c>
      <c r="F900" s="3">
        <v>127500</v>
      </c>
      <c r="G900" s="57" t="str">
        <f t="shared" si="14"/>
        <v>-</v>
      </c>
    </row>
    <row r="901" spans="1:10" x14ac:dyDescent="0.2">
      <c r="A901" s="1" t="s">
        <v>20</v>
      </c>
      <c r="B901" s="2" t="s">
        <v>79</v>
      </c>
      <c r="C901" s="1"/>
      <c r="D901" s="5" t="s">
        <v>464</v>
      </c>
      <c r="E901" s="3" t="s">
        <v>465</v>
      </c>
      <c r="F901" s="3">
        <v>137500</v>
      </c>
      <c r="G901" s="57" t="str">
        <f t="shared" si="14"/>
        <v>-</v>
      </c>
      <c r="J901" s="5" t="s">
        <v>2256</v>
      </c>
    </row>
    <row r="902" spans="1:10" x14ac:dyDescent="0.2">
      <c r="A902" s="1" t="s">
        <v>20</v>
      </c>
      <c r="B902" s="2" t="s">
        <v>79</v>
      </c>
      <c r="C902" s="1"/>
      <c r="D902" s="5" t="s">
        <v>464</v>
      </c>
      <c r="E902" s="3">
        <v>142500</v>
      </c>
      <c r="F902" s="3" t="s">
        <v>465</v>
      </c>
      <c r="G902" s="57" t="str">
        <f t="shared" si="14"/>
        <v>-</v>
      </c>
    </row>
    <row r="903" spans="1:10" x14ac:dyDescent="0.2">
      <c r="A903" s="1" t="s">
        <v>44</v>
      </c>
      <c r="B903" s="2" t="s">
        <v>80</v>
      </c>
      <c r="C903" s="1"/>
      <c r="D903" s="5" t="s">
        <v>450</v>
      </c>
      <c r="E903" s="3">
        <v>118571</v>
      </c>
      <c r="F903" s="3">
        <v>122797</v>
      </c>
      <c r="G903" s="57">
        <f t="shared" si="14"/>
        <v>3.5641092678648234E-2</v>
      </c>
      <c r="J903" s="5" t="s">
        <v>1988</v>
      </c>
    </row>
    <row r="904" spans="1:10" x14ac:dyDescent="0.2">
      <c r="A904" s="1" t="s">
        <v>44</v>
      </c>
      <c r="B904" s="2" t="s">
        <v>80</v>
      </c>
      <c r="C904" s="1"/>
      <c r="D904" s="5" t="s">
        <v>507</v>
      </c>
      <c r="E904" s="3">
        <v>96680</v>
      </c>
      <c r="F904" s="3">
        <v>100034</v>
      </c>
      <c r="G904" s="57">
        <f t="shared" si="14"/>
        <v>3.4691766652875468E-2</v>
      </c>
      <c r="J904" s="5" t="s">
        <v>1989</v>
      </c>
    </row>
    <row r="905" spans="1:10" x14ac:dyDescent="0.2">
      <c r="A905" s="1" t="s">
        <v>44</v>
      </c>
      <c r="B905" s="2" t="s">
        <v>80</v>
      </c>
      <c r="C905" s="1"/>
      <c r="D905" s="5" t="s">
        <v>1990</v>
      </c>
      <c r="E905" s="3">
        <v>96819</v>
      </c>
      <c r="F905" s="3">
        <v>100123</v>
      </c>
      <c r="G905" s="57">
        <f t="shared" si="14"/>
        <v>3.4125533211456428E-2</v>
      </c>
      <c r="J905" s="5" t="s">
        <v>1991</v>
      </c>
    </row>
    <row r="906" spans="1:10" x14ac:dyDescent="0.2">
      <c r="A906" s="1" t="s">
        <v>44</v>
      </c>
      <c r="B906" s="2" t="s">
        <v>80</v>
      </c>
      <c r="C906" s="1"/>
      <c r="D906" s="5" t="s">
        <v>1992</v>
      </c>
      <c r="E906" s="3">
        <v>96739</v>
      </c>
      <c r="F906" s="3">
        <v>100175</v>
      </c>
      <c r="G906" s="57">
        <f t="shared" si="14"/>
        <v>3.5518250136966474E-2</v>
      </c>
      <c r="J906" s="5" t="s">
        <v>1993</v>
      </c>
    </row>
    <row r="907" spans="1:10" x14ac:dyDescent="0.2">
      <c r="A907" s="1" t="s">
        <v>44</v>
      </c>
      <c r="B907" s="2" t="s">
        <v>80</v>
      </c>
      <c r="C907" s="1"/>
      <c r="D907" s="5" t="s">
        <v>464</v>
      </c>
      <c r="E907" s="3">
        <v>107500</v>
      </c>
      <c r="F907" s="3" t="s">
        <v>465</v>
      </c>
      <c r="G907" s="57" t="str">
        <f t="shared" si="14"/>
        <v>-</v>
      </c>
    </row>
    <row r="908" spans="1:10" x14ac:dyDescent="0.2">
      <c r="A908" s="1" t="s">
        <v>44</v>
      </c>
      <c r="B908" s="2" t="s">
        <v>80</v>
      </c>
      <c r="C908" s="1"/>
      <c r="D908" s="5" t="s">
        <v>464</v>
      </c>
      <c r="E908" s="3" t="s">
        <v>465</v>
      </c>
      <c r="F908" s="3">
        <v>112500</v>
      </c>
      <c r="G908" s="57" t="str">
        <f t="shared" si="14"/>
        <v>-</v>
      </c>
    </row>
    <row r="909" spans="1:10" x14ac:dyDescent="0.2">
      <c r="A909" s="1" t="s">
        <v>8</v>
      </c>
      <c r="B909" s="2" t="s">
        <v>81</v>
      </c>
      <c r="C909" s="1"/>
      <c r="D909" s="5" t="s">
        <v>450</v>
      </c>
      <c r="E909" s="3">
        <v>109059</v>
      </c>
      <c r="F909" s="3">
        <v>138663</v>
      </c>
      <c r="G909" s="57">
        <f t="shared" si="14"/>
        <v>0.27144939894919262</v>
      </c>
      <c r="J909" s="5" t="s">
        <v>3815</v>
      </c>
    </row>
    <row r="910" spans="1:10" ht="25.5" x14ac:dyDescent="0.2">
      <c r="A910" s="1" t="s">
        <v>8</v>
      </c>
      <c r="B910" s="2" t="s">
        <v>81</v>
      </c>
      <c r="C910" s="1"/>
      <c r="D910" s="5" t="s">
        <v>1994</v>
      </c>
      <c r="E910" s="3">
        <v>85016</v>
      </c>
      <c r="F910" s="3">
        <v>115392</v>
      </c>
      <c r="G910" s="57">
        <f t="shared" si="14"/>
        <v>0.35729744989178508</v>
      </c>
      <c r="J910" s="5" t="s">
        <v>3816</v>
      </c>
    </row>
    <row r="911" spans="1:10" ht="25.5" x14ac:dyDescent="0.2">
      <c r="A911" s="1" t="s">
        <v>8</v>
      </c>
      <c r="B911" s="2" t="s">
        <v>81</v>
      </c>
      <c r="C911" s="1" t="s">
        <v>3817</v>
      </c>
      <c r="D911" s="5" t="s">
        <v>1995</v>
      </c>
      <c r="E911" s="3">
        <v>83826</v>
      </c>
      <c r="F911" s="3">
        <v>165078</v>
      </c>
      <c r="G911" s="57">
        <f t="shared" si="14"/>
        <v>0.96929353661155249</v>
      </c>
      <c r="J911" s="5" t="s">
        <v>3818</v>
      </c>
    </row>
    <row r="912" spans="1:10" ht="25.5" x14ac:dyDescent="0.2">
      <c r="A912" s="1" t="s">
        <v>8</v>
      </c>
      <c r="B912" s="2" t="s">
        <v>81</v>
      </c>
      <c r="C912" s="1"/>
      <c r="D912" s="5" t="s">
        <v>1996</v>
      </c>
      <c r="E912" s="3">
        <v>82166</v>
      </c>
      <c r="F912" s="3">
        <v>161796</v>
      </c>
      <c r="G912" s="57">
        <f t="shared" si="14"/>
        <v>0.9691356522162452</v>
      </c>
      <c r="J912" s="5" t="s">
        <v>3819</v>
      </c>
    </row>
    <row r="913" spans="1:10" x14ac:dyDescent="0.2">
      <c r="A913" s="1" t="s">
        <v>8</v>
      </c>
      <c r="B913" s="2" t="s">
        <v>81</v>
      </c>
      <c r="C913" s="1"/>
      <c r="D913" s="5" t="s">
        <v>464</v>
      </c>
      <c r="G913" s="57" t="str">
        <f t="shared" si="14"/>
        <v>-</v>
      </c>
      <c r="H913" s="19" t="s">
        <v>465</v>
      </c>
      <c r="I913" s="19">
        <v>97500</v>
      </c>
    </row>
    <row r="914" spans="1:10" x14ac:dyDescent="0.2">
      <c r="A914" s="1" t="s">
        <v>8</v>
      </c>
      <c r="B914" s="2" t="s">
        <v>81</v>
      </c>
      <c r="C914" s="1"/>
      <c r="D914" s="5" t="s">
        <v>464</v>
      </c>
      <c r="E914" s="3" t="s">
        <v>465</v>
      </c>
      <c r="F914" s="3">
        <v>102500</v>
      </c>
      <c r="G914" s="57" t="str">
        <f t="shared" si="14"/>
        <v>-</v>
      </c>
    </row>
    <row r="915" spans="1:10" x14ac:dyDescent="0.2">
      <c r="A915" s="1" t="s">
        <v>8</v>
      </c>
      <c r="B915" s="2" t="s">
        <v>81</v>
      </c>
      <c r="C915" s="1"/>
      <c r="D915" s="5" t="s">
        <v>464</v>
      </c>
      <c r="E915" s="3" t="s">
        <v>465</v>
      </c>
      <c r="F915" s="3">
        <v>107500</v>
      </c>
      <c r="G915" s="57" t="str">
        <f t="shared" si="14"/>
        <v>-</v>
      </c>
    </row>
    <row r="916" spans="1:10" x14ac:dyDescent="0.2">
      <c r="A916" s="1" t="s">
        <v>8</v>
      </c>
      <c r="B916" s="2" t="s">
        <v>81</v>
      </c>
      <c r="C916" s="1"/>
      <c r="D916" s="5" t="s">
        <v>464</v>
      </c>
      <c r="E916" s="3" t="s">
        <v>465</v>
      </c>
      <c r="F916" s="3">
        <v>107500</v>
      </c>
      <c r="G916" s="57" t="str">
        <f t="shared" si="14"/>
        <v>-</v>
      </c>
    </row>
    <row r="917" spans="1:10" x14ac:dyDescent="0.2">
      <c r="A917" s="1" t="s">
        <v>8</v>
      </c>
      <c r="B917" s="2" t="s">
        <v>81</v>
      </c>
      <c r="C917" s="1"/>
      <c r="D917" s="5" t="s">
        <v>464</v>
      </c>
      <c r="E917" s="3" t="s">
        <v>465</v>
      </c>
      <c r="F917" s="3">
        <v>107500</v>
      </c>
      <c r="G917" s="57" t="str">
        <f t="shared" si="14"/>
        <v>-</v>
      </c>
    </row>
    <row r="918" spans="1:10" x14ac:dyDescent="0.2">
      <c r="A918" s="1" t="s">
        <v>8</v>
      </c>
      <c r="B918" s="2" t="s">
        <v>81</v>
      </c>
      <c r="C918" s="1"/>
      <c r="D918" s="5" t="s">
        <v>464</v>
      </c>
      <c r="E918" s="3">
        <v>112500</v>
      </c>
      <c r="F918" s="3" t="s">
        <v>465</v>
      </c>
      <c r="G918" s="57" t="str">
        <f t="shared" si="14"/>
        <v>-</v>
      </c>
    </row>
    <row r="919" spans="1:10" x14ac:dyDescent="0.2">
      <c r="A919" s="1" t="s">
        <v>8</v>
      </c>
      <c r="B919" s="2" t="s">
        <v>81</v>
      </c>
      <c r="C919" s="1"/>
      <c r="D919" s="5" t="s">
        <v>464</v>
      </c>
      <c r="E919" s="3">
        <v>112500</v>
      </c>
      <c r="F919" s="3" t="s">
        <v>465</v>
      </c>
      <c r="G919" s="57" t="str">
        <f t="shared" si="14"/>
        <v>-</v>
      </c>
    </row>
    <row r="920" spans="1:10" x14ac:dyDescent="0.2">
      <c r="A920" s="1" t="s">
        <v>8</v>
      </c>
      <c r="B920" s="2" t="s">
        <v>81</v>
      </c>
      <c r="C920" s="1"/>
      <c r="D920" s="5" t="s">
        <v>464</v>
      </c>
      <c r="E920" s="3">
        <v>117500</v>
      </c>
      <c r="F920" s="3" t="s">
        <v>465</v>
      </c>
      <c r="G920" s="57" t="str">
        <f t="shared" si="14"/>
        <v>-</v>
      </c>
    </row>
    <row r="921" spans="1:10" x14ac:dyDescent="0.2">
      <c r="A921" s="1" t="s">
        <v>8</v>
      </c>
      <c r="B921" s="2" t="s">
        <v>81</v>
      </c>
      <c r="C921" s="1"/>
      <c r="D921" s="5" t="s">
        <v>464</v>
      </c>
      <c r="E921" s="3">
        <v>137500</v>
      </c>
      <c r="G921" s="57">
        <f t="shared" si="14"/>
        <v>-1</v>
      </c>
    </row>
    <row r="922" spans="1:10" s="13" customFormat="1" x14ac:dyDescent="0.2">
      <c r="A922" s="13" t="s">
        <v>20</v>
      </c>
      <c r="B922" s="12" t="s">
        <v>82</v>
      </c>
      <c r="C922" s="13" t="s">
        <v>1997</v>
      </c>
      <c r="D922" s="7" t="s">
        <v>450</v>
      </c>
      <c r="E922" s="6">
        <v>189116</v>
      </c>
      <c r="F922" s="6">
        <v>131347</v>
      </c>
      <c r="G922" s="57">
        <f t="shared" si="14"/>
        <v>-0.30546860128175302</v>
      </c>
      <c r="H922" s="21"/>
      <c r="I922" s="21"/>
      <c r="J922" s="7" t="s">
        <v>1998</v>
      </c>
    </row>
    <row r="923" spans="1:10" x14ac:dyDescent="0.2">
      <c r="A923" s="13" t="s">
        <v>20</v>
      </c>
      <c r="B923" s="12" t="s">
        <v>82</v>
      </c>
      <c r="C923" s="1"/>
      <c r="D923" s="5" t="s">
        <v>455</v>
      </c>
      <c r="E923" s="3">
        <v>144537</v>
      </c>
      <c r="F923" s="3">
        <v>145355</v>
      </c>
      <c r="G923" s="57">
        <f t="shared" si="14"/>
        <v>5.6594505213198006E-3</v>
      </c>
      <c r="J923" s="5" t="s">
        <v>1999</v>
      </c>
    </row>
    <row r="924" spans="1:10" x14ac:dyDescent="0.2">
      <c r="A924" s="13" t="s">
        <v>20</v>
      </c>
      <c r="B924" s="12" t="s">
        <v>82</v>
      </c>
      <c r="C924" s="1"/>
      <c r="D924" s="5" t="s">
        <v>452</v>
      </c>
      <c r="E924" s="3">
        <v>128040</v>
      </c>
      <c r="F924" s="3">
        <v>130194</v>
      </c>
      <c r="G924" s="57">
        <f t="shared" si="14"/>
        <v>1.6822867853795689E-2</v>
      </c>
      <c r="J924" s="5" t="s">
        <v>2000</v>
      </c>
    </row>
    <row r="925" spans="1:10" x14ac:dyDescent="0.2">
      <c r="A925" s="13" t="s">
        <v>20</v>
      </c>
      <c r="B925" s="12" t="s">
        <v>82</v>
      </c>
      <c r="C925" s="1"/>
      <c r="D925" s="5" t="s">
        <v>477</v>
      </c>
      <c r="E925" s="3">
        <v>128320</v>
      </c>
      <c r="F925" s="3">
        <v>129131</v>
      </c>
      <c r="G925" s="57">
        <f t="shared" si="14"/>
        <v>6.3201371571072317E-3</v>
      </c>
      <c r="J925" s="5" t="s">
        <v>2001</v>
      </c>
    </row>
    <row r="926" spans="1:10" x14ac:dyDescent="0.2">
      <c r="A926" s="13" t="s">
        <v>20</v>
      </c>
      <c r="B926" s="12" t="s">
        <v>82</v>
      </c>
      <c r="C926" s="1"/>
      <c r="D926" s="5" t="s">
        <v>2002</v>
      </c>
      <c r="E926" s="3">
        <v>108510</v>
      </c>
      <c r="F926" s="3">
        <v>108500</v>
      </c>
      <c r="G926" s="57">
        <f t="shared" si="14"/>
        <v>-9.2157404847479493E-5</v>
      </c>
      <c r="J926" s="5" t="s">
        <v>2003</v>
      </c>
    </row>
    <row r="927" spans="1:10" x14ac:dyDescent="0.2">
      <c r="A927" s="13" t="s">
        <v>20</v>
      </c>
      <c r="B927" s="12" t="s">
        <v>82</v>
      </c>
      <c r="C927" s="1"/>
      <c r="D927" s="5" t="s">
        <v>3820</v>
      </c>
      <c r="E927" s="3">
        <v>121713</v>
      </c>
      <c r="F927" s="3">
        <v>125851</v>
      </c>
      <c r="G927" s="57">
        <f t="shared" si="14"/>
        <v>3.3998011716086206E-2</v>
      </c>
      <c r="J927" s="5" t="s">
        <v>2004</v>
      </c>
    </row>
    <row r="928" spans="1:10" x14ac:dyDescent="0.2">
      <c r="A928" s="13" t="s">
        <v>20</v>
      </c>
      <c r="B928" s="12" t="s">
        <v>82</v>
      </c>
      <c r="C928" s="1"/>
      <c r="D928" s="5" t="s">
        <v>2005</v>
      </c>
      <c r="E928" s="3">
        <v>102514</v>
      </c>
      <c r="F928" s="3">
        <v>113399</v>
      </c>
      <c r="G928" s="57">
        <f t="shared" si="14"/>
        <v>0.10618061923249507</v>
      </c>
      <c r="J928" s="5" t="s">
        <v>2006</v>
      </c>
    </row>
    <row r="929" spans="1:10" x14ac:dyDescent="0.2">
      <c r="A929" s="13" t="s">
        <v>20</v>
      </c>
      <c r="B929" s="12" t="s">
        <v>82</v>
      </c>
      <c r="C929" s="1"/>
      <c r="D929" s="5" t="s">
        <v>683</v>
      </c>
      <c r="E929" s="3">
        <v>129573</v>
      </c>
      <c r="F929" s="3">
        <v>129789</v>
      </c>
      <c r="G929" s="57">
        <f t="shared" si="14"/>
        <v>1.6670139612419254E-3</v>
      </c>
      <c r="J929" s="5" t="s">
        <v>2007</v>
      </c>
    </row>
    <row r="930" spans="1:10" x14ac:dyDescent="0.2">
      <c r="A930" s="13" t="s">
        <v>20</v>
      </c>
      <c r="B930" s="12" t="s">
        <v>82</v>
      </c>
      <c r="C930" s="1"/>
      <c r="D930" s="5" t="s">
        <v>464</v>
      </c>
      <c r="G930" s="57" t="str">
        <f t="shared" si="14"/>
        <v>-</v>
      </c>
      <c r="H930" s="19">
        <v>92500</v>
      </c>
      <c r="I930" s="19" t="s">
        <v>465</v>
      </c>
      <c r="J930" s="5" t="s">
        <v>539</v>
      </c>
    </row>
    <row r="931" spans="1:10" ht="25.5" x14ac:dyDescent="0.2">
      <c r="A931" s="1" t="s">
        <v>34</v>
      </c>
      <c r="B931" s="2" t="s">
        <v>83</v>
      </c>
      <c r="C931" s="1"/>
      <c r="D931" s="5" t="s">
        <v>450</v>
      </c>
      <c r="E931" s="3">
        <v>127690</v>
      </c>
      <c r="F931" s="3">
        <v>138066</v>
      </c>
      <c r="G931" s="57">
        <f t="shared" si="14"/>
        <v>8.1259299866865059E-2</v>
      </c>
      <c r="J931" s="5" t="s">
        <v>2008</v>
      </c>
    </row>
    <row r="932" spans="1:10" ht="25.5" x14ac:dyDescent="0.2">
      <c r="A932" s="1" t="s">
        <v>34</v>
      </c>
      <c r="B932" s="2" t="s">
        <v>83</v>
      </c>
      <c r="C932" s="1"/>
      <c r="D932" s="5" t="s">
        <v>2009</v>
      </c>
      <c r="E932" s="3">
        <v>68518</v>
      </c>
      <c r="F932" s="3">
        <v>101305</v>
      </c>
      <c r="G932" s="57">
        <f t="shared" si="14"/>
        <v>0.4785165941796316</v>
      </c>
      <c r="J932" s="5" t="s">
        <v>4222</v>
      </c>
    </row>
    <row r="933" spans="1:10" ht="25.5" x14ac:dyDescent="0.2">
      <c r="A933" s="1" t="s">
        <v>34</v>
      </c>
      <c r="B933" s="2" t="s">
        <v>83</v>
      </c>
      <c r="C933" s="1"/>
      <c r="D933" s="5" t="s">
        <v>529</v>
      </c>
      <c r="E933" s="3" t="s">
        <v>465</v>
      </c>
      <c r="F933" s="3">
        <v>104129</v>
      </c>
      <c r="G933" s="57" t="str">
        <f t="shared" si="14"/>
        <v>-</v>
      </c>
      <c r="J933" s="5" t="s">
        <v>2010</v>
      </c>
    </row>
    <row r="934" spans="1:10" ht="25.5" x14ac:dyDescent="0.2">
      <c r="A934" s="1" t="s">
        <v>34</v>
      </c>
      <c r="B934" s="2" t="s">
        <v>83</v>
      </c>
      <c r="C934" s="1"/>
      <c r="D934" s="5" t="s">
        <v>529</v>
      </c>
      <c r="E934" s="3" t="s">
        <v>465</v>
      </c>
      <c r="F934" s="3">
        <v>104096</v>
      </c>
      <c r="G934" s="57" t="str">
        <f t="shared" si="14"/>
        <v>-</v>
      </c>
      <c r="J934" s="5" t="s">
        <v>2011</v>
      </c>
    </row>
    <row r="935" spans="1:10" s="13" customFormat="1" ht="25.5" x14ac:dyDescent="0.2">
      <c r="A935" s="13" t="s">
        <v>4</v>
      </c>
      <c r="B935" s="12" t="s">
        <v>84</v>
      </c>
      <c r="D935" s="7" t="s">
        <v>450</v>
      </c>
      <c r="E935" s="6">
        <v>138056</v>
      </c>
      <c r="F935" s="6">
        <v>112420</v>
      </c>
      <c r="G935" s="57">
        <f t="shared" si="14"/>
        <v>-0.18569276235730428</v>
      </c>
      <c r="H935" s="21"/>
      <c r="I935" s="21"/>
      <c r="J935" s="7" t="s">
        <v>4223</v>
      </c>
    </row>
    <row r="936" spans="1:10" s="13" customFormat="1" ht="25.5" x14ac:dyDescent="0.2">
      <c r="A936" s="13" t="s">
        <v>4</v>
      </c>
      <c r="B936" s="12" t="s">
        <v>84</v>
      </c>
      <c r="D936" s="7" t="s">
        <v>3821</v>
      </c>
      <c r="E936" s="6">
        <v>101010</v>
      </c>
      <c r="F936" s="6">
        <v>67431</v>
      </c>
      <c r="G936" s="57">
        <f t="shared" si="14"/>
        <v>-0.33243243243243242</v>
      </c>
      <c r="H936" s="21"/>
      <c r="I936" s="21"/>
      <c r="J936" s="7" t="s">
        <v>3822</v>
      </c>
    </row>
    <row r="937" spans="1:10" x14ac:dyDescent="0.2">
      <c r="A937" s="13" t="s">
        <v>4</v>
      </c>
      <c r="B937" s="12" t="s">
        <v>84</v>
      </c>
      <c r="C937" s="1"/>
      <c r="D937" s="5" t="s">
        <v>464</v>
      </c>
      <c r="E937" s="3">
        <v>112500</v>
      </c>
      <c r="F937" s="3" t="s">
        <v>465</v>
      </c>
      <c r="G937" s="57" t="str">
        <f t="shared" si="14"/>
        <v>-</v>
      </c>
      <c r="J937" s="5" t="s">
        <v>2255</v>
      </c>
    </row>
    <row r="938" spans="1:10" x14ac:dyDescent="0.2">
      <c r="A938" s="13" t="s">
        <v>4</v>
      </c>
      <c r="B938" s="12" t="s">
        <v>84</v>
      </c>
      <c r="C938" s="1"/>
      <c r="D938" s="5" t="s">
        <v>464</v>
      </c>
      <c r="E938" s="3">
        <v>112500</v>
      </c>
      <c r="F938" s="3" t="s">
        <v>465</v>
      </c>
      <c r="G938" s="57" t="str">
        <f t="shared" si="14"/>
        <v>-</v>
      </c>
    </row>
    <row r="939" spans="1:10" x14ac:dyDescent="0.2">
      <c r="A939" s="13" t="s">
        <v>4</v>
      </c>
      <c r="B939" s="12" t="s">
        <v>84</v>
      </c>
      <c r="C939" s="1"/>
      <c r="D939" s="5" t="s">
        <v>464</v>
      </c>
      <c r="E939" s="3">
        <v>127500</v>
      </c>
      <c r="F939" s="3" t="s">
        <v>465</v>
      </c>
      <c r="G939" s="57" t="str">
        <f t="shared" si="14"/>
        <v>-</v>
      </c>
    </row>
    <row r="940" spans="1:10" x14ac:dyDescent="0.2">
      <c r="A940" s="1" t="s">
        <v>6</v>
      </c>
      <c r="B940" s="2" t="s">
        <v>85</v>
      </c>
      <c r="C940" s="1" t="s">
        <v>2012</v>
      </c>
      <c r="D940" s="5" t="s">
        <v>450</v>
      </c>
      <c r="E940" s="6">
        <v>229291</v>
      </c>
      <c r="F940" s="3">
        <v>226318</v>
      </c>
      <c r="G940" s="57">
        <f t="shared" si="14"/>
        <v>-1.2966056234217654E-2</v>
      </c>
      <c r="J940" s="5" t="s">
        <v>2013</v>
      </c>
    </row>
    <row r="941" spans="1:10" x14ac:dyDescent="0.2">
      <c r="A941" s="1" t="s">
        <v>6</v>
      </c>
      <c r="B941" s="2" t="s">
        <v>85</v>
      </c>
      <c r="C941" s="1"/>
      <c r="D941" s="5" t="s">
        <v>2014</v>
      </c>
      <c r="E941" s="6">
        <v>148287</v>
      </c>
      <c r="F941" s="3">
        <v>149034</v>
      </c>
      <c r="G941" s="57">
        <f t="shared" si="14"/>
        <v>5.0375285763418235E-3</v>
      </c>
      <c r="J941" s="5" t="s">
        <v>2015</v>
      </c>
    </row>
    <row r="942" spans="1:10" x14ac:dyDescent="0.2">
      <c r="A942" s="1" t="s">
        <v>6</v>
      </c>
      <c r="B942" s="2" t="s">
        <v>85</v>
      </c>
      <c r="C942" s="1"/>
      <c r="D942" s="5" t="s">
        <v>2016</v>
      </c>
      <c r="E942" s="3">
        <v>76675</v>
      </c>
      <c r="F942" s="3">
        <v>135528</v>
      </c>
      <c r="G942" s="57">
        <f t="shared" si="14"/>
        <v>0.76756439517443753</v>
      </c>
      <c r="J942" s="5" t="s">
        <v>2017</v>
      </c>
    </row>
    <row r="943" spans="1:10" s="13" customFormat="1" x14ac:dyDescent="0.2">
      <c r="A943" s="1" t="s">
        <v>6</v>
      </c>
      <c r="B943" s="12" t="s">
        <v>85</v>
      </c>
      <c r="D943" s="7" t="s">
        <v>2018</v>
      </c>
      <c r="E943" s="6" t="s">
        <v>465</v>
      </c>
      <c r="F943" s="6">
        <v>135474</v>
      </c>
      <c r="G943" s="57" t="str">
        <f t="shared" si="14"/>
        <v>-</v>
      </c>
      <c r="H943" s="21"/>
      <c r="I943" s="21"/>
      <c r="J943" s="7" t="s">
        <v>2019</v>
      </c>
    </row>
    <row r="944" spans="1:10" s="13" customFormat="1" x14ac:dyDescent="0.2">
      <c r="A944" s="1" t="s">
        <v>6</v>
      </c>
      <c r="B944" s="12" t="s">
        <v>85</v>
      </c>
      <c r="D944" s="7" t="s">
        <v>2020</v>
      </c>
      <c r="E944" s="6" t="s">
        <v>465</v>
      </c>
      <c r="F944" s="6">
        <v>112093</v>
      </c>
      <c r="G944" s="57" t="str">
        <f t="shared" si="14"/>
        <v>-</v>
      </c>
      <c r="H944" s="21"/>
      <c r="I944" s="21"/>
      <c r="J944" s="7" t="s">
        <v>2021</v>
      </c>
    </row>
    <row r="945" spans="1:10" s="13" customFormat="1" x14ac:dyDescent="0.2">
      <c r="A945" s="1" t="s">
        <v>6</v>
      </c>
      <c r="B945" s="12" t="s">
        <v>85</v>
      </c>
      <c r="D945" s="7" t="s">
        <v>2022</v>
      </c>
      <c r="E945" s="6">
        <v>109821</v>
      </c>
      <c r="F945" s="6">
        <v>109845</v>
      </c>
      <c r="G945" s="57">
        <f t="shared" si="14"/>
        <v>2.1853743819488076E-4</v>
      </c>
      <c r="H945" s="21"/>
      <c r="I945" s="21"/>
      <c r="J945" s="7" t="s">
        <v>2023</v>
      </c>
    </row>
    <row r="946" spans="1:10" s="13" customFormat="1" x14ac:dyDescent="0.2">
      <c r="A946" s="1" t="s">
        <v>6</v>
      </c>
      <c r="B946" s="12" t="s">
        <v>85</v>
      </c>
      <c r="D946" s="7" t="s">
        <v>2024</v>
      </c>
      <c r="E946" s="6" t="s">
        <v>465</v>
      </c>
      <c r="F946" s="6">
        <v>109239</v>
      </c>
      <c r="G946" s="57" t="str">
        <f t="shared" si="14"/>
        <v>-</v>
      </c>
      <c r="H946" s="21"/>
      <c r="I946" s="21"/>
      <c r="J946" s="7" t="s">
        <v>2025</v>
      </c>
    </row>
    <row r="947" spans="1:10" s="13" customFormat="1" ht="25.5" x14ac:dyDescent="0.2">
      <c r="A947" s="1" t="s">
        <v>6</v>
      </c>
      <c r="B947" s="12" t="s">
        <v>85</v>
      </c>
      <c r="D947" s="7" t="s">
        <v>2026</v>
      </c>
      <c r="E947" s="6" t="s">
        <v>465</v>
      </c>
      <c r="F947" s="6">
        <v>107886</v>
      </c>
      <c r="G947" s="57" t="str">
        <f t="shared" si="14"/>
        <v>-</v>
      </c>
      <c r="H947" s="21"/>
      <c r="I947" s="21"/>
      <c r="J947" s="7" t="s">
        <v>2027</v>
      </c>
    </row>
    <row r="948" spans="1:10" x14ac:dyDescent="0.2">
      <c r="A948" s="1" t="s">
        <v>6</v>
      </c>
      <c r="B948" s="2" t="s">
        <v>85</v>
      </c>
      <c r="C948" s="1"/>
      <c r="D948" s="5" t="s">
        <v>2028</v>
      </c>
      <c r="E948" s="3">
        <v>70878</v>
      </c>
      <c r="F948" s="3">
        <v>101976</v>
      </c>
      <c r="G948" s="57">
        <f t="shared" si="14"/>
        <v>0.43875391517819351</v>
      </c>
      <c r="J948" s="5" t="s">
        <v>2029</v>
      </c>
    </row>
    <row r="949" spans="1:10" s="13" customFormat="1" ht="26.25" customHeight="1" x14ac:dyDescent="0.2">
      <c r="A949" s="1" t="s">
        <v>6</v>
      </c>
      <c r="B949" s="12" t="s">
        <v>85</v>
      </c>
      <c r="D949" s="7" t="s">
        <v>3823</v>
      </c>
      <c r="E949" s="6">
        <v>158426</v>
      </c>
      <c r="F949" s="6">
        <v>66072</v>
      </c>
      <c r="G949" s="57">
        <f t="shared" si="14"/>
        <v>-0.58294724350801008</v>
      </c>
      <c r="H949" s="21"/>
      <c r="I949" s="21"/>
      <c r="J949" s="7" t="s">
        <v>3824</v>
      </c>
    </row>
    <row r="950" spans="1:10" s="13" customFormat="1" x14ac:dyDescent="0.2">
      <c r="A950" s="1" t="s">
        <v>6</v>
      </c>
      <c r="B950" s="12" t="s">
        <v>85</v>
      </c>
      <c r="D950" s="7" t="s">
        <v>3825</v>
      </c>
      <c r="E950" s="6">
        <v>109554</v>
      </c>
      <c r="F950" s="6" t="s">
        <v>465</v>
      </c>
      <c r="G950" s="57" t="str">
        <f t="shared" si="14"/>
        <v>-</v>
      </c>
      <c r="H950" s="21"/>
      <c r="I950" s="21"/>
      <c r="J950" s="7"/>
    </row>
    <row r="951" spans="1:10" s="13" customFormat="1" x14ac:dyDescent="0.2">
      <c r="A951" s="1" t="s">
        <v>6</v>
      </c>
      <c r="B951" s="12" t="s">
        <v>85</v>
      </c>
      <c r="D951" s="7" t="s">
        <v>3826</v>
      </c>
      <c r="E951" s="6">
        <v>110274</v>
      </c>
      <c r="F951" s="6" t="s">
        <v>465</v>
      </c>
      <c r="G951" s="57" t="str">
        <f t="shared" si="14"/>
        <v>-</v>
      </c>
      <c r="H951" s="21"/>
      <c r="I951" s="21"/>
      <c r="J951" s="7"/>
    </row>
    <row r="952" spans="1:10" x14ac:dyDescent="0.2">
      <c r="A952" s="1" t="s">
        <v>6</v>
      </c>
      <c r="B952" s="2" t="s">
        <v>85</v>
      </c>
      <c r="C952" s="1"/>
      <c r="D952" s="5" t="s">
        <v>464</v>
      </c>
      <c r="G952" s="57" t="str">
        <f t="shared" si="14"/>
        <v>-</v>
      </c>
      <c r="H952" s="19">
        <v>92500</v>
      </c>
      <c r="I952" s="19" t="s">
        <v>465</v>
      </c>
    </row>
    <row r="953" spans="1:10" x14ac:dyDescent="0.2">
      <c r="A953" s="1" t="s">
        <v>6</v>
      </c>
      <c r="B953" s="2" t="s">
        <v>85</v>
      </c>
      <c r="C953" s="1"/>
      <c r="D953" s="5" t="s">
        <v>464</v>
      </c>
      <c r="G953" s="57" t="str">
        <f t="shared" si="14"/>
        <v>-</v>
      </c>
      <c r="H953" s="19">
        <v>92500</v>
      </c>
      <c r="I953" s="19" t="s">
        <v>465</v>
      </c>
    </row>
    <row r="954" spans="1:10" x14ac:dyDescent="0.2">
      <c r="A954" s="1" t="s">
        <v>6</v>
      </c>
      <c r="B954" s="2" t="s">
        <v>85</v>
      </c>
      <c r="C954" s="1"/>
      <c r="D954" s="5" t="s">
        <v>464</v>
      </c>
      <c r="G954" s="57" t="str">
        <f t="shared" si="14"/>
        <v>-</v>
      </c>
      <c r="H954" s="19">
        <v>92500</v>
      </c>
      <c r="I954" s="19" t="s">
        <v>465</v>
      </c>
    </row>
    <row r="955" spans="1:10" x14ac:dyDescent="0.2">
      <c r="A955" s="1" t="s">
        <v>6</v>
      </c>
      <c r="B955" s="2" t="s">
        <v>85</v>
      </c>
      <c r="C955" s="1"/>
      <c r="D955" s="5" t="s">
        <v>464</v>
      </c>
      <c r="G955" s="57" t="str">
        <f t="shared" si="14"/>
        <v>-</v>
      </c>
      <c r="H955" s="19">
        <v>92500</v>
      </c>
      <c r="I955" s="19" t="s">
        <v>465</v>
      </c>
    </row>
    <row r="956" spans="1:10" x14ac:dyDescent="0.2">
      <c r="A956" s="1" t="s">
        <v>6</v>
      </c>
      <c r="B956" s="2" t="s">
        <v>85</v>
      </c>
      <c r="C956" s="1"/>
      <c r="D956" s="5" t="s">
        <v>464</v>
      </c>
      <c r="G956" s="57" t="str">
        <f t="shared" si="14"/>
        <v>-</v>
      </c>
      <c r="H956" s="19">
        <v>92500</v>
      </c>
      <c r="I956" s="19" t="s">
        <v>465</v>
      </c>
    </row>
    <row r="957" spans="1:10" x14ac:dyDescent="0.2">
      <c r="A957" s="1" t="s">
        <v>6</v>
      </c>
      <c r="B957" s="2" t="s">
        <v>85</v>
      </c>
      <c r="C957" s="1"/>
      <c r="D957" s="5" t="s">
        <v>464</v>
      </c>
      <c r="G957" s="57" t="str">
        <f t="shared" si="14"/>
        <v>-</v>
      </c>
      <c r="H957" s="19">
        <v>92500</v>
      </c>
      <c r="I957" s="19" t="s">
        <v>465</v>
      </c>
    </row>
    <row r="958" spans="1:10" x14ac:dyDescent="0.2">
      <c r="A958" s="1" t="s">
        <v>6</v>
      </c>
      <c r="B958" s="2" t="s">
        <v>85</v>
      </c>
      <c r="C958" s="1"/>
      <c r="D958" s="5" t="s">
        <v>464</v>
      </c>
      <c r="G958" s="57" t="str">
        <f t="shared" si="14"/>
        <v>-</v>
      </c>
      <c r="H958" s="19">
        <v>92500</v>
      </c>
      <c r="I958" s="19" t="s">
        <v>465</v>
      </c>
    </row>
    <row r="959" spans="1:10" x14ac:dyDescent="0.2">
      <c r="A959" s="1" t="s">
        <v>6</v>
      </c>
      <c r="B959" s="2" t="s">
        <v>85</v>
      </c>
      <c r="C959" s="1"/>
      <c r="D959" s="5" t="s">
        <v>464</v>
      </c>
      <c r="G959" s="57" t="str">
        <f t="shared" si="14"/>
        <v>-</v>
      </c>
      <c r="H959" s="19">
        <v>92500</v>
      </c>
      <c r="I959" s="19" t="s">
        <v>465</v>
      </c>
    </row>
    <row r="960" spans="1:10" x14ac:dyDescent="0.2">
      <c r="A960" s="1" t="s">
        <v>6</v>
      </c>
      <c r="B960" s="2" t="s">
        <v>85</v>
      </c>
      <c r="C960" s="1"/>
      <c r="D960" s="5" t="s">
        <v>464</v>
      </c>
      <c r="G960" s="57" t="str">
        <f t="shared" si="14"/>
        <v>-</v>
      </c>
      <c r="H960" s="19">
        <v>92500</v>
      </c>
      <c r="I960" s="19" t="s">
        <v>465</v>
      </c>
    </row>
    <row r="961" spans="1:9" s="1" customFormat="1" x14ac:dyDescent="0.2">
      <c r="A961" s="1" t="s">
        <v>6</v>
      </c>
      <c r="B961" s="2" t="s">
        <v>85</v>
      </c>
      <c r="D961" s="5" t="s">
        <v>464</v>
      </c>
      <c r="E961" s="3"/>
      <c r="F961" s="3"/>
      <c r="G961" s="57" t="str">
        <f t="shared" si="14"/>
        <v>-</v>
      </c>
      <c r="H961" s="19" t="s">
        <v>465</v>
      </c>
      <c r="I961" s="19">
        <v>92500</v>
      </c>
    </row>
    <row r="962" spans="1:9" s="1" customFormat="1" x14ac:dyDescent="0.2">
      <c r="A962" s="1" t="s">
        <v>6</v>
      </c>
      <c r="B962" s="2" t="s">
        <v>85</v>
      </c>
      <c r="D962" s="5" t="s">
        <v>464</v>
      </c>
      <c r="E962" s="3"/>
      <c r="F962" s="3"/>
      <c r="G962" s="57" t="str">
        <f t="shared" si="14"/>
        <v>-</v>
      </c>
      <c r="H962" s="19" t="s">
        <v>465</v>
      </c>
      <c r="I962" s="19">
        <v>92500</v>
      </c>
    </row>
    <row r="963" spans="1:9" s="1" customFormat="1" x14ac:dyDescent="0.2">
      <c r="A963" s="1" t="s">
        <v>6</v>
      </c>
      <c r="B963" s="2" t="s">
        <v>85</v>
      </c>
      <c r="D963" s="5" t="s">
        <v>464</v>
      </c>
      <c r="E963" s="3"/>
      <c r="F963" s="3"/>
      <c r="G963" s="57" t="str">
        <f t="shared" ref="G963:G1026" si="15">IF(ISERROR((F963-E963)/E963),"-",(F963-E963)/E963)</f>
        <v>-</v>
      </c>
      <c r="H963" s="19" t="s">
        <v>465</v>
      </c>
      <c r="I963" s="19">
        <v>92500</v>
      </c>
    </row>
    <row r="964" spans="1:9" s="1" customFormat="1" x14ac:dyDescent="0.2">
      <c r="A964" s="1" t="s">
        <v>6</v>
      </c>
      <c r="B964" s="2" t="s">
        <v>85</v>
      </c>
      <c r="D964" s="5" t="s">
        <v>464</v>
      </c>
      <c r="E964" s="3"/>
      <c r="F964" s="3"/>
      <c r="G964" s="57" t="str">
        <f t="shared" si="15"/>
        <v>-</v>
      </c>
      <c r="H964" s="19">
        <v>97500</v>
      </c>
      <c r="I964" s="19" t="s">
        <v>465</v>
      </c>
    </row>
    <row r="965" spans="1:9" s="1" customFormat="1" x14ac:dyDescent="0.2">
      <c r="A965" s="1" t="s">
        <v>6</v>
      </c>
      <c r="B965" s="2" t="s">
        <v>85</v>
      </c>
      <c r="D965" s="5" t="s">
        <v>464</v>
      </c>
      <c r="E965" s="3"/>
      <c r="F965" s="3"/>
      <c r="G965" s="57" t="str">
        <f t="shared" si="15"/>
        <v>-</v>
      </c>
      <c r="H965" s="19">
        <v>97500</v>
      </c>
      <c r="I965" s="19" t="s">
        <v>465</v>
      </c>
    </row>
    <row r="966" spans="1:9" s="1" customFormat="1" x14ac:dyDescent="0.2">
      <c r="A966" s="1" t="s">
        <v>6</v>
      </c>
      <c r="B966" s="2" t="s">
        <v>85</v>
      </c>
      <c r="D966" s="5" t="s">
        <v>464</v>
      </c>
      <c r="E966" s="3"/>
      <c r="F966" s="3"/>
      <c r="G966" s="57" t="str">
        <f t="shared" si="15"/>
        <v>-</v>
      </c>
      <c r="H966" s="19">
        <v>97500</v>
      </c>
      <c r="I966" s="19" t="s">
        <v>465</v>
      </c>
    </row>
    <row r="967" spans="1:9" s="1" customFormat="1" x14ac:dyDescent="0.2">
      <c r="A967" s="1" t="s">
        <v>6</v>
      </c>
      <c r="B967" s="2" t="s">
        <v>85</v>
      </c>
      <c r="D967" s="5" t="s">
        <v>464</v>
      </c>
      <c r="E967" s="3"/>
      <c r="F967" s="3"/>
      <c r="G967" s="57" t="str">
        <f t="shared" si="15"/>
        <v>-</v>
      </c>
      <c r="H967" s="19">
        <v>97500</v>
      </c>
      <c r="I967" s="19" t="s">
        <v>465</v>
      </c>
    </row>
    <row r="968" spans="1:9" s="1" customFormat="1" x14ac:dyDescent="0.2">
      <c r="A968" s="1" t="s">
        <v>6</v>
      </c>
      <c r="B968" s="2" t="s">
        <v>85</v>
      </c>
      <c r="D968" s="5" t="s">
        <v>464</v>
      </c>
      <c r="E968" s="3"/>
      <c r="F968" s="3"/>
      <c r="G968" s="57" t="str">
        <f t="shared" si="15"/>
        <v>-</v>
      </c>
      <c r="H968" s="19" t="s">
        <v>465</v>
      </c>
      <c r="I968" s="19">
        <v>97500</v>
      </c>
    </row>
    <row r="969" spans="1:9" s="1" customFormat="1" x14ac:dyDescent="0.2">
      <c r="A969" s="1" t="s">
        <v>6</v>
      </c>
      <c r="B969" s="2" t="s">
        <v>85</v>
      </c>
      <c r="D969" s="5" t="s">
        <v>464</v>
      </c>
      <c r="E969" s="3"/>
      <c r="F969" s="3"/>
      <c r="G969" s="57" t="str">
        <f t="shared" si="15"/>
        <v>-</v>
      </c>
      <c r="H969" s="19" t="s">
        <v>465</v>
      </c>
      <c r="I969" s="19">
        <v>97500</v>
      </c>
    </row>
    <row r="970" spans="1:9" s="1" customFormat="1" x14ac:dyDescent="0.2">
      <c r="A970" s="1" t="s">
        <v>6</v>
      </c>
      <c r="B970" s="2" t="s">
        <v>85</v>
      </c>
      <c r="D970" s="5" t="s">
        <v>464</v>
      </c>
      <c r="E970" s="3"/>
      <c r="F970" s="3"/>
      <c r="G970" s="57" t="str">
        <f t="shared" si="15"/>
        <v>-</v>
      </c>
      <c r="H970" s="19" t="s">
        <v>465</v>
      </c>
      <c r="I970" s="19">
        <v>97500</v>
      </c>
    </row>
    <row r="971" spans="1:9" s="1" customFormat="1" x14ac:dyDescent="0.2">
      <c r="A971" s="1" t="s">
        <v>6</v>
      </c>
      <c r="B971" s="2" t="s">
        <v>85</v>
      </c>
      <c r="D971" s="5" t="s">
        <v>464</v>
      </c>
      <c r="E971" s="3"/>
      <c r="F971" s="3"/>
      <c r="G971" s="57" t="str">
        <f t="shared" si="15"/>
        <v>-</v>
      </c>
      <c r="H971" s="19" t="s">
        <v>465</v>
      </c>
      <c r="I971" s="19">
        <v>97500</v>
      </c>
    </row>
    <row r="972" spans="1:9" s="1" customFormat="1" x14ac:dyDescent="0.2">
      <c r="A972" s="1" t="s">
        <v>6</v>
      </c>
      <c r="B972" s="2" t="s">
        <v>85</v>
      </c>
      <c r="D972" s="5" t="s">
        <v>464</v>
      </c>
      <c r="E972" s="3">
        <v>102500</v>
      </c>
      <c r="F972" s="3" t="s">
        <v>465</v>
      </c>
      <c r="G972" s="57" t="str">
        <f t="shared" si="15"/>
        <v>-</v>
      </c>
      <c r="H972" s="19"/>
      <c r="I972" s="19"/>
    </row>
    <row r="973" spans="1:9" s="1" customFormat="1" x14ac:dyDescent="0.2">
      <c r="A973" s="1" t="s">
        <v>6</v>
      </c>
      <c r="B973" s="2" t="s">
        <v>85</v>
      </c>
      <c r="D973" s="5" t="s">
        <v>464</v>
      </c>
      <c r="E973" s="3">
        <v>102500</v>
      </c>
      <c r="F973" s="3" t="s">
        <v>465</v>
      </c>
      <c r="G973" s="57" t="str">
        <f t="shared" si="15"/>
        <v>-</v>
      </c>
      <c r="H973" s="19"/>
      <c r="I973" s="19"/>
    </row>
    <row r="974" spans="1:9" s="1" customFormat="1" x14ac:dyDescent="0.2">
      <c r="A974" s="1" t="s">
        <v>6</v>
      </c>
      <c r="B974" s="2" t="s">
        <v>85</v>
      </c>
      <c r="D974" s="5" t="s">
        <v>464</v>
      </c>
      <c r="E974" s="3" t="s">
        <v>465</v>
      </c>
      <c r="F974" s="3">
        <v>102500</v>
      </c>
      <c r="G974" s="57" t="str">
        <f t="shared" si="15"/>
        <v>-</v>
      </c>
      <c r="H974" s="19"/>
      <c r="I974" s="19"/>
    </row>
    <row r="975" spans="1:9" s="1" customFormat="1" x14ac:dyDescent="0.2">
      <c r="A975" s="1" t="s">
        <v>6</v>
      </c>
      <c r="B975" s="2" t="s">
        <v>85</v>
      </c>
      <c r="D975" s="5" t="s">
        <v>464</v>
      </c>
      <c r="E975" s="3">
        <v>107500</v>
      </c>
      <c r="F975" s="3" t="s">
        <v>465</v>
      </c>
      <c r="G975" s="57" t="str">
        <f t="shared" si="15"/>
        <v>-</v>
      </c>
      <c r="H975" s="19"/>
      <c r="I975" s="19"/>
    </row>
    <row r="976" spans="1:9" s="1" customFormat="1" x14ac:dyDescent="0.2">
      <c r="A976" s="1" t="s">
        <v>6</v>
      </c>
      <c r="B976" s="2" t="s">
        <v>85</v>
      </c>
      <c r="D976" s="5" t="s">
        <v>464</v>
      </c>
      <c r="E976" s="3">
        <v>107500</v>
      </c>
      <c r="F976" s="3" t="s">
        <v>465</v>
      </c>
      <c r="G976" s="57" t="str">
        <f t="shared" si="15"/>
        <v>-</v>
      </c>
      <c r="H976" s="19"/>
      <c r="I976" s="19"/>
    </row>
    <row r="977" spans="1:10" x14ac:dyDescent="0.2">
      <c r="A977" s="1" t="s">
        <v>6</v>
      </c>
      <c r="B977" s="2" t="s">
        <v>85</v>
      </c>
      <c r="C977" s="1"/>
      <c r="D977" s="5" t="s">
        <v>464</v>
      </c>
      <c r="E977" s="3">
        <v>107500</v>
      </c>
      <c r="F977" s="3" t="s">
        <v>465</v>
      </c>
      <c r="G977" s="57" t="str">
        <f t="shared" si="15"/>
        <v>-</v>
      </c>
    </row>
    <row r="978" spans="1:10" x14ac:dyDescent="0.2">
      <c r="A978" s="1" t="s">
        <v>6</v>
      </c>
      <c r="B978" s="2" t="s">
        <v>85</v>
      </c>
      <c r="C978" s="1"/>
      <c r="D978" s="5" t="s">
        <v>464</v>
      </c>
      <c r="E978" s="3" t="s">
        <v>465</v>
      </c>
      <c r="F978" s="3">
        <v>107500</v>
      </c>
      <c r="G978" s="57" t="str">
        <f t="shared" si="15"/>
        <v>-</v>
      </c>
    </row>
    <row r="979" spans="1:10" x14ac:dyDescent="0.2">
      <c r="A979" s="1" t="s">
        <v>6</v>
      </c>
      <c r="B979" s="2" t="s">
        <v>85</v>
      </c>
      <c r="C979" s="1"/>
      <c r="D979" s="5" t="s">
        <v>464</v>
      </c>
      <c r="E979" s="3">
        <v>112500</v>
      </c>
      <c r="F979" s="3" t="s">
        <v>465</v>
      </c>
      <c r="G979" s="57" t="str">
        <f t="shared" si="15"/>
        <v>-</v>
      </c>
    </row>
    <row r="980" spans="1:10" x14ac:dyDescent="0.2">
      <c r="A980" s="1" t="s">
        <v>6</v>
      </c>
      <c r="B980" s="2" t="s">
        <v>85</v>
      </c>
      <c r="C980" s="1"/>
      <c r="D980" s="5" t="s">
        <v>464</v>
      </c>
      <c r="E980" s="3" t="s">
        <v>465</v>
      </c>
      <c r="F980" s="3">
        <v>117500</v>
      </c>
      <c r="G980" s="57" t="str">
        <f t="shared" si="15"/>
        <v>-</v>
      </c>
    </row>
    <row r="981" spans="1:10" x14ac:dyDescent="0.2">
      <c r="A981" s="1" t="s">
        <v>6</v>
      </c>
      <c r="B981" s="2" t="s">
        <v>85</v>
      </c>
      <c r="C981" s="1"/>
      <c r="D981" s="5" t="s">
        <v>464</v>
      </c>
      <c r="E981" s="3" t="s">
        <v>465</v>
      </c>
      <c r="F981" s="3">
        <v>117500</v>
      </c>
      <c r="G981" s="57" t="str">
        <f t="shared" si="15"/>
        <v>-</v>
      </c>
    </row>
    <row r="982" spans="1:10" x14ac:dyDescent="0.2">
      <c r="A982" s="1" t="s">
        <v>6</v>
      </c>
      <c r="B982" s="2" t="s">
        <v>85</v>
      </c>
      <c r="C982" s="1"/>
      <c r="D982" s="5" t="s">
        <v>464</v>
      </c>
      <c r="E982" s="3" t="s">
        <v>465</v>
      </c>
      <c r="F982" s="3">
        <v>127500</v>
      </c>
      <c r="G982" s="57" t="str">
        <f t="shared" si="15"/>
        <v>-</v>
      </c>
    </row>
    <row r="983" spans="1:10" x14ac:dyDescent="0.2">
      <c r="A983" s="1" t="s">
        <v>6</v>
      </c>
      <c r="B983" s="2" t="s">
        <v>85</v>
      </c>
      <c r="C983" s="1"/>
      <c r="D983" s="5" t="s">
        <v>464</v>
      </c>
      <c r="E983" s="3">
        <v>142500</v>
      </c>
      <c r="F983" s="3" t="s">
        <v>465</v>
      </c>
      <c r="G983" s="57" t="str">
        <f t="shared" si="15"/>
        <v>-</v>
      </c>
    </row>
    <row r="984" spans="1:10" x14ac:dyDescent="0.2">
      <c r="A984" s="1" t="s">
        <v>6</v>
      </c>
      <c r="B984" s="2" t="s">
        <v>85</v>
      </c>
      <c r="C984" s="1"/>
      <c r="D984" s="5" t="s">
        <v>464</v>
      </c>
      <c r="E984" s="3" t="s">
        <v>465</v>
      </c>
      <c r="F984" s="3">
        <v>172500</v>
      </c>
      <c r="G984" s="57" t="str">
        <f t="shared" si="15"/>
        <v>-</v>
      </c>
    </row>
    <row r="985" spans="1:10" x14ac:dyDescent="0.2">
      <c r="A985" s="1" t="s">
        <v>6</v>
      </c>
      <c r="B985" s="2" t="s">
        <v>86</v>
      </c>
      <c r="C985" s="1" t="s">
        <v>2030</v>
      </c>
      <c r="D985" s="5" t="s">
        <v>450</v>
      </c>
      <c r="E985" s="3">
        <v>218000</v>
      </c>
      <c r="F985" s="3">
        <v>235000</v>
      </c>
      <c r="G985" s="57">
        <f t="shared" si="15"/>
        <v>7.7981651376146793E-2</v>
      </c>
      <c r="J985" s="5" t="s">
        <v>2031</v>
      </c>
    </row>
    <row r="986" spans="1:10" s="13" customFormat="1" ht="25.5" x14ac:dyDescent="0.2">
      <c r="A986" s="1" t="s">
        <v>6</v>
      </c>
      <c r="B986" s="12" t="s">
        <v>86</v>
      </c>
      <c r="D986" s="7" t="s">
        <v>4611</v>
      </c>
      <c r="E986" s="6">
        <v>152436</v>
      </c>
      <c r="F986" s="6">
        <v>152585</v>
      </c>
      <c r="G986" s="57">
        <f t="shared" si="15"/>
        <v>9.77459392794353E-4</v>
      </c>
      <c r="H986" s="21"/>
      <c r="I986" s="21"/>
      <c r="J986" s="7" t="s">
        <v>3827</v>
      </c>
    </row>
    <row r="987" spans="1:10" s="13" customFormat="1" x14ac:dyDescent="0.2">
      <c r="A987" s="1" t="s">
        <v>6</v>
      </c>
      <c r="B987" s="12" t="s">
        <v>86</v>
      </c>
      <c r="D987" s="7" t="s">
        <v>596</v>
      </c>
      <c r="E987" s="6" t="s">
        <v>465</v>
      </c>
      <c r="F987" s="6">
        <v>136162</v>
      </c>
      <c r="G987" s="57" t="str">
        <f t="shared" si="15"/>
        <v>-</v>
      </c>
      <c r="H987" s="21"/>
      <c r="I987" s="21"/>
      <c r="J987" s="7" t="s">
        <v>2032</v>
      </c>
    </row>
    <row r="988" spans="1:10" s="13" customFormat="1" x14ac:dyDescent="0.2">
      <c r="A988" s="1" t="s">
        <v>6</v>
      </c>
      <c r="B988" s="12" t="s">
        <v>86</v>
      </c>
      <c r="D988" s="7" t="s">
        <v>2033</v>
      </c>
      <c r="E988" s="6">
        <v>134493</v>
      </c>
      <c r="F988" s="6">
        <v>136568</v>
      </c>
      <c r="G988" s="57">
        <f t="shared" si="15"/>
        <v>1.5428312254169362E-2</v>
      </c>
      <c r="H988" s="21"/>
      <c r="I988" s="21"/>
      <c r="J988" s="7" t="s">
        <v>3828</v>
      </c>
    </row>
    <row r="989" spans="1:10" x14ac:dyDescent="0.2">
      <c r="A989" s="1" t="s">
        <v>6</v>
      </c>
      <c r="B989" s="2" t="s">
        <v>86</v>
      </c>
      <c r="C989" s="1"/>
      <c r="D989" s="5" t="s">
        <v>463</v>
      </c>
      <c r="E989" s="6">
        <v>151258</v>
      </c>
      <c r="F989" s="3">
        <v>151363</v>
      </c>
      <c r="G989" s="57">
        <f t="shared" si="15"/>
        <v>6.9417815917174625E-4</v>
      </c>
      <c r="J989" s="5" t="s">
        <v>2034</v>
      </c>
    </row>
    <row r="990" spans="1:10" ht="25.5" x14ac:dyDescent="0.2">
      <c r="A990" s="1" t="s">
        <v>6</v>
      </c>
      <c r="B990" s="2" t="s">
        <v>86</v>
      </c>
      <c r="C990" s="1"/>
      <c r="D990" s="5" t="s">
        <v>2035</v>
      </c>
      <c r="E990" s="6">
        <v>90830</v>
      </c>
      <c r="F990" s="3">
        <v>101772</v>
      </c>
      <c r="G990" s="57">
        <f t="shared" si="15"/>
        <v>0.12046680612132556</v>
      </c>
      <c r="J990" s="5" t="s">
        <v>4224</v>
      </c>
    </row>
    <row r="991" spans="1:10" ht="25.5" x14ac:dyDescent="0.2">
      <c r="A991" s="1" t="s">
        <v>6</v>
      </c>
      <c r="B991" s="2" t="s">
        <v>86</v>
      </c>
      <c r="C991" s="1"/>
      <c r="D991" s="5" t="s">
        <v>570</v>
      </c>
      <c r="E991" s="6">
        <v>95494</v>
      </c>
      <c r="F991" s="3">
        <v>101798</v>
      </c>
      <c r="G991" s="57">
        <f t="shared" si="15"/>
        <v>6.6014618719500706E-2</v>
      </c>
      <c r="J991" s="5" t="s">
        <v>4225</v>
      </c>
    </row>
    <row r="992" spans="1:10" x14ac:dyDescent="0.2">
      <c r="A992" s="1" t="s">
        <v>6</v>
      </c>
      <c r="B992" s="2" t="s">
        <v>86</v>
      </c>
      <c r="C992" s="1"/>
      <c r="D992" s="5" t="s">
        <v>2036</v>
      </c>
      <c r="E992" s="6">
        <v>104451</v>
      </c>
      <c r="F992" s="3">
        <v>104451</v>
      </c>
      <c r="G992" s="57">
        <f t="shared" si="15"/>
        <v>0</v>
      </c>
      <c r="J992" s="5" t="s">
        <v>2037</v>
      </c>
    </row>
    <row r="993" spans="1:10" x14ac:dyDescent="0.2">
      <c r="A993" s="1" t="s">
        <v>6</v>
      </c>
      <c r="B993" s="2" t="s">
        <v>86</v>
      </c>
      <c r="C993" s="1"/>
      <c r="D993" s="5" t="s">
        <v>740</v>
      </c>
      <c r="E993" s="6">
        <v>83874</v>
      </c>
      <c r="F993" s="3">
        <v>102301</v>
      </c>
      <c r="G993" s="57">
        <f t="shared" si="15"/>
        <v>0.2196985955123161</v>
      </c>
      <c r="J993" s="5" t="s">
        <v>2038</v>
      </c>
    </row>
    <row r="994" spans="1:10" x14ac:dyDescent="0.2">
      <c r="A994" s="1" t="s">
        <v>6</v>
      </c>
      <c r="B994" s="2" t="s">
        <v>86</v>
      </c>
      <c r="C994" s="1"/>
      <c r="D994" s="5" t="s">
        <v>2039</v>
      </c>
      <c r="E994" s="6">
        <v>99515</v>
      </c>
      <c r="F994" s="3">
        <v>102296</v>
      </c>
      <c r="G994" s="57">
        <f t="shared" si="15"/>
        <v>2.7945535848867005E-2</v>
      </c>
      <c r="J994" s="5" t="s">
        <v>2040</v>
      </c>
    </row>
    <row r="995" spans="1:10" s="13" customFormat="1" x14ac:dyDescent="0.2">
      <c r="A995" s="1" t="s">
        <v>6</v>
      </c>
      <c r="B995" s="12" t="s">
        <v>86</v>
      </c>
      <c r="D995" s="7" t="s">
        <v>2041</v>
      </c>
      <c r="E995" s="6" t="s">
        <v>465</v>
      </c>
      <c r="F995" s="6">
        <v>101496</v>
      </c>
      <c r="G995" s="57" t="str">
        <f t="shared" si="15"/>
        <v>-</v>
      </c>
      <c r="H995" s="21"/>
      <c r="I995" s="21"/>
      <c r="J995" s="7" t="s">
        <v>2042</v>
      </c>
    </row>
    <row r="996" spans="1:10" s="13" customFormat="1" ht="25.5" x14ac:dyDescent="0.2">
      <c r="A996" s="1" t="s">
        <v>6</v>
      </c>
      <c r="B996" s="12" t="s">
        <v>86</v>
      </c>
      <c r="D996" s="7" t="s">
        <v>2043</v>
      </c>
      <c r="E996" s="6">
        <v>96534</v>
      </c>
      <c r="F996" s="6">
        <v>107528</v>
      </c>
      <c r="G996" s="57">
        <f t="shared" si="15"/>
        <v>0.11388733503221662</v>
      </c>
      <c r="H996" s="21"/>
      <c r="I996" s="21"/>
      <c r="J996" s="7" t="s">
        <v>4226</v>
      </c>
    </row>
    <row r="997" spans="1:10" x14ac:dyDescent="0.2">
      <c r="A997" s="1" t="s">
        <v>6</v>
      </c>
      <c r="B997" s="2" t="s">
        <v>86</v>
      </c>
      <c r="C997" s="1"/>
      <c r="D997" s="5" t="s">
        <v>4612</v>
      </c>
      <c r="E997" s="3">
        <v>86022</v>
      </c>
      <c r="F997" s="3">
        <v>105094</v>
      </c>
      <c r="G997" s="57">
        <f t="shared" si="15"/>
        <v>0.22171072516333032</v>
      </c>
      <c r="J997" s="5" t="s">
        <v>2044</v>
      </c>
    </row>
    <row r="998" spans="1:10" s="13" customFormat="1" x14ac:dyDescent="0.2">
      <c r="A998" s="1" t="s">
        <v>6</v>
      </c>
      <c r="B998" s="12" t="s">
        <v>86</v>
      </c>
      <c r="D998" s="7" t="s">
        <v>2045</v>
      </c>
      <c r="E998" s="6" t="s">
        <v>465</v>
      </c>
      <c r="F998" s="6">
        <v>100696</v>
      </c>
      <c r="G998" s="57" t="str">
        <f t="shared" si="15"/>
        <v>-</v>
      </c>
      <c r="H998" s="21"/>
      <c r="I998" s="21"/>
      <c r="J998" s="7" t="s">
        <v>2046</v>
      </c>
    </row>
    <row r="999" spans="1:10" x14ac:dyDescent="0.2">
      <c r="A999" s="1" t="s">
        <v>6</v>
      </c>
      <c r="B999" s="2" t="s">
        <v>86</v>
      </c>
      <c r="C999" s="1"/>
      <c r="D999" s="5" t="s">
        <v>546</v>
      </c>
      <c r="E999" s="6">
        <v>104782</v>
      </c>
      <c r="F999" s="3">
        <v>107584</v>
      </c>
      <c r="G999" s="57">
        <f t="shared" si="15"/>
        <v>2.6741234181443377E-2</v>
      </c>
      <c r="J999" s="5" t="s">
        <v>2047</v>
      </c>
    </row>
    <row r="1000" spans="1:10" x14ac:dyDescent="0.2">
      <c r="A1000" s="1" t="s">
        <v>6</v>
      </c>
      <c r="B1000" s="2" t="s">
        <v>86</v>
      </c>
      <c r="C1000" s="1"/>
      <c r="D1000" s="5" t="s">
        <v>2048</v>
      </c>
      <c r="E1000" s="6">
        <v>101979</v>
      </c>
      <c r="F1000" s="3">
        <v>103841</v>
      </c>
      <c r="G1000" s="57">
        <f t="shared" si="15"/>
        <v>1.8258661096892496E-2</v>
      </c>
      <c r="J1000" s="5" t="s">
        <v>2049</v>
      </c>
    </row>
    <row r="1001" spans="1:10" x14ac:dyDescent="0.2">
      <c r="A1001" s="1" t="s">
        <v>6</v>
      </c>
      <c r="B1001" s="2" t="s">
        <v>86</v>
      </c>
      <c r="C1001" s="1"/>
      <c r="D1001" s="5" t="s">
        <v>516</v>
      </c>
      <c r="E1001" s="6">
        <v>85361</v>
      </c>
      <c r="F1001" s="3">
        <v>106843</v>
      </c>
      <c r="G1001" s="57">
        <f t="shared" si="15"/>
        <v>0.25166059441665395</v>
      </c>
      <c r="J1001" s="5" t="s">
        <v>2050</v>
      </c>
    </row>
    <row r="1002" spans="1:10" x14ac:dyDescent="0.2">
      <c r="A1002" s="1" t="s">
        <v>6</v>
      </c>
      <c r="B1002" s="2" t="s">
        <v>86</v>
      </c>
      <c r="C1002" s="1"/>
      <c r="D1002" s="5" t="s">
        <v>2051</v>
      </c>
      <c r="E1002" s="6">
        <v>101648</v>
      </c>
      <c r="F1002" s="3">
        <v>101803</v>
      </c>
      <c r="G1002" s="57">
        <f t="shared" si="15"/>
        <v>1.5248701400912956E-3</v>
      </c>
      <c r="J1002" s="5" t="s">
        <v>2052</v>
      </c>
    </row>
    <row r="1003" spans="1:10" x14ac:dyDescent="0.2">
      <c r="A1003" s="1" t="s">
        <v>6</v>
      </c>
      <c r="B1003" s="2" t="s">
        <v>86</v>
      </c>
      <c r="C1003" s="1"/>
      <c r="D1003" s="5" t="s">
        <v>2053</v>
      </c>
      <c r="E1003" s="6">
        <v>102235</v>
      </c>
      <c r="F1003" s="3">
        <v>102133</v>
      </c>
      <c r="G1003" s="57">
        <f t="shared" si="15"/>
        <v>-9.9770137428473616E-4</v>
      </c>
      <c r="J1003" s="5" t="s">
        <v>2054</v>
      </c>
    </row>
    <row r="1004" spans="1:10" s="13" customFormat="1" ht="25.5" x14ac:dyDescent="0.2">
      <c r="A1004" s="1" t="s">
        <v>6</v>
      </c>
      <c r="B1004" s="12" t="s">
        <v>86</v>
      </c>
      <c r="D1004" s="7" t="s">
        <v>790</v>
      </c>
      <c r="E1004" s="6">
        <v>152325</v>
      </c>
      <c r="F1004" s="6">
        <v>72089</v>
      </c>
      <c r="G1004" s="57">
        <f t="shared" si="15"/>
        <v>-0.52674216313802724</v>
      </c>
      <c r="H1004" s="21"/>
      <c r="I1004" s="21"/>
      <c r="J1004" s="7" t="s">
        <v>4228</v>
      </c>
    </row>
    <row r="1005" spans="1:10" s="13" customFormat="1" x14ac:dyDescent="0.2">
      <c r="A1005" s="1" t="s">
        <v>6</v>
      </c>
      <c r="B1005" s="12" t="s">
        <v>86</v>
      </c>
      <c r="D1005" s="7" t="s">
        <v>3829</v>
      </c>
      <c r="E1005" s="6">
        <v>108670</v>
      </c>
      <c r="F1005" s="6" t="s">
        <v>465</v>
      </c>
      <c r="G1005" s="57" t="str">
        <f t="shared" si="15"/>
        <v>-</v>
      </c>
      <c r="H1005" s="21"/>
      <c r="I1005" s="21"/>
      <c r="J1005" s="7" t="s">
        <v>4227</v>
      </c>
    </row>
    <row r="1006" spans="1:10" s="13" customFormat="1" x14ac:dyDescent="0.2">
      <c r="A1006" s="1" t="s">
        <v>6</v>
      </c>
      <c r="B1006" s="12" t="s">
        <v>86</v>
      </c>
      <c r="D1006" s="7" t="s">
        <v>476</v>
      </c>
      <c r="E1006" s="6">
        <v>134253</v>
      </c>
      <c r="F1006" s="6" t="s">
        <v>465</v>
      </c>
      <c r="G1006" s="57" t="str">
        <f t="shared" si="15"/>
        <v>-</v>
      </c>
      <c r="H1006" s="21"/>
      <c r="I1006" s="21"/>
      <c r="J1006" s="7"/>
    </row>
    <row r="1007" spans="1:10" s="13" customFormat="1" x14ac:dyDescent="0.2">
      <c r="A1007" s="1" t="s">
        <v>6</v>
      </c>
      <c r="B1007" s="12" t="s">
        <v>86</v>
      </c>
      <c r="D1007" s="7" t="s">
        <v>3830</v>
      </c>
      <c r="E1007" s="6">
        <v>117896</v>
      </c>
      <c r="F1007" s="6" t="s">
        <v>465</v>
      </c>
      <c r="G1007" s="57" t="str">
        <f t="shared" si="15"/>
        <v>-</v>
      </c>
      <c r="H1007" s="21"/>
      <c r="I1007" s="21"/>
      <c r="J1007" s="7" t="s">
        <v>3729</v>
      </c>
    </row>
    <row r="1008" spans="1:10" x14ac:dyDescent="0.2">
      <c r="A1008" s="1" t="s">
        <v>6</v>
      </c>
      <c r="B1008" s="2" t="s">
        <v>86</v>
      </c>
      <c r="C1008" s="1"/>
      <c r="D1008" s="5" t="s">
        <v>464</v>
      </c>
      <c r="G1008" s="57" t="str">
        <f t="shared" si="15"/>
        <v>-</v>
      </c>
      <c r="H1008" s="19" t="s">
        <v>465</v>
      </c>
      <c r="I1008" s="19">
        <v>92500</v>
      </c>
    </row>
    <row r="1009" spans="1:9" s="1" customFormat="1" x14ac:dyDescent="0.2">
      <c r="A1009" s="1" t="s">
        <v>6</v>
      </c>
      <c r="B1009" s="2" t="s">
        <v>86</v>
      </c>
      <c r="D1009" s="5" t="s">
        <v>464</v>
      </c>
      <c r="E1009" s="3"/>
      <c r="F1009" s="3"/>
      <c r="G1009" s="57" t="str">
        <f t="shared" si="15"/>
        <v>-</v>
      </c>
      <c r="H1009" s="19">
        <v>92500</v>
      </c>
      <c r="I1009" s="19" t="s">
        <v>465</v>
      </c>
    </row>
    <row r="1010" spans="1:9" s="1" customFormat="1" x14ac:dyDescent="0.2">
      <c r="A1010" s="1" t="s">
        <v>6</v>
      </c>
      <c r="B1010" s="2" t="s">
        <v>86</v>
      </c>
      <c r="D1010" s="5" t="s">
        <v>464</v>
      </c>
      <c r="E1010" s="3"/>
      <c r="F1010" s="3"/>
      <c r="G1010" s="57" t="str">
        <f t="shared" si="15"/>
        <v>-</v>
      </c>
      <c r="H1010" s="19">
        <v>92500</v>
      </c>
      <c r="I1010" s="19" t="s">
        <v>465</v>
      </c>
    </row>
    <row r="1011" spans="1:9" s="1" customFormat="1" x14ac:dyDescent="0.2">
      <c r="A1011" s="1" t="s">
        <v>6</v>
      </c>
      <c r="B1011" s="2" t="s">
        <v>86</v>
      </c>
      <c r="D1011" s="5" t="s">
        <v>464</v>
      </c>
      <c r="E1011" s="3"/>
      <c r="F1011" s="3"/>
      <c r="G1011" s="57" t="str">
        <f t="shared" si="15"/>
        <v>-</v>
      </c>
      <c r="H1011" s="19">
        <v>92500</v>
      </c>
      <c r="I1011" s="19" t="s">
        <v>465</v>
      </c>
    </row>
    <row r="1012" spans="1:9" s="1" customFormat="1" x14ac:dyDescent="0.2">
      <c r="A1012" s="1" t="s">
        <v>6</v>
      </c>
      <c r="B1012" s="2" t="s">
        <v>86</v>
      </c>
      <c r="D1012" s="5" t="s">
        <v>464</v>
      </c>
      <c r="E1012" s="3"/>
      <c r="F1012" s="3"/>
      <c r="G1012" s="57" t="str">
        <f t="shared" si="15"/>
        <v>-</v>
      </c>
      <c r="H1012" s="19">
        <v>92500</v>
      </c>
      <c r="I1012" s="19" t="s">
        <v>465</v>
      </c>
    </row>
    <row r="1013" spans="1:9" s="1" customFormat="1" x14ac:dyDescent="0.2">
      <c r="A1013" s="1" t="s">
        <v>6</v>
      </c>
      <c r="B1013" s="2" t="s">
        <v>86</v>
      </c>
      <c r="D1013" s="5" t="s">
        <v>464</v>
      </c>
      <c r="E1013" s="3"/>
      <c r="F1013" s="3"/>
      <c r="G1013" s="57" t="str">
        <f t="shared" si="15"/>
        <v>-</v>
      </c>
      <c r="H1013" s="19">
        <v>92500</v>
      </c>
      <c r="I1013" s="19" t="s">
        <v>465</v>
      </c>
    </row>
    <row r="1014" spans="1:9" s="1" customFormat="1" x14ac:dyDescent="0.2">
      <c r="A1014" s="1" t="s">
        <v>6</v>
      </c>
      <c r="B1014" s="2" t="s">
        <v>86</v>
      </c>
      <c r="D1014" s="5" t="s">
        <v>464</v>
      </c>
      <c r="E1014" s="3"/>
      <c r="F1014" s="3"/>
      <c r="G1014" s="57" t="str">
        <f t="shared" si="15"/>
        <v>-</v>
      </c>
      <c r="H1014" s="19" t="s">
        <v>465</v>
      </c>
      <c r="I1014" s="19">
        <v>97500</v>
      </c>
    </row>
    <row r="1015" spans="1:9" s="1" customFormat="1" x14ac:dyDescent="0.2">
      <c r="A1015" s="1" t="s">
        <v>6</v>
      </c>
      <c r="B1015" s="2" t="s">
        <v>86</v>
      </c>
      <c r="D1015" s="5" t="s">
        <v>464</v>
      </c>
      <c r="E1015" s="3"/>
      <c r="F1015" s="3"/>
      <c r="G1015" s="57" t="str">
        <f t="shared" si="15"/>
        <v>-</v>
      </c>
      <c r="H1015" s="19" t="s">
        <v>465</v>
      </c>
      <c r="I1015" s="19">
        <v>97500</v>
      </c>
    </row>
    <row r="1016" spans="1:9" s="1" customFormat="1" x14ac:dyDescent="0.2">
      <c r="A1016" s="1" t="s">
        <v>6</v>
      </c>
      <c r="B1016" s="2" t="s">
        <v>86</v>
      </c>
      <c r="D1016" s="5" t="s">
        <v>464</v>
      </c>
      <c r="E1016" s="3"/>
      <c r="F1016" s="3"/>
      <c r="G1016" s="57" t="str">
        <f t="shared" si="15"/>
        <v>-</v>
      </c>
      <c r="H1016" s="19">
        <v>97500</v>
      </c>
      <c r="I1016" s="19" t="s">
        <v>465</v>
      </c>
    </row>
    <row r="1017" spans="1:9" s="1" customFormat="1" x14ac:dyDescent="0.2">
      <c r="A1017" s="1" t="s">
        <v>6</v>
      </c>
      <c r="B1017" s="2" t="s">
        <v>86</v>
      </c>
      <c r="D1017" s="5" t="s">
        <v>464</v>
      </c>
      <c r="E1017" s="3"/>
      <c r="F1017" s="3"/>
      <c r="G1017" s="57" t="str">
        <f t="shared" si="15"/>
        <v>-</v>
      </c>
      <c r="H1017" s="19">
        <v>97500</v>
      </c>
      <c r="I1017" s="19" t="s">
        <v>465</v>
      </c>
    </row>
    <row r="1018" spans="1:9" s="1" customFormat="1" x14ac:dyDescent="0.2">
      <c r="A1018" s="1" t="s">
        <v>6</v>
      </c>
      <c r="B1018" s="2" t="s">
        <v>86</v>
      </c>
      <c r="D1018" s="5" t="s">
        <v>464</v>
      </c>
      <c r="E1018" s="3"/>
      <c r="F1018" s="3"/>
      <c r="G1018" s="57" t="str">
        <f t="shared" si="15"/>
        <v>-</v>
      </c>
      <c r="H1018" s="19">
        <v>97500</v>
      </c>
      <c r="I1018" s="19" t="s">
        <v>465</v>
      </c>
    </row>
    <row r="1019" spans="1:9" s="1" customFormat="1" x14ac:dyDescent="0.2">
      <c r="A1019" s="1" t="s">
        <v>6</v>
      </c>
      <c r="B1019" s="2" t="s">
        <v>86</v>
      </c>
      <c r="D1019" s="5" t="s">
        <v>464</v>
      </c>
      <c r="E1019" s="3">
        <v>102500</v>
      </c>
      <c r="F1019" s="3" t="s">
        <v>465</v>
      </c>
      <c r="G1019" s="57" t="str">
        <f t="shared" si="15"/>
        <v>-</v>
      </c>
      <c r="H1019" s="19"/>
      <c r="I1019" s="19"/>
    </row>
    <row r="1020" spans="1:9" s="1" customFormat="1" x14ac:dyDescent="0.2">
      <c r="A1020" s="1" t="s">
        <v>6</v>
      </c>
      <c r="B1020" s="2" t="s">
        <v>86</v>
      </c>
      <c r="D1020" s="5" t="s">
        <v>464</v>
      </c>
      <c r="E1020" s="3">
        <v>102500</v>
      </c>
      <c r="F1020" s="3" t="s">
        <v>465</v>
      </c>
      <c r="G1020" s="57" t="str">
        <f t="shared" si="15"/>
        <v>-</v>
      </c>
      <c r="H1020" s="19"/>
      <c r="I1020" s="19"/>
    </row>
    <row r="1021" spans="1:9" s="1" customFormat="1" x14ac:dyDescent="0.2">
      <c r="A1021" s="1" t="s">
        <v>6</v>
      </c>
      <c r="B1021" s="2" t="s">
        <v>86</v>
      </c>
      <c r="D1021" s="5" t="s">
        <v>464</v>
      </c>
      <c r="E1021" s="3" t="s">
        <v>465</v>
      </c>
      <c r="F1021" s="3">
        <v>102500</v>
      </c>
      <c r="G1021" s="57" t="str">
        <f t="shared" si="15"/>
        <v>-</v>
      </c>
      <c r="H1021" s="19"/>
      <c r="I1021" s="19"/>
    </row>
    <row r="1022" spans="1:9" s="1" customFormat="1" x14ac:dyDescent="0.2">
      <c r="A1022" s="1" t="s">
        <v>6</v>
      </c>
      <c r="B1022" s="2" t="s">
        <v>86</v>
      </c>
      <c r="D1022" s="5" t="s">
        <v>464</v>
      </c>
      <c r="E1022" s="3" t="s">
        <v>465</v>
      </c>
      <c r="F1022" s="3">
        <v>102500</v>
      </c>
      <c r="G1022" s="57" t="str">
        <f t="shared" si="15"/>
        <v>-</v>
      </c>
      <c r="H1022" s="19"/>
      <c r="I1022" s="19"/>
    </row>
    <row r="1023" spans="1:9" s="1" customFormat="1" x14ac:dyDescent="0.2">
      <c r="A1023" s="1" t="s">
        <v>6</v>
      </c>
      <c r="B1023" s="2" t="s">
        <v>86</v>
      </c>
      <c r="D1023" s="5" t="s">
        <v>464</v>
      </c>
      <c r="E1023" s="3" t="s">
        <v>465</v>
      </c>
      <c r="F1023" s="3">
        <v>102500</v>
      </c>
      <c r="G1023" s="57" t="str">
        <f t="shared" si="15"/>
        <v>-</v>
      </c>
      <c r="H1023" s="19"/>
      <c r="I1023" s="19"/>
    </row>
    <row r="1024" spans="1:9" s="1" customFormat="1" x14ac:dyDescent="0.2">
      <c r="A1024" s="1" t="s">
        <v>6</v>
      </c>
      <c r="B1024" s="2" t="s">
        <v>86</v>
      </c>
      <c r="D1024" s="5" t="s">
        <v>464</v>
      </c>
      <c r="E1024" s="3">
        <v>107500</v>
      </c>
      <c r="F1024" s="3" t="s">
        <v>465</v>
      </c>
      <c r="G1024" s="57" t="str">
        <f t="shared" si="15"/>
        <v>-</v>
      </c>
      <c r="H1024" s="19"/>
      <c r="I1024" s="19"/>
    </row>
    <row r="1025" spans="1:10" x14ac:dyDescent="0.2">
      <c r="A1025" s="1" t="s">
        <v>6</v>
      </c>
      <c r="B1025" s="2" t="s">
        <v>86</v>
      </c>
      <c r="C1025" s="1"/>
      <c r="D1025" s="5" t="s">
        <v>464</v>
      </c>
      <c r="E1025" s="3">
        <v>112500</v>
      </c>
      <c r="F1025" s="3" t="s">
        <v>465</v>
      </c>
      <c r="G1025" s="57" t="str">
        <f t="shared" si="15"/>
        <v>-</v>
      </c>
    </row>
    <row r="1026" spans="1:10" x14ac:dyDescent="0.2">
      <c r="A1026" s="1" t="s">
        <v>6</v>
      </c>
      <c r="B1026" s="2" t="s">
        <v>86</v>
      </c>
      <c r="C1026" s="1"/>
      <c r="D1026" s="5" t="s">
        <v>464</v>
      </c>
      <c r="E1026" s="3">
        <v>132500</v>
      </c>
      <c r="F1026" s="3" t="s">
        <v>465</v>
      </c>
      <c r="G1026" s="57" t="str">
        <f t="shared" si="15"/>
        <v>-</v>
      </c>
    </row>
    <row r="1027" spans="1:10" x14ac:dyDescent="0.2">
      <c r="A1027" s="1" t="s">
        <v>8</v>
      </c>
      <c r="B1027" s="2" t="s">
        <v>87</v>
      </c>
      <c r="C1027" s="1"/>
      <c r="D1027" s="5" t="s">
        <v>450</v>
      </c>
      <c r="E1027" s="3">
        <v>124868</v>
      </c>
      <c r="F1027" s="3">
        <v>124630</v>
      </c>
      <c r="G1027" s="57">
        <f t="shared" ref="G1027:G1090" si="16">IF(ISERROR((F1027-E1027)/E1027),"-",(F1027-E1027)/E1027)</f>
        <v>-1.9060127494634335E-3</v>
      </c>
      <c r="J1027" s="5" t="s">
        <v>2055</v>
      </c>
    </row>
    <row r="1028" spans="1:10" x14ac:dyDescent="0.2">
      <c r="A1028" s="1" t="s">
        <v>8</v>
      </c>
      <c r="B1028" s="2" t="s">
        <v>87</v>
      </c>
      <c r="C1028" s="1"/>
      <c r="D1028" s="5" t="s">
        <v>455</v>
      </c>
      <c r="E1028" s="3">
        <v>98708</v>
      </c>
      <c r="F1028" s="3">
        <v>101972</v>
      </c>
      <c r="G1028" s="57">
        <f t="shared" si="16"/>
        <v>3.3067228593427075E-2</v>
      </c>
      <c r="J1028" s="5" t="s">
        <v>2056</v>
      </c>
    </row>
    <row r="1029" spans="1:10" x14ac:dyDescent="0.2">
      <c r="A1029" s="1" t="s">
        <v>4</v>
      </c>
      <c r="B1029" s="2" t="s">
        <v>88</v>
      </c>
      <c r="C1029" s="1"/>
      <c r="D1029" s="5" t="s">
        <v>450</v>
      </c>
      <c r="E1029" s="3">
        <v>138375</v>
      </c>
      <c r="F1029" s="3">
        <v>134536</v>
      </c>
      <c r="G1029" s="57">
        <f t="shared" si="16"/>
        <v>-2.7743450767841012E-2</v>
      </c>
      <c r="J1029" s="5" t="s">
        <v>2057</v>
      </c>
    </row>
    <row r="1030" spans="1:10" x14ac:dyDescent="0.2">
      <c r="A1030" s="1" t="s">
        <v>4</v>
      </c>
      <c r="B1030" s="2" t="s">
        <v>88</v>
      </c>
      <c r="C1030" s="1"/>
      <c r="D1030" s="5" t="s">
        <v>452</v>
      </c>
      <c r="E1030" s="3">
        <v>88852</v>
      </c>
      <c r="F1030" s="3">
        <v>100615</v>
      </c>
      <c r="G1030" s="57">
        <f t="shared" si="16"/>
        <v>0.13238869130689235</v>
      </c>
      <c r="J1030" s="5" t="s">
        <v>2058</v>
      </c>
    </row>
    <row r="1031" spans="1:10" x14ac:dyDescent="0.2">
      <c r="A1031" s="1" t="s">
        <v>4</v>
      </c>
      <c r="B1031" s="2" t="s">
        <v>88</v>
      </c>
      <c r="C1031" s="1"/>
      <c r="D1031" s="5" t="s">
        <v>2059</v>
      </c>
      <c r="E1031" s="3">
        <v>85948</v>
      </c>
      <c r="F1031" s="3">
        <v>100434</v>
      </c>
      <c r="G1031" s="57">
        <f t="shared" si="16"/>
        <v>0.16854377065202214</v>
      </c>
      <c r="J1031" s="5" t="s">
        <v>2060</v>
      </c>
    </row>
    <row r="1032" spans="1:10" x14ac:dyDescent="0.2">
      <c r="A1032" s="1" t="s">
        <v>4</v>
      </c>
      <c r="B1032" s="2" t="s">
        <v>88</v>
      </c>
      <c r="C1032" s="1"/>
      <c r="D1032" s="5" t="s">
        <v>2061</v>
      </c>
      <c r="E1032" s="3">
        <v>86669</v>
      </c>
      <c r="F1032" s="3">
        <v>120538</v>
      </c>
      <c r="G1032" s="57">
        <f t="shared" si="16"/>
        <v>0.39078563269450439</v>
      </c>
      <c r="J1032" s="5" t="s">
        <v>2062</v>
      </c>
    </row>
    <row r="1033" spans="1:10" x14ac:dyDescent="0.2">
      <c r="A1033" s="1" t="s">
        <v>4</v>
      </c>
      <c r="B1033" s="2" t="s">
        <v>88</v>
      </c>
      <c r="C1033" s="1"/>
      <c r="D1033" s="5" t="s">
        <v>2063</v>
      </c>
      <c r="E1033" s="3">
        <v>86963</v>
      </c>
      <c r="F1033" s="3">
        <v>100511</v>
      </c>
      <c r="G1033" s="57">
        <f t="shared" si="16"/>
        <v>0.15579039361567562</v>
      </c>
      <c r="J1033" s="5" t="s">
        <v>2064</v>
      </c>
    </row>
    <row r="1034" spans="1:10" x14ac:dyDescent="0.2">
      <c r="A1034" s="1" t="s">
        <v>4</v>
      </c>
      <c r="B1034" s="2" t="s">
        <v>88</v>
      </c>
      <c r="C1034" s="1"/>
      <c r="D1034" s="5" t="s">
        <v>942</v>
      </c>
      <c r="E1034" s="3">
        <v>86489</v>
      </c>
      <c r="F1034" s="3">
        <v>100511</v>
      </c>
      <c r="G1034" s="57">
        <f t="shared" si="16"/>
        <v>0.16212466325197425</v>
      </c>
      <c r="J1034" s="5" t="s">
        <v>2064</v>
      </c>
    </row>
    <row r="1035" spans="1:10" x14ac:dyDescent="0.2">
      <c r="A1035" s="1" t="s">
        <v>4</v>
      </c>
      <c r="B1035" s="2" t="s">
        <v>88</v>
      </c>
      <c r="C1035" s="1"/>
      <c r="D1035" s="5" t="s">
        <v>464</v>
      </c>
      <c r="E1035" s="3" t="s">
        <v>465</v>
      </c>
      <c r="F1035" s="3">
        <v>237500</v>
      </c>
      <c r="G1035" s="57" t="str">
        <f t="shared" si="16"/>
        <v>-</v>
      </c>
      <c r="J1035" s="5" t="s">
        <v>2254</v>
      </c>
    </row>
    <row r="1036" spans="1:10" x14ac:dyDescent="0.2">
      <c r="A1036" s="1" t="s">
        <v>4</v>
      </c>
      <c r="B1036" s="2" t="s">
        <v>88</v>
      </c>
      <c r="C1036" s="1"/>
      <c r="D1036" s="5" t="s">
        <v>464</v>
      </c>
      <c r="E1036" s="3" t="s">
        <v>465</v>
      </c>
      <c r="F1036" s="3">
        <v>237500</v>
      </c>
      <c r="G1036" s="57" t="str">
        <f t="shared" si="16"/>
        <v>-</v>
      </c>
      <c r="J1036" s="5" t="s">
        <v>2254</v>
      </c>
    </row>
    <row r="1037" spans="1:10" ht="25.5" x14ac:dyDescent="0.2">
      <c r="A1037" s="1" t="s">
        <v>4</v>
      </c>
      <c r="B1037" s="2" t="s">
        <v>89</v>
      </c>
      <c r="C1037" s="1"/>
      <c r="D1037" s="5" t="s">
        <v>450</v>
      </c>
      <c r="E1037" s="3">
        <v>132149</v>
      </c>
      <c r="F1037" s="3">
        <v>132061</v>
      </c>
      <c r="G1037" s="57">
        <f t="shared" si="16"/>
        <v>-6.6591498989776693E-4</v>
      </c>
      <c r="J1037" s="5" t="s">
        <v>2065</v>
      </c>
    </row>
    <row r="1038" spans="1:10" x14ac:dyDescent="0.2">
      <c r="A1038" s="1" t="s">
        <v>6</v>
      </c>
      <c r="B1038" s="2" t="s">
        <v>90</v>
      </c>
      <c r="C1038" s="1"/>
      <c r="D1038" s="5" t="s">
        <v>1874</v>
      </c>
      <c r="E1038" s="3">
        <v>157144</v>
      </c>
      <c r="F1038" s="3">
        <v>158004</v>
      </c>
      <c r="G1038" s="57">
        <f t="shared" si="16"/>
        <v>5.472687471363845E-3</v>
      </c>
      <c r="J1038" s="5" t="s">
        <v>2066</v>
      </c>
    </row>
    <row r="1039" spans="1:10" s="13" customFormat="1" x14ac:dyDescent="0.2">
      <c r="A1039" s="1" t="s">
        <v>6</v>
      </c>
      <c r="B1039" s="12" t="s">
        <v>90</v>
      </c>
      <c r="D1039" s="7" t="s">
        <v>2067</v>
      </c>
      <c r="E1039" s="6" t="s">
        <v>465</v>
      </c>
      <c r="F1039" s="6">
        <v>112931</v>
      </c>
      <c r="G1039" s="57" t="str">
        <f t="shared" si="16"/>
        <v>-</v>
      </c>
      <c r="H1039" s="21"/>
      <c r="I1039" s="21"/>
      <c r="J1039" s="7" t="s">
        <v>2068</v>
      </c>
    </row>
    <row r="1040" spans="1:10" s="13" customFormat="1" ht="25.5" x14ac:dyDescent="0.2">
      <c r="A1040" s="1" t="s">
        <v>6</v>
      </c>
      <c r="B1040" s="12" t="s">
        <v>90</v>
      </c>
      <c r="D1040" s="7" t="s">
        <v>501</v>
      </c>
      <c r="E1040" s="6" t="s">
        <v>465</v>
      </c>
      <c r="F1040" s="6">
        <v>112168</v>
      </c>
      <c r="G1040" s="57" t="str">
        <f t="shared" si="16"/>
        <v>-</v>
      </c>
      <c r="H1040" s="21"/>
      <c r="I1040" s="21"/>
      <c r="J1040" s="7" t="s">
        <v>2069</v>
      </c>
    </row>
    <row r="1041" spans="1:10" s="13" customFormat="1" x14ac:dyDescent="0.2">
      <c r="A1041" s="1" t="s">
        <v>6</v>
      </c>
      <c r="B1041" s="12" t="s">
        <v>90</v>
      </c>
      <c r="D1041" s="7" t="s">
        <v>2070</v>
      </c>
      <c r="E1041" s="6" t="s">
        <v>465</v>
      </c>
      <c r="F1041" s="6">
        <v>112121</v>
      </c>
      <c r="G1041" s="57" t="str">
        <f t="shared" si="16"/>
        <v>-</v>
      </c>
      <c r="H1041" s="21"/>
      <c r="I1041" s="21"/>
      <c r="J1041" s="7" t="s">
        <v>2071</v>
      </c>
    </row>
    <row r="1042" spans="1:10" s="13" customFormat="1" x14ac:dyDescent="0.2">
      <c r="A1042" s="1" t="s">
        <v>6</v>
      </c>
      <c r="B1042" s="12" t="s">
        <v>90</v>
      </c>
      <c r="D1042" s="7" t="s">
        <v>3831</v>
      </c>
      <c r="E1042" s="6">
        <v>121450</v>
      </c>
      <c r="F1042" s="6" t="s">
        <v>465</v>
      </c>
      <c r="G1042" s="57" t="str">
        <f t="shared" si="16"/>
        <v>-</v>
      </c>
      <c r="H1042" s="21"/>
      <c r="I1042" s="21"/>
      <c r="J1042" s="7"/>
    </row>
    <row r="1043" spans="1:10" s="13" customFormat="1" x14ac:dyDescent="0.2">
      <c r="A1043" s="1" t="s">
        <v>6</v>
      </c>
      <c r="B1043" s="12" t="s">
        <v>90</v>
      </c>
      <c r="D1043" s="7" t="s">
        <v>3832</v>
      </c>
      <c r="E1043" s="6">
        <v>103330</v>
      </c>
      <c r="F1043" s="6" t="s">
        <v>465</v>
      </c>
      <c r="G1043" s="57" t="str">
        <f t="shared" si="16"/>
        <v>-</v>
      </c>
      <c r="H1043" s="21"/>
      <c r="I1043" s="21"/>
      <c r="J1043" s="7"/>
    </row>
    <row r="1044" spans="1:10" s="13" customFormat="1" ht="25.5" x14ac:dyDescent="0.2">
      <c r="A1044" s="1" t="s">
        <v>6</v>
      </c>
      <c r="B1044" s="12" t="s">
        <v>90</v>
      </c>
      <c r="D1044" s="7" t="s">
        <v>3833</v>
      </c>
      <c r="E1044" s="6">
        <v>103938</v>
      </c>
      <c r="F1044" s="6" t="s">
        <v>465</v>
      </c>
      <c r="G1044" s="57" t="str">
        <f t="shared" si="16"/>
        <v>-</v>
      </c>
      <c r="H1044" s="21"/>
      <c r="I1044" s="21"/>
      <c r="J1044" s="7"/>
    </row>
    <row r="1045" spans="1:10" x14ac:dyDescent="0.2">
      <c r="A1045" s="1" t="s">
        <v>34</v>
      </c>
      <c r="B1045" s="2" t="s">
        <v>91</v>
      </c>
      <c r="C1045" s="1"/>
      <c r="D1045" s="5" t="s">
        <v>450</v>
      </c>
      <c r="E1045" s="3">
        <v>100687</v>
      </c>
      <c r="F1045" s="3">
        <v>182960</v>
      </c>
      <c r="G1045" s="57">
        <f t="shared" si="16"/>
        <v>0.8171164102615035</v>
      </c>
      <c r="J1045" s="5" t="s">
        <v>2072</v>
      </c>
    </row>
    <row r="1046" spans="1:10" x14ac:dyDescent="0.2">
      <c r="A1046" s="1" t="s">
        <v>34</v>
      </c>
      <c r="B1046" s="2" t="s">
        <v>91</v>
      </c>
      <c r="C1046" s="1"/>
      <c r="D1046" s="5" t="s">
        <v>3834</v>
      </c>
      <c r="E1046" s="3">
        <v>81919</v>
      </c>
      <c r="F1046" s="3">
        <v>211809</v>
      </c>
      <c r="G1046" s="57">
        <f t="shared" si="16"/>
        <v>1.585590644417046</v>
      </c>
      <c r="J1046" s="5" t="s">
        <v>2074</v>
      </c>
    </row>
    <row r="1047" spans="1:10" x14ac:dyDescent="0.2">
      <c r="A1047" s="1" t="s">
        <v>34</v>
      </c>
      <c r="B1047" s="2" t="s">
        <v>91</v>
      </c>
      <c r="C1047" s="1"/>
      <c r="D1047" s="5" t="s">
        <v>570</v>
      </c>
      <c r="E1047" s="3">
        <v>68645</v>
      </c>
      <c r="F1047" s="3">
        <v>114324</v>
      </c>
      <c r="G1047" s="57">
        <f t="shared" si="16"/>
        <v>0.66543812367980193</v>
      </c>
      <c r="J1047" s="5" t="s">
        <v>2075</v>
      </c>
    </row>
    <row r="1048" spans="1:10" x14ac:dyDescent="0.2">
      <c r="A1048" s="1" t="s">
        <v>34</v>
      </c>
      <c r="B1048" s="2" t="s">
        <v>91</v>
      </c>
      <c r="C1048" s="1"/>
      <c r="D1048" s="5" t="s">
        <v>718</v>
      </c>
      <c r="E1048" s="3" t="s">
        <v>465</v>
      </c>
      <c r="F1048" s="3">
        <v>102436</v>
      </c>
      <c r="G1048" s="57" t="str">
        <f t="shared" si="16"/>
        <v>-</v>
      </c>
      <c r="J1048" s="5" t="s">
        <v>2076</v>
      </c>
    </row>
    <row r="1049" spans="1:10" s="13" customFormat="1" ht="25.5" x14ac:dyDescent="0.2">
      <c r="A1049" s="13" t="s">
        <v>1</v>
      </c>
      <c r="B1049" s="12" t="s">
        <v>92</v>
      </c>
      <c r="C1049" s="13" t="s">
        <v>2246</v>
      </c>
      <c r="D1049" s="7" t="s">
        <v>450</v>
      </c>
      <c r="E1049" s="6">
        <f>158580+31711</f>
        <v>190291</v>
      </c>
      <c r="F1049" s="6">
        <f>127888+36829</f>
        <v>164717</v>
      </c>
      <c r="G1049" s="57">
        <f t="shared" si="16"/>
        <v>-0.1343941647266555</v>
      </c>
      <c r="H1049" s="21"/>
      <c r="I1049" s="21"/>
      <c r="J1049" s="17" t="s">
        <v>4229</v>
      </c>
    </row>
    <row r="1050" spans="1:10" ht="25.5" x14ac:dyDescent="0.2">
      <c r="A1050" s="13" t="s">
        <v>1</v>
      </c>
      <c r="B1050" s="12" t="s">
        <v>92</v>
      </c>
      <c r="C1050" s="1" t="s">
        <v>2247</v>
      </c>
      <c r="D1050" s="5" t="s">
        <v>4613</v>
      </c>
      <c r="E1050" s="3">
        <f>137244+27449</f>
        <v>164693</v>
      </c>
      <c r="F1050" s="3">
        <f>140676+28979</f>
        <v>169655</v>
      </c>
      <c r="G1050" s="57">
        <f t="shared" si="16"/>
        <v>3.0128785072832481E-2</v>
      </c>
      <c r="J1050" s="30" t="s">
        <v>3835</v>
      </c>
    </row>
    <row r="1051" spans="1:10" ht="25.5" x14ac:dyDescent="0.2">
      <c r="A1051" s="13" t="s">
        <v>1</v>
      </c>
      <c r="B1051" s="12" t="s">
        <v>92</v>
      </c>
      <c r="C1051" s="1" t="s">
        <v>2248</v>
      </c>
      <c r="D1051" s="5" t="s">
        <v>2077</v>
      </c>
      <c r="E1051" s="3">
        <f>120513+24103</f>
        <v>144616</v>
      </c>
      <c r="F1051" s="3">
        <f>123525+25446</f>
        <v>148971</v>
      </c>
      <c r="G1051" s="57">
        <f t="shared" si="16"/>
        <v>3.011423355645295E-2</v>
      </c>
      <c r="J1051" s="30" t="s">
        <v>3836</v>
      </c>
    </row>
    <row r="1052" spans="1:10" ht="25.5" x14ac:dyDescent="0.2">
      <c r="A1052" s="13" t="s">
        <v>1</v>
      </c>
      <c r="B1052" s="12" t="s">
        <v>92</v>
      </c>
      <c r="C1052" s="1" t="s">
        <v>2249</v>
      </c>
      <c r="D1052" s="5" t="s">
        <v>2078</v>
      </c>
      <c r="E1052" s="3">
        <f>120513+24103</f>
        <v>144616</v>
      </c>
      <c r="F1052" s="3">
        <f>123525+25446</f>
        <v>148971</v>
      </c>
      <c r="G1052" s="57">
        <f t="shared" si="16"/>
        <v>3.011423355645295E-2</v>
      </c>
      <c r="J1052" s="30" t="s">
        <v>3836</v>
      </c>
    </row>
    <row r="1053" spans="1:10" ht="25.5" x14ac:dyDescent="0.2">
      <c r="A1053" s="13" t="s">
        <v>1</v>
      </c>
      <c r="B1053" s="12" t="s">
        <v>92</v>
      </c>
      <c r="C1053" s="1" t="s">
        <v>2250</v>
      </c>
      <c r="D1053" s="5" t="s">
        <v>2079</v>
      </c>
      <c r="E1053" s="3">
        <f>120513+24967</f>
        <v>145480</v>
      </c>
      <c r="F1053" s="3">
        <f>123525+25446</f>
        <v>148971</v>
      </c>
      <c r="G1053" s="57">
        <f t="shared" si="16"/>
        <v>2.3996425625515534E-2</v>
      </c>
      <c r="J1053" s="30" t="s">
        <v>3836</v>
      </c>
    </row>
    <row r="1054" spans="1:10" ht="25.5" x14ac:dyDescent="0.2">
      <c r="A1054" s="13" t="s">
        <v>1</v>
      </c>
      <c r="B1054" s="12" t="s">
        <v>92</v>
      </c>
      <c r="C1054" s="1" t="s">
        <v>2251</v>
      </c>
      <c r="D1054" s="5" t="s">
        <v>2080</v>
      </c>
      <c r="E1054" s="3">
        <f>120513+24103</f>
        <v>144616</v>
      </c>
      <c r="F1054" s="3">
        <f>123525+25446</f>
        <v>148971</v>
      </c>
      <c r="G1054" s="57">
        <f t="shared" si="16"/>
        <v>3.011423355645295E-2</v>
      </c>
      <c r="J1054" s="30" t="s">
        <v>3836</v>
      </c>
    </row>
    <row r="1055" spans="1:10" ht="25.5" x14ac:dyDescent="0.2">
      <c r="A1055" s="13" t="s">
        <v>1</v>
      </c>
      <c r="B1055" s="12" t="s">
        <v>92</v>
      </c>
      <c r="C1055" s="1" t="s">
        <v>2252</v>
      </c>
      <c r="D1055" s="5" t="s">
        <v>2253</v>
      </c>
      <c r="E1055" s="3">
        <f>93726+18745</f>
        <v>112471</v>
      </c>
      <c r="F1055" s="3">
        <f>97133+20009</f>
        <v>117142</v>
      </c>
      <c r="G1055" s="57">
        <f t="shared" si="16"/>
        <v>4.1530705693023091E-2</v>
      </c>
      <c r="J1055" s="30" t="s">
        <v>3837</v>
      </c>
    </row>
    <row r="1056" spans="1:10" x14ac:dyDescent="0.2">
      <c r="A1056" s="13" t="s">
        <v>1</v>
      </c>
      <c r="B1056" s="12" t="s">
        <v>92</v>
      </c>
      <c r="C1056" s="1"/>
      <c r="D1056" s="5" t="s">
        <v>464</v>
      </c>
      <c r="G1056" s="57" t="str">
        <f t="shared" si="16"/>
        <v>-</v>
      </c>
      <c r="H1056" s="19">
        <v>92500</v>
      </c>
      <c r="I1056" s="19" t="s">
        <v>465</v>
      </c>
      <c r="J1056" s="30"/>
    </row>
    <row r="1057" spans="1:10" x14ac:dyDescent="0.2">
      <c r="A1057" s="13" t="s">
        <v>1</v>
      </c>
      <c r="B1057" s="12" t="s">
        <v>92</v>
      </c>
      <c r="C1057" s="1"/>
      <c r="D1057" s="5" t="s">
        <v>464</v>
      </c>
      <c r="G1057" s="57" t="str">
        <f t="shared" si="16"/>
        <v>-</v>
      </c>
      <c r="H1057" s="19">
        <v>92500</v>
      </c>
      <c r="I1057" s="19" t="s">
        <v>465</v>
      </c>
      <c r="J1057" s="16"/>
    </row>
    <row r="1058" spans="1:10" x14ac:dyDescent="0.2">
      <c r="A1058" s="13" t="s">
        <v>1</v>
      </c>
      <c r="B1058" s="12" t="s">
        <v>92</v>
      </c>
      <c r="C1058" s="1"/>
      <c r="D1058" s="5" t="s">
        <v>464</v>
      </c>
      <c r="G1058" s="57" t="str">
        <f t="shared" si="16"/>
        <v>-</v>
      </c>
      <c r="H1058" s="19">
        <v>92500</v>
      </c>
      <c r="I1058" s="19" t="s">
        <v>465</v>
      </c>
      <c r="J1058" s="16"/>
    </row>
    <row r="1059" spans="1:10" x14ac:dyDescent="0.2">
      <c r="A1059" s="13" t="s">
        <v>1</v>
      </c>
      <c r="B1059" s="12" t="s">
        <v>92</v>
      </c>
      <c r="C1059" s="1"/>
      <c r="D1059" s="5" t="s">
        <v>464</v>
      </c>
      <c r="G1059" s="57" t="str">
        <f t="shared" si="16"/>
        <v>-</v>
      </c>
      <c r="H1059" s="19">
        <v>92500</v>
      </c>
      <c r="I1059" s="19" t="s">
        <v>465</v>
      </c>
      <c r="J1059" s="16"/>
    </row>
    <row r="1060" spans="1:10" x14ac:dyDescent="0.2">
      <c r="A1060" s="13" t="s">
        <v>1</v>
      </c>
      <c r="B1060" s="12" t="s">
        <v>92</v>
      </c>
      <c r="C1060" s="1"/>
      <c r="D1060" s="5" t="s">
        <v>464</v>
      </c>
      <c r="G1060" s="57" t="str">
        <f t="shared" si="16"/>
        <v>-</v>
      </c>
      <c r="H1060" s="19">
        <v>92500</v>
      </c>
      <c r="I1060" s="19" t="s">
        <v>465</v>
      </c>
      <c r="J1060" s="16"/>
    </row>
    <row r="1061" spans="1:10" x14ac:dyDescent="0.2">
      <c r="A1061" s="13" t="s">
        <v>1</v>
      </c>
      <c r="B1061" s="12" t="s">
        <v>92</v>
      </c>
      <c r="C1061" s="1"/>
      <c r="D1061" s="5" t="s">
        <v>464</v>
      </c>
      <c r="G1061" s="57" t="str">
        <f t="shared" si="16"/>
        <v>-</v>
      </c>
      <c r="H1061" s="19" t="s">
        <v>465</v>
      </c>
      <c r="I1061" s="19">
        <v>92500</v>
      </c>
      <c r="J1061" s="16"/>
    </row>
    <row r="1062" spans="1:10" x14ac:dyDescent="0.2">
      <c r="A1062" s="13" t="s">
        <v>1</v>
      </c>
      <c r="B1062" s="12" t="s">
        <v>92</v>
      </c>
      <c r="C1062" s="1"/>
      <c r="D1062" s="5" t="s">
        <v>464</v>
      </c>
      <c r="G1062" s="57" t="str">
        <f t="shared" si="16"/>
        <v>-</v>
      </c>
      <c r="H1062" s="19" t="s">
        <v>465</v>
      </c>
      <c r="I1062" s="19">
        <v>92500</v>
      </c>
      <c r="J1062" s="16"/>
    </row>
    <row r="1063" spans="1:10" x14ac:dyDescent="0.2">
      <c r="A1063" s="13" t="s">
        <v>1</v>
      </c>
      <c r="B1063" s="12" t="s">
        <v>92</v>
      </c>
      <c r="C1063" s="1"/>
      <c r="D1063" s="5" t="s">
        <v>464</v>
      </c>
      <c r="G1063" s="57" t="str">
        <f t="shared" si="16"/>
        <v>-</v>
      </c>
      <c r="H1063" s="19" t="s">
        <v>465</v>
      </c>
      <c r="I1063" s="19">
        <v>92500</v>
      </c>
      <c r="J1063" s="16"/>
    </row>
    <row r="1064" spans="1:10" x14ac:dyDescent="0.2">
      <c r="A1064" s="13" t="s">
        <v>1</v>
      </c>
      <c r="B1064" s="12" t="s">
        <v>92</v>
      </c>
      <c r="C1064" s="1"/>
      <c r="D1064" s="5" t="s">
        <v>464</v>
      </c>
      <c r="G1064" s="57" t="str">
        <f t="shared" si="16"/>
        <v>-</v>
      </c>
      <c r="H1064" s="19" t="s">
        <v>465</v>
      </c>
      <c r="I1064" s="19">
        <v>92500</v>
      </c>
      <c r="J1064" s="16"/>
    </row>
    <row r="1065" spans="1:10" x14ac:dyDescent="0.2">
      <c r="A1065" s="13" t="s">
        <v>1</v>
      </c>
      <c r="B1065" s="12" t="s">
        <v>92</v>
      </c>
      <c r="C1065" s="1"/>
      <c r="D1065" s="5" t="s">
        <v>464</v>
      </c>
      <c r="G1065" s="57" t="str">
        <f t="shared" si="16"/>
        <v>-</v>
      </c>
      <c r="H1065" s="19" t="s">
        <v>465</v>
      </c>
      <c r="I1065" s="19">
        <v>92500</v>
      </c>
      <c r="J1065" s="16"/>
    </row>
    <row r="1066" spans="1:10" x14ac:dyDescent="0.2">
      <c r="A1066" s="13" t="s">
        <v>1</v>
      </c>
      <c r="B1066" s="12" t="s">
        <v>92</v>
      </c>
      <c r="C1066" s="1"/>
      <c r="D1066" s="5" t="s">
        <v>464</v>
      </c>
      <c r="G1066" s="57" t="str">
        <f t="shared" si="16"/>
        <v>-</v>
      </c>
      <c r="H1066" s="19">
        <v>97500</v>
      </c>
      <c r="I1066" s="19" t="s">
        <v>465</v>
      </c>
      <c r="J1066" s="16"/>
    </row>
    <row r="1067" spans="1:10" x14ac:dyDescent="0.2">
      <c r="A1067" s="13" t="s">
        <v>1</v>
      </c>
      <c r="B1067" s="12" t="s">
        <v>92</v>
      </c>
      <c r="C1067" s="1"/>
      <c r="D1067" s="5" t="s">
        <v>464</v>
      </c>
      <c r="G1067" s="57" t="str">
        <f t="shared" si="16"/>
        <v>-</v>
      </c>
      <c r="H1067" s="19">
        <v>97500</v>
      </c>
      <c r="I1067" s="19" t="s">
        <v>465</v>
      </c>
      <c r="J1067" s="16"/>
    </row>
    <row r="1068" spans="1:10" x14ac:dyDescent="0.2">
      <c r="A1068" s="13" t="s">
        <v>1</v>
      </c>
      <c r="B1068" s="12" t="s">
        <v>92</v>
      </c>
      <c r="C1068" s="1"/>
      <c r="D1068" s="5" t="s">
        <v>464</v>
      </c>
      <c r="G1068" s="57" t="str">
        <f t="shared" si="16"/>
        <v>-</v>
      </c>
      <c r="H1068" s="19">
        <v>97500</v>
      </c>
      <c r="I1068" s="19" t="s">
        <v>465</v>
      </c>
      <c r="J1068" s="16"/>
    </row>
    <row r="1069" spans="1:10" x14ac:dyDescent="0.2">
      <c r="A1069" s="13" t="s">
        <v>1</v>
      </c>
      <c r="B1069" s="12" t="s">
        <v>92</v>
      </c>
      <c r="C1069" s="1"/>
      <c r="D1069" s="5" t="s">
        <v>464</v>
      </c>
      <c r="G1069" s="57" t="str">
        <f t="shared" si="16"/>
        <v>-</v>
      </c>
      <c r="H1069" s="19">
        <v>97500</v>
      </c>
      <c r="I1069" s="19" t="s">
        <v>465</v>
      </c>
      <c r="J1069" s="16"/>
    </row>
    <row r="1070" spans="1:10" x14ac:dyDescent="0.2">
      <c r="A1070" s="13" t="s">
        <v>1</v>
      </c>
      <c r="B1070" s="12" t="s">
        <v>92</v>
      </c>
      <c r="C1070" s="1"/>
      <c r="D1070" s="5" t="s">
        <v>464</v>
      </c>
      <c r="G1070" s="57" t="str">
        <f t="shared" si="16"/>
        <v>-</v>
      </c>
      <c r="H1070" s="19">
        <v>97500</v>
      </c>
      <c r="I1070" s="19" t="s">
        <v>465</v>
      </c>
      <c r="J1070" s="16"/>
    </row>
    <row r="1071" spans="1:10" x14ac:dyDescent="0.2">
      <c r="A1071" s="13" t="s">
        <v>1</v>
      </c>
      <c r="B1071" s="12" t="s">
        <v>92</v>
      </c>
      <c r="C1071" s="1"/>
      <c r="D1071" s="5" t="s">
        <v>464</v>
      </c>
      <c r="G1071" s="57" t="str">
        <f t="shared" si="16"/>
        <v>-</v>
      </c>
      <c r="H1071" s="19">
        <v>97500</v>
      </c>
      <c r="I1071" s="19" t="s">
        <v>465</v>
      </c>
      <c r="J1071" s="16"/>
    </row>
    <row r="1072" spans="1:10" x14ac:dyDescent="0.2">
      <c r="A1072" s="13" t="s">
        <v>1</v>
      </c>
      <c r="B1072" s="12" t="s">
        <v>92</v>
      </c>
      <c r="C1072" s="1"/>
      <c r="D1072" s="5" t="s">
        <v>464</v>
      </c>
      <c r="G1072" s="57" t="str">
        <f t="shared" si="16"/>
        <v>-</v>
      </c>
      <c r="H1072" s="19">
        <v>97500</v>
      </c>
      <c r="I1072" s="19" t="s">
        <v>465</v>
      </c>
      <c r="J1072" s="16"/>
    </row>
    <row r="1073" spans="1:10" x14ac:dyDescent="0.2">
      <c r="A1073" s="13" t="s">
        <v>1</v>
      </c>
      <c r="B1073" s="12" t="s">
        <v>92</v>
      </c>
      <c r="C1073" s="1"/>
      <c r="D1073" s="5" t="s">
        <v>464</v>
      </c>
      <c r="G1073" s="57" t="str">
        <f t="shared" si="16"/>
        <v>-</v>
      </c>
      <c r="H1073" s="19">
        <v>97500</v>
      </c>
      <c r="I1073" s="19" t="s">
        <v>465</v>
      </c>
      <c r="J1073" s="16"/>
    </row>
    <row r="1074" spans="1:10" x14ac:dyDescent="0.2">
      <c r="A1074" s="13" t="s">
        <v>1</v>
      </c>
      <c r="B1074" s="12" t="s">
        <v>92</v>
      </c>
      <c r="C1074" s="1"/>
      <c r="D1074" s="5" t="s">
        <v>464</v>
      </c>
      <c r="G1074" s="57" t="str">
        <f t="shared" si="16"/>
        <v>-</v>
      </c>
      <c r="H1074" s="19">
        <v>97500</v>
      </c>
      <c r="I1074" s="19" t="s">
        <v>465</v>
      </c>
      <c r="J1074" s="16"/>
    </row>
    <row r="1075" spans="1:10" x14ac:dyDescent="0.2">
      <c r="A1075" s="13" t="s">
        <v>1</v>
      </c>
      <c r="B1075" s="12" t="s">
        <v>92</v>
      </c>
      <c r="C1075" s="1"/>
      <c r="D1075" s="5" t="s">
        <v>464</v>
      </c>
      <c r="G1075" s="57" t="str">
        <f t="shared" si="16"/>
        <v>-</v>
      </c>
      <c r="H1075" s="19">
        <v>97500</v>
      </c>
      <c r="I1075" s="19" t="s">
        <v>465</v>
      </c>
      <c r="J1075" s="16"/>
    </row>
    <row r="1076" spans="1:10" x14ac:dyDescent="0.2">
      <c r="A1076" s="13" t="s">
        <v>1</v>
      </c>
      <c r="B1076" s="12" t="s">
        <v>92</v>
      </c>
      <c r="C1076" s="1"/>
      <c r="D1076" s="5" t="s">
        <v>464</v>
      </c>
      <c r="G1076" s="57" t="str">
        <f t="shared" si="16"/>
        <v>-</v>
      </c>
      <c r="H1076" s="19" t="s">
        <v>465</v>
      </c>
      <c r="I1076" s="19">
        <v>97500</v>
      </c>
      <c r="J1076" s="16"/>
    </row>
    <row r="1077" spans="1:10" x14ac:dyDescent="0.2">
      <c r="A1077" s="13" t="s">
        <v>1</v>
      </c>
      <c r="B1077" s="12" t="s">
        <v>92</v>
      </c>
      <c r="C1077" s="1"/>
      <c r="D1077" s="5" t="s">
        <v>464</v>
      </c>
      <c r="G1077" s="57" t="str">
        <f t="shared" si="16"/>
        <v>-</v>
      </c>
      <c r="H1077" s="19" t="s">
        <v>465</v>
      </c>
      <c r="I1077" s="19">
        <v>97500</v>
      </c>
      <c r="J1077" s="16"/>
    </row>
    <row r="1078" spans="1:10" x14ac:dyDescent="0.2">
      <c r="A1078" s="13" t="s">
        <v>1</v>
      </c>
      <c r="B1078" s="12" t="s">
        <v>92</v>
      </c>
      <c r="C1078" s="1"/>
      <c r="D1078" s="5" t="s">
        <v>464</v>
      </c>
      <c r="G1078" s="57" t="str">
        <f t="shared" si="16"/>
        <v>-</v>
      </c>
      <c r="H1078" s="19" t="s">
        <v>465</v>
      </c>
      <c r="I1078" s="19">
        <v>97500</v>
      </c>
      <c r="J1078" s="16"/>
    </row>
    <row r="1079" spans="1:10" x14ac:dyDescent="0.2">
      <c r="A1079" s="13" t="s">
        <v>1</v>
      </c>
      <c r="B1079" s="12" t="s">
        <v>92</v>
      </c>
      <c r="C1079" s="1"/>
      <c r="D1079" s="5" t="s">
        <v>464</v>
      </c>
      <c r="G1079" s="57" t="str">
        <f t="shared" si="16"/>
        <v>-</v>
      </c>
      <c r="H1079" s="19" t="s">
        <v>465</v>
      </c>
      <c r="I1079" s="19">
        <v>97500</v>
      </c>
      <c r="J1079" s="16"/>
    </row>
    <row r="1080" spans="1:10" x14ac:dyDescent="0.2">
      <c r="A1080" s="13" t="s">
        <v>1</v>
      </c>
      <c r="B1080" s="12" t="s">
        <v>92</v>
      </c>
      <c r="C1080" s="1"/>
      <c r="D1080" s="5" t="s">
        <v>464</v>
      </c>
      <c r="G1080" s="57" t="str">
        <f t="shared" si="16"/>
        <v>-</v>
      </c>
      <c r="H1080" s="19" t="s">
        <v>465</v>
      </c>
      <c r="I1080" s="19">
        <v>97500</v>
      </c>
      <c r="J1080" s="16"/>
    </row>
    <row r="1081" spans="1:10" x14ac:dyDescent="0.2">
      <c r="A1081" s="13" t="s">
        <v>1</v>
      </c>
      <c r="B1081" s="12" t="s">
        <v>92</v>
      </c>
      <c r="C1081" s="1"/>
      <c r="D1081" s="5" t="s">
        <v>464</v>
      </c>
      <c r="G1081" s="57" t="str">
        <f t="shared" si="16"/>
        <v>-</v>
      </c>
      <c r="H1081" s="19" t="s">
        <v>465</v>
      </c>
      <c r="I1081" s="19">
        <v>97500</v>
      </c>
      <c r="J1081" s="16"/>
    </row>
    <row r="1082" spans="1:10" x14ac:dyDescent="0.2">
      <c r="A1082" s="13" t="s">
        <v>1</v>
      </c>
      <c r="B1082" s="12" t="s">
        <v>92</v>
      </c>
      <c r="C1082" s="1"/>
      <c r="D1082" s="5" t="s">
        <v>464</v>
      </c>
      <c r="G1082" s="57" t="str">
        <f t="shared" si="16"/>
        <v>-</v>
      </c>
      <c r="H1082" s="19" t="s">
        <v>465</v>
      </c>
      <c r="I1082" s="19">
        <v>97500</v>
      </c>
      <c r="J1082" s="16"/>
    </row>
    <row r="1083" spans="1:10" x14ac:dyDescent="0.2">
      <c r="A1083" s="13" t="s">
        <v>1</v>
      </c>
      <c r="B1083" s="12" t="s">
        <v>92</v>
      </c>
      <c r="C1083" s="1"/>
      <c r="D1083" s="5" t="s">
        <v>464</v>
      </c>
      <c r="G1083" s="57" t="str">
        <f t="shared" si="16"/>
        <v>-</v>
      </c>
      <c r="H1083" s="19" t="s">
        <v>465</v>
      </c>
      <c r="I1083" s="19">
        <v>97500</v>
      </c>
      <c r="J1083" s="16"/>
    </row>
    <row r="1084" spans="1:10" x14ac:dyDescent="0.2">
      <c r="A1084" s="13" t="s">
        <v>1</v>
      </c>
      <c r="B1084" s="12" t="s">
        <v>92</v>
      </c>
      <c r="C1084" s="1"/>
      <c r="D1084" s="5" t="s">
        <v>464</v>
      </c>
      <c r="G1084" s="57" t="str">
        <f t="shared" si="16"/>
        <v>-</v>
      </c>
      <c r="H1084" s="19" t="s">
        <v>465</v>
      </c>
      <c r="I1084" s="19">
        <v>97500</v>
      </c>
      <c r="J1084" s="16"/>
    </row>
    <row r="1085" spans="1:10" x14ac:dyDescent="0.2">
      <c r="A1085" s="13" t="s">
        <v>1</v>
      </c>
      <c r="B1085" s="12" t="s">
        <v>92</v>
      </c>
      <c r="C1085" s="1"/>
      <c r="D1085" s="5" t="s">
        <v>464</v>
      </c>
      <c r="G1085" s="57" t="str">
        <f t="shared" si="16"/>
        <v>-</v>
      </c>
      <c r="H1085" s="19" t="s">
        <v>465</v>
      </c>
      <c r="I1085" s="19">
        <v>97500</v>
      </c>
      <c r="J1085" s="16"/>
    </row>
    <row r="1086" spans="1:10" x14ac:dyDescent="0.2">
      <c r="A1086" s="13" t="s">
        <v>1</v>
      </c>
      <c r="B1086" s="12" t="s">
        <v>92</v>
      </c>
      <c r="C1086" s="1"/>
      <c r="D1086" s="5" t="s">
        <v>464</v>
      </c>
      <c r="G1086" s="57" t="str">
        <f t="shared" si="16"/>
        <v>-</v>
      </c>
      <c r="H1086" s="19" t="s">
        <v>465</v>
      </c>
      <c r="I1086" s="19">
        <v>97500</v>
      </c>
      <c r="J1086" s="16"/>
    </row>
    <row r="1087" spans="1:10" x14ac:dyDescent="0.2">
      <c r="A1087" s="13" t="s">
        <v>1</v>
      </c>
      <c r="B1087" s="12" t="s">
        <v>92</v>
      </c>
      <c r="C1087" s="1"/>
      <c r="D1087" s="5" t="s">
        <v>464</v>
      </c>
      <c r="G1087" s="57" t="str">
        <f t="shared" si="16"/>
        <v>-</v>
      </c>
      <c r="H1087" s="19" t="s">
        <v>465</v>
      </c>
      <c r="I1087" s="19">
        <v>97500</v>
      </c>
      <c r="J1087" s="16"/>
    </row>
    <row r="1088" spans="1:10" x14ac:dyDescent="0.2">
      <c r="A1088" s="13" t="s">
        <v>1</v>
      </c>
      <c r="B1088" s="12" t="s">
        <v>92</v>
      </c>
      <c r="C1088" s="1"/>
      <c r="D1088" s="5" t="s">
        <v>464</v>
      </c>
      <c r="G1088" s="57" t="str">
        <f t="shared" si="16"/>
        <v>-</v>
      </c>
      <c r="H1088" s="19" t="s">
        <v>465</v>
      </c>
      <c r="I1088" s="19">
        <v>97500</v>
      </c>
      <c r="J1088" s="16"/>
    </row>
    <row r="1089" spans="1:10" x14ac:dyDescent="0.2">
      <c r="A1089" s="13" t="s">
        <v>1</v>
      </c>
      <c r="B1089" s="12" t="s">
        <v>92</v>
      </c>
      <c r="C1089" s="1"/>
      <c r="D1089" s="5" t="s">
        <v>464</v>
      </c>
      <c r="G1089" s="57" t="str">
        <f t="shared" si="16"/>
        <v>-</v>
      </c>
      <c r="H1089" s="19" t="s">
        <v>465</v>
      </c>
      <c r="I1089" s="19">
        <v>97500</v>
      </c>
      <c r="J1089" s="16"/>
    </row>
    <row r="1090" spans="1:10" x14ac:dyDescent="0.2">
      <c r="A1090" s="13" t="s">
        <v>1</v>
      </c>
      <c r="B1090" s="12" t="s">
        <v>92</v>
      </c>
      <c r="C1090" s="1"/>
      <c r="D1090" s="5" t="s">
        <v>464</v>
      </c>
      <c r="E1090" s="3">
        <v>102500</v>
      </c>
      <c r="F1090" s="3" t="s">
        <v>465</v>
      </c>
      <c r="G1090" s="57" t="str">
        <f t="shared" si="16"/>
        <v>-</v>
      </c>
      <c r="J1090" s="16"/>
    </row>
    <row r="1091" spans="1:10" x14ac:dyDescent="0.2">
      <c r="A1091" s="13" t="s">
        <v>1</v>
      </c>
      <c r="B1091" s="12" t="s">
        <v>92</v>
      </c>
      <c r="C1091" s="1"/>
      <c r="D1091" s="5" t="s">
        <v>464</v>
      </c>
      <c r="E1091" s="3" t="s">
        <v>465</v>
      </c>
      <c r="F1091" s="3">
        <v>102500</v>
      </c>
      <c r="G1091" s="57" t="str">
        <f t="shared" ref="G1091:G1154" si="17">IF(ISERROR((F1091-E1091)/E1091),"-",(F1091-E1091)/E1091)</f>
        <v>-</v>
      </c>
      <c r="J1091" s="16"/>
    </row>
    <row r="1092" spans="1:10" x14ac:dyDescent="0.2">
      <c r="A1092" s="13" t="s">
        <v>1</v>
      </c>
      <c r="B1092" s="12" t="s">
        <v>92</v>
      </c>
      <c r="C1092" s="1"/>
      <c r="D1092" s="5" t="s">
        <v>464</v>
      </c>
      <c r="E1092" s="3" t="s">
        <v>465</v>
      </c>
      <c r="F1092" s="3">
        <v>102500</v>
      </c>
      <c r="G1092" s="57" t="str">
        <f t="shared" si="17"/>
        <v>-</v>
      </c>
      <c r="J1092" s="16"/>
    </row>
    <row r="1093" spans="1:10" x14ac:dyDescent="0.2">
      <c r="A1093" s="13" t="s">
        <v>1</v>
      </c>
      <c r="B1093" s="12" t="s">
        <v>92</v>
      </c>
      <c r="C1093" s="1"/>
      <c r="D1093" s="5" t="s">
        <v>464</v>
      </c>
      <c r="E1093" s="3">
        <v>107500</v>
      </c>
      <c r="F1093" s="3" t="s">
        <v>465</v>
      </c>
      <c r="G1093" s="57" t="str">
        <f t="shared" si="17"/>
        <v>-</v>
      </c>
      <c r="J1093" s="16"/>
    </row>
    <row r="1094" spans="1:10" x14ac:dyDescent="0.2">
      <c r="A1094" s="13" t="s">
        <v>1</v>
      </c>
      <c r="B1094" s="12" t="s">
        <v>92</v>
      </c>
      <c r="C1094" s="1"/>
      <c r="D1094" s="5" t="s">
        <v>464</v>
      </c>
      <c r="E1094" s="3" t="s">
        <v>465</v>
      </c>
      <c r="F1094" s="3">
        <v>107500</v>
      </c>
      <c r="G1094" s="57" t="str">
        <f t="shared" si="17"/>
        <v>-</v>
      </c>
      <c r="J1094" s="16"/>
    </row>
    <row r="1095" spans="1:10" x14ac:dyDescent="0.2">
      <c r="A1095" s="13" t="s">
        <v>1</v>
      </c>
      <c r="B1095" s="12" t="s">
        <v>92</v>
      </c>
      <c r="C1095" s="1"/>
      <c r="D1095" s="5" t="s">
        <v>464</v>
      </c>
      <c r="E1095" s="3" t="s">
        <v>465</v>
      </c>
      <c r="F1095" s="3">
        <v>112500</v>
      </c>
      <c r="G1095" s="57" t="str">
        <f t="shared" si="17"/>
        <v>-</v>
      </c>
      <c r="J1095" s="16"/>
    </row>
    <row r="1096" spans="1:10" x14ac:dyDescent="0.2">
      <c r="A1096" s="13" t="s">
        <v>1</v>
      </c>
      <c r="B1096" s="12" t="s">
        <v>92</v>
      </c>
      <c r="C1096" s="1"/>
      <c r="D1096" s="5" t="s">
        <v>464</v>
      </c>
      <c r="E1096" s="3" t="s">
        <v>465</v>
      </c>
      <c r="F1096" s="3">
        <v>112500</v>
      </c>
      <c r="G1096" s="57" t="str">
        <f t="shared" si="17"/>
        <v>-</v>
      </c>
      <c r="J1096" s="16"/>
    </row>
    <row r="1097" spans="1:10" ht="63.75" x14ac:dyDescent="0.2">
      <c r="A1097" s="1" t="s">
        <v>25</v>
      </c>
      <c r="B1097" s="2" t="s">
        <v>93</v>
      </c>
      <c r="C1097" s="1" t="s">
        <v>2221</v>
      </c>
      <c r="D1097" s="5" t="s">
        <v>1358</v>
      </c>
      <c r="E1097" s="3">
        <v>158000</v>
      </c>
      <c r="F1097" s="3">
        <v>168000</v>
      </c>
      <c r="G1097" s="57">
        <f t="shared" si="17"/>
        <v>6.3291139240506333E-2</v>
      </c>
      <c r="J1097" s="5" t="s">
        <v>4230</v>
      </c>
    </row>
    <row r="1098" spans="1:10" ht="76.5" x14ac:dyDescent="0.2">
      <c r="A1098" s="1" t="s">
        <v>25</v>
      </c>
      <c r="B1098" s="2" t="s">
        <v>93</v>
      </c>
      <c r="C1098" s="1" t="s">
        <v>2222</v>
      </c>
      <c r="D1098" s="5" t="s">
        <v>2223</v>
      </c>
      <c r="E1098" s="3">
        <v>126000</v>
      </c>
      <c r="F1098" s="3">
        <v>128000</v>
      </c>
      <c r="G1098" s="57">
        <f t="shared" si="17"/>
        <v>1.5873015873015872E-2</v>
      </c>
      <c r="J1098" s="5" t="s">
        <v>4231</v>
      </c>
    </row>
    <row r="1099" spans="1:10" ht="51" x14ac:dyDescent="0.2">
      <c r="A1099" s="1" t="s">
        <v>25</v>
      </c>
      <c r="B1099" s="2" t="s">
        <v>93</v>
      </c>
      <c r="C1099" s="1" t="s">
        <v>2224</v>
      </c>
      <c r="D1099" s="5" t="s">
        <v>2225</v>
      </c>
      <c r="E1099" s="3">
        <v>222000</v>
      </c>
      <c r="F1099" s="3">
        <v>157000</v>
      </c>
      <c r="G1099" s="57">
        <f t="shared" si="17"/>
        <v>-0.2927927927927928</v>
      </c>
      <c r="J1099" s="5" t="s">
        <v>4232</v>
      </c>
    </row>
    <row r="1100" spans="1:10" ht="25.5" x14ac:dyDescent="0.2">
      <c r="A1100" s="1" t="s">
        <v>25</v>
      </c>
      <c r="B1100" s="2" t="s">
        <v>93</v>
      </c>
      <c r="C1100" s="1" t="s">
        <v>2226</v>
      </c>
      <c r="D1100" s="5" t="s">
        <v>2227</v>
      </c>
      <c r="E1100" s="3">
        <v>215000</v>
      </c>
      <c r="F1100" s="3">
        <v>217000</v>
      </c>
      <c r="G1100" s="57">
        <f t="shared" si="17"/>
        <v>9.3023255813953487E-3</v>
      </c>
      <c r="J1100" s="5" t="s">
        <v>3838</v>
      </c>
    </row>
    <row r="1101" spans="1:10" ht="76.5" x14ac:dyDescent="0.2">
      <c r="A1101" s="1" t="s">
        <v>25</v>
      </c>
      <c r="B1101" s="2" t="s">
        <v>93</v>
      </c>
      <c r="C1101" s="1"/>
      <c r="D1101" s="5" t="s">
        <v>2228</v>
      </c>
      <c r="E1101" s="3">
        <v>149000</v>
      </c>
      <c r="F1101" s="3">
        <v>152000</v>
      </c>
      <c r="G1101" s="57">
        <f t="shared" si="17"/>
        <v>2.0134228187919462E-2</v>
      </c>
      <c r="J1101" s="5" t="s">
        <v>4233</v>
      </c>
    </row>
    <row r="1102" spans="1:10" s="13" customFormat="1" x14ac:dyDescent="0.2">
      <c r="A1102" s="1" t="s">
        <v>25</v>
      </c>
      <c r="B1102" s="12" t="s">
        <v>93</v>
      </c>
      <c r="D1102" s="7" t="s">
        <v>3839</v>
      </c>
      <c r="E1102" s="6">
        <v>114000</v>
      </c>
      <c r="F1102" s="6" t="s">
        <v>465</v>
      </c>
      <c r="G1102" s="57" t="str">
        <f t="shared" si="17"/>
        <v>-</v>
      </c>
      <c r="H1102" s="21"/>
      <c r="I1102" s="21"/>
      <c r="J1102" s="7" t="s">
        <v>4234</v>
      </c>
    </row>
    <row r="1103" spans="1:10" ht="38.25" x14ac:dyDescent="0.2">
      <c r="A1103" s="1" t="s">
        <v>25</v>
      </c>
      <c r="B1103" s="2" t="s">
        <v>93</v>
      </c>
      <c r="C1103" s="1"/>
      <c r="D1103" s="5" t="s">
        <v>3840</v>
      </c>
      <c r="E1103" s="3">
        <v>15000</v>
      </c>
      <c r="F1103" s="3">
        <v>146000</v>
      </c>
      <c r="G1103" s="57">
        <f t="shared" si="17"/>
        <v>8.7333333333333325</v>
      </c>
      <c r="J1103" s="5" t="s">
        <v>4235</v>
      </c>
    </row>
    <row r="1104" spans="1:10" ht="38.25" x14ac:dyDescent="0.2">
      <c r="A1104" s="1" t="s">
        <v>25</v>
      </c>
      <c r="B1104" s="2" t="s">
        <v>93</v>
      </c>
      <c r="C1104" s="1"/>
      <c r="D1104" s="5" t="s">
        <v>2229</v>
      </c>
      <c r="E1104" s="3">
        <v>101000</v>
      </c>
      <c r="F1104" s="3">
        <v>115000</v>
      </c>
      <c r="G1104" s="57">
        <f t="shared" si="17"/>
        <v>0.13861386138613863</v>
      </c>
      <c r="J1104" s="5" t="s">
        <v>4236</v>
      </c>
    </row>
    <row r="1105" spans="1:10" ht="25.5" x14ac:dyDescent="0.2">
      <c r="A1105" s="1" t="s">
        <v>25</v>
      </c>
      <c r="B1105" s="2" t="s">
        <v>93</v>
      </c>
      <c r="C1105" s="1"/>
      <c r="D1105" s="5" t="s">
        <v>2230</v>
      </c>
      <c r="E1105" s="3">
        <v>153000</v>
      </c>
      <c r="F1105" s="3">
        <v>154000</v>
      </c>
      <c r="G1105" s="57">
        <f t="shared" si="17"/>
        <v>6.5359477124183009E-3</v>
      </c>
      <c r="J1105" s="5" t="s">
        <v>3841</v>
      </c>
    </row>
    <row r="1106" spans="1:10" ht="76.5" x14ac:dyDescent="0.2">
      <c r="A1106" s="1" t="s">
        <v>25</v>
      </c>
      <c r="B1106" s="2" t="s">
        <v>93</v>
      </c>
      <c r="C1106" s="1"/>
      <c r="D1106" s="5" t="s">
        <v>2231</v>
      </c>
      <c r="E1106" s="3">
        <v>102000</v>
      </c>
      <c r="F1106" s="3">
        <v>104000</v>
      </c>
      <c r="G1106" s="57">
        <f t="shared" si="17"/>
        <v>1.9607843137254902E-2</v>
      </c>
      <c r="J1106" s="5" t="s">
        <v>4237</v>
      </c>
    </row>
    <row r="1107" spans="1:10" x14ac:dyDescent="0.2">
      <c r="A1107" s="1" t="s">
        <v>25</v>
      </c>
      <c r="B1107" s="2" t="s">
        <v>93</v>
      </c>
      <c r="C1107" s="1"/>
      <c r="D1107" s="5" t="s">
        <v>464</v>
      </c>
      <c r="G1107" s="57" t="str">
        <f t="shared" si="17"/>
        <v>-</v>
      </c>
      <c r="H1107" s="19" t="s">
        <v>465</v>
      </c>
      <c r="I1107" s="19">
        <v>92500</v>
      </c>
    </row>
    <row r="1108" spans="1:10" x14ac:dyDescent="0.2">
      <c r="A1108" s="1" t="s">
        <v>25</v>
      </c>
      <c r="B1108" s="2" t="s">
        <v>93</v>
      </c>
      <c r="C1108" s="1"/>
      <c r="D1108" s="5" t="s">
        <v>464</v>
      </c>
      <c r="G1108" s="57" t="str">
        <f t="shared" si="17"/>
        <v>-</v>
      </c>
      <c r="H1108" s="19" t="s">
        <v>465</v>
      </c>
      <c r="I1108" s="19">
        <v>92500</v>
      </c>
    </row>
    <row r="1109" spans="1:10" x14ac:dyDescent="0.2">
      <c r="A1109" s="1" t="s">
        <v>25</v>
      </c>
      <c r="B1109" s="2" t="s">
        <v>93</v>
      </c>
      <c r="C1109" s="1"/>
      <c r="D1109" s="5" t="s">
        <v>464</v>
      </c>
      <c r="G1109" s="57" t="str">
        <f t="shared" si="17"/>
        <v>-</v>
      </c>
      <c r="H1109" s="19" t="s">
        <v>465</v>
      </c>
      <c r="I1109" s="19">
        <v>92500</v>
      </c>
    </row>
    <row r="1110" spans="1:10" x14ac:dyDescent="0.2">
      <c r="A1110" s="1" t="s">
        <v>25</v>
      </c>
      <c r="B1110" s="2" t="s">
        <v>93</v>
      </c>
      <c r="C1110" s="1"/>
      <c r="D1110" s="5" t="s">
        <v>464</v>
      </c>
      <c r="G1110" s="57" t="str">
        <f t="shared" si="17"/>
        <v>-</v>
      </c>
      <c r="H1110" s="19">
        <v>92500</v>
      </c>
      <c r="I1110" s="19" t="s">
        <v>465</v>
      </c>
    </row>
    <row r="1111" spans="1:10" x14ac:dyDescent="0.2">
      <c r="A1111" s="1" t="s">
        <v>25</v>
      </c>
      <c r="B1111" s="2" t="s">
        <v>93</v>
      </c>
      <c r="C1111" s="1"/>
      <c r="D1111" s="5" t="s">
        <v>464</v>
      </c>
      <c r="G1111" s="57" t="str">
        <f t="shared" si="17"/>
        <v>-</v>
      </c>
      <c r="H1111" s="19">
        <v>92500</v>
      </c>
      <c r="I1111" s="19" t="s">
        <v>465</v>
      </c>
    </row>
    <row r="1112" spans="1:10" x14ac:dyDescent="0.2">
      <c r="A1112" s="1" t="s">
        <v>25</v>
      </c>
      <c r="B1112" s="2" t="s">
        <v>93</v>
      </c>
      <c r="C1112" s="1"/>
      <c r="D1112" s="5" t="s">
        <v>464</v>
      </c>
      <c r="G1112" s="57" t="str">
        <f t="shared" si="17"/>
        <v>-</v>
      </c>
      <c r="H1112" s="19" t="s">
        <v>465</v>
      </c>
      <c r="I1112" s="19">
        <v>97500</v>
      </c>
    </row>
    <row r="1113" spans="1:10" x14ac:dyDescent="0.2">
      <c r="A1113" s="1" t="s">
        <v>25</v>
      </c>
      <c r="B1113" s="2" t="s">
        <v>93</v>
      </c>
      <c r="C1113" s="1"/>
      <c r="D1113" s="5" t="s">
        <v>464</v>
      </c>
      <c r="G1113" s="57" t="str">
        <f t="shared" si="17"/>
        <v>-</v>
      </c>
      <c r="H1113" s="19" t="s">
        <v>465</v>
      </c>
      <c r="I1113" s="19">
        <v>97500</v>
      </c>
    </row>
    <row r="1114" spans="1:10" x14ac:dyDescent="0.2">
      <c r="A1114" s="1" t="s">
        <v>25</v>
      </c>
      <c r="B1114" s="2" t="s">
        <v>93</v>
      </c>
      <c r="C1114" s="1"/>
      <c r="D1114" s="5" t="s">
        <v>464</v>
      </c>
      <c r="G1114" s="57" t="str">
        <f t="shared" si="17"/>
        <v>-</v>
      </c>
      <c r="H1114" s="19" t="s">
        <v>465</v>
      </c>
      <c r="I1114" s="19">
        <v>97500</v>
      </c>
    </row>
    <row r="1115" spans="1:10" x14ac:dyDescent="0.2">
      <c r="A1115" s="1" t="s">
        <v>25</v>
      </c>
      <c r="B1115" s="2" t="s">
        <v>93</v>
      </c>
      <c r="C1115" s="1"/>
      <c r="D1115" s="5" t="s">
        <v>464</v>
      </c>
      <c r="G1115" s="57" t="str">
        <f t="shared" si="17"/>
        <v>-</v>
      </c>
      <c r="H1115" s="19">
        <v>97500</v>
      </c>
      <c r="I1115" s="19" t="s">
        <v>465</v>
      </c>
    </row>
    <row r="1116" spans="1:10" x14ac:dyDescent="0.2">
      <c r="A1116" s="1" t="s">
        <v>25</v>
      </c>
      <c r="B1116" s="2" t="s">
        <v>93</v>
      </c>
      <c r="C1116" s="1"/>
      <c r="D1116" s="5" t="s">
        <v>464</v>
      </c>
      <c r="G1116" s="57" t="str">
        <f t="shared" si="17"/>
        <v>-</v>
      </c>
      <c r="H1116" s="19">
        <v>97500</v>
      </c>
      <c r="I1116" s="19" t="s">
        <v>465</v>
      </c>
    </row>
    <row r="1117" spans="1:10" x14ac:dyDescent="0.2">
      <c r="A1117" s="1" t="s">
        <v>25</v>
      </c>
      <c r="B1117" s="2" t="s">
        <v>93</v>
      </c>
      <c r="C1117" s="1"/>
      <c r="D1117" s="5" t="s">
        <v>464</v>
      </c>
      <c r="G1117" s="57" t="str">
        <f t="shared" si="17"/>
        <v>-</v>
      </c>
      <c r="H1117" s="19">
        <v>97500</v>
      </c>
      <c r="I1117" s="19" t="s">
        <v>465</v>
      </c>
    </row>
    <row r="1118" spans="1:10" x14ac:dyDescent="0.2">
      <c r="A1118" s="1" t="s">
        <v>25</v>
      </c>
      <c r="B1118" s="2" t="s">
        <v>93</v>
      </c>
      <c r="C1118" s="1"/>
      <c r="D1118" s="5" t="s">
        <v>464</v>
      </c>
      <c r="E1118" s="3" t="s">
        <v>465</v>
      </c>
      <c r="F1118" s="3">
        <v>107500</v>
      </c>
      <c r="G1118" s="57" t="str">
        <f t="shared" si="17"/>
        <v>-</v>
      </c>
    </row>
    <row r="1119" spans="1:10" x14ac:dyDescent="0.2">
      <c r="A1119" s="1" t="s">
        <v>25</v>
      </c>
      <c r="B1119" s="2" t="s">
        <v>93</v>
      </c>
      <c r="C1119" s="1"/>
      <c r="D1119" s="5" t="s">
        <v>464</v>
      </c>
      <c r="E1119" s="3">
        <v>117500</v>
      </c>
      <c r="F1119" s="3" t="s">
        <v>465</v>
      </c>
      <c r="G1119" s="57" t="str">
        <f t="shared" si="17"/>
        <v>-</v>
      </c>
    </row>
    <row r="1120" spans="1:10" x14ac:dyDescent="0.2">
      <c r="A1120" s="1" t="s">
        <v>25</v>
      </c>
      <c r="B1120" s="2" t="s">
        <v>93</v>
      </c>
      <c r="C1120" s="1"/>
      <c r="D1120" s="5" t="s">
        <v>464</v>
      </c>
      <c r="E1120" s="3" t="s">
        <v>465</v>
      </c>
      <c r="F1120" s="3">
        <v>122500</v>
      </c>
      <c r="G1120" s="57" t="str">
        <f t="shared" si="17"/>
        <v>-</v>
      </c>
    </row>
    <row r="1121" spans="1:10" x14ac:dyDescent="0.2">
      <c r="A1121" s="1" t="s">
        <v>25</v>
      </c>
      <c r="B1121" s="2" t="s">
        <v>93</v>
      </c>
      <c r="C1121" s="1"/>
      <c r="D1121" s="5" t="s">
        <v>464</v>
      </c>
      <c r="E1121" s="3">
        <v>122500</v>
      </c>
      <c r="F1121" s="3" t="s">
        <v>465</v>
      </c>
      <c r="G1121" s="57" t="str">
        <f t="shared" si="17"/>
        <v>-</v>
      </c>
    </row>
    <row r="1122" spans="1:10" x14ac:dyDescent="0.2">
      <c r="A1122" s="1" t="s">
        <v>25</v>
      </c>
      <c r="B1122" s="2" t="s">
        <v>93</v>
      </c>
      <c r="C1122" s="1"/>
      <c r="D1122" s="5" t="s">
        <v>464</v>
      </c>
      <c r="E1122" s="3" t="s">
        <v>465</v>
      </c>
      <c r="F1122" s="3">
        <v>127500</v>
      </c>
      <c r="G1122" s="57" t="str">
        <f t="shared" si="17"/>
        <v>-</v>
      </c>
    </row>
    <row r="1123" spans="1:10" x14ac:dyDescent="0.2">
      <c r="A1123" s="1" t="s">
        <v>25</v>
      </c>
      <c r="B1123" s="2" t="s">
        <v>93</v>
      </c>
      <c r="C1123" s="1"/>
      <c r="D1123" s="5" t="s">
        <v>464</v>
      </c>
      <c r="E1123" s="3" t="s">
        <v>465</v>
      </c>
      <c r="F1123" s="3">
        <v>127500</v>
      </c>
      <c r="G1123" s="57" t="str">
        <f t="shared" si="17"/>
        <v>-</v>
      </c>
    </row>
    <row r="1124" spans="1:10" x14ac:dyDescent="0.2">
      <c r="A1124" s="1" t="s">
        <v>25</v>
      </c>
      <c r="B1124" s="2" t="s">
        <v>93</v>
      </c>
      <c r="C1124" s="1"/>
      <c r="D1124" s="5" t="s">
        <v>464</v>
      </c>
      <c r="E1124" s="3">
        <v>127500</v>
      </c>
      <c r="F1124" s="3" t="s">
        <v>465</v>
      </c>
      <c r="G1124" s="57" t="str">
        <f t="shared" si="17"/>
        <v>-</v>
      </c>
    </row>
    <row r="1125" spans="1:10" x14ac:dyDescent="0.2">
      <c r="A1125" s="1" t="s">
        <v>25</v>
      </c>
      <c r="B1125" s="2" t="s">
        <v>93</v>
      </c>
      <c r="C1125" s="1"/>
      <c r="D1125" s="5" t="s">
        <v>464</v>
      </c>
      <c r="E1125" s="3">
        <v>137500</v>
      </c>
      <c r="F1125" s="3" t="s">
        <v>465</v>
      </c>
      <c r="G1125" s="57" t="str">
        <f t="shared" si="17"/>
        <v>-</v>
      </c>
    </row>
    <row r="1126" spans="1:10" x14ac:dyDescent="0.2">
      <c r="A1126" s="1" t="s">
        <v>25</v>
      </c>
      <c r="B1126" s="2" t="s">
        <v>93</v>
      </c>
      <c r="C1126" s="1"/>
      <c r="D1126" s="5" t="s">
        <v>464</v>
      </c>
      <c r="E1126" s="3">
        <v>152500</v>
      </c>
      <c r="F1126" s="3" t="s">
        <v>465</v>
      </c>
      <c r="G1126" s="57" t="str">
        <f t="shared" si="17"/>
        <v>-</v>
      </c>
    </row>
    <row r="1127" spans="1:10" x14ac:dyDescent="0.2">
      <c r="A1127" s="1" t="s">
        <v>25</v>
      </c>
      <c r="B1127" s="2" t="s">
        <v>93</v>
      </c>
      <c r="C1127" s="1"/>
      <c r="D1127" s="5" t="s">
        <v>464</v>
      </c>
      <c r="E1127" s="3" t="s">
        <v>465</v>
      </c>
      <c r="F1127" s="3">
        <v>182500</v>
      </c>
      <c r="G1127" s="57" t="str">
        <f t="shared" si="17"/>
        <v>-</v>
      </c>
    </row>
    <row r="1128" spans="1:10" x14ac:dyDescent="0.2">
      <c r="A1128" s="1" t="s">
        <v>25</v>
      </c>
      <c r="B1128" s="2" t="s">
        <v>93</v>
      </c>
      <c r="C1128" s="1"/>
      <c r="D1128" s="5" t="s">
        <v>464</v>
      </c>
      <c r="E1128" s="3">
        <v>182500</v>
      </c>
      <c r="F1128" s="3" t="s">
        <v>465</v>
      </c>
      <c r="G1128" s="57" t="str">
        <f t="shared" si="17"/>
        <v>-</v>
      </c>
    </row>
    <row r="1129" spans="1:10" s="13" customFormat="1" ht="38.25" x14ac:dyDescent="0.2">
      <c r="A1129" s="13" t="s">
        <v>1</v>
      </c>
      <c r="B1129" s="12" t="s">
        <v>94</v>
      </c>
      <c r="C1129" s="13" t="s">
        <v>2220</v>
      </c>
      <c r="D1129" s="7" t="s">
        <v>450</v>
      </c>
      <c r="E1129" s="6">
        <f>97095+2850+17451+513</f>
        <v>117909</v>
      </c>
      <c r="F1129" s="6">
        <f>97095+3350+17224+620</f>
        <v>118289</v>
      </c>
      <c r="G1129" s="57">
        <f t="shared" si="17"/>
        <v>3.2228243815145578E-3</v>
      </c>
      <c r="H1129" s="21"/>
      <c r="I1129" s="21"/>
      <c r="J1129" s="7" t="s">
        <v>3842</v>
      </c>
    </row>
    <row r="1130" spans="1:10" x14ac:dyDescent="0.2">
      <c r="A1130" s="13" t="s">
        <v>1</v>
      </c>
      <c r="B1130" s="2" t="s">
        <v>94</v>
      </c>
      <c r="C1130" s="1"/>
      <c r="D1130" s="5" t="s">
        <v>464</v>
      </c>
      <c r="G1130" s="57" t="str">
        <f t="shared" si="17"/>
        <v>-</v>
      </c>
      <c r="H1130" s="19" t="s">
        <v>465</v>
      </c>
      <c r="I1130" s="19">
        <v>92500</v>
      </c>
      <c r="J1130" s="5" t="s">
        <v>1241</v>
      </c>
    </row>
    <row r="1131" spans="1:10" ht="25.5" x14ac:dyDescent="0.2">
      <c r="A1131" s="1" t="s">
        <v>20</v>
      </c>
      <c r="B1131" s="2" t="s">
        <v>95</v>
      </c>
      <c r="C1131" s="1"/>
      <c r="D1131" s="5" t="s">
        <v>450</v>
      </c>
      <c r="E1131" s="3">
        <v>131518</v>
      </c>
      <c r="F1131" s="3">
        <v>133813</v>
      </c>
      <c r="G1131" s="57">
        <f t="shared" si="17"/>
        <v>1.745008287838927E-2</v>
      </c>
      <c r="J1131" s="5" t="s">
        <v>3843</v>
      </c>
    </row>
    <row r="1132" spans="1:10" ht="25.5" x14ac:dyDescent="0.2">
      <c r="A1132" s="1" t="s">
        <v>20</v>
      </c>
      <c r="B1132" s="2" t="s">
        <v>95</v>
      </c>
      <c r="C1132" s="1"/>
      <c r="D1132" s="5" t="s">
        <v>529</v>
      </c>
      <c r="E1132" s="3">
        <v>104351</v>
      </c>
      <c r="F1132" s="3">
        <v>105394</v>
      </c>
      <c r="G1132" s="57">
        <f t="shared" si="17"/>
        <v>9.9951126486569359E-3</v>
      </c>
      <c r="J1132" s="5" t="s">
        <v>3844</v>
      </c>
    </row>
    <row r="1133" spans="1:10" s="13" customFormat="1" ht="25.5" x14ac:dyDescent="0.2">
      <c r="A1133" s="1" t="s">
        <v>20</v>
      </c>
      <c r="B1133" s="12" t="s">
        <v>95</v>
      </c>
      <c r="D1133" s="7" t="s">
        <v>529</v>
      </c>
      <c r="E1133" s="6">
        <v>104220</v>
      </c>
      <c r="F1133" s="6">
        <v>105426</v>
      </c>
      <c r="G1133" s="57">
        <f t="shared" si="17"/>
        <v>1.157167530224525E-2</v>
      </c>
      <c r="H1133" s="21"/>
      <c r="I1133" s="21"/>
      <c r="J1133" s="7" t="s">
        <v>3845</v>
      </c>
    </row>
    <row r="1134" spans="1:10" ht="25.5" x14ac:dyDescent="0.2">
      <c r="A1134" s="1" t="s">
        <v>20</v>
      </c>
      <c r="B1134" s="2" t="s">
        <v>95</v>
      </c>
      <c r="C1134" s="1"/>
      <c r="D1134" s="5" t="s">
        <v>529</v>
      </c>
      <c r="E1134" s="3">
        <v>104252</v>
      </c>
      <c r="F1134" s="3">
        <v>105394</v>
      </c>
      <c r="G1134" s="57">
        <f t="shared" si="17"/>
        <v>1.0954226297816828E-2</v>
      </c>
      <c r="J1134" s="5" t="s">
        <v>3844</v>
      </c>
    </row>
    <row r="1135" spans="1:10" ht="25.5" x14ac:dyDescent="0.2">
      <c r="A1135" s="1" t="s">
        <v>11</v>
      </c>
      <c r="B1135" s="2" t="s">
        <v>96</v>
      </c>
      <c r="C1135" s="29" t="s">
        <v>2697</v>
      </c>
      <c r="G1135" s="57" t="str">
        <f t="shared" si="17"/>
        <v>-</v>
      </c>
    </row>
    <row r="1136" spans="1:10" ht="25.5" x14ac:dyDescent="0.2">
      <c r="A1136" s="1" t="s">
        <v>44</v>
      </c>
      <c r="B1136" s="2" t="s">
        <v>97</v>
      </c>
      <c r="C1136" s="1"/>
      <c r="D1136" s="5" t="s">
        <v>450</v>
      </c>
      <c r="E1136" s="3">
        <v>147452</v>
      </c>
      <c r="F1136" s="3">
        <v>139032</v>
      </c>
      <c r="G1136" s="57">
        <f t="shared" si="17"/>
        <v>-5.7103328540813285E-2</v>
      </c>
      <c r="J1136" s="5" t="s">
        <v>3846</v>
      </c>
    </row>
    <row r="1137" spans="1:10" ht="25.5" x14ac:dyDescent="0.2">
      <c r="A1137" s="1" t="s">
        <v>44</v>
      </c>
      <c r="B1137" s="2" t="s">
        <v>97</v>
      </c>
      <c r="C1137" s="1"/>
      <c r="D1137" s="5" t="s">
        <v>4592</v>
      </c>
      <c r="E1137" s="3">
        <v>112145</v>
      </c>
      <c r="F1137" s="3">
        <v>133319</v>
      </c>
      <c r="G1137" s="57">
        <f t="shared" si="17"/>
        <v>0.1888091310357127</v>
      </c>
      <c r="J1137" s="5" t="s">
        <v>3847</v>
      </c>
    </row>
    <row r="1138" spans="1:10" ht="25.5" x14ac:dyDescent="0.2">
      <c r="A1138" s="1" t="s">
        <v>44</v>
      </c>
      <c r="B1138" s="2" t="s">
        <v>97</v>
      </c>
      <c r="C1138" s="1"/>
      <c r="D1138" s="5" t="s">
        <v>2218</v>
      </c>
      <c r="E1138" s="3">
        <v>83034</v>
      </c>
      <c r="F1138" s="3">
        <v>101457</v>
      </c>
      <c r="G1138" s="57">
        <f t="shared" si="17"/>
        <v>0.22187296769997833</v>
      </c>
      <c r="J1138" s="5" t="s">
        <v>3848</v>
      </c>
    </row>
    <row r="1139" spans="1:10" ht="25.5" x14ac:dyDescent="0.2">
      <c r="A1139" s="1" t="s">
        <v>44</v>
      </c>
      <c r="B1139" s="2" t="s">
        <v>97</v>
      </c>
      <c r="C1139" s="1"/>
      <c r="D1139" s="5" t="s">
        <v>2219</v>
      </c>
      <c r="E1139" s="3">
        <v>82991</v>
      </c>
      <c r="F1139" s="3">
        <v>101143</v>
      </c>
      <c r="G1139" s="57">
        <f t="shared" si="17"/>
        <v>0.21872251207962309</v>
      </c>
      <c r="J1139" s="5" t="s">
        <v>3849</v>
      </c>
    </row>
    <row r="1140" spans="1:10" ht="25.5" x14ac:dyDescent="0.2">
      <c r="A1140" s="1" t="s">
        <v>11</v>
      </c>
      <c r="B1140" s="2" t="s">
        <v>98</v>
      </c>
      <c r="C1140" s="29" t="s">
        <v>2697</v>
      </c>
      <c r="G1140" s="57" t="str">
        <f t="shared" si="17"/>
        <v>-</v>
      </c>
    </row>
    <row r="1141" spans="1:10" ht="25.5" x14ac:dyDescent="0.2">
      <c r="A1141" s="1" t="s">
        <v>6</v>
      </c>
      <c r="B1141" s="2" t="s">
        <v>99</v>
      </c>
      <c r="C1141" s="29" t="s">
        <v>2697</v>
      </c>
      <c r="G1141" s="57" t="str">
        <f t="shared" si="17"/>
        <v>-</v>
      </c>
    </row>
    <row r="1142" spans="1:10" ht="25.5" x14ac:dyDescent="0.2">
      <c r="A1142" s="1" t="s">
        <v>8</v>
      </c>
      <c r="B1142" s="2" t="s">
        <v>100</v>
      </c>
      <c r="C1142" s="1"/>
      <c r="D1142" s="5" t="s">
        <v>450</v>
      </c>
      <c r="E1142" s="3">
        <v>120814</v>
      </c>
      <c r="F1142" s="3">
        <v>123239</v>
      </c>
      <c r="G1142" s="57">
        <f t="shared" si="17"/>
        <v>2.0072177065571871E-2</v>
      </c>
      <c r="J1142" s="5" t="s">
        <v>3850</v>
      </c>
    </row>
    <row r="1143" spans="1:10" ht="25.5" x14ac:dyDescent="0.2">
      <c r="A1143" s="1" t="s">
        <v>8</v>
      </c>
      <c r="B1143" s="2" t="s">
        <v>100</v>
      </c>
      <c r="C1143" s="1"/>
      <c r="D1143" s="5" t="s">
        <v>2216</v>
      </c>
      <c r="E1143" s="3">
        <v>73535</v>
      </c>
      <c r="F1143" s="3">
        <v>116779</v>
      </c>
      <c r="G1143" s="57">
        <f t="shared" si="17"/>
        <v>0.58807370639831369</v>
      </c>
      <c r="J1143" s="5" t="s">
        <v>3851</v>
      </c>
    </row>
    <row r="1144" spans="1:10" ht="38.25" x14ac:dyDescent="0.2">
      <c r="A1144" s="1" t="s">
        <v>8</v>
      </c>
      <c r="B1144" s="2" t="s">
        <v>100</v>
      </c>
      <c r="C1144" s="1"/>
      <c r="D1144" s="5" t="s">
        <v>520</v>
      </c>
      <c r="E1144" s="3">
        <v>76119</v>
      </c>
      <c r="F1144" s="3">
        <v>103404</v>
      </c>
      <c r="G1144" s="57">
        <f t="shared" si="17"/>
        <v>0.35845189768651714</v>
      </c>
      <c r="J1144" s="5" t="s">
        <v>3852</v>
      </c>
    </row>
    <row r="1145" spans="1:10" ht="38.25" x14ac:dyDescent="0.2">
      <c r="A1145" s="1" t="s">
        <v>8</v>
      </c>
      <c r="B1145" s="2" t="s">
        <v>100</v>
      </c>
      <c r="C1145" s="1"/>
      <c r="D1145" s="5" t="s">
        <v>2217</v>
      </c>
      <c r="E1145" s="3">
        <v>74882</v>
      </c>
      <c r="F1145" s="3">
        <v>106060</v>
      </c>
      <c r="G1145" s="57">
        <f t="shared" si="17"/>
        <v>0.41636174247482705</v>
      </c>
      <c r="J1145" s="5" t="s">
        <v>3853</v>
      </c>
    </row>
    <row r="1146" spans="1:10" ht="51" x14ac:dyDescent="0.2">
      <c r="A1146" s="1" t="s">
        <v>34</v>
      </c>
      <c r="B1146" s="2" t="s">
        <v>101</v>
      </c>
      <c r="C1146" s="1" t="s">
        <v>2210</v>
      </c>
      <c r="D1146" s="5" t="s">
        <v>450</v>
      </c>
      <c r="E1146" s="3">
        <v>238800</v>
      </c>
      <c r="F1146" s="3">
        <v>245342</v>
      </c>
      <c r="G1146" s="57">
        <f t="shared" si="17"/>
        <v>2.739530988274707E-2</v>
      </c>
      <c r="J1146" s="5" t="s">
        <v>4238</v>
      </c>
    </row>
    <row r="1147" spans="1:10" ht="76.5" x14ac:dyDescent="0.2">
      <c r="A1147" s="1" t="s">
        <v>34</v>
      </c>
      <c r="B1147" s="2" t="s">
        <v>101</v>
      </c>
      <c r="C1147" s="1"/>
      <c r="D1147" s="5" t="s">
        <v>451</v>
      </c>
      <c r="E1147" s="3">
        <v>131340</v>
      </c>
      <c r="F1147" s="3">
        <v>112716</v>
      </c>
      <c r="G1147" s="57">
        <f t="shared" si="17"/>
        <v>-0.14179990863407949</v>
      </c>
      <c r="J1147" s="5" t="s">
        <v>4239</v>
      </c>
    </row>
    <row r="1148" spans="1:10" ht="51" x14ac:dyDescent="0.2">
      <c r="A1148" s="1" t="s">
        <v>34</v>
      </c>
      <c r="B1148" s="2" t="s">
        <v>101</v>
      </c>
      <c r="C1148" s="1"/>
      <c r="D1148" s="5" t="s">
        <v>2211</v>
      </c>
      <c r="E1148" s="3">
        <v>143280</v>
      </c>
      <c r="F1148" s="3">
        <v>156618</v>
      </c>
      <c r="G1148" s="57">
        <f t="shared" si="17"/>
        <v>9.3090452261306536E-2</v>
      </c>
      <c r="J1148" s="5" t="s">
        <v>4614</v>
      </c>
    </row>
    <row r="1149" spans="1:10" ht="25.5" x14ac:dyDescent="0.2">
      <c r="A1149" s="1" t="s">
        <v>34</v>
      </c>
      <c r="B1149" s="2" t="s">
        <v>101</v>
      </c>
      <c r="C1149" s="1"/>
      <c r="D1149" s="5" t="s">
        <v>2212</v>
      </c>
      <c r="E1149" s="3">
        <v>167160</v>
      </c>
      <c r="F1149" s="3">
        <v>167257</v>
      </c>
      <c r="G1149" s="57">
        <f t="shared" si="17"/>
        <v>5.8028236420196221E-4</v>
      </c>
      <c r="J1149" s="5" t="s">
        <v>3854</v>
      </c>
    </row>
    <row r="1150" spans="1:10" s="13" customFormat="1" ht="25.5" x14ac:dyDescent="0.2">
      <c r="A1150" s="1" t="s">
        <v>34</v>
      </c>
      <c r="B1150" s="12" t="s">
        <v>101</v>
      </c>
      <c r="D1150" s="7" t="s">
        <v>3855</v>
      </c>
      <c r="E1150" s="6">
        <v>231274</v>
      </c>
      <c r="F1150" s="6">
        <v>69649</v>
      </c>
      <c r="G1150" s="57">
        <f t="shared" si="17"/>
        <v>-0.69884638999628146</v>
      </c>
      <c r="H1150" s="21"/>
      <c r="I1150" s="21"/>
      <c r="J1150" s="7" t="s">
        <v>4240</v>
      </c>
    </row>
    <row r="1151" spans="1:10" ht="38.25" x14ac:dyDescent="0.2">
      <c r="A1151" s="1" t="s">
        <v>34</v>
      </c>
      <c r="B1151" s="2" t="s">
        <v>101</v>
      </c>
      <c r="C1151" s="1"/>
      <c r="D1151" s="5" t="s">
        <v>2213</v>
      </c>
      <c r="E1151" s="3">
        <v>107266</v>
      </c>
      <c r="F1151" s="3">
        <v>117734</v>
      </c>
      <c r="G1151" s="57">
        <f t="shared" si="17"/>
        <v>9.7589170846307305E-2</v>
      </c>
      <c r="J1151" s="5" t="s">
        <v>4241</v>
      </c>
    </row>
    <row r="1152" spans="1:10" ht="51" x14ac:dyDescent="0.2">
      <c r="A1152" s="1" t="s">
        <v>34</v>
      </c>
      <c r="B1152" s="2" t="s">
        <v>101</v>
      </c>
      <c r="C1152" s="1"/>
      <c r="D1152" s="5" t="s">
        <v>2214</v>
      </c>
      <c r="E1152" s="3">
        <v>155220</v>
      </c>
      <c r="F1152" s="3">
        <v>162967</v>
      </c>
      <c r="G1152" s="57">
        <f t="shared" si="17"/>
        <v>4.9909805437443631E-2</v>
      </c>
      <c r="J1152" s="5" t="s">
        <v>4615</v>
      </c>
    </row>
    <row r="1153" spans="1:10" ht="38.25" x14ac:dyDescent="0.2">
      <c r="A1153" s="1" t="s">
        <v>34</v>
      </c>
      <c r="B1153" s="2" t="s">
        <v>101</v>
      </c>
      <c r="C1153" s="1"/>
      <c r="D1153" s="5" t="s">
        <v>2215</v>
      </c>
      <c r="E1153" s="3">
        <v>77610</v>
      </c>
      <c r="F1153" s="3">
        <v>145141</v>
      </c>
      <c r="G1153" s="57">
        <f t="shared" si="17"/>
        <v>0.87013271485633292</v>
      </c>
      <c r="J1153" s="5" t="s">
        <v>4242</v>
      </c>
    </row>
    <row r="1154" spans="1:10" s="13" customFormat="1" x14ac:dyDescent="0.2">
      <c r="A1154" s="1" t="s">
        <v>34</v>
      </c>
      <c r="B1154" s="12" t="s">
        <v>101</v>
      </c>
      <c r="D1154" s="7" t="s">
        <v>464</v>
      </c>
      <c r="E1154" s="6"/>
      <c r="F1154" s="6"/>
      <c r="G1154" s="57" t="str">
        <f t="shared" si="17"/>
        <v>-</v>
      </c>
      <c r="H1154" s="21" t="s">
        <v>465</v>
      </c>
      <c r="I1154" s="21">
        <v>92500</v>
      </c>
      <c r="J1154" s="7"/>
    </row>
    <row r="1155" spans="1:10" s="13" customFormat="1" x14ac:dyDescent="0.2">
      <c r="A1155" s="1" t="s">
        <v>34</v>
      </c>
      <c r="B1155" s="12" t="s">
        <v>101</v>
      </c>
      <c r="D1155" s="7" t="s">
        <v>464</v>
      </c>
      <c r="E1155" s="6"/>
      <c r="F1155" s="6"/>
      <c r="G1155" s="57" t="str">
        <f t="shared" ref="G1155:G1218" si="18">IF(ISERROR((F1155-E1155)/E1155),"-",(F1155-E1155)/E1155)</f>
        <v>-</v>
      </c>
      <c r="H1155" s="21" t="s">
        <v>465</v>
      </c>
      <c r="I1155" s="21">
        <v>92500</v>
      </c>
      <c r="J1155" s="7"/>
    </row>
    <row r="1156" spans="1:10" s="13" customFormat="1" x14ac:dyDescent="0.2">
      <c r="A1156" s="1" t="s">
        <v>34</v>
      </c>
      <c r="B1156" s="12" t="s">
        <v>101</v>
      </c>
      <c r="D1156" s="7" t="s">
        <v>464</v>
      </c>
      <c r="E1156" s="6"/>
      <c r="F1156" s="6"/>
      <c r="G1156" s="57" t="str">
        <f t="shared" si="18"/>
        <v>-</v>
      </c>
      <c r="H1156" s="21" t="s">
        <v>465</v>
      </c>
      <c r="I1156" s="21">
        <v>92500</v>
      </c>
      <c r="J1156" s="7"/>
    </row>
    <row r="1157" spans="1:10" s="13" customFormat="1" x14ac:dyDescent="0.2">
      <c r="A1157" s="1" t="s">
        <v>34</v>
      </c>
      <c r="B1157" s="12" t="s">
        <v>101</v>
      </c>
      <c r="D1157" s="7" t="s">
        <v>464</v>
      </c>
      <c r="E1157" s="6"/>
      <c r="F1157" s="6"/>
      <c r="G1157" s="57" t="str">
        <f t="shared" si="18"/>
        <v>-</v>
      </c>
      <c r="H1157" s="21" t="s">
        <v>465</v>
      </c>
      <c r="I1157" s="21">
        <v>92500</v>
      </c>
      <c r="J1157" s="7"/>
    </row>
    <row r="1158" spans="1:10" s="13" customFormat="1" x14ac:dyDescent="0.2">
      <c r="A1158" s="1" t="s">
        <v>34</v>
      </c>
      <c r="B1158" s="12" t="s">
        <v>101</v>
      </c>
      <c r="D1158" s="7" t="s">
        <v>464</v>
      </c>
      <c r="E1158" s="6"/>
      <c r="F1158" s="6"/>
      <c r="G1158" s="57" t="str">
        <f t="shared" si="18"/>
        <v>-</v>
      </c>
      <c r="H1158" s="21">
        <v>92500</v>
      </c>
      <c r="I1158" s="21" t="s">
        <v>465</v>
      </c>
      <c r="J1158" s="7"/>
    </row>
    <row r="1159" spans="1:10" s="13" customFormat="1" x14ac:dyDescent="0.2">
      <c r="A1159" s="1" t="s">
        <v>34</v>
      </c>
      <c r="B1159" s="12" t="s">
        <v>101</v>
      </c>
      <c r="D1159" s="7" t="s">
        <v>464</v>
      </c>
      <c r="E1159" s="6"/>
      <c r="F1159" s="6"/>
      <c r="G1159" s="57" t="str">
        <f t="shared" si="18"/>
        <v>-</v>
      </c>
      <c r="H1159" s="21">
        <v>92500</v>
      </c>
      <c r="I1159" s="21" t="s">
        <v>465</v>
      </c>
      <c r="J1159" s="7"/>
    </row>
    <row r="1160" spans="1:10" s="13" customFormat="1" x14ac:dyDescent="0.2">
      <c r="A1160" s="1" t="s">
        <v>34</v>
      </c>
      <c r="B1160" s="12" t="s">
        <v>101</v>
      </c>
      <c r="D1160" s="7" t="s">
        <v>464</v>
      </c>
      <c r="E1160" s="6"/>
      <c r="F1160" s="6"/>
      <c r="G1160" s="57" t="str">
        <f t="shared" si="18"/>
        <v>-</v>
      </c>
      <c r="H1160" s="21">
        <v>92500</v>
      </c>
      <c r="I1160" s="21" t="s">
        <v>465</v>
      </c>
      <c r="J1160" s="7"/>
    </row>
    <row r="1161" spans="1:10" s="13" customFormat="1" x14ac:dyDescent="0.2">
      <c r="A1161" s="1" t="s">
        <v>34</v>
      </c>
      <c r="B1161" s="12" t="s">
        <v>101</v>
      </c>
      <c r="D1161" s="7" t="s">
        <v>464</v>
      </c>
      <c r="E1161" s="6"/>
      <c r="F1161" s="6"/>
      <c r="G1161" s="57" t="str">
        <f t="shared" si="18"/>
        <v>-</v>
      </c>
      <c r="H1161" s="21">
        <v>92500</v>
      </c>
      <c r="I1161" s="21" t="s">
        <v>465</v>
      </c>
      <c r="J1161" s="7"/>
    </row>
    <row r="1162" spans="1:10" s="13" customFormat="1" x14ac:dyDescent="0.2">
      <c r="A1162" s="1" t="s">
        <v>34</v>
      </c>
      <c r="B1162" s="12" t="s">
        <v>101</v>
      </c>
      <c r="D1162" s="7" t="s">
        <v>464</v>
      </c>
      <c r="E1162" s="6"/>
      <c r="F1162" s="6"/>
      <c r="G1162" s="57" t="str">
        <f t="shared" si="18"/>
        <v>-</v>
      </c>
      <c r="H1162" s="21" t="s">
        <v>465</v>
      </c>
      <c r="I1162" s="21">
        <v>97500</v>
      </c>
      <c r="J1162" s="7"/>
    </row>
    <row r="1163" spans="1:10" s="13" customFormat="1" x14ac:dyDescent="0.2">
      <c r="A1163" s="1" t="s">
        <v>34</v>
      </c>
      <c r="B1163" s="12" t="s">
        <v>101</v>
      </c>
      <c r="D1163" s="7" t="s">
        <v>464</v>
      </c>
      <c r="E1163" s="6"/>
      <c r="F1163" s="6"/>
      <c r="G1163" s="57" t="str">
        <f t="shared" si="18"/>
        <v>-</v>
      </c>
      <c r="H1163" s="21" t="s">
        <v>465</v>
      </c>
      <c r="I1163" s="21">
        <v>97500</v>
      </c>
      <c r="J1163" s="7"/>
    </row>
    <row r="1164" spans="1:10" s="13" customFormat="1" x14ac:dyDescent="0.2">
      <c r="A1164" s="1" t="s">
        <v>34</v>
      </c>
      <c r="B1164" s="12" t="s">
        <v>101</v>
      </c>
      <c r="D1164" s="7" t="s">
        <v>464</v>
      </c>
      <c r="E1164" s="6"/>
      <c r="F1164" s="6"/>
      <c r="G1164" s="57" t="str">
        <f t="shared" si="18"/>
        <v>-</v>
      </c>
      <c r="H1164" s="21" t="s">
        <v>465</v>
      </c>
      <c r="I1164" s="21">
        <v>97500</v>
      </c>
      <c r="J1164" s="7"/>
    </row>
    <row r="1165" spans="1:10" s="13" customFormat="1" x14ac:dyDescent="0.2">
      <c r="A1165" s="1" t="s">
        <v>34</v>
      </c>
      <c r="B1165" s="12" t="s">
        <v>101</v>
      </c>
      <c r="D1165" s="7" t="s">
        <v>464</v>
      </c>
      <c r="E1165" s="6"/>
      <c r="F1165" s="6"/>
      <c r="G1165" s="57" t="str">
        <f t="shared" si="18"/>
        <v>-</v>
      </c>
      <c r="H1165" s="21">
        <v>97500</v>
      </c>
      <c r="I1165" s="21" t="s">
        <v>465</v>
      </c>
      <c r="J1165" s="7"/>
    </row>
    <row r="1166" spans="1:10" s="13" customFormat="1" x14ac:dyDescent="0.2">
      <c r="A1166" s="1" t="s">
        <v>34</v>
      </c>
      <c r="B1166" s="12" t="s">
        <v>101</v>
      </c>
      <c r="D1166" s="7" t="s">
        <v>464</v>
      </c>
      <c r="E1166" s="6"/>
      <c r="F1166" s="6"/>
      <c r="G1166" s="57" t="str">
        <f t="shared" si="18"/>
        <v>-</v>
      </c>
      <c r="H1166" s="21">
        <v>97500</v>
      </c>
      <c r="I1166" s="21" t="s">
        <v>465</v>
      </c>
      <c r="J1166" s="7"/>
    </row>
    <row r="1167" spans="1:10" s="13" customFormat="1" x14ac:dyDescent="0.2">
      <c r="A1167" s="1" t="s">
        <v>34</v>
      </c>
      <c r="B1167" s="12" t="s">
        <v>101</v>
      </c>
      <c r="D1167" s="7" t="s">
        <v>464</v>
      </c>
      <c r="E1167" s="6"/>
      <c r="F1167" s="6"/>
      <c r="G1167" s="57" t="str">
        <f t="shared" si="18"/>
        <v>-</v>
      </c>
      <c r="H1167" s="21">
        <v>97500</v>
      </c>
      <c r="I1167" s="21" t="s">
        <v>465</v>
      </c>
      <c r="J1167" s="7"/>
    </row>
    <row r="1168" spans="1:10" s="13" customFormat="1" x14ac:dyDescent="0.2">
      <c r="A1168" s="1" t="s">
        <v>34</v>
      </c>
      <c r="B1168" s="12" t="s">
        <v>101</v>
      </c>
      <c r="D1168" s="7" t="s">
        <v>464</v>
      </c>
      <c r="E1168" s="6"/>
      <c r="F1168" s="6"/>
      <c r="G1168" s="57" t="str">
        <f t="shared" si="18"/>
        <v>-</v>
      </c>
      <c r="H1168" s="21">
        <v>97500</v>
      </c>
      <c r="I1168" s="21" t="s">
        <v>465</v>
      </c>
      <c r="J1168" s="7"/>
    </row>
    <row r="1169" spans="1:10" s="13" customFormat="1" x14ac:dyDescent="0.2">
      <c r="A1169" s="1" t="s">
        <v>34</v>
      </c>
      <c r="B1169" s="12" t="s">
        <v>101</v>
      </c>
      <c r="D1169" s="7" t="s">
        <v>464</v>
      </c>
      <c r="E1169" s="6" t="s">
        <v>465</v>
      </c>
      <c r="F1169" s="6">
        <v>102500</v>
      </c>
      <c r="G1169" s="57" t="str">
        <f t="shared" si="18"/>
        <v>-</v>
      </c>
      <c r="H1169" s="21"/>
      <c r="I1169" s="21"/>
      <c r="J1169" s="7"/>
    </row>
    <row r="1170" spans="1:10" s="13" customFormat="1" x14ac:dyDescent="0.2">
      <c r="A1170" s="1" t="s">
        <v>34</v>
      </c>
      <c r="B1170" s="12" t="s">
        <v>101</v>
      </c>
      <c r="D1170" s="7" t="s">
        <v>464</v>
      </c>
      <c r="E1170" s="6" t="s">
        <v>465</v>
      </c>
      <c r="F1170" s="6">
        <v>102500</v>
      </c>
      <c r="G1170" s="57" t="str">
        <f t="shared" si="18"/>
        <v>-</v>
      </c>
      <c r="H1170" s="21"/>
      <c r="I1170" s="21"/>
      <c r="J1170" s="7"/>
    </row>
    <row r="1171" spans="1:10" s="13" customFormat="1" x14ac:dyDescent="0.2">
      <c r="A1171" s="1" t="s">
        <v>34</v>
      </c>
      <c r="B1171" s="12" t="s">
        <v>101</v>
      </c>
      <c r="D1171" s="7" t="s">
        <v>464</v>
      </c>
      <c r="E1171" s="6">
        <v>102500</v>
      </c>
      <c r="F1171" s="6" t="s">
        <v>465</v>
      </c>
      <c r="G1171" s="57" t="str">
        <f t="shared" si="18"/>
        <v>-</v>
      </c>
      <c r="H1171" s="21"/>
      <c r="I1171" s="21"/>
      <c r="J1171" s="7"/>
    </row>
    <row r="1172" spans="1:10" s="13" customFormat="1" x14ac:dyDescent="0.2">
      <c r="A1172" s="1" t="s">
        <v>34</v>
      </c>
      <c r="B1172" s="12" t="s">
        <v>101</v>
      </c>
      <c r="D1172" s="7" t="s">
        <v>464</v>
      </c>
      <c r="E1172" s="6">
        <v>102500</v>
      </c>
      <c r="F1172" s="6" t="s">
        <v>465</v>
      </c>
      <c r="G1172" s="57" t="str">
        <f t="shared" si="18"/>
        <v>-</v>
      </c>
      <c r="H1172" s="21"/>
      <c r="I1172" s="21"/>
      <c r="J1172" s="7"/>
    </row>
    <row r="1173" spans="1:10" s="13" customFormat="1" x14ac:dyDescent="0.2">
      <c r="A1173" s="1" t="s">
        <v>34</v>
      </c>
      <c r="B1173" s="12" t="s">
        <v>101</v>
      </c>
      <c r="D1173" s="7" t="s">
        <v>464</v>
      </c>
      <c r="E1173" s="6">
        <v>102500</v>
      </c>
      <c r="F1173" s="6" t="s">
        <v>465</v>
      </c>
      <c r="G1173" s="57" t="str">
        <f t="shared" si="18"/>
        <v>-</v>
      </c>
      <c r="H1173" s="21"/>
      <c r="I1173" s="21"/>
      <c r="J1173" s="7"/>
    </row>
    <row r="1174" spans="1:10" s="13" customFormat="1" x14ac:dyDescent="0.2">
      <c r="A1174" s="1" t="s">
        <v>34</v>
      </c>
      <c r="B1174" s="12" t="s">
        <v>101</v>
      </c>
      <c r="D1174" s="7" t="s">
        <v>464</v>
      </c>
      <c r="E1174" s="6">
        <v>102500</v>
      </c>
      <c r="F1174" s="6" t="s">
        <v>465</v>
      </c>
      <c r="G1174" s="57" t="str">
        <f t="shared" si="18"/>
        <v>-</v>
      </c>
      <c r="H1174" s="21"/>
      <c r="I1174" s="21"/>
      <c r="J1174" s="7"/>
    </row>
    <row r="1175" spans="1:10" s="13" customFormat="1" x14ac:dyDescent="0.2">
      <c r="A1175" s="1" t="s">
        <v>34</v>
      </c>
      <c r="B1175" s="12" t="s">
        <v>101</v>
      </c>
      <c r="D1175" s="7" t="s">
        <v>464</v>
      </c>
      <c r="E1175" s="6">
        <v>102500</v>
      </c>
      <c r="F1175" s="6" t="s">
        <v>465</v>
      </c>
      <c r="G1175" s="57" t="str">
        <f t="shared" si="18"/>
        <v>-</v>
      </c>
      <c r="H1175" s="21"/>
      <c r="I1175" s="21"/>
      <c r="J1175" s="7"/>
    </row>
    <row r="1176" spans="1:10" s="13" customFormat="1" x14ac:dyDescent="0.2">
      <c r="A1176" s="1" t="s">
        <v>34</v>
      </c>
      <c r="B1176" s="12" t="s">
        <v>101</v>
      </c>
      <c r="D1176" s="7" t="s">
        <v>464</v>
      </c>
      <c r="E1176" s="6">
        <v>112500</v>
      </c>
      <c r="F1176" s="6" t="s">
        <v>465</v>
      </c>
      <c r="G1176" s="57" t="str">
        <f t="shared" si="18"/>
        <v>-</v>
      </c>
      <c r="H1176" s="21"/>
      <c r="I1176" s="21"/>
      <c r="J1176" s="7"/>
    </row>
    <row r="1177" spans="1:10" s="13" customFormat="1" x14ac:dyDescent="0.2">
      <c r="A1177" s="1" t="s">
        <v>34</v>
      </c>
      <c r="B1177" s="12" t="s">
        <v>101</v>
      </c>
      <c r="D1177" s="7" t="s">
        <v>464</v>
      </c>
      <c r="E1177" s="6">
        <v>117500</v>
      </c>
      <c r="F1177" s="6" t="s">
        <v>465</v>
      </c>
      <c r="G1177" s="57" t="str">
        <f t="shared" si="18"/>
        <v>-</v>
      </c>
      <c r="H1177" s="21"/>
      <c r="I1177" s="21"/>
      <c r="J1177" s="7"/>
    </row>
    <row r="1178" spans="1:10" s="13" customFormat="1" x14ac:dyDescent="0.2">
      <c r="A1178" s="1" t="s">
        <v>34</v>
      </c>
      <c r="B1178" s="12" t="s">
        <v>101</v>
      </c>
      <c r="D1178" s="7" t="s">
        <v>464</v>
      </c>
      <c r="E1178" s="6">
        <v>117500</v>
      </c>
      <c r="F1178" s="6" t="s">
        <v>465</v>
      </c>
      <c r="G1178" s="57" t="str">
        <f t="shared" si="18"/>
        <v>-</v>
      </c>
      <c r="H1178" s="21"/>
      <c r="I1178" s="21"/>
      <c r="J1178" s="7"/>
    </row>
    <row r="1179" spans="1:10" s="13" customFormat="1" x14ac:dyDescent="0.2">
      <c r="A1179" s="1" t="s">
        <v>34</v>
      </c>
      <c r="B1179" s="12" t="s">
        <v>101</v>
      </c>
      <c r="D1179" s="7" t="s">
        <v>464</v>
      </c>
      <c r="E1179" s="6">
        <v>117500</v>
      </c>
      <c r="F1179" s="6" t="s">
        <v>465</v>
      </c>
      <c r="G1179" s="57" t="str">
        <f t="shared" si="18"/>
        <v>-</v>
      </c>
      <c r="H1179" s="21"/>
      <c r="I1179" s="21"/>
      <c r="J1179" s="7"/>
    </row>
    <row r="1180" spans="1:10" s="13" customFormat="1" x14ac:dyDescent="0.2">
      <c r="A1180" s="1" t="s">
        <v>34</v>
      </c>
      <c r="B1180" s="12" t="s">
        <v>101</v>
      </c>
      <c r="D1180" s="7" t="s">
        <v>464</v>
      </c>
      <c r="E1180" s="6">
        <v>122500</v>
      </c>
      <c r="F1180" s="6" t="s">
        <v>465</v>
      </c>
      <c r="G1180" s="57" t="str">
        <f t="shared" si="18"/>
        <v>-</v>
      </c>
      <c r="H1180" s="21"/>
      <c r="I1180" s="21"/>
      <c r="J1180" s="7"/>
    </row>
    <row r="1181" spans="1:10" s="13" customFormat="1" x14ac:dyDescent="0.2">
      <c r="A1181" s="1" t="s">
        <v>34</v>
      </c>
      <c r="B1181" s="12" t="s">
        <v>101</v>
      </c>
      <c r="D1181" s="7" t="s">
        <v>464</v>
      </c>
      <c r="E1181" s="6">
        <v>122500</v>
      </c>
      <c r="F1181" s="6" t="s">
        <v>465</v>
      </c>
      <c r="G1181" s="57" t="str">
        <f t="shared" si="18"/>
        <v>-</v>
      </c>
      <c r="H1181" s="21"/>
      <c r="I1181" s="21"/>
      <c r="J1181" s="7"/>
    </row>
    <row r="1182" spans="1:10" s="13" customFormat="1" x14ac:dyDescent="0.2">
      <c r="A1182" s="1" t="s">
        <v>34</v>
      </c>
      <c r="B1182" s="12" t="s">
        <v>101</v>
      </c>
      <c r="D1182" s="7" t="s">
        <v>464</v>
      </c>
      <c r="E1182" s="6">
        <v>122500</v>
      </c>
      <c r="F1182" s="6" t="s">
        <v>465</v>
      </c>
      <c r="G1182" s="57" t="str">
        <f t="shared" si="18"/>
        <v>-</v>
      </c>
      <c r="H1182" s="21"/>
      <c r="I1182" s="21"/>
      <c r="J1182" s="7"/>
    </row>
    <row r="1183" spans="1:10" s="13" customFormat="1" x14ac:dyDescent="0.2">
      <c r="A1183" s="1" t="s">
        <v>34</v>
      </c>
      <c r="B1183" s="12" t="s">
        <v>101</v>
      </c>
      <c r="D1183" s="7" t="s">
        <v>464</v>
      </c>
      <c r="E1183" s="6">
        <v>122500</v>
      </c>
      <c r="F1183" s="6" t="s">
        <v>465</v>
      </c>
      <c r="G1183" s="57" t="str">
        <f t="shared" si="18"/>
        <v>-</v>
      </c>
      <c r="H1183" s="21"/>
      <c r="I1183" s="21"/>
      <c r="J1183" s="7"/>
    </row>
    <row r="1184" spans="1:10" s="13" customFormat="1" x14ac:dyDescent="0.2">
      <c r="A1184" s="1" t="s">
        <v>34</v>
      </c>
      <c r="B1184" s="12" t="s">
        <v>101</v>
      </c>
      <c r="D1184" s="7" t="s">
        <v>464</v>
      </c>
      <c r="E1184" s="6">
        <v>122500</v>
      </c>
      <c r="F1184" s="6" t="s">
        <v>465</v>
      </c>
      <c r="G1184" s="57" t="str">
        <f t="shared" si="18"/>
        <v>-</v>
      </c>
      <c r="H1184" s="21"/>
      <c r="I1184" s="21"/>
      <c r="J1184" s="7"/>
    </row>
    <row r="1185" spans="1:10" s="13" customFormat="1" x14ac:dyDescent="0.2">
      <c r="A1185" s="1" t="s">
        <v>34</v>
      </c>
      <c r="B1185" s="12" t="s">
        <v>101</v>
      </c>
      <c r="D1185" s="7" t="s">
        <v>464</v>
      </c>
      <c r="E1185" s="6">
        <v>122500</v>
      </c>
      <c r="F1185" s="6" t="s">
        <v>465</v>
      </c>
      <c r="G1185" s="57" t="str">
        <f t="shared" si="18"/>
        <v>-</v>
      </c>
      <c r="H1185" s="21"/>
      <c r="I1185" s="21"/>
      <c r="J1185" s="7"/>
    </row>
    <row r="1186" spans="1:10" s="13" customFormat="1" x14ac:dyDescent="0.2">
      <c r="A1186" s="1" t="s">
        <v>34</v>
      </c>
      <c r="B1186" s="12" t="s">
        <v>101</v>
      </c>
      <c r="D1186" s="7" t="s">
        <v>464</v>
      </c>
      <c r="E1186" s="6" t="s">
        <v>465</v>
      </c>
      <c r="F1186" s="6">
        <v>122500</v>
      </c>
      <c r="G1186" s="57" t="str">
        <f t="shared" si="18"/>
        <v>-</v>
      </c>
      <c r="H1186" s="21"/>
      <c r="I1186" s="21"/>
      <c r="J1186" s="7"/>
    </row>
    <row r="1187" spans="1:10" s="13" customFormat="1" x14ac:dyDescent="0.2">
      <c r="A1187" s="1" t="s">
        <v>34</v>
      </c>
      <c r="B1187" s="12" t="s">
        <v>101</v>
      </c>
      <c r="D1187" s="7" t="s">
        <v>464</v>
      </c>
      <c r="E1187" s="6">
        <v>127500</v>
      </c>
      <c r="F1187" s="6" t="s">
        <v>465</v>
      </c>
      <c r="G1187" s="57" t="str">
        <f t="shared" si="18"/>
        <v>-</v>
      </c>
      <c r="H1187" s="21"/>
      <c r="I1187" s="21"/>
      <c r="J1187" s="7"/>
    </row>
    <row r="1188" spans="1:10" s="13" customFormat="1" x14ac:dyDescent="0.2">
      <c r="A1188" s="1" t="s">
        <v>34</v>
      </c>
      <c r="B1188" s="12" t="s">
        <v>101</v>
      </c>
      <c r="D1188" s="7" t="s">
        <v>464</v>
      </c>
      <c r="E1188" s="6">
        <v>127500</v>
      </c>
      <c r="F1188" s="6" t="s">
        <v>465</v>
      </c>
      <c r="G1188" s="57" t="str">
        <f t="shared" si="18"/>
        <v>-</v>
      </c>
      <c r="H1188" s="21"/>
      <c r="I1188" s="21"/>
      <c r="J1188" s="7"/>
    </row>
    <row r="1189" spans="1:10" s="13" customFormat="1" x14ac:dyDescent="0.2">
      <c r="A1189" s="1" t="s">
        <v>34</v>
      </c>
      <c r="B1189" s="12" t="s">
        <v>101</v>
      </c>
      <c r="D1189" s="7" t="s">
        <v>464</v>
      </c>
      <c r="E1189" s="6">
        <v>127500</v>
      </c>
      <c r="F1189" s="6" t="s">
        <v>465</v>
      </c>
      <c r="G1189" s="57" t="str">
        <f t="shared" si="18"/>
        <v>-</v>
      </c>
      <c r="H1189" s="21"/>
      <c r="I1189" s="21"/>
      <c r="J1189" s="7"/>
    </row>
    <row r="1190" spans="1:10" s="13" customFormat="1" x14ac:dyDescent="0.2">
      <c r="A1190" s="1" t="s">
        <v>34</v>
      </c>
      <c r="B1190" s="12" t="s">
        <v>101</v>
      </c>
      <c r="D1190" s="7" t="s">
        <v>464</v>
      </c>
      <c r="E1190" s="6">
        <v>127500</v>
      </c>
      <c r="F1190" s="6" t="s">
        <v>465</v>
      </c>
      <c r="G1190" s="57" t="str">
        <f t="shared" si="18"/>
        <v>-</v>
      </c>
      <c r="H1190" s="21"/>
      <c r="I1190" s="21"/>
      <c r="J1190" s="7"/>
    </row>
    <row r="1191" spans="1:10" s="13" customFormat="1" x14ac:dyDescent="0.2">
      <c r="A1191" s="1" t="s">
        <v>34</v>
      </c>
      <c r="B1191" s="12" t="s">
        <v>101</v>
      </c>
      <c r="D1191" s="7" t="s">
        <v>464</v>
      </c>
      <c r="E1191" s="6" t="s">
        <v>465</v>
      </c>
      <c r="F1191" s="6">
        <v>132500</v>
      </c>
      <c r="G1191" s="57" t="str">
        <f t="shared" si="18"/>
        <v>-</v>
      </c>
      <c r="H1191" s="21"/>
      <c r="I1191" s="21"/>
      <c r="J1191" s="7"/>
    </row>
    <row r="1192" spans="1:10" s="13" customFormat="1" x14ac:dyDescent="0.2">
      <c r="A1192" s="1" t="s">
        <v>34</v>
      </c>
      <c r="B1192" s="12" t="s">
        <v>101</v>
      </c>
      <c r="D1192" s="7" t="s">
        <v>464</v>
      </c>
      <c r="E1192" s="6">
        <v>137500</v>
      </c>
      <c r="F1192" s="6" t="s">
        <v>465</v>
      </c>
      <c r="G1192" s="57" t="str">
        <f t="shared" si="18"/>
        <v>-</v>
      </c>
      <c r="H1192" s="21"/>
      <c r="I1192" s="21"/>
      <c r="J1192" s="7"/>
    </row>
    <row r="1193" spans="1:10" s="13" customFormat="1" x14ac:dyDescent="0.2">
      <c r="A1193" s="1" t="s">
        <v>34</v>
      </c>
      <c r="B1193" s="12" t="s">
        <v>101</v>
      </c>
      <c r="D1193" s="7" t="s">
        <v>464</v>
      </c>
      <c r="E1193" s="6">
        <v>137500</v>
      </c>
      <c r="F1193" s="6" t="s">
        <v>465</v>
      </c>
      <c r="G1193" s="57" t="str">
        <f t="shared" si="18"/>
        <v>-</v>
      </c>
      <c r="H1193" s="21"/>
      <c r="I1193" s="21"/>
      <c r="J1193" s="7"/>
    </row>
    <row r="1194" spans="1:10" s="13" customFormat="1" x14ac:dyDescent="0.2">
      <c r="A1194" s="1" t="s">
        <v>34</v>
      </c>
      <c r="B1194" s="12" t="s">
        <v>101</v>
      </c>
      <c r="D1194" s="7" t="s">
        <v>464</v>
      </c>
      <c r="E1194" s="6">
        <v>142500</v>
      </c>
      <c r="F1194" s="6" t="s">
        <v>465</v>
      </c>
      <c r="G1194" s="57" t="str">
        <f t="shared" si="18"/>
        <v>-</v>
      </c>
      <c r="H1194" s="21"/>
      <c r="I1194" s="21"/>
      <c r="J1194" s="7"/>
    </row>
    <row r="1195" spans="1:10" s="13" customFormat="1" x14ac:dyDescent="0.2">
      <c r="A1195" s="1" t="s">
        <v>34</v>
      </c>
      <c r="B1195" s="12" t="s">
        <v>101</v>
      </c>
      <c r="D1195" s="7" t="s">
        <v>464</v>
      </c>
      <c r="E1195" s="6">
        <v>147500</v>
      </c>
      <c r="F1195" s="6" t="s">
        <v>465</v>
      </c>
      <c r="G1195" s="57" t="str">
        <f t="shared" si="18"/>
        <v>-</v>
      </c>
      <c r="H1195" s="21"/>
      <c r="I1195" s="21"/>
      <c r="J1195" s="7"/>
    </row>
    <row r="1196" spans="1:10" s="13" customFormat="1" x14ac:dyDescent="0.2">
      <c r="A1196" s="1" t="s">
        <v>34</v>
      </c>
      <c r="B1196" s="12" t="s">
        <v>101</v>
      </c>
      <c r="D1196" s="7" t="s">
        <v>464</v>
      </c>
      <c r="E1196" s="6">
        <v>157500</v>
      </c>
      <c r="F1196" s="6" t="s">
        <v>465</v>
      </c>
      <c r="G1196" s="57" t="str">
        <f t="shared" si="18"/>
        <v>-</v>
      </c>
      <c r="H1196" s="21"/>
      <c r="I1196" s="21"/>
      <c r="J1196" s="7"/>
    </row>
    <row r="1197" spans="1:10" s="13" customFormat="1" x14ac:dyDescent="0.2">
      <c r="A1197" s="1" t="s">
        <v>34</v>
      </c>
      <c r="B1197" s="12" t="s">
        <v>101</v>
      </c>
      <c r="D1197" s="7" t="s">
        <v>464</v>
      </c>
      <c r="E1197" s="6">
        <v>187500</v>
      </c>
      <c r="F1197" s="6" t="s">
        <v>465</v>
      </c>
      <c r="G1197" s="57" t="str">
        <f t="shared" si="18"/>
        <v>-</v>
      </c>
      <c r="H1197" s="21"/>
      <c r="I1197" s="21"/>
      <c r="J1197" s="7"/>
    </row>
    <row r="1198" spans="1:10" ht="63.75" x14ac:dyDescent="0.2">
      <c r="A1198" s="1" t="s">
        <v>34</v>
      </c>
      <c r="B1198" s="2" t="s">
        <v>102</v>
      </c>
      <c r="C1198" s="29" t="s">
        <v>4243</v>
      </c>
      <c r="G1198" s="57" t="str">
        <f t="shared" si="18"/>
        <v>-</v>
      </c>
    </row>
    <row r="1199" spans="1:10" ht="25.5" x14ac:dyDescent="0.2">
      <c r="A1199" s="1" t="s">
        <v>39</v>
      </c>
      <c r="B1199" s="2" t="s">
        <v>103</v>
      </c>
      <c r="C1199" s="1" t="s">
        <v>2204</v>
      </c>
      <c r="D1199" s="5" t="s">
        <v>450</v>
      </c>
      <c r="E1199" s="3">
        <v>221949</v>
      </c>
      <c r="F1199" s="3">
        <v>216854</v>
      </c>
      <c r="G1199" s="57">
        <f t="shared" si="18"/>
        <v>-2.2955724062735133E-2</v>
      </c>
      <c r="J1199" s="5" t="s">
        <v>4244</v>
      </c>
    </row>
    <row r="1200" spans="1:10" s="13" customFormat="1" ht="25.5" x14ac:dyDescent="0.2">
      <c r="A1200" s="1" t="s">
        <v>39</v>
      </c>
      <c r="B1200" s="12" t="s">
        <v>103</v>
      </c>
      <c r="D1200" s="7" t="s">
        <v>2205</v>
      </c>
      <c r="E1200" s="6">
        <v>145875</v>
      </c>
      <c r="F1200" s="6">
        <v>144679</v>
      </c>
      <c r="G1200" s="57">
        <f t="shared" si="18"/>
        <v>-8.1988003427592125E-3</v>
      </c>
      <c r="H1200" s="21"/>
      <c r="I1200" s="21"/>
      <c r="J1200" s="7" t="s">
        <v>4245</v>
      </c>
    </row>
    <row r="1201" spans="1:10" s="13" customFormat="1" ht="25.5" x14ac:dyDescent="0.2">
      <c r="A1201" s="1" t="s">
        <v>39</v>
      </c>
      <c r="B1201" s="12" t="s">
        <v>103</v>
      </c>
      <c r="D1201" s="7" t="s">
        <v>2207</v>
      </c>
      <c r="E1201" s="6">
        <v>124356</v>
      </c>
      <c r="F1201" s="6">
        <v>132100</v>
      </c>
      <c r="G1201" s="57">
        <f t="shared" si="18"/>
        <v>6.2272829618192929E-2</v>
      </c>
      <c r="H1201" s="21"/>
      <c r="I1201" s="21"/>
      <c r="J1201" s="7" t="s">
        <v>4246</v>
      </c>
    </row>
    <row r="1202" spans="1:10" ht="25.5" x14ac:dyDescent="0.2">
      <c r="A1202" s="1" t="s">
        <v>39</v>
      </c>
      <c r="B1202" s="2" t="s">
        <v>103</v>
      </c>
      <c r="C1202" s="1"/>
      <c r="D1202" s="5" t="s">
        <v>2206</v>
      </c>
      <c r="E1202" s="3">
        <v>136601</v>
      </c>
      <c r="F1202" s="3">
        <v>100476</v>
      </c>
      <c r="G1202" s="57">
        <f t="shared" si="18"/>
        <v>-0.26445633633721571</v>
      </c>
      <c r="J1202" s="5" t="s">
        <v>4247</v>
      </c>
    </row>
    <row r="1203" spans="1:10" ht="25.5" x14ac:dyDescent="0.2">
      <c r="A1203" s="1" t="s">
        <v>39</v>
      </c>
      <c r="B1203" s="2" t="s">
        <v>103</v>
      </c>
      <c r="C1203" s="1"/>
      <c r="D1203" s="5" t="s">
        <v>855</v>
      </c>
      <c r="E1203" s="3">
        <v>108622</v>
      </c>
      <c r="F1203" s="3">
        <v>138388</v>
      </c>
      <c r="G1203" s="57">
        <f t="shared" si="18"/>
        <v>0.27403288468266096</v>
      </c>
      <c r="J1203" s="5" t="s">
        <v>4248</v>
      </c>
    </row>
    <row r="1204" spans="1:10" ht="25.5" x14ac:dyDescent="0.2">
      <c r="A1204" s="1" t="s">
        <v>39</v>
      </c>
      <c r="B1204" s="2" t="s">
        <v>103</v>
      </c>
      <c r="C1204" s="1"/>
      <c r="D1204" s="5" t="s">
        <v>2208</v>
      </c>
      <c r="E1204" s="3">
        <v>128705</v>
      </c>
      <c r="F1204" s="3">
        <v>128350</v>
      </c>
      <c r="G1204" s="57">
        <f t="shared" si="18"/>
        <v>-2.7582456004040246E-3</v>
      </c>
      <c r="J1204" s="5" t="s">
        <v>4249</v>
      </c>
    </row>
    <row r="1205" spans="1:10" ht="25.5" x14ac:dyDescent="0.2">
      <c r="A1205" s="1" t="s">
        <v>39</v>
      </c>
      <c r="B1205" s="2" t="s">
        <v>103</v>
      </c>
      <c r="C1205" s="1"/>
      <c r="D1205" s="5" t="s">
        <v>2209</v>
      </c>
      <c r="E1205" s="3">
        <v>125595</v>
      </c>
      <c r="F1205" s="3">
        <v>128350</v>
      </c>
      <c r="G1205" s="57">
        <f t="shared" si="18"/>
        <v>2.1935586607747123E-2</v>
      </c>
      <c r="J1205" s="5" t="s">
        <v>4249</v>
      </c>
    </row>
    <row r="1206" spans="1:10" ht="25.5" x14ac:dyDescent="0.2">
      <c r="A1206" s="1" t="s">
        <v>39</v>
      </c>
      <c r="B1206" s="2" t="s">
        <v>103</v>
      </c>
      <c r="C1206" s="1"/>
      <c r="D1206" s="5" t="s">
        <v>451</v>
      </c>
      <c r="E1206" s="3">
        <v>113106</v>
      </c>
      <c r="F1206" s="3">
        <v>116380</v>
      </c>
      <c r="G1206" s="57">
        <f t="shared" si="18"/>
        <v>2.8946298162785353E-2</v>
      </c>
      <c r="J1206" s="5" t="s">
        <v>4250</v>
      </c>
    </row>
    <row r="1207" spans="1:10" s="13" customFormat="1" x14ac:dyDescent="0.2">
      <c r="A1207" s="1" t="s">
        <v>39</v>
      </c>
      <c r="B1207" s="12" t="s">
        <v>103</v>
      </c>
      <c r="D1207" s="7" t="s">
        <v>3856</v>
      </c>
      <c r="E1207" s="6">
        <v>131346</v>
      </c>
      <c r="F1207" s="6" t="s">
        <v>465</v>
      </c>
      <c r="G1207" s="57" t="str">
        <f t="shared" si="18"/>
        <v>-</v>
      </c>
      <c r="H1207" s="21"/>
      <c r="I1207" s="21"/>
      <c r="J1207" s="7" t="s">
        <v>2356</v>
      </c>
    </row>
    <row r="1208" spans="1:10" x14ac:dyDescent="0.2">
      <c r="A1208" s="1" t="s">
        <v>39</v>
      </c>
      <c r="B1208" s="2" t="s">
        <v>103</v>
      </c>
      <c r="C1208" s="1"/>
      <c r="D1208" s="5" t="s">
        <v>464</v>
      </c>
      <c r="G1208" s="57" t="str">
        <f t="shared" si="18"/>
        <v>-</v>
      </c>
      <c r="H1208" s="19" t="s">
        <v>465</v>
      </c>
      <c r="I1208" s="19">
        <v>92500</v>
      </c>
    </row>
    <row r="1209" spans="1:10" x14ac:dyDescent="0.2">
      <c r="A1209" s="1" t="s">
        <v>39</v>
      </c>
      <c r="B1209" s="2" t="s">
        <v>103</v>
      </c>
      <c r="C1209" s="1"/>
      <c r="D1209" s="5" t="s">
        <v>464</v>
      </c>
      <c r="G1209" s="57" t="str">
        <f t="shared" si="18"/>
        <v>-</v>
      </c>
      <c r="H1209" s="19">
        <v>97500</v>
      </c>
      <c r="I1209" s="19" t="s">
        <v>465</v>
      </c>
    </row>
    <row r="1210" spans="1:10" x14ac:dyDescent="0.2">
      <c r="A1210" s="1" t="s">
        <v>39</v>
      </c>
      <c r="B1210" s="2" t="s">
        <v>103</v>
      </c>
      <c r="C1210" s="1"/>
      <c r="D1210" s="5" t="s">
        <v>464</v>
      </c>
      <c r="G1210" s="57" t="str">
        <f t="shared" si="18"/>
        <v>-</v>
      </c>
      <c r="H1210" s="19">
        <v>97500</v>
      </c>
      <c r="I1210" s="19" t="s">
        <v>465</v>
      </c>
    </row>
    <row r="1211" spans="1:10" x14ac:dyDescent="0.2">
      <c r="A1211" s="1" t="s">
        <v>39</v>
      </c>
      <c r="B1211" s="2" t="s">
        <v>103</v>
      </c>
      <c r="C1211" s="1"/>
      <c r="D1211" s="5" t="s">
        <v>464</v>
      </c>
      <c r="G1211" s="57" t="str">
        <f t="shared" si="18"/>
        <v>-</v>
      </c>
      <c r="H1211" s="19" t="s">
        <v>465</v>
      </c>
      <c r="I1211" s="19">
        <v>97500</v>
      </c>
    </row>
    <row r="1212" spans="1:10" x14ac:dyDescent="0.2">
      <c r="A1212" s="1" t="s">
        <v>39</v>
      </c>
      <c r="B1212" s="2" t="s">
        <v>103</v>
      </c>
      <c r="C1212" s="1"/>
      <c r="D1212" s="5" t="s">
        <v>464</v>
      </c>
      <c r="G1212" s="57" t="str">
        <f t="shared" si="18"/>
        <v>-</v>
      </c>
      <c r="H1212" s="19" t="s">
        <v>465</v>
      </c>
      <c r="I1212" s="19">
        <v>97500</v>
      </c>
    </row>
    <row r="1213" spans="1:10" x14ac:dyDescent="0.2">
      <c r="A1213" s="1" t="s">
        <v>39</v>
      </c>
      <c r="B1213" s="2" t="s">
        <v>103</v>
      </c>
      <c r="C1213" s="1"/>
      <c r="D1213" s="5" t="s">
        <v>464</v>
      </c>
      <c r="G1213" s="57" t="str">
        <f t="shared" si="18"/>
        <v>-</v>
      </c>
      <c r="H1213" s="19" t="s">
        <v>465</v>
      </c>
      <c r="I1213" s="19">
        <v>97500</v>
      </c>
    </row>
    <row r="1214" spans="1:10" x14ac:dyDescent="0.2">
      <c r="A1214" s="1" t="s">
        <v>39</v>
      </c>
      <c r="B1214" s="2" t="s">
        <v>103</v>
      </c>
      <c r="C1214" s="1"/>
      <c r="D1214" s="5" t="s">
        <v>464</v>
      </c>
      <c r="E1214" s="3">
        <v>102500</v>
      </c>
      <c r="F1214" s="3" t="s">
        <v>465</v>
      </c>
      <c r="G1214" s="57" t="str">
        <f t="shared" si="18"/>
        <v>-</v>
      </c>
    </row>
    <row r="1215" spans="1:10" x14ac:dyDescent="0.2">
      <c r="A1215" s="1" t="s">
        <v>39</v>
      </c>
      <c r="B1215" s="2" t="s">
        <v>103</v>
      </c>
      <c r="C1215" s="1"/>
      <c r="D1215" s="5" t="s">
        <v>464</v>
      </c>
      <c r="E1215" s="3">
        <v>102500</v>
      </c>
      <c r="F1215" s="3" t="s">
        <v>465</v>
      </c>
      <c r="G1215" s="57" t="str">
        <f t="shared" si="18"/>
        <v>-</v>
      </c>
    </row>
    <row r="1216" spans="1:10" x14ac:dyDescent="0.2">
      <c r="A1216" s="1" t="s">
        <v>39</v>
      </c>
      <c r="B1216" s="2" t="s">
        <v>103</v>
      </c>
      <c r="C1216" s="1"/>
      <c r="D1216" s="5" t="s">
        <v>464</v>
      </c>
      <c r="E1216" s="3">
        <v>102500</v>
      </c>
      <c r="F1216" s="3" t="s">
        <v>465</v>
      </c>
      <c r="G1216" s="57" t="str">
        <f t="shared" si="18"/>
        <v>-</v>
      </c>
    </row>
    <row r="1217" spans="1:10" x14ac:dyDescent="0.2">
      <c r="A1217" s="1" t="s">
        <v>39</v>
      </c>
      <c r="B1217" s="2" t="s">
        <v>103</v>
      </c>
      <c r="C1217" s="1"/>
      <c r="D1217" s="5" t="s">
        <v>464</v>
      </c>
      <c r="E1217" s="3" t="s">
        <v>465</v>
      </c>
      <c r="F1217" s="3">
        <v>107500</v>
      </c>
      <c r="G1217" s="57" t="str">
        <f t="shared" si="18"/>
        <v>-</v>
      </c>
    </row>
    <row r="1218" spans="1:10" x14ac:dyDescent="0.2">
      <c r="A1218" s="1" t="s">
        <v>39</v>
      </c>
      <c r="B1218" s="2" t="s">
        <v>103</v>
      </c>
      <c r="C1218" s="1"/>
      <c r="D1218" s="5" t="s">
        <v>464</v>
      </c>
      <c r="E1218" s="3">
        <v>112500</v>
      </c>
      <c r="F1218" s="3" t="s">
        <v>465</v>
      </c>
      <c r="G1218" s="57" t="str">
        <f t="shared" si="18"/>
        <v>-</v>
      </c>
    </row>
    <row r="1219" spans="1:10" x14ac:dyDescent="0.2">
      <c r="A1219" s="1" t="s">
        <v>39</v>
      </c>
      <c r="B1219" s="2" t="s">
        <v>103</v>
      </c>
      <c r="C1219" s="1"/>
      <c r="D1219" s="5" t="s">
        <v>464</v>
      </c>
      <c r="E1219" s="3" t="s">
        <v>465</v>
      </c>
      <c r="F1219" s="3">
        <v>112500</v>
      </c>
      <c r="G1219" s="57" t="str">
        <f t="shared" ref="G1219:G1282" si="19">IF(ISERROR((F1219-E1219)/E1219),"-",(F1219-E1219)/E1219)</f>
        <v>-</v>
      </c>
    </row>
    <row r="1220" spans="1:10" x14ac:dyDescent="0.2">
      <c r="A1220" s="1" t="s">
        <v>39</v>
      </c>
      <c r="B1220" s="2" t="s">
        <v>103</v>
      </c>
      <c r="C1220" s="1"/>
      <c r="D1220" s="5" t="s">
        <v>464</v>
      </c>
      <c r="E1220" s="3" t="s">
        <v>465</v>
      </c>
      <c r="F1220" s="3">
        <v>112500</v>
      </c>
      <c r="G1220" s="57" t="str">
        <f t="shared" si="19"/>
        <v>-</v>
      </c>
    </row>
    <row r="1221" spans="1:10" x14ac:dyDescent="0.2">
      <c r="A1221" s="1" t="s">
        <v>39</v>
      </c>
      <c r="B1221" s="2" t="s">
        <v>103</v>
      </c>
      <c r="C1221" s="1"/>
      <c r="D1221" s="5" t="s">
        <v>464</v>
      </c>
      <c r="E1221" s="3">
        <v>117500</v>
      </c>
      <c r="F1221" s="3" t="s">
        <v>465</v>
      </c>
      <c r="G1221" s="57" t="str">
        <f t="shared" si="19"/>
        <v>-</v>
      </c>
    </row>
    <row r="1222" spans="1:10" x14ac:dyDescent="0.2">
      <c r="A1222" s="1" t="s">
        <v>39</v>
      </c>
      <c r="B1222" s="2" t="s">
        <v>103</v>
      </c>
      <c r="C1222" s="1"/>
      <c r="D1222" s="5" t="s">
        <v>464</v>
      </c>
      <c r="E1222" s="3">
        <v>117500</v>
      </c>
      <c r="F1222" s="3" t="s">
        <v>465</v>
      </c>
      <c r="G1222" s="57" t="str">
        <f t="shared" si="19"/>
        <v>-</v>
      </c>
    </row>
    <row r="1223" spans="1:10" x14ac:dyDescent="0.2">
      <c r="A1223" s="1" t="s">
        <v>39</v>
      </c>
      <c r="B1223" s="2" t="s">
        <v>103</v>
      </c>
      <c r="C1223" s="1"/>
      <c r="D1223" s="5" t="s">
        <v>464</v>
      </c>
      <c r="E1223" s="3">
        <v>122500</v>
      </c>
      <c r="F1223" s="3" t="s">
        <v>465</v>
      </c>
      <c r="G1223" s="57" t="str">
        <f t="shared" si="19"/>
        <v>-</v>
      </c>
    </row>
    <row r="1224" spans="1:10" x14ac:dyDescent="0.2">
      <c r="A1224" s="1" t="s">
        <v>39</v>
      </c>
      <c r="B1224" s="2" t="s">
        <v>103</v>
      </c>
      <c r="C1224" s="1"/>
      <c r="D1224" s="5" t="s">
        <v>464</v>
      </c>
      <c r="E1224" s="3" t="s">
        <v>465</v>
      </c>
      <c r="F1224" s="3">
        <v>147500</v>
      </c>
      <c r="G1224" s="57" t="str">
        <f t="shared" si="19"/>
        <v>-</v>
      </c>
    </row>
    <row r="1225" spans="1:10" x14ac:dyDescent="0.2">
      <c r="A1225" s="1" t="s">
        <v>39</v>
      </c>
      <c r="B1225" s="2" t="s">
        <v>103</v>
      </c>
      <c r="C1225" s="1"/>
      <c r="D1225" s="5" t="s">
        <v>464</v>
      </c>
      <c r="E1225" s="3">
        <v>167500</v>
      </c>
      <c r="F1225" s="3" t="s">
        <v>465</v>
      </c>
      <c r="G1225" s="57" t="str">
        <f t="shared" si="19"/>
        <v>-</v>
      </c>
    </row>
    <row r="1226" spans="1:10" x14ac:dyDescent="0.2">
      <c r="A1226" s="1" t="s">
        <v>39</v>
      </c>
      <c r="B1226" s="2" t="s">
        <v>103</v>
      </c>
      <c r="C1226" s="1"/>
      <c r="D1226" s="5" t="s">
        <v>464</v>
      </c>
      <c r="E1226" s="3" t="s">
        <v>465</v>
      </c>
      <c r="F1226" s="3">
        <v>167500</v>
      </c>
      <c r="G1226" s="57" t="str">
        <f t="shared" si="19"/>
        <v>-</v>
      </c>
    </row>
    <row r="1227" spans="1:10" ht="25.5" x14ac:dyDescent="0.2">
      <c r="A1227" s="1" t="s">
        <v>11</v>
      </c>
      <c r="B1227" s="2" t="s">
        <v>104</v>
      </c>
      <c r="C1227" s="29" t="s">
        <v>2697</v>
      </c>
      <c r="G1227" s="57" t="str">
        <f t="shared" si="19"/>
        <v>-</v>
      </c>
    </row>
    <row r="1228" spans="1:10" ht="38.25" x14ac:dyDescent="0.2">
      <c r="A1228" s="1" t="s">
        <v>28</v>
      </c>
      <c r="B1228" s="2" t="s">
        <v>105</v>
      </c>
      <c r="C1228" s="1"/>
      <c r="D1228" s="5" t="s">
        <v>450</v>
      </c>
      <c r="E1228" s="3">
        <v>118655</v>
      </c>
      <c r="F1228" s="3">
        <v>124998</v>
      </c>
      <c r="G1228" s="57">
        <f t="shared" si="19"/>
        <v>5.3457502844380771E-2</v>
      </c>
      <c r="J1228" s="5" t="s">
        <v>3857</v>
      </c>
    </row>
    <row r="1229" spans="1:10" x14ac:dyDescent="0.2">
      <c r="A1229" s="1" t="s">
        <v>28</v>
      </c>
      <c r="B1229" s="2" t="s">
        <v>105</v>
      </c>
      <c r="C1229" s="1"/>
      <c r="D1229" s="5" t="s">
        <v>487</v>
      </c>
      <c r="E1229" s="3">
        <v>100500</v>
      </c>
      <c r="F1229" s="3">
        <v>25964</v>
      </c>
      <c r="G1229" s="57">
        <f t="shared" si="19"/>
        <v>-0.74165174129353229</v>
      </c>
      <c r="J1229" s="5" t="s">
        <v>4251</v>
      </c>
    </row>
    <row r="1230" spans="1:10" ht="25.5" x14ac:dyDescent="0.2">
      <c r="A1230" s="1" t="s">
        <v>4</v>
      </c>
      <c r="B1230" s="2" t="s">
        <v>106</v>
      </c>
      <c r="C1230" s="1"/>
      <c r="D1230" s="5" t="s">
        <v>450</v>
      </c>
      <c r="E1230" s="3">
        <v>142363</v>
      </c>
      <c r="F1230" s="3">
        <v>135057</v>
      </c>
      <c r="G1230" s="57">
        <f t="shared" si="19"/>
        <v>-5.1319514199616473E-2</v>
      </c>
      <c r="J1230" s="5" t="s">
        <v>3858</v>
      </c>
    </row>
    <row r="1231" spans="1:10" ht="25.5" x14ac:dyDescent="0.2">
      <c r="A1231" s="1" t="s">
        <v>4</v>
      </c>
      <c r="B1231" s="2" t="s">
        <v>106</v>
      </c>
      <c r="C1231" s="1"/>
      <c r="D1231" s="5" t="s">
        <v>463</v>
      </c>
      <c r="E1231" s="3">
        <v>101123</v>
      </c>
      <c r="F1231" s="3">
        <v>109164</v>
      </c>
      <c r="G1231" s="57">
        <f t="shared" si="19"/>
        <v>7.9517023822473623E-2</v>
      </c>
      <c r="J1231" s="5" t="s">
        <v>3859</v>
      </c>
    </row>
    <row r="1232" spans="1:10" ht="25.5" x14ac:dyDescent="0.2">
      <c r="A1232" s="1" t="s">
        <v>4</v>
      </c>
      <c r="B1232" s="2" t="s">
        <v>106</v>
      </c>
      <c r="C1232" s="1"/>
      <c r="D1232" s="5" t="s">
        <v>855</v>
      </c>
      <c r="E1232" s="3">
        <v>98065</v>
      </c>
      <c r="F1232" s="3">
        <v>102043</v>
      </c>
      <c r="G1232" s="57">
        <f t="shared" si="19"/>
        <v>4.0564931423035744E-2</v>
      </c>
      <c r="J1232" s="5" t="s">
        <v>3860</v>
      </c>
    </row>
    <row r="1233" spans="1:10" ht="38.25" x14ac:dyDescent="0.2">
      <c r="A1233" s="1" t="s">
        <v>4</v>
      </c>
      <c r="B1233" s="2" t="s">
        <v>106</v>
      </c>
      <c r="C1233" s="1"/>
      <c r="D1233" s="5" t="s">
        <v>4253</v>
      </c>
      <c r="E1233" s="3">
        <v>75958</v>
      </c>
      <c r="F1233" s="3">
        <v>288858</v>
      </c>
      <c r="G1233" s="57">
        <f t="shared" si="19"/>
        <v>2.8028647410411018</v>
      </c>
      <c r="J1233" s="5" t="s">
        <v>4252</v>
      </c>
    </row>
    <row r="1234" spans="1:10" ht="25.5" x14ac:dyDescent="0.2">
      <c r="A1234" s="1" t="s">
        <v>25</v>
      </c>
      <c r="B1234" s="2" t="s">
        <v>107</v>
      </c>
      <c r="C1234" s="1" t="s">
        <v>2187</v>
      </c>
      <c r="D1234" s="5" t="s">
        <v>450</v>
      </c>
      <c r="E1234" s="3">
        <v>246810</v>
      </c>
      <c r="F1234" s="3">
        <v>248362</v>
      </c>
      <c r="G1234" s="57">
        <f t="shared" si="19"/>
        <v>6.2882379158056808E-3</v>
      </c>
      <c r="J1234" s="5" t="s">
        <v>3861</v>
      </c>
    </row>
    <row r="1235" spans="1:10" ht="38.25" x14ac:dyDescent="0.2">
      <c r="A1235" s="1" t="s">
        <v>25</v>
      </c>
      <c r="B1235" s="2" t="s">
        <v>107</v>
      </c>
      <c r="C1235" s="1" t="s">
        <v>2188</v>
      </c>
      <c r="D1235" s="5" t="s">
        <v>2189</v>
      </c>
      <c r="E1235" s="3">
        <v>195453</v>
      </c>
      <c r="F1235" s="3">
        <v>202940</v>
      </c>
      <c r="G1235" s="57">
        <f t="shared" si="19"/>
        <v>3.8305884279084997E-2</v>
      </c>
      <c r="J1235" s="5" t="s">
        <v>3862</v>
      </c>
    </row>
    <row r="1236" spans="1:10" ht="38.25" x14ac:dyDescent="0.2">
      <c r="A1236" s="1" t="s">
        <v>25</v>
      </c>
      <c r="B1236" s="2" t="s">
        <v>107</v>
      </c>
      <c r="C1236" s="1" t="s">
        <v>2190</v>
      </c>
      <c r="D1236" s="5" t="s">
        <v>2191</v>
      </c>
      <c r="E1236" s="3">
        <v>192672</v>
      </c>
      <c r="F1236" s="3">
        <v>196077</v>
      </c>
      <c r="G1236" s="57">
        <f t="shared" si="19"/>
        <v>1.7672521175884404E-2</v>
      </c>
      <c r="J1236" s="5" t="s">
        <v>3863</v>
      </c>
    </row>
    <row r="1237" spans="1:10" ht="39" customHeight="1" x14ac:dyDescent="0.2">
      <c r="A1237" s="1" t="s">
        <v>25</v>
      </c>
      <c r="B1237" s="2" t="s">
        <v>107</v>
      </c>
      <c r="C1237" s="1" t="s">
        <v>2192</v>
      </c>
      <c r="D1237" s="5" t="s">
        <v>2193</v>
      </c>
      <c r="E1237" s="3">
        <v>175315</v>
      </c>
      <c r="F1237" s="3">
        <v>183757</v>
      </c>
      <c r="G1237" s="57">
        <f t="shared" si="19"/>
        <v>4.8153324016769812E-2</v>
      </c>
      <c r="J1237" s="5" t="s">
        <v>3864</v>
      </c>
    </row>
    <row r="1238" spans="1:10" ht="38.25" x14ac:dyDescent="0.2">
      <c r="A1238" s="1" t="s">
        <v>25</v>
      </c>
      <c r="B1238" s="2" t="s">
        <v>107</v>
      </c>
      <c r="C1238" s="1" t="s">
        <v>2194</v>
      </c>
      <c r="D1238" s="5" t="s">
        <v>2195</v>
      </c>
      <c r="E1238" s="3">
        <v>172389</v>
      </c>
      <c r="F1238" s="3">
        <v>112720</v>
      </c>
      <c r="G1238" s="57">
        <f t="shared" si="19"/>
        <v>-0.34612997349018787</v>
      </c>
      <c r="J1238" s="5" t="s">
        <v>4254</v>
      </c>
    </row>
    <row r="1239" spans="1:10" ht="39.75" customHeight="1" x14ac:dyDescent="0.2">
      <c r="A1239" s="1" t="s">
        <v>25</v>
      </c>
      <c r="B1239" s="2" t="s">
        <v>107</v>
      </c>
      <c r="C1239" s="1" t="s">
        <v>2196</v>
      </c>
      <c r="D1239" s="5" t="s">
        <v>2197</v>
      </c>
      <c r="E1239" s="3">
        <v>167569</v>
      </c>
      <c r="F1239" s="3">
        <v>170623</v>
      </c>
      <c r="G1239" s="57">
        <f t="shared" si="19"/>
        <v>1.8225328073808403E-2</v>
      </c>
      <c r="J1239" s="5" t="s">
        <v>4255</v>
      </c>
    </row>
    <row r="1240" spans="1:10" ht="25.5" x14ac:dyDescent="0.2">
      <c r="A1240" s="1" t="s">
        <v>25</v>
      </c>
      <c r="B1240" s="2" t="s">
        <v>107</v>
      </c>
      <c r="C1240" s="1" t="s">
        <v>2198</v>
      </c>
      <c r="D1240" s="5" t="s">
        <v>2199</v>
      </c>
      <c r="E1240" s="3">
        <v>124985</v>
      </c>
      <c r="F1240" s="3">
        <v>131191</v>
      </c>
      <c r="G1240" s="57">
        <f t="shared" si="19"/>
        <v>4.9653958475017003E-2</v>
      </c>
      <c r="J1240" s="5" t="s">
        <v>4256</v>
      </c>
    </row>
    <row r="1241" spans="1:10" ht="25.5" x14ac:dyDescent="0.2">
      <c r="A1241" s="1" t="s">
        <v>25</v>
      </c>
      <c r="B1241" s="2" t="s">
        <v>107</v>
      </c>
      <c r="C1241" s="1" t="s">
        <v>2200</v>
      </c>
      <c r="D1241" s="5" t="s">
        <v>2201</v>
      </c>
      <c r="E1241" s="3">
        <v>124985</v>
      </c>
      <c r="F1241" s="3">
        <v>129342</v>
      </c>
      <c r="G1241" s="57">
        <f t="shared" si="19"/>
        <v>3.486018322198664E-2</v>
      </c>
      <c r="J1241" s="5" t="s">
        <v>4257</v>
      </c>
    </row>
    <row r="1242" spans="1:10" ht="25.5" x14ac:dyDescent="0.2">
      <c r="A1242" s="1" t="s">
        <v>25</v>
      </c>
      <c r="B1242" s="2" t="s">
        <v>107</v>
      </c>
      <c r="C1242" s="1" t="s">
        <v>2202</v>
      </c>
      <c r="D1242" s="5" t="s">
        <v>2203</v>
      </c>
      <c r="E1242" s="3">
        <v>134442</v>
      </c>
      <c r="F1242" s="3">
        <v>135653</v>
      </c>
      <c r="G1242" s="57">
        <f t="shared" si="19"/>
        <v>9.0076017911069461E-3</v>
      </c>
      <c r="J1242" s="5" t="s">
        <v>4258</v>
      </c>
    </row>
    <row r="1243" spans="1:10" x14ac:dyDescent="0.2">
      <c r="A1243" s="1" t="s">
        <v>25</v>
      </c>
      <c r="B1243" s="2" t="s">
        <v>107</v>
      </c>
      <c r="C1243" s="1"/>
      <c r="D1243" s="5" t="s">
        <v>464</v>
      </c>
      <c r="G1243" s="57" t="str">
        <f t="shared" si="19"/>
        <v>-</v>
      </c>
      <c r="H1243" s="19" t="s">
        <v>465</v>
      </c>
      <c r="I1243" s="19">
        <v>92500</v>
      </c>
    </row>
    <row r="1244" spans="1:10" x14ac:dyDescent="0.2">
      <c r="A1244" s="1" t="s">
        <v>25</v>
      </c>
      <c r="B1244" s="2" t="s">
        <v>107</v>
      </c>
      <c r="C1244" s="1"/>
      <c r="D1244" s="5" t="s">
        <v>464</v>
      </c>
      <c r="G1244" s="57" t="str">
        <f t="shared" si="19"/>
        <v>-</v>
      </c>
      <c r="H1244" s="19" t="s">
        <v>465</v>
      </c>
      <c r="I1244" s="19">
        <v>92500</v>
      </c>
    </row>
    <row r="1245" spans="1:10" x14ac:dyDescent="0.2">
      <c r="A1245" s="1" t="s">
        <v>25</v>
      </c>
      <c r="B1245" s="2" t="s">
        <v>107</v>
      </c>
      <c r="C1245" s="1"/>
      <c r="D1245" s="5" t="s">
        <v>464</v>
      </c>
      <c r="G1245" s="57" t="str">
        <f t="shared" si="19"/>
        <v>-</v>
      </c>
      <c r="H1245" s="19" t="s">
        <v>465</v>
      </c>
      <c r="I1245" s="19">
        <v>92500</v>
      </c>
    </row>
    <row r="1246" spans="1:10" x14ac:dyDescent="0.2">
      <c r="A1246" s="1" t="s">
        <v>25</v>
      </c>
      <c r="B1246" s="2" t="s">
        <v>107</v>
      </c>
      <c r="C1246" s="1"/>
      <c r="D1246" s="5" t="s">
        <v>464</v>
      </c>
      <c r="G1246" s="57" t="str">
        <f t="shared" si="19"/>
        <v>-</v>
      </c>
      <c r="H1246" s="19" t="s">
        <v>465</v>
      </c>
      <c r="I1246" s="19">
        <v>92500</v>
      </c>
    </row>
    <row r="1247" spans="1:10" x14ac:dyDescent="0.2">
      <c r="A1247" s="1" t="s">
        <v>25</v>
      </c>
      <c r="B1247" s="2" t="s">
        <v>107</v>
      </c>
      <c r="C1247" s="1"/>
      <c r="D1247" s="5" t="s">
        <v>464</v>
      </c>
      <c r="G1247" s="57" t="str">
        <f t="shared" si="19"/>
        <v>-</v>
      </c>
      <c r="H1247" s="19" t="s">
        <v>465</v>
      </c>
      <c r="I1247" s="19">
        <v>92500</v>
      </c>
    </row>
    <row r="1248" spans="1:10" x14ac:dyDescent="0.2">
      <c r="A1248" s="1" t="s">
        <v>25</v>
      </c>
      <c r="B1248" s="2" t="s">
        <v>107</v>
      </c>
      <c r="C1248" s="1"/>
      <c r="D1248" s="5" t="s">
        <v>464</v>
      </c>
      <c r="G1248" s="57" t="str">
        <f t="shared" si="19"/>
        <v>-</v>
      </c>
      <c r="H1248" s="19">
        <v>92500</v>
      </c>
      <c r="I1248" s="19" t="s">
        <v>465</v>
      </c>
    </row>
    <row r="1249" spans="1:9" s="1" customFormat="1" x14ac:dyDescent="0.2">
      <c r="A1249" s="1" t="s">
        <v>25</v>
      </c>
      <c r="B1249" s="2" t="s">
        <v>107</v>
      </c>
      <c r="D1249" s="5" t="s">
        <v>464</v>
      </c>
      <c r="E1249" s="3"/>
      <c r="F1249" s="3"/>
      <c r="G1249" s="57" t="str">
        <f t="shared" si="19"/>
        <v>-</v>
      </c>
      <c r="H1249" s="19">
        <v>92500</v>
      </c>
      <c r="I1249" s="19" t="s">
        <v>465</v>
      </c>
    </row>
    <row r="1250" spans="1:9" s="1" customFormat="1" x14ac:dyDescent="0.2">
      <c r="A1250" s="1" t="s">
        <v>25</v>
      </c>
      <c r="B1250" s="2" t="s">
        <v>107</v>
      </c>
      <c r="D1250" s="5" t="s">
        <v>464</v>
      </c>
      <c r="E1250" s="3"/>
      <c r="F1250" s="3"/>
      <c r="G1250" s="57" t="str">
        <f t="shared" si="19"/>
        <v>-</v>
      </c>
      <c r="H1250" s="19">
        <v>92500</v>
      </c>
      <c r="I1250" s="19" t="s">
        <v>465</v>
      </c>
    </row>
    <row r="1251" spans="1:9" s="1" customFormat="1" x14ac:dyDescent="0.2">
      <c r="A1251" s="1" t="s">
        <v>25</v>
      </c>
      <c r="B1251" s="2" t="s">
        <v>107</v>
      </c>
      <c r="D1251" s="5" t="s">
        <v>464</v>
      </c>
      <c r="E1251" s="3"/>
      <c r="F1251" s="3"/>
      <c r="G1251" s="57" t="str">
        <f t="shared" si="19"/>
        <v>-</v>
      </c>
      <c r="H1251" s="19">
        <v>92500</v>
      </c>
      <c r="I1251" s="19" t="s">
        <v>465</v>
      </c>
    </row>
    <row r="1252" spans="1:9" s="1" customFormat="1" x14ac:dyDescent="0.2">
      <c r="A1252" s="1" t="s">
        <v>25</v>
      </c>
      <c r="B1252" s="2" t="s">
        <v>107</v>
      </c>
      <c r="D1252" s="5" t="s">
        <v>464</v>
      </c>
      <c r="E1252" s="3"/>
      <c r="F1252" s="3"/>
      <c r="G1252" s="57" t="str">
        <f t="shared" si="19"/>
        <v>-</v>
      </c>
      <c r="H1252" s="19">
        <v>92500</v>
      </c>
      <c r="I1252" s="19" t="s">
        <v>465</v>
      </c>
    </row>
    <row r="1253" spans="1:9" s="1" customFormat="1" x14ac:dyDescent="0.2">
      <c r="A1253" s="1" t="s">
        <v>25</v>
      </c>
      <c r="B1253" s="2" t="s">
        <v>107</v>
      </c>
      <c r="D1253" s="5" t="s">
        <v>464</v>
      </c>
      <c r="E1253" s="3"/>
      <c r="F1253" s="3"/>
      <c r="G1253" s="57" t="str">
        <f t="shared" si="19"/>
        <v>-</v>
      </c>
      <c r="H1253" s="19">
        <v>92500</v>
      </c>
      <c r="I1253" s="19" t="s">
        <v>465</v>
      </c>
    </row>
    <row r="1254" spans="1:9" s="1" customFormat="1" x14ac:dyDescent="0.2">
      <c r="A1254" s="1" t="s">
        <v>25</v>
      </c>
      <c r="B1254" s="2" t="s">
        <v>107</v>
      </c>
      <c r="D1254" s="5" t="s">
        <v>464</v>
      </c>
      <c r="E1254" s="3"/>
      <c r="F1254" s="3"/>
      <c r="G1254" s="57" t="str">
        <f t="shared" si="19"/>
        <v>-</v>
      </c>
      <c r="H1254" s="19" t="s">
        <v>465</v>
      </c>
      <c r="I1254" s="19">
        <v>97500</v>
      </c>
    </row>
    <row r="1255" spans="1:9" s="1" customFormat="1" x14ac:dyDescent="0.2">
      <c r="A1255" s="1" t="s">
        <v>25</v>
      </c>
      <c r="B1255" s="2" t="s">
        <v>107</v>
      </c>
      <c r="D1255" s="5" t="s">
        <v>464</v>
      </c>
      <c r="E1255" s="3"/>
      <c r="F1255" s="3"/>
      <c r="G1255" s="57" t="str">
        <f t="shared" si="19"/>
        <v>-</v>
      </c>
      <c r="H1255" s="19" t="s">
        <v>465</v>
      </c>
      <c r="I1255" s="19">
        <v>97500</v>
      </c>
    </row>
    <row r="1256" spans="1:9" s="1" customFormat="1" x14ac:dyDescent="0.2">
      <c r="A1256" s="1" t="s">
        <v>25</v>
      </c>
      <c r="B1256" s="2" t="s">
        <v>107</v>
      </c>
      <c r="D1256" s="5" t="s">
        <v>464</v>
      </c>
      <c r="E1256" s="3"/>
      <c r="F1256" s="3"/>
      <c r="G1256" s="57" t="str">
        <f t="shared" si="19"/>
        <v>-</v>
      </c>
      <c r="H1256" s="19" t="s">
        <v>465</v>
      </c>
      <c r="I1256" s="19">
        <v>97500</v>
      </c>
    </row>
    <row r="1257" spans="1:9" s="1" customFormat="1" x14ac:dyDescent="0.2">
      <c r="A1257" s="1" t="s">
        <v>25</v>
      </c>
      <c r="B1257" s="2" t="s">
        <v>107</v>
      </c>
      <c r="D1257" s="5" t="s">
        <v>464</v>
      </c>
      <c r="E1257" s="3"/>
      <c r="F1257" s="3"/>
      <c r="G1257" s="57" t="str">
        <f t="shared" si="19"/>
        <v>-</v>
      </c>
      <c r="H1257" s="19" t="s">
        <v>465</v>
      </c>
      <c r="I1257" s="19">
        <v>97500</v>
      </c>
    </row>
    <row r="1258" spans="1:9" s="1" customFormat="1" x14ac:dyDescent="0.2">
      <c r="A1258" s="1" t="s">
        <v>25</v>
      </c>
      <c r="B1258" s="2" t="s">
        <v>107</v>
      </c>
      <c r="D1258" s="5" t="s">
        <v>464</v>
      </c>
      <c r="E1258" s="3"/>
      <c r="F1258" s="3"/>
      <c r="G1258" s="57" t="str">
        <f t="shared" si="19"/>
        <v>-</v>
      </c>
      <c r="H1258" s="19" t="s">
        <v>465</v>
      </c>
      <c r="I1258" s="19">
        <v>97500</v>
      </c>
    </row>
    <row r="1259" spans="1:9" s="1" customFormat="1" x14ac:dyDescent="0.2">
      <c r="A1259" s="1" t="s">
        <v>25</v>
      </c>
      <c r="B1259" s="2" t="s">
        <v>107</v>
      </c>
      <c r="D1259" s="5" t="s">
        <v>464</v>
      </c>
      <c r="E1259" s="3"/>
      <c r="F1259" s="3"/>
      <c r="G1259" s="57" t="str">
        <f t="shared" si="19"/>
        <v>-</v>
      </c>
      <c r="H1259" s="19" t="s">
        <v>465</v>
      </c>
      <c r="I1259" s="19">
        <v>97500</v>
      </c>
    </row>
    <row r="1260" spans="1:9" s="1" customFormat="1" x14ac:dyDescent="0.2">
      <c r="A1260" s="1" t="s">
        <v>25</v>
      </c>
      <c r="B1260" s="2" t="s">
        <v>107</v>
      </c>
      <c r="D1260" s="5" t="s">
        <v>464</v>
      </c>
      <c r="E1260" s="3"/>
      <c r="F1260" s="3"/>
      <c r="G1260" s="57" t="str">
        <f t="shared" si="19"/>
        <v>-</v>
      </c>
      <c r="H1260" s="19" t="s">
        <v>465</v>
      </c>
      <c r="I1260" s="19">
        <v>97500</v>
      </c>
    </row>
    <row r="1261" spans="1:9" s="1" customFormat="1" x14ac:dyDescent="0.2">
      <c r="A1261" s="1" t="s">
        <v>25</v>
      </c>
      <c r="B1261" s="2" t="s">
        <v>107</v>
      </c>
      <c r="D1261" s="5" t="s">
        <v>464</v>
      </c>
      <c r="E1261" s="3"/>
      <c r="F1261" s="3"/>
      <c r="G1261" s="57" t="str">
        <f t="shared" si="19"/>
        <v>-</v>
      </c>
      <c r="H1261" s="19">
        <v>97500</v>
      </c>
      <c r="I1261" s="19" t="s">
        <v>465</v>
      </c>
    </row>
    <row r="1262" spans="1:9" s="1" customFormat="1" x14ac:dyDescent="0.2">
      <c r="A1262" s="1" t="s">
        <v>25</v>
      </c>
      <c r="B1262" s="2" t="s">
        <v>107</v>
      </c>
      <c r="D1262" s="5" t="s">
        <v>464</v>
      </c>
      <c r="E1262" s="3"/>
      <c r="F1262" s="3"/>
      <c r="G1262" s="57" t="str">
        <f t="shared" si="19"/>
        <v>-</v>
      </c>
      <c r="H1262" s="19">
        <v>97500</v>
      </c>
      <c r="I1262" s="19" t="s">
        <v>465</v>
      </c>
    </row>
    <row r="1263" spans="1:9" s="1" customFormat="1" x14ac:dyDescent="0.2">
      <c r="A1263" s="1" t="s">
        <v>25</v>
      </c>
      <c r="B1263" s="2" t="s">
        <v>107</v>
      </c>
      <c r="D1263" s="5" t="s">
        <v>464</v>
      </c>
      <c r="E1263" s="3"/>
      <c r="F1263" s="3"/>
      <c r="G1263" s="57" t="str">
        <f t="shared" si="19"/>
        <v>-</v>
      </c>
      <c r="H1263" s="19">
        <v>97500</v>
      </c>
      <c r="I1263" s="19" t="s">
        <v>465</v>
      </c>
    </row>
    <row r="1264" spans="1:9" s="1" customFormat="1" x14ac:dyDescent="0.2">
      <c r="A1264" s="1" t="s">
        <v>25</v>
      </c>
      <c r="B1264" s="2" t="s">
        <v>107</v>
      </c>
      <c r="D1264" s="5" t="s">
        <v>464</v>
      </c>
      <c r="E1264" s="3"/>
      <c r="F1264" s="3"/>
      <c r="G1264" s="57" t="str">
        <f t="shared" si="19"/>
        <v>-</v>
      </c>
      <c r="H1264" s="19">
        <v>97500</v>
      </c>
      <c r="I1264" s="19" t="s">
        <v>465</v>
      </c>
    </row>
    <row r="1265" spans="1:9" s="1" customFormat="1" x14ac:dyDescent="0.2">
      <c r="A1265" s="1" t="s">
        <v>25</v>
      </c>
      <c r="B1265" s="2" t="s">
        <v>107</v>
      </c>
      <c r="D1265" s="5" t="s">
        <v>464</v>
      </c>
      <c r="E1265" s="3"/>
      <c r="F1265" s="3"/>
      <c r="G1265" s="57" t="str">
        <f t="shared" si="19"/>
        <v>-</v>
      </c>
      <c r="H1265" s="19">
        <v>97500</v>
      </c>
      <c r="I1265" s="19" t="s">
        <v>465</v>
      </c>
    </row>
    <row r="1266" spans="1:9" s="1" customFormat="1" x14ac:dyDescent="0.2">
      <c r="A1266" s="1" t="s">
        <v>25</v>
      </c>
      <c r="B1266" s="2" t="s">
        <v>107</v>
      </c>
      <c r="D1266" s="5" t="s">
        <v>464</v>
      </c>
      <c r="E1266" s="3"/>
      <c r="F1266" s="3"/>
      <c r="G1266" s="57" t="str">
        <f t="shared" si="19"/>
        <v>-</v>
      </c>
      <c r="H1266" s="19">
        <v>97500</v>
      </c>
      <c r="I1266" s="19" t="s">
        <v>465</v>
      </c>
    </row>
    <row r="1267" spans="1:9" s="1" customFormat="1" x14ac:dyDescent="0.2">
      <c r="A1267" s="1" t="s">
        <v>25</v>
      </c>
      <c r="B1267" s="2" t="s">
        <v>107</v>
      </c>
      <c r="D1267" s="5" t="s">
        <v>464</v>
      </c>
      <c r="E1267" s="3"/>
      <c r="F1267" s="3"/>
      <c r="G1267" s="57" t="str">
        <f t="shared" si="19"/>
        <v>-</v>
      </c>
      <c r="H1267" s="19">
        <v>97500</v>
      </c>
      <c r="I1267" s="19" t="s">
        <v>465</v>
      </c>
    </row>
    <row r="1268" spans="1:9" s="1" customFormat="1" x14ac:dyDescent="0.2">
      <c r="A1268" s="1" t="s">
        <v>25</v>
      </c>
      <c r="B1268" s="2" t="s">
        <v>107</v>
      </c>
      <c r="D1268" s="5" t="s">
        <v>464</v>
      </c>
      <c r="E1268" s="3" t="s">
        <v>465</v>
      </c>
      <c r="F1268" s="3">
        <v>102500</v>
      </c>
      <c r="G1268" s="57" t="str">
        <f t="shared" si="19"/>
        <v>-</v>
      </c>
      <c r="H1268" s="19"/>
      <c r="I1268" s="19"/>
    </row>
    <row r="1269" spans="1:9" s="1" customFormat="1" x14ac:dyDescent="0.2">
      <c r="A1269" s="1" t="s">
        <v>25</v>
      </c>
      <c r="B1269" s="2" t="s">
        <v>107</v>
      </c>
      <c r="D1269" s="5" t="s">
        <v>464</v>
      </c>
      <c r="E1269" s="3" t="s">
        <v>465</v>
      </c>
      <c r="F1269" s="3">
        <v>102500</v>
      </c>
      <c r="G1269" s="57" t="str">
        <f t="shared" si="19"/>
        <v>-</v>
      </c>
      <c r="H1269" s="19"/>
      <c r="I1269" s="19"/>
    </row>
    <row r="1270" spans="1:9" s="1" customFormat="1" x14ac:dyDescent="0.2">
      <c r="A1270" s="1" t="s">
        <v>25</v>
      </c>
      <c r="B1270" s="2" t="s">
        <v>107</v>
      </c>
      <c r="D1270" s="5" t="s">
        <v>464</v>
      </c>
      <c r="E1270" s="3" t="s">
        <v>465</v>
      </c>
      <c r="F1270" s="3">
        <v>102500</v>
      </c>
      <c r="G1270" s="57" t="str">
        <f t="shared" si="19"/>
        <v>-</v>
      </c>
      <c r="H1270" s="19"/>
      <c r="I1270" s="19"/>
    </row>
    <row r="1271" spans="1:9" s="1" customFormat="1" x14ac:dyDescent="0.2">
      <c r="A1271" s="1" t="s">
        <v>25</v>
      </c>
      <c r="B1271" s="2" t="s">
        <v>107</v>
      </c>
      <c r="D1271" s="5" t="s">
        <v>464</v>
      </c>
      <c r="E1271" s="3">
        <v>102500</v>
      </c>
      <c r="F1271" s="3" t="s">
        <v>465</v>
      </c>
      <c r="G1271" s="57" t="str">
        <f t="shared" si="19"/>
        <v>-</v>
      </c>
      <c r="H1271" s="19"/>
      <c r="I1271" s="19"/>
    </row>
    <row r="1272" spans="1:9" s="1" customFormat="1" x14ac:dyDescent="0.2">
      <c r="A1272" s="1" t="s">
        <v>25</v>
      </c>
      <c r="B1272" s="2" t="s">
        <v>107</v>
      </c>
      <c r="D1272" s="5" t="s">
        <v>464</v>
      </c>
      <c r="E1272" s="3">
        <v>102500</v>
      </c>
      <c r="F1272" s="3" t="s">
        <v>465</v>
      </c>
      <c r="G1272" s="57" t="str">
        <f t="shared" si="19"/>
        <v>-</v>
      </c>
      <c r="H1272" s="19"/>
      <c r="I1272" s="19"/>
    </row>
    <row r="1273" spans="1:9" s="1" customFormat="1" x14ac:dyDescent="0.2">
      <c r="A1273" s="1" t="s">
        <v>25</v>
      </c>
      <c r="B1273" s="2" t="s">
        <v>107</v>
      </c>
      <c r="D1273" s="5" t="s">
        <v>464</v>
      </c>
      <c r="E1273" s="3">
        <v>102500</v>
      </c>
      <c r="F1273" s="3" t="s">
        <v>465</v>
      </c>
      <c r="G1273" s="57" t="str">
        <f t="shared" si="19"/>
        <v>-</v>
      </c>
      <c r="H1273" s="19"/>
      <c r="I1273" s="19"/>
    </row>
    <row r="1274" spans="1:9" s="1" customFormat="1" x14ac:dyDescent="0.2">
      <c r="A1274" s="1" t="s">
        <v>25</v>
      </c>
      <c r="B1274" s="2" t="s">
        <v>107</v>
      </c>
      <c r="D1274" s="5" t="s">
        <v>464</v>
      </c>
      <c r="E1274" s="3">
        <v>102500</v>
      </c>
      <c r="F1274" s="3" t="s">
        <v>465</v>
      </c>
      <c r="G1274" s="57" t="str">
        <f t="shared" si="19"/>
        <v>-</v>
      </c>
      <c r="H1274" s="19"/>
      <c r="I1274" s="19"/>
    </row>
    <row r="1275" spans="1:9" s="1" customFormat="1" x14ac:dyDescent="0.2">
      <c r="A1275" s="1" t="s">
        <v>25</v>
      </c>
      <c r="B1275" s="2" t="s">
        <v>107</v>
      </c>
      <c r="D1275" s="5" t="s">
        <v>464</v>
      </c>
      <c r="E1275" s="3">
        <v>102500</v>
      </c>
      <c r="F1275" s="3" t="s">
        <v>465</v>
      </c>
      <c r="G1275" s="57" t="str">
        <f t="shared" si="19"/>
        <v>-</v>
      </c>
      <c r="H1275" s="19"/>
      <c r="I1275" s="19"/>
    </row>
    <row r="1276" spans="1:9" s="1" customFormat="1" x14ac:dyDescent="0.2">
      <c r="A1276" s="1" t="s">
        <v>25</v>
      </c>
      <c r="B1276" s="2" t="s">
        <v>107</v>
      </c>
      <c r="D1276" s="5" t="s">
        <v>464</v>
      </c>
      <c r="E1276" s="3" t="s">
        <v>465</v>
      </c>
      <c r="F1276" s="3">
        <v>107500</v>
      </c>
      <c r="G1276" s="57" t="str">
        <f t="shared" si="19"/>
        <v>-</v>
      </c>
      <c r="H1276" s="19"/>
      <c r="I1276" s="19"/>
    </row>
    <row r="1277" spans="1:9" s="1" customFormat="1" x14ac:dyDescent="0.2">
      <c r="A1277" s="1" t="s">
        <v>25</v>
      </c>
      <c r="B1277" s="2" t="s">
        <v>107</v>
      </c>
      <c r="D1277" s="5" t="s">
        <v>464</v>
      </c>
      <c r="E1277" s="3" t="s">
        <v>465</v>
      </c>
      <c r="F1277" s="3">
        <v>107500</v>
      </c>
      <c r="G1277" s="57" t="str">
        <f t="shared" si="19"/>
        <v>-</v>
      </c>
      <c r="H1277" s="19"/>
      <c r="I1277" s="19"/>
    </row>
    <row r="1278" spans="1:9" s="1" customFormat="1" x14ac:dyDescent="0.2">
      <c r="A1278" s="1" t="s">
        <v>25</v>
      </c>
      <c r="B1278" s="2" t="s">
        <v>107</v>
      </c>
      <c r="D1278" s="5" t="s">
        <v>464</v>
      </c>
      <c r="E1278" s="3" t="s">
        <v>465</v>
      </c>
      <c r="F1278" s="3">
        <v>107500</v>
      </c>
      <c r="G1278" s="57" t="str">
        <f t="shared" si="19"/>
        <v>-</v>
      </c>
      <c r="H1278" s="19"/>
      <c r="I1278" s="19"/>
    </row>
    <row r="1279" spans="1:9" s="1" customFormat="1" x14ac:dyDescent="0.2">
      <c r="A1279" s="1" t="s">
        <v>25</v>
      </c>
      <c r="B1279" s="2" t="s">
        <v>107</v>
      </c>
      <c r="D1279" s="5" t="s">
        <v>464</v>
      </c>
      <c r="E1279" s="3" t="s">
        <v>465</v>
      </c>
      <c r="F1279" s="3">
        <v>107500</v>
      </c>
      <c r="G1279" s="57" t="str">
        <f t="shared" si="19"/>
        <v>-</v>
      </c>
      <c r="H1279" s="19"/>
      <c r="I1279" s="19"/>
    </row>
    <row r="1280" spans="1:9" s="1" customFormat="1" x14ac:dyDescent="0.2">
      <c r="A1280" s="1" t="s">
        <v>25</v>
      </c>
      <c r="B1280" s="2" t="s">
        <v>107</v>
      </c>
      <c r="D1280" s="5" t="s">
        <v>464</v>
      </c>
      <c r="E1280" s="3" t="s">
        <v>465</v>
      </c>
      <c r="F1280" s="3">
        <v>112500</v>
      </c>
      <c r="G1280" s="57" t="str">
        <f t="shared" si="19"/>
        <v>-</v>
      </c>
      <c r="H1280" s="19"/>
      <c r="I1280" s="19"/>
    </row>
    <row r="1281" spans="1:10" x14ac:dyDescent="0.2">
      <c r="A1281" s="1" t="s">
        <v>25</v>
      </c>
      <c r="B1281" s="2" t="s">
        <v>107</v>
      </c>
      <c r="C1281" s="1"/>
      <c r="D1281" s="5" t="s">
        <v>464</v>
      </c>
      <c r="E1281" s="3" t="s">
        <v>465</v>
      </c>
      <c r="F1281" s="3">
        <v>112500</v>
      </c>
      <c r="G1281" s="57" t="str">
        <f t="shared" si="19"/>
        <v>-</v>
      </c>
    </row>
    <row r="1282" spans="1:10" x14ac:dyDescent="0.2">
      <c r="A1282" s="1" t="s">
        <v>25</v>
      </c>
      <c r="B1282" s="2" t="s">
        <v>107</v>
      </c>
      <c r="C1282" s="1"/>
      <c r="D1282" s="5" t="s">
        <v>464</v>
      </c>
      <c r="E1282" s="3">
        <v>112500</v>
      </c>
      <c r="F1282" s="3" t="s">
        <v>465</v>
      </c>
      <c r="G1282" s="57" t="str">
        <f t="shared" si="19"/>
        <v>-</v>
      </c>
    </row>
    <row r="1283" spans="1:10" x14ac:dyDescent="0.2">
      <c r="A1283" s="1" t="s">
        <v>25</v>
      </c>
      <c r="B1283" s="2" t="s">
        <v>107</v>
      </c>
      <c r="C1283" s="1"/>
      <c r="D1283" s="5" t="s">
        <v>464</v>
      </c>
      <c r="E1283" s="3" t="s">
        <v>465</v>
      </c>
      <c r="F1283" s="3">
        <v>122500</v>
      </c>
      <c r="G1283" s="57" t="str">
        <f t="shared" ref="G1283:G1346" si="20">IF(ISERROR((F1283-E1283)/E1283),"-",(F1283-E1283)/E1283)</f>
        <v>-</v>
      </c>
    </row>
    <row r="1284" spans="1:10" x14ac:dyDescent="0.2">
      <c r="A1284" s="1" t="s">
        <v>25</v>
      </c>
      <c r="B1284" s="2" t="s">
        <v>107</v>
      </c>
      <c r="C1284" s="1"/>
      <c r="D1284" s="5" t="s">
        <v>464</v>
      </c>
      <c r="E1284" s="3" t="s">
        <v>465</v>
      </c>
      <c r="F1284" s="3">
        <v>122500</v>
      </c>
      <c r="G1284" s="57" t="str">
        <f t="shared" si="20"/>
        <v>-</v>
      </c>
    </row>
    <row r="1285" spans="1:10" x14ac:dyDescent="0.2">
      <c r="A1285" s="1" t="s">
        <v>25</v>
      </c>
      <c r="B1285" s="2" t="s">
        <v>107</v>
      </c>
      <c r="C1285" s="1"/>
      <c r="D1285" s="5" t="s">
        <v>464</v>
      </c>
      <c r="E1285" s="3" t="s">
        <v>465</v>
      </c>
      <c r="F1285" s="3">
        <v>142500</v>
      </c>
      <c r="G1285" s="57" t="str">
        <f t="shared" si="20"/>
        <v>-</v>
      </c>
    </row>
    <row r="1286" spans="1:10" ht="25.5" x14ac:dyDescent="0.2">
      <c r="A1286" s="1" t="s">
        <v>6</v>
      </c>
      <c r="B1286" s="2" t="s">
        <v>108</v>
      </c>
      <c r="C1286" s="1" t="s">
        <v>2172</v>
      </c>
      <c r="D1286" s="5" t="s">
        <v>450</v>
      </c>
      <c r="E1286" s="6">
        <v>186705</v>
      </c>
      <c r="F1286" s="3">
        <v>201941</v>
      </c>
      <c r="G1286" s="57">
        <f t="shared" si="20"/>
        <v>8.1604670469457172E-2</v>
      </c>
      <c r="J1286" s="5" t="s">
        <v>3865</v>
      </c>
    </row>
    <row r="1287" spans="1:10" ht="25.5" x14ac:dyDescent="0.2">
      <c r="A1287" s="1" t="s">
        <v>6</v>
      </c>
      <c r="B1287" s="2" t="s">
        <v>108</v>
      </c>
      <c r="C1287" s="1" t="s">
        <v>2173</v>
      </c>
      <c r="D1287" s="5" t="s">
        <v>666</v>
      </c>
      <c r="E1287" s="6">
        <v>150566</v>
      </c>
      <c r="F1287" s="3">
        <v>155173</v>
      </c>
      <c r="G1287" s="57">
        <f t="shared" si="20"/>
        <v>3.0597877342826402E-2</v>
      </c>
      <c r="J1287" s="5" t="s">
        <v>3866</v>
      </c>
    </row>
    <row r="1288" spans="1:10" ht="25.5" x14ac:dyDescent="0.2">
      <c r="A1288" s="1" t="s">
        <v>6</v>
      </c>
      <c r="B1288" s="2" t="s">
        <v>108</v>
      </c>
      <c r="C1288" s="1" t="s">
        <v>2174</v>
      </c>
      <c r="D1288" s="5" t="s">
        <v>2175</v>
      </c>
      <c r="E1288" s="6">
        <v>155359</v>
      </c>
      <c r="F1288" s="3">
        <v>150641</v>
      </c>
      <c r="G1288" s="57">
        <f t="shared" si="20"/>
        <v>-3.0368372607959628E-2</v>
      </c>
      <c r="J1288" s="5" t="s">
        <v>3867</v>
      </c>
    </row>
    <row r="1289" spans="1:10" ht="25.5" x14ac:dyDescent="0.2">
      <c r="A1289" s="1" t="s">
        <v>6</v>
      </c>
      <c r="B1289" s="2" t="s">
        <v>108</v>
      </c>
      <c r="C1289" s="1" t="s">
        <v>2176</v>
      </c>
      <c r="D1289" s="5" t="s">
        <v>2177</v>
      </c>
      <c r="E1289" s="6">
        <v>147221</v>
      </c>
      <c r="F1289" s="3">
        <v>150545</v>
      </c>
      <c r="G1289" s="57">
        <f t="shared" si="20"/>
        <v>2.2578300650043133E-2</v>
      </c>
      <c r="J1289" s="5" t="s">
        <v>3868</v>
      </c>
    </row>
    <row r="1290" spans="1:10" ht="51" x14ac:dyDescent="0.2">
      <c r="A1290" s="1" t="s">
        <v>6</v>
      </c>
      <c r="B1290" s="2" t="s">
        <v>108</v>
      </c>
      <c r="C1290" s="1" t="s">
        <v>2178</v>
      </c>
      <c r="D1290" s="5" t="s">
        <v>2179</v>
      </c>
      <c r="E1290" s="6">
        <v>139495</v>
      </c>
      <c r="F1290" s="3">
        <v>149747</v>
      </c>
      <c r="G1290" s="57">
        <f t="shared" si="20"/>
        <v>7.3493673608373056E-2</v>
      </c>
      <c r="J1290" s="5" t="s">
        <v>4260</v>
      </c>
    </row>
    <row r="1291" spans="1:10" ht="25.5" x14ac:dyDescent="0.2">
      <c r="A1291" s="1" t="s">
        <v>6</v>
      </c>
      <c r="B1291" s="2" t="s">
        <v>108</v>
      </c>
      <c r="C1291" s="1" t="s">
        <v>2180</v>
      </c>
      <c r="D1291" s="5" t="s">
        <v>3869</v>
      </c>
      <c r="E1291" s="3">
        <v>139150</v>
      </c>
      <c r="F1291" s="3">
        <v>142000</v>
      </c>
      <c r="G1291" s="57">
        <f t="shared" si="20"/>
        <v>2.0481494789795184E-2</v>
      </c>
      <c r="J1291" s="5" t="s">
        <v>3870</v>
      </c>
    </row>
    <row r="1292" spans="1:10" ht="25.5" x14ac:dyDescent="0.2">
      <c r="A1292" s="1" t="s">
        <v>6</v>
      </c>
      <c r="B1292" s="2" t="s">
        <v>108</v>
      </c>
      <c r="C1292" s="1" t="s">
        <v>2181</v>
      </c>
      <c r="D1292" s="5" t="s">
        <v>2182</v>
      </c>
      <c r="E1292" s="3">
        <v>106572</v>
      </c>
      <c r="F1292" s="3">
        <v>110511</v>
      </c>
      <c r="G1292" s="57">
        <f t="shared" si="20"/>
        <v>3.6960927823443304E-2</v>
      </c>
      <c r="J1292" s="5" t="s">
        <v>3871</v>
      </c>
    </row>
    <row r="1293" spans="1:10" x14ac:dyDescent="0.2">
      <c r="A1293" s="1" t="s">
        <v>6</v>
      </c>
      <c r="B1293" s="2" t="s">
        <v>108</v>
      </c>
      <c r="C1293" s="1" t="s">
        <v>2183</v>
      </c>
      <c r="D1293" s="5" t="s">
        <v>2184</v>
      </c>
      <c r="E1293" s="3">
        <v>110046</v>
      </c>
      <c r="F1293" s="3">
        <v>107753</v>
      </c>
      <c r="G1293" s="57">
        <f t="shared" si="20"/>
        <v>-2.0836740999218509E-2</v>
      </c>
      <c r="J1293" s="5" t="s">
        <v>3872</v>
      </c>
    </row>
    <row r="1294" spans="1:10" s="13" customFormat="1" x14ac:dyDescent="0.2">
      <c r="A1294" s="1" t="s">
        <v>6</v>
      </c>
      <c r="B1294" s="12" t="s">
        <v>108</v>
      </c>
      <c r="C1294" s="13" t="s">
        <v>3873</v>
      </c>
      <c r="D1294" s="7" t="s">
        <v>450</v>
      </c>
      <c r="E1294" s="6">
        <v>464113</v>
      </c>
      <c r="F1294" s="6" t="s">
        <v>465</v>
      </c>
      <c r="G1294" s="57" t="str">
        <f t="shared" si="20"/>
        <v>-</v>
      </c>
      <c r="H1294" s="21"/>
      <c r="I1294" s="21"/>
      <c r="J1294" s="7" t="s">
        <v>3874</v>
      </c>
    </row>
    <row r="1295" spans="1:10" s="13" customFormat="1" ht="25.5" x14ac:dyDescent="0.2">
      <c r="A1295" s="1" t="s">
        <v>6</v>
      </c>
      <c r="B1295" s="12" t="s">
        <v>108</v>
      </c>
      <c r="C1295" s="13" t="s">
        <v>3875</v>
      </c>
      <c r="D1295" s="7" t="s">
        <v>2720</v>
      </c>
      <c r="E1295" s="6">
        <v>147221</v>
      </c>
      <c r="F1295" s="6">
        <v>53514</v>
      </c>
      <c r="G1295" s="57">
        <f t="shared" si="20"/>
        <v>-0.63650566155643551</v>
      </c>
      <c r="H1295" s="21"/>
      <c r="I1295" s="21"/>
      <c r="J1295" s="7" t="s">
        <v>4259</v>
      </c>
    </row>
    <row r="1296" spans="1:10" x14ac:dyDescent="0.2">
      <c r="A1296" s="1" t="s">
        <v>6</v>
      </c>
      <c r="B1296" s="2" t="s">
        <v>108</v>
      </c>
      <c r="C1296" s="1"/>
      <c r="D1296" s="5" t="s">
        <v>464</v>
      </c>
      <c r="G1296" s="57" t="str">
        <f t="shared" si="20"/>
        <v>-</v>
      </c>
      <c r="H1296" s="19" t="s">
        <v>465</v>
      </c>
      <c r="I1296" s="19">
        <v>92500</v>
      </c>
    </row>
    <row r="1297" spans="1:10" x14ac:dyDescent="0.2">
      <c r="A1297" s="1" t="s">
        <v>6</v>
      </c>
      <c r="B1297" s="2" t="s">
        <v>108</v>
      </c>
      <c r="C1297" s="1"/>
      <c r="D1297" s="5" t="s">
        <v>464</v>
      </c>
      <c r="G1297" s="57" t="str">
        <f t="shared" si="20"/>
        <v>-</v>
      </c>
      <c r="H1297" s="19" t="s">
        <v>465</v>
      </c>
      <c r="I1297" s="19">
        <v>92500</v>
      </c>
    </row>
    <row r="1298" spans="1:10" x14ac:dyDescent="0.2">
      <c r="A1298" s="1" t="s">
        <v>6</v>
      </c>
      <c r="B1298" s="2" t="s">
        <v>108</v>
      </c>
      <c r="C1298" s="1"/>
      <c r="D1298" s="5" t="s">
        <v>464</v>
      </c>
      <c r="G1298" s="57" t="str">
        <f t="shared" si="20"/>
        <v>-</v>
      </c>
      <c r="H1298" s="19" t="s">
        <v>465</v>
      </c>
      <c r="I1298" s="19">
        <v>92500</v>
      </c>
    </row>
    <row r="1299" spans="1:10" x14ac:dyDescent="0.2">
      <c r="A1299" s="1" t="s">
        <v>6</v>
      </c>
      <c r="B1299" s="2" t="s">
        <v>108</v>
      </c>
      <c r="C1299" s="1"/>
      <c r="D1299" s="5" t="s">
        <v>464</v>
      </c>
      <c r="G1299" s="57" t="str">
        <f t="shared" si="20"/>
        <v>-</v>
      </c>
      <c r="H1299" s="19" t="s">
        <v>465</v>
      </c>
      <c r="I1299" s="19">
        <v>92500</v>
      </c>
    </row>
    <row r="1300" spans="1:10" x14ac:dyDescent="0.2">
      <c r="A1300" s="1" t="s">
        <v>6</v>
      </c>
      <c r="B1300" s="2" t="s">
        <v>108</v>
      </c>
      <c r="C1300" s="1"/>
      <c r="D1300" s="5" t="s">
        <v>464</v>
      </c>
      <c r="G1300" s="57" t="str">
        <f t="shared" si="20"/>
        <v>-</v>
      </c>
      <c r="H1300" s="19" t="s">
        <v>465</v>
      </c>
      <c r="I1300" s="19">
        <v>92500</v>
      </c>
    </row>
    <row r="1301" spans="1:10" x14ac:dyDescent="0.2">
      <c r="A1301" s="1" t="s">
        <v>6</v>
      </c>
      <c r="B1301" s="2" t="s">
        <v>108</v>
      </c>
      <c r="C1301" s="1"/>
      <c r="D1301" s="5" t="s">
        <v>464</v>
      </c>
      <c r="G1301" s="57" t="str">
        <f t="shared" si="20"/>
        <v>-</v>
      </c>
      <c r="H1301" s="19" t="s">
        <v>465</v>
      </c>
      <c r="I1301" s="19">
        <v>92500</v>
      </c>
    </row>
    <row r="1302" spans="1:10" x14ac:dyDescent="0.2">
      <c r="A1302" s="1" t="s">
        <v>6</v>
      </c>
      <c r="B1302" s="2" t="s">
        <v>108</v>
      </c>
      <c r="C1302" s="1"/>
      <c r="D1302" s="5" t="s">
        <v>464</v>
      </c>
      <c r="G1302" s="57" t="str">
        <f t="shared" si="20"/>
        <v>-</v>
      </c>
      <c r="H1302" s="19" t="s">
        <v>465</v>
      </c>
      <c r="I1302" s="19">
        <v>97500</v>
      </c>
    </row>
    <row r="1303" spans="1:10" x14ac:dyDescent="0.2">
      <c r="A1303" s="1" t="s">
        <v>6</v>
      </c>
      <c r="B1303" s="2" t="s">
        <v>108</v>
      </c>
      <c r="C1303" s="1"/>
      <c r="D1303" s="5" t="s">
        <v>464</v>
      </c>
      <c r="G1303" s="57" t="str">
        <f t="shared" si="20"/>
        <v>-</v>
      </c>
      <c r="H1303" s="19">
        <v>97500</v>
      </c>
      <c r="I1303" s="19" t="s">
        <v>465</v>
      </c>
    </row>
    <row r="1304" spans="1:10" x14ac:dyDescent="0.2">
      <c r="A1304" s="1" t="s">
        <v>6</v>
      </c>
      <c r="B1304" s="2" t="s">
        <v>108</v>
      </c>
      <c r="C1304" s="1"/>
      <c r="D1304" s="5" t="s">
        <v>464</v>
      </c>
      <c r="E1304" s="3" t="s">
        <v>465</v>
      </c>
      <c r="F1304" s="3">
        <v>102500</v>
      </c>
      <c r="G1304" s="57" t="str">
        <f t="shared" si="20"/>
        <v>-</v>
      </c>
    </row>
    <row r="1305" spans="1:10" x14ac:dyDescent="0.2">
      <c r="A1305" s="1" t="s">
        <v>6</v>
      </c>
      <c r="B1305" s="2" t="s">
        <v>108</v>
      </c>
      <c r="C1305" s="1"/>
      <c r="D1305" s="5" t="s">
        <v>464</v>
      </c>
      <c r="E1305" s="3">
        <v>102500</v>
      </c>
      <c r="F1305" s="3" t="s">
        <v>465</v>
      </c>
      <c r="G1305" s="57" t="str">
        <f t="shared" si="20"/>
        <v>-</v>
      </c>
    </row>
    <row r="1306" spans="1:10" x14ac:dyDescent="0.2">
      <c r="A1306" s="1" t="s">
        <v>6</v>
      </c>
      <c r="B1306" s="1" t="s">
        <v>108</v>
      </c>
      <c r="C1306" s="1"/>
      <c r="D1306" s="5" t="s">
        <v>464</v>
      </c>
      <c r="E1306" s="3">
        <v>102500</v>
      </c>
      <c r="F1306" s="3" t="s">
        <v>465</v>
      </c>
      <c r="G1306" s="57" t="str">
        <f t="shared" si="20"/>
        <v>-</v>
      </c>
    </row>
    <row r="1307" spans="1:10" ht="25.5" x14ac:dyDescent="0.2">
      <c r="A1307" s="1" t="s">
        <v>20</v>
      </c>
      <c r="B1307" s="2" t="s">
        <v>109</v>
      </c>
      <c r="C1307" s="1"/>
      <c r="D1307" s="5" t="s">
        <v>450</v>
      </c>
      <c r="E1307" s="3">
        <v>151152</v>
      </c>
      <c r="F1307" s="3">
        <v>153528</v>
      </c>
      <c r="G1307" s="57">
        <f t="shared" si="20"/>
        <v>1.571927596062242E-2</v>
      </c>
      <c r="J1307" s="5" t="s">
        <v>3876</v>
      </c>
    </row>
    <row r="1308" spans="1:10" ht="25.5" x14ac:dyDescent="0.2">
      <c r="A1308" s="1" t="s">
        <v>20</v>
      </c>
      <c r="B1308" s="2" t="s">
        <v>109</v>
      </c>
      <c r="C1308" s="1"/>
      <c r="D1308" s="5" t="s">
        <v>2168</v>
      </c>
      <c r="E1308" s="3">
        <v>116789</v>
      </c>
      <c r="F1308" s="3">
        <v>117142</v>
      </c>
      <c r="G1308" s="57">
        <f t="shared" si="20"/>
        <v>3.0225449314575858E-3</v>
      </c>
      <c r="J1308" s="5" t="s">
        <v>3877</v>
      </c>
    </row>
    <row r="1309" spans="1:10" ht="25.5" x14ac:dyDescent="0.2">
      <c r="A1309" s="1" t="s">
        <v>20</v>
      </c>
      <c r="B1309" s="2" t="s">
        <v>109</v>
      </c>
      <c r="C1309" s="1"/>
      <c r="D1309" s="5" t="s">
        <v>2169</v>
      </c>
      <c r="E1309" s="3" t="s">
        <v>465</v>
      </c>
      <c r="F1309" s="3">
        <v>111224</v>
      </c>
      <c r="G1309" s="57" t="str">
        <f t="shared" si="20"/>
        <v>-</v>
      </c>
      <c r="J1309" s="5" t="s">
        <v>3878</v>
      </c>
    </row>
    <row r="1310" spans="1:10" ht="38.25" x14ac:dyDescent="0.2">
      <c r="A1310" s="1" t="s">
        <v>20</v>
      </c>
      <c r="B1310" s="2" t="s">
        <v>109</v>
      </c>
      <c r="C1310" s="1"/>
      <c r="D1310" s="5" t="s">
        <v>2170</v>
      </c>
      <c r="E1310" s="3">
        <v>76464</v>
      </c>
      <c r="F1310" s="3">
        <v>115651</v>
      </c>
      <c r="G1310" s="57">
        <f t="shared" si="20"/>
        <v>0.51248953756015903</v>
      </c>
      <c r="J1310" s="5" t="s">
        <v>3879</v>
      </c>
    </row>
    <row r="1311" spans="1:10" ht="38.25" x14ac:dyDescent="0.2">
      <c r="A1311" s="1" t="s">
        <v>20</v>
      </c>
      <c r="B1311" s="2" t="s">
        <v>109</v>
      </c>
      <c r="C1311" s="1"/>
      <c r="D1311" s="5" t="s">
        <v>740</v>
      </c>
      <c r="E1311" s="3">
        <v>76092</v>
      </c>
      <c r="F1311" s="3">
        <v>195565</v>
      </c>
      <c r="G1311" s="57">
        <f t="shared" si="20"/>
        <v>1.570112495400305</v>
      </c>
      <c r="J1311" s="5" t="s">
        <v>4616</v>
      </c>
    </row>
    <row r="1312" spans="1:10" ht="38.25" x14ac:dyDescent="0.2">
      <c r="A1312" s="1" t="s">
        <v>20</v>
      </c>
      <c r="B1312" s="2" t="s">
        <v>109</v>
      </c>
      <c r="C1312" s="1"/>
      <c r="D1312" s="5" t="s">
        <v>2171</v>
      </c>
      <c r="E1312" s="3">
        <v>77367</v>
      </c>
      <c r="F1312" s="3">
        <v>118196</v>
      </c>
      <c r="G1312" s="57">
        <f t="shared" si="20"/>
        <v>0.52773146173433116</v>
      </c>
      <c r="J1312" s="5" t="s">
        <v>3880</v>
      </c>
    </row>
    <row r="1313" spans="1:10" s="13" customFormat="1" x14ac:dyDescent="0.2">
      <c r="A1313" s="1" t="s">
        <v>20</v>
      </c>
      <c r="B1313" s="12" t="s">
        <v>109</v>
      </c>
      <c r="D1313" s="7" t="s">
        <v>3881</v>
      </c>
      <c r="E1313" s="6">
        <v>315142</v>
      </c>
      <c r="F1313" s="6">
        <v>1318</v>
      </c>
      <c r="G1313" s="57">
        <f t="shared" si="20"/>
        <v>-0.99581775834385766</v>
      </c>
      <c r="H1313" s="21"/>
      <c r="I1313" s="21"/>
      <c r="J1313" s="7" t="s">
        <v>3882</v>
      </c>
    </row>
    <row r="1314" spans="1:10" s="13" customFormat="1" x14ac:dyDescent="0.2">
      <c r="A1314" s="1" t="s">
        <v>20</v>
      </c>
      <c r="B1314" s="12" t="s">
        <v>109</v>
      </c>
      <c r="D1314" s="7" t="s">
        <v>3883</v>
      </c>
      <c r="E1314" s="6">
        <v>138009</v>
      </c>
      <c r="F1314" s="6" t="s">
        <v>465</v>
      </c>
      <c r="G1314" s="57" t="str">
        <f t="shared" si="20"/>
        <v>-</v>
      </c>
      <c r="H1314" s="21"/>
      <c r="I1314" s="21"/>
      <c r="J1314" s="7"/>
    </row>
    <row r="1315" spans="1:10" s="13" customFormat="1" x14ac:dyDescent="0.2">
      <c r="A1315" s="1" t="s">
        <v>20</v>
      </c>
      <c r="B1315" s="13" t="s">
        <v>109</v>
      </c>
      <c r="D1315" s="7" t="s">
        <v>3884</v>
      </c>
      <c r="E1315" s="6">
        <v>109785</v>
      </c>
      <c r="F1315" s="6" t="s">
        <v>3885</v>
      </c>
      <c r="G1315" s="57" t="str">
        <f t="shared" si="20"/>
        <v>-</v>
      </c>
      <c r="H1315" s="21"/>
      <c r="I1315" s="21"/>
      <c r="J1315" s="7"/>
    </row>
    <row r="1316" spans="1:10" s="13" customFormat="1" ht="25.5" x14ac:dyDescent="0.2">
      <c r="A1316" s="13" t="s">
        <v>111</v>
      </c>
      <c r="B1316" s="12" t="s">
        <v>110</v>
      </c>
      <c r="C1316" s="13" t="s">
        <v>2166</v>
      </c>
      <c r="D1316" s="7" t="s">
        <v>450</v>
      </c>
      <c r="E1316" s="6">
        <v>188060</v>
      </c>
      <c r="F1316" s="6">
        <v>187573</v>
      </c>
      <c r="G1316" s="57">
        <f t="shared" si="20"/>
        <v>-2.5895990641284696E-3</v>
      </c>
      <c r="H1316" s="21"/>
      <c r="I1316" s="21"/>
      <c r="J1316" s="7" t="s">
        <v>4617</v>
      </c>
    </row>
    <row r="1317" spans="1:10" s="13" customFormat="1" ht="63.75" x14ac:dyDescent="0.2">
      <c r="A1317" s="13" t="s">
        <v>111</v>
      </c>
      <c r="B1317" s="12" t="s">
        <v>110</v>
      </c>
      <c r="C1317" s="13" t="s">
        <v>3886</v>
      </c>
      <c r="D1317" s="7" t="s">
        <v>855</v>
      </c>
      <c r="E1317" s="6">
        <v>154476</v>
      </c>
      <c r="F1317" s="6">
        <v>271771</v>
      </c>
      <c r="G1317" s="57">
        <f t="shared" si="20"/>
        <v>0.75930888940676866</v>
      </c>
      <c r="H1317" s="21"/>
      <c r="I1317" s="21"/>
      <c r="J1317" s="7" t="s">
        <v>4261</v>
      </c>
    </row>
    <row r="1318" spans="1:10" s="13" customFormat="1" ht="25.5" x14ac:dyDescent="0.2">
      <c r="A1318" s="13" t="s">
        <v>111</v>
      </c>
      <c r="B1318" s="12" t="s">
        <v>110</v>
      </c>
      <c r="D1318" s="7" t="s">
        <v>562</v>
      </c>
      <c r="E1318" s="6">
        <v>139481</v>
      </c>
      <c r="F1318" s="6">
        <v>138293</v>
      </c>
      <c r="G1318" s="57">
        <f t="shared" si="20"/>
        <v>-8.5172890931381334E-3</v>
      </c>
      <c r="H1318" s="21"/>
      <c r="I1318" s="21"/>
      <c r="J1318" s="7" t="s">
        <v>3887</v>
      </c>
    </row>
    <row r="1319" spans="1:10" s="13" customFormat="1" ht="25.5" x14ac:dyDescent="0.2">
      <c r="A1319" s="13" t="s">
        <v>111</v>
      </c>
      <c r="B1319" s="12" t="s">
        <v>110</v>
      </c>
      <c r="D1319" s="7" t="s">
        <v>452</v>
      </c>
      <c r="E1319" s="6">
        <v>139844</v>
      </c>
      <c r="F1319" s="6">
        <v>138599</v>
      </c>
      <c r="G1319" s="57">
        <f t="shared" si="20"/>
        <v>-8.9027773805097112E-3</v>
      </c>
      <c r="H1319" s="21"/>
      <c r="I1319" s="21"/>
      <c r="J1319" s="7" t="s">
        <v>3888</v>
      </c>
    </row>
    <row r="1320" spans="1:10" s="13" customFormat="1" x14ac:dyDescent="0.2">
      <c r="A1320" s="13" t="s">
        <v>111</v>
      </c>
      <c r="B1320" s="12" t="s">
        <v>110</v>
      </c>
      <c r="D1320" s="7" t="s">
        <v>2167</v>
      </c>
      <c r="E1320" s="6">
        <v>110645</v>
      </c>
      <c r="F1320" s="6">
        <v>115382</v>
      </c>
      <c r="G1320" s="57">
        <f t="shared" si="20"/>
        <v>4.2812598852184913E-2</v>
      </c>
      <c r="H1320" s="21"/>
      <c r="I1320" s="21"/>
      <c r="J1320" s="7" t="s">
        <v>3889</v>
      </c>
    </row>
    <row r="1321" spans="1:10" s="13" customFormat="1" x14ac:dyDescent="0.2">
      <c r="A1321" s="13" t="s">
        <v>111</v>
      </c>
      <c r="B1321" s="12" t="s">
        <v>110</v>
      </c>
      <c r="D1321" s="7" t="s">
        <v>464</v>
      </c>
      <c r="E1321" s="6"/>
      <c r="F1321" s="6"/>
      <c r="G1321" s="57" t="str">
        <f t="shared" si="20"/>
        <v>-</v>
      </c>
      <c r="H1321" s="21" t="s">
        <v>465</v>
      </c>
      <c r="I1321" s="21">
        <v>92500</v>
      </c>
      <c r="J1321" s="7"/>
    </row>
    <row r="1322" spans="1:10" s="13" customFormat="1" x14ac:dyDescent="0.2">
      <c r="A1322" s="13" t="s">
        <v>111</v>
      </c>
      <c r="B1322" s="12" t="s">
        <v>110</v>
      </c>
      <c r="D1322" s="7" t="s">
        <v>464</v>
      </c>
      <c r="E1322" s="6"/>
      <c r="F1322" s="6"/>
      <c r="G1322" s="57" t="str">
        <f t="shared" si="20"/>
        <v>-</v>
      </c>
      <c r="H1322" s="21" t="s">
        <v>465</v>
      </c>
      <c r="I1322" s="21">
        <v>92500</v>
      </c>
      <c r="J1322" s="7"/>
    </row>
    <row r="1323" spans="1:10" s="13" customFormat="1" x14ac:dyDescent="0.2">
      <c r="A1323" s="13" t="s">
        <v>111</v>
      </c>
      <c r="B1323" s="12" t="s">
        <v>110</v>
      </c>
      <c r="D1323" s="7" t="s">
        <v>464</v>
      </c>
      <c r="E1323" s="6"/>
      <c r="F1323" s="6"/>
      <c r="G1323" s="57" t="str">
        <f t="shared" si="20"/>
        <v>-</v>
      </c>
      <c r="H1323" s="21" t="s">
        <v>465</v>
      </c>
      <c r="I1323" s="21">
        <v>92500</v>
      </c>
      <c r="J1323" s="7"/>
    </row>
    <row r="1324" spans="1:10" s="13" customFormat="1" x14ac:dyDescent="0.2">
      <c r="A1324" s="13" t="s">
        <v>111</v>
      </c>
      <c r="B1324" s="12" t="s">
        <v>110</v>
      </c>
      <c r="D1324" s="7" t="s">
        <v>464</v>
      </c>
      <c r="E1324" s="6"/>
      <c r="F1324" s="6"/>
      <c r="G1324" s="57" t="str">
        <f t="shared" si="20"/>
        <v>-</v>
      </c>
      <c r="H1324" s="21" t="s">
        <v>465</v>
      </c>
      <c r="I1324" s="21">
        <v>97500</v>
      </c>
      <c r="J1324" s="7"/>
    </row>
    <row r="1325" spans="1:10" s="13" customFormat="1" x14ac:dyDescent="0.2">
      <c r="A1325" s="13" t="s">
        <v>111</v>
      </c>
      <c r="B1325" s="12" t="s">
        <v>110</v>
      </c>
      <c r="D1325" s="7" t="s">
        <v>464</v>
      </c>
      <c r="E1325" s="6"/>
      <c r="F1325" s="6"/>
      <c r="G1325" s="57" t="str">
        <f t="shared" si="20"/>
        <v>-</v>
      </c>
      <c r="H1325" s="21" t="s">
        <v>465</v>
      </c>
      <c r="I1325" s="21">
        <v>97500</v>
      </c>
      <c r="J1325" s="7"/>
    </row>
    <row r="1326" spans="1:10" s="13" customFormat="1" x14ac:dyDescent="0.2">
      <c r="A1326" s="13" t="s">
        <v>111</v>
      </c>
      <c r="B1326" s="12" t="s">
        <v>110</v>
      </c>
      <c r="D1326" s="7" t="s">
        <v>464</v>
      </c>
      <c r="E1326" s="6" t="s">
        <v>465</v>
      </c>
      <c r="F1326" s="6">
        <v>117500</v>
      </c>
      <c r="G1326" s="57" t="str">
        <f t="shared" si="20"/>
        <v>-</v>
      </c>
      <c r="H1326" s="21"/>
      <c r="I1326" s="21"/>
      <c r="J1326" s="7"/>
    </row>
    <row r="1327" spans="1:10" s="13" customFormat="1" x14ac:dyDescent="0.2">
      <c r="A1327" s="13" t="s">
        <v>111</v>
      </c>
      <c r="B1327" s="12" t="s">
        <v>110</v>
      </c>
      <c r="D1327" s="7" t="s">
        <v>464</v>
      </c>
      <c r="E1327" s="6">
        <v>127500</v>
      </c>
      <c r="F1327" s="6" t="s">
        <v>465</v>
      </c>
      <c r="G1327" s="57" t="str">
        <f t="shared" si="20"/>
        <v>-</v>
      </c>
      <c r="H1327" s="21"/>
      <c r="I1327" s="21"/>
      <c r="J1327" s="7"/>
    </row>
    <row r="1328" spans="1:10" ht="25.5" x14ac:dyDescent="0.2">
      <c r="A1328" s="1" t="s">
        <v>4</v>
      </c>
      <c r="B1328" s="2" t="s">
        <v>112</v>
      </c>
      <c r="C1328" s="1"/>
      <c r="D1328" s="5" t="s">
        <v>470</v>
      </c>
      <c r="E1328" s="3">
        <v>137147</v>
      </c>
      <c r="F1328" s="3">
        <v>138906</v>
      </c>
      <c r="G1328" s="57">
        <f t="shared" si="20"/>
        <v>1.282565422502862E-2</v>
      </c>
      <c r="J1328" s="5" t="s">
        <v>3890</v>
      </c>
    </row>
    <row r="1329" spans="1:10" ht="25.5" x14ac:dyDescent="0.2">
      <c r="A1329" s="1" t="s">
        <v>4</v>
      </c>
      <c r="B1329" s="2" t="s">
        <v>112</v>
      </c>
      <c r="C1329" s="1"/>
      <c r="D1329" s="5" t="s">
        <v>529</v>
      </c>
      <c r="E1329" s="3">
        <v>120883</v>
      </c>
      <c r="F1329" s="3">
        <v>123092</v>
      </c>
      <c r="G1329" s="57">
        <f t="shared" si="20"/>
        <v>1.8273868120413955E-2</v>
      </c>
      <c r="J1329" s="5" t="s">
        <v>3891</v>
      </c>
    </row>
    <row r="1330" spans="1:10" ht="25.5" x14ac:dyDescent="0.2">
      <c r="A1330" s="1" t="s">
        <v>4</v>
      </c>
      <c r="B1330" s="2" t="s">
        <v>112</v>
      </c>
      <c r="C1330" s="1"/>
      <c r="D1330" s="5" t="s">
        <v>504</v>
      </c>
      <c r="E1330" s="3">
        <v>113012</v>
      </c>
      <c r="F1330" s="3">
        <v>115332</v>
      </c>
      <c r="G1330" s="57">
        <f t="shared" si="20"/>
        <v>2.0528793402470533E-2</v>
      </c>
      <c r="J1330" s="5" t="s">
        <v>3892</v>
      </c>
    </row>
    <row r="1331" spans="1:10" ht="25.5" x14ac:dyDescent="0.2">
      <c r="A1331" s="1" t="s">
        <v>4</v>
      </c>
      <c r="B1331" s="2" t="s">
        <v>112</v>
      </c>
      <c r="C1331" s="1"/>
      <c r="D1331" s="5" t="s">
        <v>2164</v>
      </c>
      <c r="E1331" s="3">
        <v>111414</v>
      </c>
      <c r="F1331" s="3">
        <v>113442</v>
      </c>
      <c r="G1331" s="57">
        <f t="shared" si="20"/>
        <v>1.8202380311271475E-2</v>
      </c>
      <c r="J1331" s="5" t="s">
        <v>3893</v>
      </c>
    </row>
    <row r="1332" spans="1:10" ht="25.5" x14ac:dyDescent="0.2">
      <c r="A1332" s="1" t="s">
        <v>4</v>
      </c>
      <c r="B1332" s="2" t="s">
        <v>112</v>
      </c>
      <c r="C1332" s="1"/>
      <c r="D1332" s="5" t="s">
        <v>2165</v>
      </c>
      <c r="E1332" s="3">
        <v>113484</v>
      </c>
      <c r="F1332" s="3">
        <v>114889</v>
      </c>
      <c r="G1332" s="57">
        <f t="shared" si="20"/>
        <v>1.2380599908357125E-2</v>
      </c>
      <c r="J1332" s="5" t="s">
        <v>4618</v>
      </c>
    </row>
    <row r="1333" spans="1:10" x14ac:dyDescent="0.2">
      <c r="A1333" s="1" t="s">
        <v>4</v>
      </c>
      <c r="B1333" s="2" t="s">
        <v>112</v>
      </c>
      <c r="C1333" s="1"/>
      <c r="D1333" s="5" t="s">
        <v>464</v>
      </c>
      <c r="G1333" s="57" t="str">
        <f t="shared" si="20"/>
        <v>-</v>
      </c>
      <c r="H1333" s="19">
        <v>97500</v>
      </c>
      <c r="I1333" s="19" t="s">
        <v>465</v>
      </c>
    </row>
    <row r="1334" spans="1:10" x14ac:dyDescent="0.2">
      <c r="A1334" s="1" t="s">
        <v>4</v>
      </c>
      <c r="B1334" s="2" t="s">
        <v>112</v>
      </c>
      <c r="C1334" s="1"/>
      <c r="D1334" s="5" t="s">
        <v>464</v>
      </c>
      <c r="G1334" s="57" t="str">
        <f t="shared" si="20"/>
        <v>-</v>
      </c>
      <c r="H1334" s="19">
        <v>97500</v>
      </c>
      <c r="I1334" s="19" t="s">
        <v>465</v>
      </c>
    </row>
    <row r="1335" spans="1:10" x14ac:dyDescent="0.2">
      <c r="A1335" s="1" t="s">
        <v>4</v>
      </c>
      <c r="B1335" s="2" t="s">
        <v>112</v>
      </c>
      <c r="C1335" s="1"/>
      <c r="D1335" s="5" t="s">
        <v>464</v>
      </c>
      <c r="G1335" s="57" t="str">
        <f t="shared" si="20"/>
        <v>-</v>
      </c>
      <c r="H1335" s="19">
        <v>97500</v>
      </c>
      <c r="I1335" s="19" t="s">
        <v>465</v>
      </c>
    </row>
    <row r="1336" spans="1:10" x14ac:dyDescent="0.2">
      <c r="A1336" s="1" t="s">
        <v>4</v>
      </c>
      <c r="B1336" s="2" t="s">
        <v>112</v>
      </c>
      <c r="C1336" s="1"/>
      <c r="D1336" s="5" t="s">
        <v>464</v>
      </c>
      <c r="G1336" s="57" t="str">
        <f t="shared" si="20"/>
        <v>-</v>
      </c>
      <c r="H1336" s="19" t="s">
        <v>465</v>
      </c>
      <c r="I1336" s="19">
        <v>97500</v>
      </c>
    </row>
    <row r="1337" spans="1:10" x14ac:dyDescent="0.2">
      <c r="A1337" s="1" t="s">
        <v>4</v>
      </c>
      <c r="B1337" s="2" t="s">
        <v>112</v>
      </c>
      <c r="C1337" s="1"/>
      <c r="D1337" s="5" t="s">
        <v>464</v>
      </c>
      <c r="G1337" s="57" t="str">
        <f t="shared" si="20"/>
        <v>-</v>
      </c>
      <c r="H1337" s="19" t="s">
        <v>465</v>
      </c>
      <c r="I1337" s="19">
        <v>97500</v>
      </c>
    </row>
    <row r="1338" spans="1:10" x14ac:dyDescent="0.2">
      <c r="A1338" s="1" t="s">
        <v>4</v>
      </c>
      <c r="B1338" s="2" t="s">
        <v>112</v>
      </c>
      <c r="C1338" s="1"/>
      <c r="D1338" s="5" t="s">
        <v>464</v>
      </c>
      <c r="G1338" s="57" t="str">
        <f t="shared" si="20"/>
        <v>-</v>
      </c>
      <c r="H1338" s="19" t="s">
        <v>465</v>
      </c>
      <c r="I1338" s="19">
        <v>97500</v>
      </c>
    </row>
    <row r="1339" spans="1:10" x14ac:dyDescent="0.2">
      <c r="A1339" s="1" t="s">
        <v>4</v>
      </c>
      <c r="B1339" s="2" t="s">
        <v>112</v>
      </c>
      <c r="C1339" s="1"/>
      <c r="D1339" s="5" t="s">
        <v>464</v>
      </c>
      <c r="E1339" s="3">
        <v>107500</v>
      </c>
      <c r="F1339" s="3" t="s">
        <v>465</v>
      </c>
      <c r="G1339" s="57" t="str">
        <f t="shared" si="20"/>
        <v>-</v>
      </c>
    </row>
    <row r="1340" spans="1:10" x14ac:dyDescent="0.2">
      <c r="A1340" s="1" t="s">
        <v>4</v>
      </c>
      <c r="B1340" s="2" t="s">
        <v>112</v>
      </c>
      <c r="C1340" s="1"/>
      <c r="D1340" s="5" t="s">
        <v>464</v>
      </c>
      <c r="E1340" s="3" t="s">
        <v>465</v>
      </c>
      <c r="F1340" s="3">
        <v>107500</v>
      </c>
      <c r="G1340" s="57" t="str">
        <f t="shared" si="20"/>
        <v>-</v>
      </c>
    </row>
    <row r="1341" spans="1:10" x14ac:dyDescent="0.2">
      <c r="A1341" s="1" t="s">
        <v>4</v>
      </c>
      <c r="B1341" s="2" t="s">
        <v>112</v>
      </c>
      <c r="C1341" s="1"/>
      <c r="D1341" s="5" t="s">
        <v>464</v>
      </c>
      <c r="E1341" s="3">
        <v>122500</v>
      </c>
      <c r="F1341" s="3" t="s">
        <v>465</v>
      </c>
      <c r="G1341" s="57" t="str">
        <f t="shared" si="20"/>
        <v>-</v>
      </c>
    </row>
    <row r="1342" spans="1:10" x14ac:dyDescent="0.2">
      <c r="A1342" s="1" t="s">
        <v>4</v>
      </c>
      <c r="B1342" s="2" t="s">
        <v>112</v>
      </c>
      <c r="C1342" s="1"/>
      <c r="D1342" s="5" t="s">
        <v>464</v>
      </c>
      <c r="E1342" s="3" t="s">
        <v>465</v>
      </c>
      <c r="F1342" s="3">
        <v>122500</v>
      </c>
      <c r="G1342" s="57" t="str">
        <f t="shared" si="20"/>
        <v>-</v>
      </c>
    </row>
    <row r="1343" spans="1:10" ht="25.5" x14ac:dyDescent="0.2">
      <c r="A1343" s="1" t="s">
        <v>8</v>
      </c>
      <c r="B1343" s="2" t="s">
        <v>113</v>
      </c>
      <c r="C1343" s="1"/>
      <c r="D1343" s="5" t="s">
        <v>2163</v>
      </c>
      <c r="E1343" s="3">
        <v>116349</v>
      </c>
      <c r="F1343" s="3">
        <v>101923</v>
      </c>
      <c r="G1343" s="57">
        <f t="shared" si="20"/>
        <v>-0.12398903299555647</v>
      </c>
      <c r="J1343" s="5" t="s">
        <v>4267</v>
      </c>
    </row>
    <row r="1344" spans="1:10" ht="38.25" x14ac:dyDescent="0.2">
      <c r="A1344" s="1" t="s">
        <v>8</v>
      </c>
      <c r="B1344" s="2" t="s">
        <v>113</v>
      </c>
      <c r="C1344" s="1"/>
      <c r="D1344" s="5" t="s">
        <v>529</v>
      </c>
      <c r="E1344" s="3" t="s">
        <v>465</v>
      </c>
      <c r="F1344" s="3">
        <v>243886</v>
      </c>
      <c r="G1344" s="57" t="str">
        <f t="shared" si="20"/>
        <v>-</v>
      </c>
      <c r="J1344" s="5" t="s">
        <v>4619</v>
      </c>
    </row>
    <row r="1345" spans="1:10" ht="25.5" x14ac:dyDescent="0.2">
      <c r="A1345" s="1" t="s">
        <v>8</v>
      </c>
      <c r="B1345" s="2" t="s">
        <v>113</v>
      </c>
      <c r="C1345" s="1"/>
      <c r="D1345" s="5" t="s">
        <v>529</v>
      </c>
      <c r="E1345" s="3" t="s">
        <v>465</v>
      </c>
      <c r="F1345" s="3">
        <v>111133</v>
      </c>
      <c r="G1345" s="57" t="str">
        <f t="shared" si="20"/>
        <v>-</v>
      </c>
      <c r="J1345" s="5" t="s">
        <v>4268</v>
      </c>
    </row>
    <row r="1346" spans="1:10" x14ac:dyDescent="0.2">
      <c r="A1346" s="1" t="s">
        <v>8</v>
      </c>
      <c r="B1346" s="2" t="s">
        <v>113</v>
      </c>
      <c r="C1346" s="1"/>
      <c r="D1346" s="5" t="s">
        <v>529</v>
      </c>
      <c r="E1346" s="3">
        <v>111237</v>
      </c>
      <c r="F1346" s="3" t="s">
        <v>465</v>
      </c>
      <c r="G1346" s="57" t="str">
        <f t="shared" si="20"/>
        <v>-</v>
      </c>
    </row>
    <row r="1347" spans="1:10" x14ac:dyDescent="0.2">
      <c r="A1347" s="1" t="s">
        <v>8</v>
      </c>
      <c r="B1347" s="2" t="s">
        <v>113</v>
      </c>
      <c r="C1347" s="1"/>
      <c r="D1347" s="5" t="s">
        <v>529</v>
      </c>
      <c r="E1347" s="3">
        <v>108391</v>
      </c>
      <c r="F1347" s="3" t="s">
        <v>465</v>
      </c>
      <c r="G1347" s="57" t="str">
        <f t="shared" ref="G1347:G1410" si="21">IF(ISERROR((F1347-E1347)/E1347),"-",(F1347-E1347)/E1347)</f>
        <v>-</v>
      </c>
    </row>
    <row r="1348" spans="1:10" x14ac:dyDescent="0.2">
      <c r="A1348" s="1" t="s">
        <v>8</v>
      </c>
      <c r="B1348" s="2" t="s">
        <v>113</v>
      </c>
      <c r="C1348" s="1"/>
      <c r="D1348" s="5" t="s">
        <v>464</v>
      </c>
      <c r="E1348" s="3">
        <v>112500</v>
      </c>
      <c r="F1348" s="3" t="s">
        <v>465</v>
      </c>
      <c r="G1348" s="57" t="str">
        <f t="shared" si="21"/>
        <v>-</v>
      </c>
      <c r="J1348" s="5" t="s">
        <v>539</v>
      </c>
    </row>
    <row r="1349" spans="1:10" ht="25.5" x14ac:dyDescent="0.2">
      <c r="A1349" s="1" t="s">
        <v>44</v>
      </c>
      <c r="B1349" s="2" t="s">
        <v>114</v>
      </c>
      <c r="C1349" s="1"/>
      <c r="D1349" s="5" t="s">
        <v>450</v>
      </c>
      <c r="E1349" s="3">
        <v>140742</v>
      </c>
      <c r="F1349" s="3">
        <v>160414</v>
      </c>
      <c r="G1349" s="57">
        <f t="shared" si="21"/>
        <v>0.13977348623722841</v>
      </c>
      <c r="J1349" s="5" t="s">
        <v>4262</v>
      </c>
    </row>
    <row r="1350" spans="1:10" ht="25.5" x14ac:dyDescent="0.2">
      <c r="A1350" s="1" t="s">
        <v>44</v>
      </c>
      <c r="B1350" s="2" t="s">
        <v>114</v>
      </c>
      <c r="C1350" s="1"/>
      <c r="D1350" s="5" t="s">
        <v>2160</v>
      </c>
      <c r="E1350" s="3">
        <v>113382</v>
      </c>
      <c r="F1350" s="3">
        <v>114333</v>
      </c>
      <c r="G1350" s="57">
        <f t="shared" si="21"/>
        <v>8.3875747473143893E-3</v>
      </c>
      <c r="J1350" s="5" t="s">
        <v>4263</v>
      </c>
    </row>
    <row r="1351" spans="1:10" ht="25.5" x14ac:dyDescent="0.2">
      <c r="A1351" s="1" t="s">
        <v>44</v>
      </c>
      <c r="B1351" s="2" t="s">
        <v>114</v>
      </c>
      <c r="C1351" s="1"/>
      <c r="D1351" s="5" t="s">
        <v>2161</v>
      </c>
      <c r="E1351" s="3">
        <v>104187</v>
      </c>
      <c r="F1351" s="3">
        <v>109589</v>
      </c>
      <c r="G1351" s="57">
        <f t="shared" si="21"/>
        <v>5.1849079059767531E-2</v>
      </c>
      <c r="J1351" s="5" t="s">
        <v>4264</v>
      </c>
    </row>
    <row r="1352" spans="1:10" ht="51" x14ac:dyDescent="0.2">
      <c r="A1352" s="1" t="s">
        <v>44</v>
      </c>
      <c r="B1352" s="2" t="s">
        <v>114</v>
      </c>
      <c r="C1352" s="1"/>
      <c r="D1352" s="5" t="s">
        <v>589</v>
      </c>
      <c r="E1352" s="3">
        <v>104092</v>
      </c>
      <c r="F1352" s="3">
        <v>161746</v>
      </c>
      <c r="G1352" s="57">
        <f t="shared" si="21"/>
        <v>0.55387541789955042</v>
      </c>
      <c r="J1352" s="5" t="s">
        <v>4269</v>
      </c>
    </row>
    <row r="1353" spans="1:10" s="13" customFormat="1" ht="25.5" x14ac:dyDescent="0.2">
      <c r="A1353" s="1" t="s">
        <v>44</v>
      </c>
      <c r="B1353" s="12" t="s">
        <v>114</v>
      </c>
      <c r="D1353" s="7" t="s">
        <v>2162</v>
      </c>
      <c r="E1353" s="6">
        <v>29340</v>
      </c>
      <c r="F1353" s="6">
        <v>117242</v>
      </c>
      <c r="G1353" s="57">
        <f t="shared" si="21"/>
        <v>2.9959781867757327</v>
      </c>
      <c r="H1353" s="21"/>
      <c r="I1353" s="21"/>
      <c r="J1353" s="7" t="s">
        <v>4265</v>
      </c>
    </row>
    <row r="1354" spans="1:10" ht="51" x14ac:dyDescent="0.2">
      <c r="A1354" s="1" t="s">
        <v>44</v>
      </c>
      <c r="B1354" s="2" t="s">
        <v>114</v>
      </c>
      <c r="C1354" s="1"/>
      <c r="D1354" s="5" t="s">
        <v>487</v>
      </c>
      <c r="E1354" s="3">
        <v>82942</v>
      </c>
      <c r="F1354" s="3">
        <v>118291</v>
      </c>
      <c r="G1354" s="57">
        <f t="shared" si="21"/>
        <v>0.42618938535362061</v>
      </c>
      <c r="J1354" s="5" t="s">
        <v>4270</v>
      </c>
    </row>
    <row r="1355" spans="1:10" ht="25.5" x14ac:dyDescent="0.2">
      <c r="A1355" s="1" t="s">
        <v>44</v>
      </c>
      <c r="B1355" s="2" t="s">
        <v>114</v>
      </c>
      <c r="C1355" s="1"/>
      <c r="D1355" s="5" t="s">
        <v>3894</v>
      </c>
      <c r="E1355" s="3">
        <v>139335</v>
      </c>
      <c r="F1355" s="3" t="s">
        <v>465</v>
      </c>
      <c r="G1355" s="57" t="str">
        <f t="shared" si="21"/>
        <v>-</v>
      </c>
      <c r="J1355" s="5" t="s">
        <v>4266</v>
      </c>
    </row>
    <row r="1356" spans="1:10" x14ac:dyDescent="0.2">
      <c r="A1356" s="1" t="s">
        <v>44</v>
      </c>
      <c r="B1356" s="2" t="s">
        <v>114</v>
      </c>
      <c r="C1356" s="1"/>
      <c r="D1356" s="5" t="s">
        <v>464</v>
      </c>
      <c r="E1356" s="3">
        <v>102500</v>
      </c>
      <c r="F1356" s="3" t="s">
        <v>465</v>
      </c>
      <c r="G1356" s="57" t="str">
        <f t="shared" si="21"/>
        <v>-</v>
      </c>
    </row>
    <row r="1357" spans="1:10" x14ac:dyDescent="0.2">
      <c r="A1357" s="1" t="s">
        <v>44</v>
      </c>
      <c r="B1357" s="2" t="s">
        <v>114</v>
      </c>
      <c r="C1357" s="1"/>
      <c r="D1357" s="5" t="s">
        <v>464</v>
      </c>
      <c r="E1357" s="3">
        <v>122500</v>
      </c>
      <c r="F1357" s="3" t="s">
        <v>465</v>
      </c>
      <c r="G1357" s="57" t="str">
        <f t="shared" si="21"/>
        <v>-</v>
      </c>
    </row>
    <row r="1358" spans="1:10" x14ac:dyDescent="0.2">
      <c r="A1358" s="1" t="s">
        <v>44</v>
      </c>
      <c r="B1358" s="2" t="s">
        <v>114</v>
      </c>
      <c r="C1358" s="1"/>
      <c r="D1358" s="5" t="s">
        <v>464</v>
      </c>
      <c r="E1358" s="3">
        <v>132500</v>
      </c>
      <c r="F1358" s="3" t="s">
        <v>465</v>
      </c>
      <c r="G1358" s="57" t="str">
        <f t="shared" si="21"/>
        <v>-</v>
      </c>
    </row>
    <row r="1359" spans="1:10" x14ac:dyDescent="0.2">
      <c r="A1359" s="1" t="s">
        <v>44</v>
      </c>
      <c r="B1359" s="2" t="s">
        <v>114</v>
      </c>
      <c r="C1359" s="1"/>
      <c r="D1359" s="5" t="s">
        <v>464</v>
      </c>
      <c r="E1359" s="3" t="s">
        <v>465</v>
      </c>
      <c r="F1359" s="3">
        <v>102500</v>
      </c>
      <c r="G1359" s="57" t="str">
        <f t="shared" si="21"/>
        <v>-</v>
      </c>
    </row>
    <row r="1360" spans="1:10" ht="38.25" customHeight="1" x14ac:dyDescent="0.2">
      <c r="A1360" s="1" t="s">
        <v>8</v>
      </c>
      <c r="B1360" s="2" t="s">
        <v>115</v>
      </c>
      <c r="C1360" s="1" t="s">
        <v>2157</v>
      </c>
      <c r="D1360" s="5" t="s">
        <v>450</v>
      </c>
      <c r="E1360" s="3">
        <v>128712</v>
      </c>
      <c r="F1360" s="3">
        <v>188798</v>
      </c>
      <c r="G1360" s="57">
        <f t="shared" si="21"/>
        <v>0.46682516004723723</v>
      </c>
      <c r="J1360" s="5" t="s">
        <v>4271</v>
      </c>
    </row>
    <row r="1361" spans="1:10" ht="25.5" x14ac:dyDescent="0.2">
      <c r="A1361" s="1" t="s">
        <v>8</v>
      </c>
      <c r="B1361" s="2" t="s">
        <v>115</v>
      </c>
      <c r="C1361" s="1"/>
      <c r="D1361" s="5" t="s">
        <v>3895</v>
      </c>
      <c r="E1361" s="3">
        <v>150723</v>
      </c>
      <c r="F1361" s="3">
        <v>62637</v>
      </c>
      <c r="G1361" s="57">
        <f t="shared" si="21"/>
        <v>-0.5844230807507812</v>
      </c>
      <c r="J1361" s="5" t="s">
        <v>4272</v>
      </c>
    </row>
    <row r="1362" spans="1:10" ht="25.5" x14ac:dyDescent="0.2">
      <c r="A1362" s="1" t="s">
        <v>8</v>
      </c>
      <c r="B1362" s="2" t="s">
        <v>115</v>
      </c>
      <c r="C1362" s="1"/>
      <c r="D1362" s="5" t="s">
        <v>3896</v>
      </c>
      <c r="E1362" s="3">
        <v>141538</v>
      </c>
      <c r="F1362" s="3">
        <v>11872</v>
      </c>
      <c r="G1362" s="57">
        <f t="shared" si="21"/>
        <v>-0.91612146561347485</v>
      </c>
      <c r="J1362" s="5" t="s">
        <v>4273</v>
      </c>
    </row>
    <row r="1363" spans="1:10" ht="25.5" x14ac:dyDescent="0.2">
      <c r="A1363" s="1" t="s">
        <v>8</v>
      </c>
      <c r="B1363" s="2" t="s">
        <v>115</v>
      </c>
      <c r="C1363" s="1"/>
      <c r="D1363" s="5" t="s">
        <v>2152</v>
      </c>
      <c r="E1363" s="3">
        <v>136626</v>
      </c>
      <c r="F1363" s="3">
        <v>138475</v>
      </c>
      <c r="G1363" s="57">
        <f t="shared" si="21"/>
        <v>1.3533295273227643E-2</v>
      </c>
      <c r="J1363" s="5" t="s">
        <v>3897</v>
      </c>
    </row>
    <row r="1364" spans="1:10" ht="25.5" x14ac:dyDescent="0.2">
      <c r="A1364" s="1" t="s">
        <v>8</v>
      </c>
      <c r="B1364" s="2" t="s">
        <v>115</v>
      </c>
      <c r="C1364" s="1"/>
      <c r="D1364" s="5" t="s">
        <v>2158</v>
      </c>
      <c r="E1364" s="3" t="s">
        <v>465</v>
      </c>
      <c r="F1364" s="3">
        <v>127111</v>
      </c>
      <c r="G1364" s="57" t="str">
        <f t="shared" si="21"/>
        <v>-</v>
      </c>
      <c r="J1364" s="5" t="s">
        <v>4274</v>
      </c>
    </row>
    <row r="1365" spans="1:10" ht="38.25" customHeight="1" x14ac:dyDescent="0.2">
      <c r="A1365" s="1" t="s">
        <v>8</v>
      </c>
      <c r="B1365" s="2" t="s">
        <v>115</v>
      </c>
      <c r="C1365" s="1"/>
      <c r="D1365" s="5" t="s">
        <v>515</v>
      </c>
      <c r="E1365" s="3">
        <v>134970</v>
      </c>
      <c r="F1365" s="3">
        <v>71189</v>
      </c>
      <c r="G1365" s="57">
        <f t="shared" si="21"/>
        <v>-0.47255686448840484</v>
      </c>
      <c r="J1365" s="5" t="s">
        <v>4275</v>
      </c>
    </row>
    <row r="1366" spans="1:10" ht="39" customHeight="1" x14ac:dyDescent="0.2">
      <c r="A1366" s="1" t="s">
        <v>8</v>
      </c>
      <c r="B1366" s="2" t="s">
        <v>115</v>
      </c>
      <c r="C1366" s="1"/>
      <c r="D1366" s="5" t="s">
        <v>2159</v>
      </c>
      <c r="E1366" s="3" t="s">
        <v>465</v>
      </c>
      <c r="F1366" s="3">
        <v>124198</v>
      </c>
      <c r="G1366" s="57" t="str">
        <f t="shared" si="21"/>
        <v>-</v>
      </c>
      <c r="J1366" s="5" t="s">
        <v>4276</v>
      </c>
    </row>
    <row r="1367" spans="1:10" ht="25.5" x14ac:dyDescent="0.2">
      <c r="A1367" s="1" t="s">
        <v>8</v>
      </c>
      <c r="B1367" s="2" t="s">
        <v>115</v>
      </c>
      <c r="C1367" s="1"/>
      <c r="D1367" s="5" t="s">
        <v>2159</v>
      </c>
      <c r="E1367" s="3">
        <v>141903</v>
      </c>
      <c r="F1367" s="3">
        <v>12055</v>
      </c>
      <c r="G1367" s="57">
        <f t="shared" si="21"/>
        <v>-0.91504760294003651</v>
      </c>
      <c r="J1367" s="5" t="s">
        <v>4277</v>
      </c>
    </row>
    <row r="1368" spans="1:10" x14ac:dyDescent="0.2">
      <c r="A1368" s="1" t="s">
        <v>8</v>
      </c>
      <c r="B1368" s="2" t="s">
        <v>115</v>
      </c>
      <c r="C1368" s="1"/>
      <c r="D1368" s="5" t="s">
        <v>464</v>
      </c>
      <c r="E1368" s="3">
        <v>107500</v>
      </c>
      <c r="F1368" s="3" t="s">
        <v>465</v>
      </c>
      <c r="G1368" s="57" t="str">
        <f t="shared" si="21"/>
        <v>-</v>
      </c>
    </row>
    <row r="1369" spans="1:10" x14ac:dyDescent="0.2">
      <c r="A1369" s="1" t="s">
        <v>8</v>
      </c>
      <c r="B1369" s="2" t="s">
        <v>115</v>
      </c>
      <c r="C1369" s="1"/>
      <c r="D1369" s="5" t="s">
        <v>464</v>
      </c>
      <c r="E1369" s="3">
        <v>112500</v>
      </c>
      <c r="F1369" s="3" t="s">
        <v>465</v>
      </c>
      <c r="G1369" s="57" t="str">
        <f t="shared" si="21"/>
        <v>-</v>
      </c>
    </row>
    <row r="1370" spans="1:10" x14ac:dyDescent="0.2">
      <c r="A1370" s="1" t="s">
        <v>8</v>
      </c>
      <c r="B1370" s="2" t="s">
        <v>115</v>
      </c>
      <c r="C1370" s="1"/>
      <c r="D1370" s="5" t="s">
        <v>464</v>
      </c>
      <c r="E1370" s="3">
        <v>117500</v>
      </c>
      <c r="F1370" s="3" t="s">
        <v>465</v>
      </c>
      <c r="G1370" s="57" t="str">
        <f t="shared" si="21"/>
        <v>-</v>
      </c>
    </row>
    <row r="1371" spans="1:10" x14ac:dyDescent="0.2">
      <c r="A1371" s="1" t="s">
        <v>8</v>
      </c>
      <c r="B1371" s="2" t="s">
        <v>115</v>
      </c>
      <c r="C1371" s="1"/>
      <c r="D1371" s="5" t="s">
        <v>464</v>
      </c>
      <c r="E1371" s="3" t="s">
        <v>465</v>
      </c>
      <c r="F1371" s="3">
        <v>102500</v>
      </c>
      <c r="G1371" s="57" t="str">
        <f t="shared" si="21"/>
        <v>-</v>
      </c>
    </row>
    <row r="1372" spans="1:10" x14ac:dyDescent="0.2">
      <c r="A1372" s="1" t="s">
        <v>8</v>
      </c>
      <c r="B1372" s="2" t="s">
        <v>115</v>
      </c>
      <c r="C1372" s="1"/>
      <c r="D1372" s="5" t="s">
        <v>464</v>
      </c>
      <c r="E1372" s="3" t="s">
        <v>465</v>
      </c>
      <c r="F1372" s="3">
        <v>102500</v>
      </c>
      <c r="G1372" s="57" t="str">
        <f t="shared" si="21"/>
        <v>-</v>
      </c>
    </row>
    <row r="1373" spans="1:10" x14ac:dyDescent="0.2">
      <c r="A1373" s="1" t="s">
        <v>8</v>
      </c>
      <c r="B1373" s="2" t="s">
        <v>115</v>
      </c>
      <c r="C1373" s="1"/>
      <c r="D1373" s="5" t="s">
        <v>464</v>
      </c>
      <c r="E1373" s="3" t="s">
        <v>465</v>
      </c>
      <c r="F1373" s="3">
        <v>102500</v>
      </c>
      <c r="G1373" s="57" t="str">
        <f t="shared" si="21"/>
        <v>-</v>
      </c>
    </row>
    <row r="1374" spans="1:10" x14ac:dyDescent="0.2">
      <c r="A1374" s="1" t="s">
        <v>8</v>
      </c>
      <c r="B1374" s="2" t="s">
        <v>115</v>
      </c>
      <c r="C1374" s="1"/>
      <c r="D1374" s="5" t="s">
        <v>464</v>
      </c>
      <c r="E1374" s="3" t="s">
        <v>465</v>
      </c>
      <c r="F1374" s="3">
        <v>102500</v>
      </c>
      <c r="G1374" s="57" t="str">
        <f t="shared" si="21"/>
        <v>-</v>
      </c>
    </row>
    <row r="1375" spans="1:10" x14ac:dyDescent="0.2">
      <c r="A1375" s="1" t="s">
        <v>8</v>
      </c>
      <c r="B1375" s="2" t="s">
        <v>115</v>
      </c>
      <c r="C1375" s="1"/>
      <c r="D1375" s="5" t="s">
        <v>464</v>
      </c>
      <c r="E1375" s="3" t="s">
        <v>465</v>
      </c>
      <c r="F1375" s="3">
        <v>102500</v>
      </c>
      <c r="G1375" s="57" t="str">
        <f t="shared" si="21"/>
        <v>-</v>
      </c>
    </row>
    <row r="1376" spans="1:10" x14ac:dyDescent="0.2">
      <c r="A1376" s="1" t="s">
        <v>8</v>
      </c>
      <c r="B1376" s="2" t="s">
        <v>115</v>
      </c>
      <c r="C1376" s="1"/>
      <c r="D1376" s="5" t="s">
        <v>464</v>
      </c>
      <c r="E1376" s="3" t="s">
        <v>465</v>
      </c>
      <c r="F1376" s="3">
        <v>102500</v>
      </c>
      <c r="G1376" s="57" t="str">
        <f t="shared" si="21"/>
        <v>-</v>
      </c>
    </row>
    <row r="1377" spans="1:9" s="1" customFormat="1" x14ac:dyDescent="0.2">
      <c r="A1377" s="1" t="s">
        <v>8</v>
      </c>
      <c r="B1377" s="2" t="s">
        <v>115</v>
      </c>
      <c r="D1377" s="5" t="s">
        <v>464</v>
      </c>
      <c r="E1377" s="3" t="s">
        <v>465</v>
      </c>
      <c r="F1377" s="3">
        <v>102500</v>
      </c>
      <c r="G1377" s="57" t="str">
        <f t="shared" si="21"/>
        <v>-</v>
      </c>
      <c r="H1377" s="19"/>
      <c r="I1377" s="19"/>
    </row>
    <row r="1378" spans="1:9" s="1" customFormat="1" x14ac:dyDescent="0.2">
      <c r="A1378" s="1" t="s">
        <v>8</v>
      </c>
      <c r="B1378" s="2" t="s">
        <v>115</v>
      </c>
      <c r="D1378" s="5" t="s">
        <v>464</v>
      </c>
      <c r="E1378" s="3" t="s">
        <v>465</v>
      </c>
      <c r="F1378" s="3">
        <v>102500</v>
      </c>
      <c r="G1378" s="57" t="str">
        <f t="shared" si="21"/>
        <v>-</v>
      </c>
      <c r="H1378" s="19"/>
      <c r="I1378" s="19"/>
    </row>
    <row r="1379" spans="1:9" s="1" customFormat="1" x14ac:dyDescent="0.2">
      <c r="A1379" s="1" t="s">
        <v>8</v>
      </c>
      <c r="B1379" s="2" t="s">
        <v>115</v>
      </c>
      <c r="D1379" s="5" t="s">
        <v>464</v>
      </c>
      <c r="E1379" s="3" t="s">
        <v>465</v>
      </c>
      <c r="F1379" s="3">
        <v>102500</v>
      </c>
      <c r="G1379" s="57" t="str">
        <f t="shared" si="21"/>
        <v>-</v>
      </c>
      <c r="H1379" s="19"/>
      <c r="I1379" s="19"/>
    </row>
    <row r="1380" spans="1:9" s="1" customFormat="1" x14ac:dyDescent="0.2">
      <c r="A1380" s="1" t="s">
        <v>8</v>
      </c>
      <c r="B1380" s="2" t="s">
        <v>115</v>
      </c>
      <c r="D1380" s="5" t="s">
        <v>464</v>
      </c>
      <c r="E1380" s="3" t="s">
        <v>465</v>
      </c>
      <c r="F1380" s="3">
        <v>102500</v>
      </c>
      <c r="G1380" s="57" t="str">
        <f t="shared" si="21"/>
        <v>-</v>
      </c>
      <c r="H1380" s="19"/>
      <c r="I1380" s="19"/>
    </row>
    <row r="1381" spans="1:9" s="1" customFormat="1" x14ac:dyDescent="0.2">
      <c r="A1381" s="1" t="s">
        <v>8</v>
      </c>
      <c r="B1381" s="2" t="s">
        <v>115</v>
      </c>
      <c r="D1381" s="5" t="s">
        <v>464</v>
      </c>
      <c r="E1381" s="3" t="s">
        <v>465</v>
      </c>
      <c r="F1381" s="3">
        <v>107500</v>
      </c>
      <c r="G1381" s="57" t="str">
        <f t="shared" si="21"/>
        <v>-</v>
      </c>
      <c r="H1381" s="19"/>
      <c r="I1381" s="19"/>
    </row>
    <row r="1382" spans="1:9" s="1" customFormat="1" x14ac:dyDescent="0.2">
      <c r="A1382" s="1" t="s">
        <v>8</v>
      </c>
      <c r="B1382" s="2" t="s">
        <v>115</v>
      </c>
      <c r="D1382" s="5" t="s">
        <v>464</v>
      </c>
      <c r="E1382" s="3" t="s">
        <v>465</v>
      </c>
      <c r="F1382" s="3">
        <v>112500</v>
      </c>
      <c r="G1382" s="57" t="str">
        <f t="shared" si="21"/>
        <v>-</v>
      </c>
      <c r="H1382" s="19"/>
      <c r="I1382" s="19"/>
    </row>
    <row r="1383" spans="1:9" s="1" customFormat="1" x14ac:dyDescent="0.2">
      <c r="A1383" s="1" t="s">
        <v>8</v>
      </c>
      <c r="B1383" s="2" t="s">
        <v>115</v>
      </c>
      <c r="D1383" s="5" t="s">
        <v>464</v>
      </c>
      <c r="E1383" s="3" t="s">
        <v>465</v>
      </c>
      <c r="F1383" s="3">
        <v>112500</v>
      </c>
      <c r="G1383" s="57" t="str">
        <f t="shared" si="21"/>
        <v>-</v>
      </c>
      <c r="H1383" s="19"/>
      <c r="I1383" s="19"/>
    </row>
    <row r="1384" spans="1:9" s="1" customFormat="1" x14ac:dyDescent="0.2">
      <c r="A1384" s="1" t="s">
        <v>8</v>
      </c>
      <c r="B1384" s="2" t="s">
        <v>115</v>
      </c>
      <c r="D1384" s="5" t="s">
        <v>464</v>
      </c>
      <c r="E1384" s="3" t="s">
        <v>465</v>
      </c>
      <c r="F1384" s="3">
        <v>117500</v>
      </c>
      <c r="G1384" s="57" t="str">
        <f t="shared" si="21"/>
        <v>-</v>
      </c>
      <c r="H1384" s="19"/>
      <c r="I1384" s="19"/>
    </row>
    <row r="1385" spans="1:9" s="1" customFormat="1" x14ac:dyDescent="0.2">
      <c r="A1385" s="1" t="s">
        <v>8</v>
      </c>
      <c r="B1385" s="2" t="s">
        <v>115</v>
      </c>
      <c r="D1385" s="5" t="s">
        <v>464</v>
      </c>
      <c r="E1385" s="3" t="s">
        <v>465</v>
      </c>
      <c r="F1385" s="3">
        <v>142500</v>
      </c>
      <c r="G1385" s="57" t="str">
        <f t="shared" si="21"/>
        <v>-</v>
      </c>
      <c r="H1385" s="19"/>
      <c r="I1385" s="19"/>
    </row>
    <row r="1386" spans="1:9" s="1" customFormat="1" x14ac:dyDescent="0.2">
      <c r="A1386" s="1" t="s">
        <v>8</v>
      </c>
      <c r="B1386" s="2" t="s">
        <v>115</v>
      </c>
      <c r="D1386" s="5" t="s">
        <v>464</v>
      </c>
      <c r="E1386" s="3" t="s">
        <v>465</v>
      </c>
      <c r="F1386" s="3">
        <v>152500</v>
      </c>
      <c r="G1386" s="57" t="str">
        <f t="shared" si="21"/>
        <v>-</v>
      </c>
      <c r="H1386" s="19"/>
      <c r="I1386" s="19"/>
    </row>
    <row r="1387" spans="1:9" s="1" customFormat="1" x14ac:dyDescent="0.2">
      <c r="A1387" s="1" t="s">
        <v>8</v>
      </c>
      <c r="B1387" s="2" t="s">
        <v>115</v>
      </c>
      <c r="D1387" s="5" t="s">
        <v>464</v>
      </c>
      <c r="E1387" s="3" t="s">
        <v>465</v>
      </c>
      <c r="F1387" s="3">
        <v>162500</v>
      </c>
      <c r="G1387" s="57" t="str">
        <f t="shared" si="21"/>
        <v>-</v>
      </c>
      <c r="H1387" s="19"/>
      <c r="I1387" s="19"/>
    </row>
    <row r="1388" spans="1:9" s="1" customFormat="1" x14ac:dyDescent="0.2">
      <c r="A1388" s="1" t="s">
        <v>8</v>
      </c>
      <c r="B1388" s="2" t="s">
        <v>115</v>
      </c>
      <c r="D1388" s="5" t="s">
        <v>464</v>
      </c>
      <c r="E1388" s="3"/>
      <c r="F1388" s="3"/>
      <c r="G1388" s="57" t="str">
        <f t="shared" si="21"/>
        <v>-</v>
      </c>
      <c r="H1388" s="19" t="s">
        <v>465</v>
      </c>
      <c r="I1388" s="19">
        <v>92500</v>
      </c>
    </row>
    <row r="1389" spans="1:9" s="1" customFormat="1" x14ac:dyDescent="0.2">
      <c r="A1389" s="1" t="s">
        <v>8</v>
      </c>
      <c r="B1389" s="2" t="s">
        <v>115</v>
      </c>
      <c r="D1389" s="5" t="s">
        <v>464</v>
      </c>
      <c r="E1389" s="3"/>
      <c r="F1389" s="3"/>
      <c r="G1389" s="57" t="str">
        <f t="shared" si="21"/>
        <v>-</v>
      </c>
      <c r="H1389" s="19" t="s">
        <v>465</v>
      </c>
      <c r="I1389" s="19">
        <v>92500</v>
      </c>
    </row>
    <row r="1390" spans="1:9" s="1" customFormat="1" x14ac:dyDescent="0.2">
      <c r="A1390" s="1" t="s">
        <v>8</v>
      </c>
      <c r="B1390" s="2" t="s">
        <v>115</v>
      </c>
      <c r="D1390" s="5" t="s">
        <v>464</v>
      </c>
      <c r="E1390" s="3"/>
      <c r="F1390" s="3"/>
      <c r="G1390" s="57" t="str">
        <f t="shared" si="21"/>
        <v>-</v>
      </c>
      <c r="H1390" s="19" t="s">
        <v>465</v>
      </c>
      <c r="I1390" s="19">
        <v>92500</v>
      </c>
    </row>
    <row r="1391" spans="1:9" s="1" customFormat="1" x14ac:dyDescent="0.2">
      <c r="A1391" s="1" t="s">
        <v>8</v>
      </c>
      <c r="B1391" s="2" t="s">
        <v>115</v>
      </c>
      <c r="D1391" s="5" t="s">
        <v>464</v>
      </c>
      <c r="E1391" s="3"/>
      <c r="F1391" s="3"/>
      <c r="G1391" s="57" t="str">
        <f t="shared" si="21"/>
        <v>-</v>
      </c>
      <c r="H1391" s="19">
        <v>97500</v>
      </c>
      <c r="I1391" s="19" t="s">
        <v>465</v>
      </c>
    </row>
    <row r="1392" spans="1:9" s="1" customFormat="1" x14ac:dyDescent="0.2">
      <c r="A1392" s="1" t="s">
        <v>8</v>
      </c>
      <c r="B1392" s="2" t="s">
        <v>115</v>
      </c>
      <c r="D1392" s="5" t="s">
        <v>464</v>
      </c>
      <c r="E1392" s="3"/>
      <c r="F1392" s="3"/>
      <c r="G1392" s="57" t="str">
        <f t="shared" si="21"/>
        <v>-</v>
      </c>
      <c r="H1392" s="19" t="s">
        <v>465</v>
      </c>
      <c r="I1392" s="19">
        <v>97500</v>
      </c>
    </row>
    <row r="1393" spans="1:10" x14ac:dyDescent="0.2">
      <c r="A1393" s="1" t="s">
        <v>8</v>
      </c>
      <c r="B1393" s="2" t="s">
        <v>115</v>
      </c>
      <c r="C1393" s="1"/>
      <c r="D1393" s="5" t="s">
        <v>464</v>
      </c>
      <c r="G1393" s="57" t="str">
        <f t="shared" si="21"/>
        <v>-</v>
      </c>
      <c r="H1393" s="19" t="s">
        <v>465</v>
      </c>
      <c r="I1393" s="19">
        <v>97500</v>
      </c>
    </row>
    <row r="1394" spans="1:10" x14ac:dyDescent="0.2">
      <c r="A1394" s="1" t="s">
        <v>8</v>
      </c>
      <c r="B1394" s="2" t="s">
        <v>115</v>
      </c>
      <c r="C1394" s="1"/>
      <c r="D1394" s="5" t="s">
        <v>464</v>
      </c>
      <c r="G1394" s="57" t="str">
        <f t="shared" si="21"/>
        <v>-</v>
      </c>
      <c r="H1394" s="19" t="s">
        <v>465</v>
      </c>
      <c r="I1394" s="19">
        <v>97500</v>
      </c>
    </row>
    <row r="1395" spans="1:10" x14ac:dyDescent="0.2">
      <c r="A1395" s="1" t="s">
        <v>8</v>
      </c>
      <c r="B1395" s="2" t="s">
        <v>115</v>
      </c>
      <c r="C1395" s="1"/>
      <c r="D1395" s="5" t="s">
        <v>464</v>
      </c>
      <c r="G1395" s="57" t="str">
        <f t="shared" si="21"/>
        <v>-</v>
      </c>
      <c r="H1395" s="19" t="s">
        <v>465</v>
      </c>
      <c r="I1395" s="19">
        <v>97500</v>
      </c>
    </row>
    <row r="1396" spans="1:10" x14ac:dyDescent="0.2">
      <c r="A1396" s="1" t="s">
        <v>8</v>
      </c>
      <c r="B1396" s="2" t="s">
        <v>116</v>
      </c>
      <c r="C1396" s="1" t="s">
        <v>2150</v>
      </c>
      <c r="D1396" s="5" t="s">
        <v>450</v>
      </c>
      <c r="E1396" s="3">
        <v>179644</v>
      </c>
      <c r="F1396" s="3">
        <v>178927</v>
      </c>
      <c r="G1396" s="57">
        <f t="shared" si="21"/>
        <v>-3.9912270935850902E-3</v>
      </c>
      <c r="J1396" s="5" t="s">
        <v>3898</v>
      </c>
    </row>
    <row r="1397" spans="1:10" x14ac:dyDescent="0.2">
      <c r="A1397" s="1" t="s">
        <v>8</v>
      </c>
      <c r="B1397" s="2" t="s">
        <v>116</v>
      </c>
      <c r="C1397" s="1"/>
      <c r="D1397" s="5" t="s">
        <v>2151</v>
      </c>
      <c r="E1397" s="3">
        <v>138529</v>
      </c>
      <c r="F1397" s="3">
        <v>140924</v>
      </c>
      <c r="G1397" s="57">
        <f t="shared" si="21"/>
        <v>1.7288798735282863E-2</v>
      </c>
      <c r="J1397" s="5" t="s">
        <v>3899</v>
      </c>
    </row>
    <row r="1398" spans="1:10" x14ac:dyDescent="0.2">
      <c r="A1398" s="1" t="s">
        <v>8</v>
      </c>
      <c r="B1398" s="2" t="s">
        <v>116</v>
      </c>
      <c r="C1398" s="1"/>
      <c r="D1398" s="5" t="s">
        <v>2152</v>
      </c>
      <c r="E1398" s="3">
        <v>138464</v>
      </c>
      <c r="F1398" s="3">
        <v>140729</v>
      </c>
      <c r="G1398" s="57">
        <f t="shared" si="21"/>
        <v>1.6358042523688467E-2</v>
      </c>
      <c r="J1398" s="5" t="s">
        <v>3900</v>
      </c>
    </row>
    <row r="1399" spans="1:10" ht="25.5" x14ac:dyDescent="0.2">
      <c r="A1399" s="1" t="s">
        <v>8</v>
      </c>
      <c r="B1399" s="2" t="s">
        <v>116</v>
      </c>
      <c r="C1399" s="1"/>
      <c r="D1399" s="5" t="s">
        <v>3901</v>
      </c>
      <c r="E1399" s="3">
        <v>154208</v>
      </c>
      <c r="F1399" s="3">
        <v>138291</v>
      </c>
      <c r="G1399" s="57">
        <f t="shared" si="21"/>
        <v>-0.10321773189458394</v>
      </c>
      <c r="J1399" s="5" t="s">
        <v>3902</v>
      </c>
    </row>
    <row r="1400" spans="1:10" x14ac:dyDescent="0.2">
      <c r="A1400" s="1" t="s">
        <v>8</v>
      </c>
      <c r="B1400" s="2" t="s">
        <v>116</v>
      </c>
      <c r="C1400" s="1"/>
      <c r="D1400" s="5" t="s">
        <v>2153</v>
      </c>
      <c r="E1400" s="3">
        <v>112591</v>
      </c>
      <c r="F1400" s="3">
        <v>114271</v>
      </c>
      <c r="G1400" s="57">
        <f t="shared" si="21"/>
        <v>1.4921263688927178E-2</v>
      </c>
      <c r="J1400" s="5" t="s">
        <v>3903</v>
      </c>
    </row>
    <row r="1401" spans="1:10" x14ac:dyDescent="0.2">
      <c r="A1401" s="1" t="s">
        <v>8</v>
      </c>
      <c r="B1401" s="2" t="s">
        <v>116</v>
      </c>
      <c r="C1401" s="1"/>
      <c r="D1401" s="5" t="s">
        <v>2154</v>
      </c>
      <c r="E1401" s="3">
        <v>115200</v>
      </c>
      <c r="F1401" s="3">
        <v>114087</v>
      </c>
      <c r="G1401" s="57">
        <f t="shared" si="21"/>
        <v>-9.6614583333333327E-3</v>
      </c>
      <c r="J1401" s="5" t="s">
        <v>3904</v>
      </c>
    </row>
    <row r="1402" spans="1:10" ht="25.5" x14ac:dyDescent="0.2">
      <c r="A1402" s="1" t="s">
        <v>8</v>
      </c>
      <c r="B1402" s="2" t="s">
        <v>116</v>
      </c>
      <c r="C1402" s="1"/>
      <c r="D1402" s="5" t="s">
        <v>507</v>
      </c>
      <c r="E1402" s="3">
        <v>106458</v>
      </c>
      <c r="F1402" s="3" t="s">
        <v>465</v>
      </c>
      <c r="G1402" s="57" t="str">
        <f t="shared" si="21"/>
        <v>-</v>
      </c>
      <c r="J1402" s="5" t="s">
        <v>4278</v>
      </c>
    </row>
    <row r="1403" spans="1:10" x14ac:dyDescent="0.2">
      <c r="A1403" s="1" t="s">
        <v>8</v>
      </c>
      <c r="B1403" s="2" t="s">
        <v>116</v>
      </c>
      <c r="C1403" s="1"/>
      <c r="D1403" s="5" t="s">
        <v>2155</v>
      </c>
      <c r="E1403" s="3">
        <v>104146</v>
      </c>
      <c r="F1403" s="3">
        <v>105618</v>
      </c>
      <c r="G1403" s="57">
        <f t="shared" si="21"/>
        <v>1.4134004186430588E-2</v>
      </c>
      <c r="J1403" s="5" t="s">
        <v>3905</v>
      </c>
    </row>
    <row r="1404" spans="1:10" x14ac:dyDescent="0.2">
      <c r="A1404" s="1" t="s">
        <v>8</v>
      </c>
      <c r="B1404" s="2" t="s">
        <v>116</v>
      </c>
      <c r="C1404" s="1"/>
      <c r="D1404" s="5" t="s">
        <v>2156</v>
      </c>
      <c r="E1404" s="3">
        <v>103033</v>
      </c>
      <c r="F1404" s="3">
        <v>105557</v>
      </c>
      <c r="G1404" s="57">
        <f t="shared" si="21"/>
        <v>2.4497005813671348E-2</v>
      </c>
      <c r="J1404" s="5" t="s">
        <v>3906</v>
      </c>
    </row>
    <row r="1405" spans="1:10" x14ac:dyDescent="0.2">
      <c r="A1405" s="1" t="s">
        <v>8</v>
      </c>
      <c r="B1405" s="2" t="s">
        <v>116</v>
      </c>
      <c r="C1405" s="1"/>
      <c r="D1405" s="5" t="s">
        <v>949</v>
      </c>
      <c r="E1405" s="3">
        <v>112050</v>
      </c>
      <c r="F1405" s="3">
        <v>108311</v>
      </c>
      <c r="G1405" s="57">
        <f t="shared" si="21"/>
        <v>-3.3369031682284694E-2</v>
      </c>
      <c r="J1405" s="5" t="s">
        <v>3907</v>
      </c>
    </row>
    <row r="1406" spans="1:10" x14ac:dyDescent="0.2">
      <c r="A1406" s="1" t="s">
        <v>8</v>
      </c>
      <c r="B1406" s="2" t="s">
        <v>116</v>
      </c>
      <c r="C1406" s="1"/>
      <c r="D1406" s="5" t="s">
        <v>501</v>
      </c>
      <c r="E1406" s="3">
        <v>101754</v>
      </c>
      <c r="F1406" s="3">
        <v>103224</v>
      </c>
      <c r="G1406" s="57">
        <f t="shared" si="21"/>
        <v>1.4446606521610944E-2</v>
      </c>
      <c r="J1406" s="5" t="s">
        <v>3908</v>
      </c>
    </row>
    <row r="1407" spans="1:10" x14ac:dyDescent="0.2">
      <c r="A1407" s="1" t="s">
        <v>8</v>
      </c>
      <c r="B1407" s="2" t="s">
        <v>116</v>
      </c>
      <c r="C1407" s="1"/>
      <c r="D1407" s="5" t="s">
        <v>3909</v>
      </c>
      <c r="E1407" s="3">
        <v>108827</v>
      </c>
      <c r="F1407" s="3">
        <v>97798</v>
      </c>
      <c r="G1407" s="57">
        <f t="shared" si="21"/>
        <v>-0.10134433550497579</v>
      </c>
      <c r="J1407" s="5" t="s">
        <v>3910</v>
      </c>
    </row>
    <row r="1408" spans="1:10" ht="25.5" x14ac:dyDescent="0.2">
      <c r="A1408" s="1" t="s">
        <v>8</v>
      </c>
      <c r="B1408" s="2" t="s">
        <v>117</v>
      </c>
      <c r="C1408" s="1"/>
      <c r="D1408" s="5" t="s">
        <v>450</v>
      </c>
      <c r="E1408" s="3">
        <v>148000</v>
      </c>
      <c r="F1408" s="3">
        <v>148000</v>
      </c>
      <c r="G1408" s="57">
        <f t="shared" si="21"/>
        <v>0</v>
      </c>
      <c r="J1408" s="5" t="s">
        <v>3911</v>
      </c>
    </row>
    <row r="1409" spans="1:10" ht="25.5" x14ac:dyDescent="0.2">
      <c r="A1409" s="1" t="s">
        <v>8</v>
      </c>
      <c r="B1409" s="2" t="s">
        <v>117</v>
      </c>
      <c r="C1409" s="1"/>
      <c r="D1409" s="5" t="s">
        <v>855</v>
      </c>
      <c r="E1409" s="3">
        <v>98000</v>
      </c>
      <c r="F1409" s="3">
        <v>101000</v>
      </c>
      <c r="G1409" s="57">
        <f t="shared" si="21"/>
        <v>3.0612244897959183E-2</v>
      </c>
      <c r="J1409" s="5" t="s">
        <v>3912</v>
      </c>
    </row>
    <row r="1410" spans="1:10" x14ac:dyDescent="0.2">
      <c r="A1410" s="1" t="s">
        <v>11</v>
      </c>
      <c r="B1410" s="2" t="s">
        <v>118</v>
      </c>
      <c r="C1410" s="1"/>
      <c r="D1410" s="5" t="s">
        <v>464</v>
      </c>
      <c r="E1410" s="3">
        <v>95000</v>
      </c>
      <c r="F1410" s="3" t="s">
        <v>465</v>
      </c>
      <c r="G1410" s="57" t="str">
        <f t="shared" si="21"/>
        <v>-</v>
      </c>
    </row>
    <row r="1411" spans="1:10" ht="25.5" x14ac:dyDescent="0.2">
      <c r="A1411" s="1" t="s">
        <v>34</v>
      </c>
      <c r="B1411" s="2" t="s">
        <v>119</v>
      </c>
      <c r="C1411" s="1"/>
      <c r="D1411" s="5" t="s">
        <v>450</v>
      </c>
      <c r="E1411" s="3">
        <v>179855</v>
      </c>
      <c r="F1411" s="3">
        <v>172720</v>
      </c>
      <c r="G1411" s="57">
        <f t="shared" ref="G1411:G1474" si="22">IF(ISERROR((F1411-E1411)/E1411),"-",(F1411-E1411)/E1411)</f>
        <v>-3.9670845959244951E-2</v>
      </c>
      <c r="J1411" s="5" t="s">
        <v>3913</v>
      </c>
    </row>
    <row r="1412" spans="1:10" ht="25.5" x14ac:dyDescent="0.2">
      <c r="A1412" s="1" t="s">
        <v>34</v>
      </c>
      <c r="B1412" s="2" t="s">
        <v>119</v>
      </c>
      <c r="C1412" s="1"/>
      <c r="D1412" s="5" t="s">
        <v>455</v>
      </c>
      <c r="E1412" s="3">
        <v>152843</v>
      </c>
      <c r="F1412" s="3">
        <v>158217</v>
      </c>
      <c r="G1412" s="57">
        <f t="shared" si="22"/>
        <v>3.5160262491576326E-2</v>
      </c>
      <c r="J1412" s="5" t="s">
        <v>3914</v>
      </c>
    </row>
    <row r="1413" spans="1:10" ht="25.5" x14ac:dyDescent="0.2">
      <c r="A1413" s="1" t="s">
        <v>34</v>
      </c>
      <c r="B1413" s="2" t="s">
        <v>119</v>
      </c>
      <c r="C1413" s="1"/>
      <c r="D1413" s="5" t="s">
        <v>608</v>
      </c>
      <c r="E1413" s="3">
        <v>149678</v>
      </c>
      <c r="F1413" s="3">
        <v>149155</v>
      </c>
      <c r="G1413" s="57">
        <f t="shared" si="22"/>
        <v>-3.4941674795227087E-3</v>
      </c>
      <c r="J1413" s="5" t="s">
        <v>3915</v>
      </c>
    </row>
    <row r="1414" spans="1:10" ht="39" customHeight="1" x14ac:dyDescent="0.2">
      <c r="A1414" s="1" t="s">
        <v>34</v>
      </c>
      <c r="B1414" s="2" t="s">
        <v>119</v>
      </c>
      <c r="C1414" s="1"/>
      <c r="D1414" s="5" t="s">
        <v>2149</v>
      </c>
      <c r="E1414" s="3">
        <v>100041</v>
      </c>
      <c r="F1414" s="3">
        <v>150061</v>
      </c>
      <c r="G1414" s="57">
        <f t="shared" si="22"/>
        <v>0.49999500204915986</v>
      </c>
      <c r="J1414" s="5" t="s">
        <v>4279</v>
      </c>
    </row>
    <row r="1415" spans="1:10" ht="38.25" x14ac:dyDescent="0.2">
      <c r="A1415" s="1" t="s">
        <v>34</v>
      </c>
      <c r="B1415" s="2" t="s">
        <v>119</v>
      </c>
      <c r="C1415" s="1"/>
      <c r="D1415" s="5" t="s">
        <v>1269</v>
      </c>
      <c r="E1415" s="3">
        <v>29940</v>
      </c>
      <c r="F1415" s="3">
        <v>123742</v>
      </c>
      <c r="G1415" s="57">
        <f t="shared" si="22"/>
        <v>3.1329993319973282</v>
      </c>
      <c r="J1415" s="5" t="s">
        <v>4620</v>
      </c>
    </row>
    <row r="1416" spans="1:10" ht="25.5" x14ac:dyDescent="0.2">
      <c r="A1416" s="1" t="s">
        <v>34</v>
      </c>
      <c r="B1416" s="2" t="s">
        <v>119</v>
      </c>
      <c r="C1416" s="1"/>
      <c r="D1416" s="5" t="s">
        <v>507</v>
      </c>
      <c r="E1416" s="3">
        <v>123918</v>
      </c>
      <c r="F1416" s="3">
        <v>123709</v>
      </c>
      <c r="G1416" s="57">
        <f t="shared" si="22"/>
        <v>-1.6865992026985587E-3</v>
      </c>
      <c r="J1416" s="5" t="s">
        <v>4621</v>
      </c>
    </row>
    <row r="1417" spans="1:10" x14ac:dyDescent="0.2">
      <c r="A1417" s="1" t="s">
        <v>34</v>
      </c>
      <c r="B1417" s="2" t="s">
        <v>119</v>
      </c>
      <c r="C1417" s="1"/>
      <c r="D1417" s="5" t="s">
        <v>464</v>
      </c>
      <c r="E1417" s="3" t="s">
        <v>465</v>
      </c>
      <c r="F1417" s="3">
        <v>97500</v>
      </c>
      <c r="G1417" s="57" t="str">
        <f t="shared" si="22"/>
        <v>-</v>
      </c>
    </row>
    <row r="1418" spans="1:10" x14ac:dyDescent="0.2">
      <c r="A1418" s="1" t="s">
        <v>34</v>
      </c>
      <c r="B1418" s="2" t="s">
        <v>119</v>
      </c>
      <c r="C1418" s="1"/>
      <c r="D1418" s="5" t="s">
        <v>464</v>
      </c>
      <c r="E1418" s="3" t="s">
        <v>465</v>
      </c>
      <c r="F1418" s="3">
        <v>102500</v>
      </c>
      <c r="G1418" s="57" t="str">
        <f t="shared" si="22"/>
        <v>-</v>
      </c>
    </row>
    <row r="1419" spans="1:10" x14ac:dyDescent="0.2">
      <c r="A1419" s="1" t="s">
        <v>34</v>
      </c>
      <c r="B1419" s="2" t="s">
        <v>119</v>
      </c>
      <c r="C1419" s="1"/>
      <c r="D1419" s="5" t="s">
        <v>464</v>
      </c>
      <c r="E1419" s="3" t="s">
        <v>465</v>
      </c>
      <c r="F1419" s="3">
        <v>102500</v>
      </c>
      <c r="G1419" s="57" t="str">
        <f t="shared" si="22"/>
        <v>-</v>
      </c>
    </row>
    <row r="1420" spans="1:10" x14ac:dyDescent="0.2">
      <c r="A1420" s="1" t="s">
        <v>34</v>
      </c>
      <c r="B1420" s="2" t="s">
        <v>119</v>
      </c>
      <c r="C1420" s="1"/>
      <c r="D1420" s="5" t="s">
        <v>464</v>
      </c>
      <c r="E1420" s="3" t="s">
        <v>465</v>
      </c>
      <c r="F1420" s="3">
        <v>107500</v>
      </c>
      <c r="G1420" s="57" t="str">
        <f t="shared" si="22"/>
        <v>-</v>
      </c>
    </row>
    <row r="1421" spans="1:10" x14ac:dyDescent="0.2">
      <c r="A1421" s="1" t="s">
        <v>34</v>
      </c>
      <c r="B1421" s="2" t="s">
        <v>119</v>
      </c>
      <c r="C1421" s="1"/>
      <c r="D1421" s="5" t="s">
        <v>464</v>
      </c>
      <c r="E1421" s="3" t="s">
        <v>465</v>
      </c>
      <c r="F1421" s="3">
        <v>107500</v>
      </c>
      <c r="G1421" s="57" t="str">
        <f t="shared" si="22"/>
        <v>-</v>
      </c>
    </row>
    <row r="1422" spans="1:10" x14ac:dyDescent="0.2">
      <c r="A1422" s="1" t="s">
        <v>34</v>
      </c>
      <c r="B1422" s="2" t="s">
        <v>119</v>
      </c>
      <c r="C1422" s="1"/>
      <c r="D1422" s="5" t="s">
        <v>464</v>
      </c>
      <c r="E1422" s="3" t="s">
        <v>465</v>
      </c>
      <c r="F1422" s="3">
        <v>107500</v>
      </c>
      <c r="G1422" s="57" t="str">
        <f t="shared" si="22"/>
        <v>-</v>
      </c>
    </row>
    <row r="1423" spans="1:10" x14ac:dyDescent="0.2">
      <c r="A1423" s="1" t="s">
        <v>34</v>
      </c>
      <c r="B1423" s="2" t="s">
        <v>119</v>
      </c>
      <c r="C1423" s="1"/>
      <c r="D1423" s="5" t="s">
        <v>464</v>
      </c>
      <c r="E1423" s="3" t="s">
        <v>465</v>
      </c>
      <c r="F1423" s="3">
        <v>112500</v>
      </c>
      <c r="G1423" s="57" t="str">
        <f t="shared" si="22"/>
        <v>-</v>
      </c>
    </row>
    <row r="1424" spans="1:10" x14ac:dyDescent="0.2">
      <c r="A1424" s="1" t="s">
        <v>34</v>
      </c>
      <c r="B1424" s="2" t="s">
        <v>119</v>
      </c>
      <c r="C1424" s="1"/>
      <c r="D1424" s="5" t="s">
        <v>464</v>
      </c>
      <c r="E1424" s="3" t="s">
        <v>465</v>
      </c>
      <c r="F1424" s="3">
        <v>112500</v>
      </c>
      <c r="G1424" s="57" t="str">
        <f t="shared" si="22"/>
        <v>-</v>
      </c>
    </row>
    <row r="1425" spans="1:10" x14ac:dyDescent="0.2">
      <c r="A1425" s="1" t="s">
        <v>34</v>
      </c>
      <c r="B1425" s="2" t="s">
        <v>119</v>
      </c>
      <c r="C1425" s="1"/>
      <c r="D1425" s="5" t="s">
        <v>464</v>
      </c>
      <c r="E1425" s="3" t="s">
        <v>465</v>
      </c>
      <c r="F1425" s="3">
        <v>117500</v>
      </c>
      <c r="G1425" s="57" t="str">
        <f t="shared" si="22"/>
        <v>-</v>
      </c>
    </row>
    <row r="1426" spans="1:10" x14ac:dyDescent="0.2">
      <c r="A1426" s="1" t="s">
        <v>34</v>
      </c>
      <c r="B1426" s="2" t="s">
        <v>119</v>
      </c>
      <c r="C1426" s="1"/>
      <c r="D1426" s="5" t="s">
        <v>464</v>
      </c>
      <c r="E1426" s="3" t="s">
        <v>465</v>
      </c>
      <c r="F1426" s="3">
        <v>122500</v>
      </c>
      <c r="G1426" s="57" t="str">
        <f t="shared" si="22"/>
        <v>-</v>
      </c>
    </row>
    <row r="1427" spans="1:10" x14ac:dyDescent="0.2">
      <c r="A1427" s="1" t="s">
        <v>34</v>
      </c>
      <c r="B1427" s="2" t="s">
        <v>119</v>
      </c>
      <c r="C1427" s="1"/>
      <c r="D1427" s="5" t="s">
        <v>464</v>
      </c>
      <c r="E1427" s="3">
        <v>92500</v>
      </c>
      <c r="F1427" s="3" t="s">
        <v>465</v>
      </c>
      <c r="G1427" s="57" t="str">
        <f t="shared" si="22"/>
        <v>-</v>
      </c>
    </row>
    <row r="1428" spans="1:10" x14ac:dyDescent="0.2">
      <c r="A1428" s="1" t="s">
        <v>34</v>
      </c>
      <c r="B1428" s="2" t="s">
        <v>119</v>
      </c>
      <c r="C1428" s="1"/>
      <c r="D1428" s="5" t="s">
        <v>464</v>
      </c>
      <c r="E1428" s="3">
        <v>97500</v>
      </c>
      <c r="F1428" s="3" t="s">
        <v>465</v>
      </c>
      <c r="G1428" s="57" t="str">
        <f t="shared" si="22"/>
        <v>-</v>
      </c>
    </row>
    <row r="1429" spans="1:10" x14ac:dyDescent="0.2">
      <c r="A1429" s="1" t="s">
        <v>34</v>
      </c>
      <c r="B1429" s="2" t="s">
        <v>119</v>
      </c>
      <c r="C1429" s="1"/>
      <c r="D1429" s="5" t="s">
        <v>464</v>
      </c>
      <c r="E1429" s="3">
        <v>97500</v>
      </c>
      <c r="F1429" s="3" t="s">
        <v>465</v>
      </c>
      <c r="G1429" s="57" t="str">
        <f t="shared" si="22"/>
        <v>-</v>
      </c>
    </row>
    <row r="1430" spans="1:10" x14ac:dyDescent="0.2">
      <c r="A1430" s="1" t="s">
        <v>34</v>
      </c>
      <c r="B1430" s="2" t="s">
        <v>119</v>
      </c>
      <c r="C1430" s="1"/>
      <c r="D1430" s="5" t="s">
        <v>464</v>
      </c>
      <c r="E1430" s="3">
        <v>102500</v>
      </c>
      <c r="F1430" s="3" t="s">
        <v>465</v>
      </c>
      <c r="G1430" s="57" t="str">
        <f t="shared" si="22"/>
        <v>-</v>
      </c>
    </row>
    <row r="1431" spans="1:10" x14ac:dyDescent="0.2">
      <c r="A1431" s="1" t="s">
        <v>34</v>
      </c>
      <c r="B1431" s="2" t="s">
        <v>119</v>
      </c>
      <c r="C1431" s="1"/>
      <c r="D1431" s="5" t="s">
        <v>464</v>
      </c>
      <c r="E1431" s="3">
        <v>107500</v>
      </c>
      <c r="F1431" s="3" t="s">
        <v>465</v>
      </c>
      <c r="G1431" s="57" t="str">
        <f t="shared" si="22"/>
        <v>-</v>
      </c>
    </row>
    <row r="1432" spans="1:10" x14ac:dyDescent="0.2">
      <c r="A1432" s="1" t="s">
        <v>34</v>
      </c>
      <c r="B1432" s="2" t="s">
        <v>119</v>
      </c>
      <c r="C1432" s="1"/>
      <c r="D1432" s="5" t="s">
        <v>464</v>
      </c>
      <c r="E1432" s="3">
        <v>107500</v>
      </c>
      <c r="F1432" s="3" t="s">
        <v>465</v>
      </c>
      <c r="G1432" s="57" t="str">
        <f t="shared" si="22"/>
        <v>-</v>
      </c>
    </row>
    <row r="1433" spans="1:10" x14ac:dyDescent="0.2">
      <c r="A1433" s="1" t="s">
        <v>34</v>
      </c>
      <c r="B1433" s="2" t="s">
        <v>119</v>
      </c>
      <c r="C1433" s="1"/>
      <c r="D1433" s="5" t="s">
        <v>464</v>
      </c>
      <c r="E1433" s="3">
        <v>112500</v>
      </c>
      <c r="F1433" s="3" t="s">
        <v>465</v>
      </c>
      <c r="G1433" s="57" t="str">
        <f t="shared" si="22"/>
        <v>-</v>
      </c>
    </row>
    <row r="1434" spans="1:10" x14ac:dyDescent="0.2">
      <c r="A1434" s="1" t="s">
        <v>34</v>
      </c>
      <c r="B1434" s="2" t="s">
        <v>119</v>
      </c>
      <c r="C1434" s="1"/>
      <c r="D1434" s="5" t="s">
        <v>464</v>
      </c>
      <c r="E1434" s="3">
        <v>132500</v>
      </c>
      <c r="F1434" s="3" t="s">
        <v>465</v>
      </c>
      <c r="G1434" s="57" t="str">
        <f t="shared" si="22"/>
        <v>-</v>
      </c>
    </row>
    <row r="1435" spans="1:10" ht="64.5" customHeight="1" x14ac:dyDescent="0.2">
      <c r="A1435" s="1" t="s">
        <v>28</v>
      </c>
      <c r="B1435" s="2" t="s">
        <v>120</v>
      </c>
      <c r="C1435" s="1" t="s">
        <v>2148</v>
      </c>
      <c r="D1435" s="5" t="s">
        <v>450</v>
      </c>
      <c r="E1435" s="3" t="s">
        <v>465</v>
      </c>
      <c r="F1435" s="3">
        <v>158016</v>
      </c>
      <c r="G1435" s="57" t="str">
        <f t="shared" si="22"/>
        <v>-</v>
      </c>
      <c r="J1435" s="5" t="s">
        <v>4280</v>
      </c>
    </row>
    <row r="1436" spans="1:10" ht="25.5" x14ac:dyDescent="0.2">
      <c r="A1436" s="1" t="s">
        <v>28</v>
      </c>
      <c r="B1436" s="2" t="s">
        <v>120</v>
      </c>
      <c r="C1436" s="1"/>
      <c r="D1436" s="5" t="s">
        <v>764</v>
      </c>
      <c r="E1436" s="3">
        <v>25484</v>
      </c>
      <c r="F1436" s="3">
        <v>153163</v>
      </c>
      <c r="G1436" s="57">
        <f t="shared" si="22"/>
        <v>5.010163239679799</v>
      </c>
      <c r="J1436" s="5" t="s">
        <v>3916</v>
      </c>
    </row>
    <row r="1437" spans="1:10" ht="51" x14ac:dyDescent="0.2">
      <c r="A1437" s="1" t="s">
        <v>28</v>
      </c>
      <c r="B1437" s="2" t="s">
        <v>120</v>
      </c>
      <c r="C1437" s="1"/>
      <c r="D1437" s="5" t="s">
        <v>3917</v>
      </c>
      <c r="E1437" s="3">
        <v>139375</v>
      </c>
      <c r="F1437" s="3">
        <v>209424</v>
      </c>
      <c r="G1437" s="57">
        <f t="shared" si="22"/>
        <v>0.50259372197309415</v>
      </c>
      <c r="J1437" s="5" t="s">
        <v>4281</v>
      </c>
    </row>
    <row r="1438" spans="1:10" ht="25.5" x14ac:dyDescent="0.2">
      <c r="A1438" s="1" t="s">
        <v>28</v>
      </c>
      <c r="B1438" s="2" t="s">
        <v>120</v>
      </c>
      <c r="C1438" s="1"/>
      <c r="D1438" s="5" t="s">
        <v>658</v>
      </c>
      <c r="E1438" s="3">
        <v>139315</v>
      </c>
      <c r="F1438" s="3">
        <v>105347</v>
      </c>
      <c r="G1438" s="57">
        <f t="shared" si="22"/>
        <v>-0.24382155546782472</v>
      </c>
      <c r="J1438" s="5" t="s">
        <v>4282</v>
      </c>
    </row>
    <row r="1439" spans="1:10" ht="51" x14ac:dyDescent="0.2">
      <c r="A1439" s="1" t="s">
        <v>28</v>
      </c>
      <c r="B1439" s="2" t="s">
        <v>120</v>
      </c>
      <c r="C1439" s="1"/>
      <c r="D1439" s="5" t="s">
        <v>3918</v>
      </c>
      <c r="E1439" s="3">
        <v>79755</v>
      </c>
      <c r="F1439" s="3">
        <v>100323</v>
      </c>
      <c r="G1439" s="57">
        <f t="shared" si="22"/>
        <v>0.25788978747413954</v>
      </c>
      <c r="J1439" s="5" t="s">
        <v>4283</v>
      </c>
    </row>
    <row r="1440" spans="1:10" ht="25.5" x14ac:dyDescent="0.2">
      <c r="A1440" s="1" t="s">
        <v>28</v>
      </c>
      <c r="B1440" s="2" t="s">
        <v>120</v>
      </c>
      <c r="C1440" s="1"/>
      <c r="D1440" s="5" t="s">
        <v>944</v>
      </c>
      <c r="E1440" s="3">
        <v>166491</v>
      </c>
      <c r="F1440" s="3">
        <v>115512</v>
      </c>
      <c r="G1440" s="57">
        <f t="shared" si="22"/>
        <v>-0.30619673135484798</v>
      </c>
      <c r="J1440" s="5" t="s">
        <v>4284</v>
      </c>
    </row>
    <row r="1441" spans="1:10" ht="25.5" x14ac:dyDescent="0.2">
      <c r="A1441" s="1" t="s">
        <v>28</v>
      </c>
      <c r="B1441" s="2" t="s">
        <v>120</v>
      </c>
      <c r="C1441" s="1"/>
      <c r="D1441" s="5" t="s">
        <v>852</v>
      </c>
      <c r="E1441" s="3">
        <v>16282</v>
      </c>
      <c r="F1441" s="3">
        <v>107982</v>
      </c>
      <c r="G1441" s="57">
        <f t="shared" si="22"/>
        <v>5.631986242476354</v>
      </c>
      <c r="J1441" s="5" t="s">
        <v>3919</v>
      </c>
    </row>
    <row r="1442" spans="1:10" x14ac:dyDescent="0.2">
      <c r="A1442" s="1" t="s">
        <v>28</v>
      </c>
      <c r="B1442" s="2" t="s">
        <v>120</v>
      </c>
      <c r="C1442" s="1"/>
      <c r="D1442" s="5" t="s">
        <v>464</v>
      </c>
      <c r="E1442" s="3">
        <v>102500</v>
      </c>
      <c r="F1442" s="3" t="s">
        <v>465</v>
      </c>
      <c r="G1442" s="57" t="str">
        <f t="shared" si="22"/>
        <v>-</v>
      </c>
    </row>
    <row r="1443" spans="1:10" x14ac:dyDescent="0.2">
      <c r="A1443" s="1" t="s">
        <v>28</v>
      </c>
      <c r="B1443" s="2" t="s">
        <v>120</v>
      </c>
      <c r="C1443" s="1"/>
      <c r="D1443" s="5" t="s">
        <v>464</v>
      </c>
      <c r="E1443" s="3">
        <v>132500</v>
      </c>
      <c r="F1443" s="3" t="s">
        <v>465</v>
      </c>
      <c r="G1443" s="57" t="str">
        <f t="shared" si="22"/>
        <v>-</v>
      </c>
    </row>
    <row r="1444" spans="1:10" x14ac:dyDescent="0.2">
      <c r="A1444" s="1" t="s">
        <v>28</v>
      </c>
      <c r="B1444" s="2" t="s">
        <v>120</v>
      </c>
      <c r="C1444" s="1"/>
      <c r="D1444" s="5" t="s">
        <v>464</v>
      </c>
      <c r="E1444" s="3">
        <v>142500</v>
      </c>
      <c r="F1444" s="3" t="s">
        <v>465</v>
      </c>
      <c r="G1444" s="57" t="str">
        <f t="shared" si="22"/>
        <v>-</v>
      </c>
    </row>
    <row r="1445" spans="1:10" x14ac:dyDescent="0.2">
      <c r="A1445" s="1" t="s">
        <v>28</v>
      </c>
      <c r="B1445" s="2" t="s">
        <v>120</v>
      </c>
      <c r="C1445" s="1"/>
      <c r="D1445" s="5" t="s">
        <v>464</v>
      </c>
      <c r="E1445" s="3">
        <v>182500</v>
      </c>
      <c r="F1445" s="3" t="s">
        <v>465</v>
      </c>
      <c r="G1445" s="57" t="str">
        <f t="shared" si="22"/>
        <v>-</v>
      </c>
    </row>
    <row r="1446" spans="1:10" x14ac:dyDescent="0.2">
      <c r="A1446" s="1" t="s">
        <v>28</v>
      </c>
      <c r="B1446" s="2" t="s">
        <v>120</v>
      </c>
      <c r="C1446" s="1"/>
      <c r="D1446" s="5" t="s">
        <v>464</v>
      </c>
      <c r="E1446" s="3" t="s">
        <v>465</v>
      </c>
      <c r="F1446" s="3">
        <v>107500</v>
      </c>
      <c r="G1446" s="57" t="str">
        <f t="shared" si="22"/>
        <v>-</v>
      </c>
    </row>
    <row r="1447" spans="1:10" x14ac:dyDescent="0.2">
      <c r="A1447" s="1" t="s">
        <v>28</v>
      </c>
      <c r="B1447" s="2" t="s">
        <v>120</v>
      </c>
      <c r="C1447" s="1"/>
      <c r="D1447" s="5" t="s">
        <v>464</v>
      </c>
      <c r="E1447" s="3" t="s">
        <v>465</v>
      </c>
      <c r="F1447" s="3">
        <v>107500</v>
      </c>
      <c r="G1447" s="57" t="str">
        <f t="shared" si="22"/>
        <v>-</v>
      </c>
    </row>
    <row r="1448" spans="1:10" x14ac:dyDescent="0.2">
      <c r="A1448" s="1" t="s">
        <v>28</v>
      </c>
      <c r="B1448" s="2" t="s">
        <v>120</v>
      </c>
      <c r="C1448" s="1"/>
      <c r="D1448" s="5" t="s">
        <v>464</v>
      </c>
      <c r="E1448" s="3" t="s">
        <v>465</v>
      </c>
      <c r="F1448" s="3">
        <v>112500</v>
      </c>
      <c r="G1448" s="57" t="str">
        <f t="shared" si="22"/>
        <v>-</v>
      </c>
    </row>
    <row r="1449" spans="1:10" x14ac:dyDescent="0.2">
      <c r="A1449" s="1" t="s">
        <v>28</v>
      </c>
      <c r="B1449" s="2" t="s">
        <v>120</v>
      </c>
      <c r="C1449" s="1"/>
      <c r="D1449" s="5" t="s">
        <v>464</v>
      </c>
      <c r="E1449" s="3" t="s">
        <v>465</v>
      </c>
      <c r="F1449" s="3">
        <v>112500</v>
      </c>
      <c r="G1449" s="57" t="str">
        <f t="shared" si="22"/>
        <v>-</v>
      </c>
    </row>
    <row r="1450" spans="1:10" x14ac:dyDescent="0.2">
      <c r="A1450" s="1" t="s">
        <v>28</v>
      </c>
      <c r="B1450" s="2" t="s">
        <v>120</v>
      </c>
      <c r="C1450" s="1"/>
      <c r="D1450" s="5" t="s">
        <v>464</v>
      </c>
      <c r="E1450" s="3" t="s">
        <v>465</v>
      </c>
      <c r="F1450" s="3">
        <v>117500</v>
      </c>
      <c r="G1450" s="57" t="str">
        <f t="shared" si="22"/>
        <v>-</v>
      </c>
    </row>
    <row r="1451" spans="1:10" x14ac:dyDescent="0.2">
      <c r="A1451" s="1" t="s">
        <v>28</v>
      </c>
      <c r="B1451" s="2" t="s">
        <v>120</v>
      </c>
      <c r="C1451" s="1"/>
      <c r="D1451" s="5" t="s">
        <v>464</v>
      </c>
      <c r="E1451" s="3" t="s">
        <v>465</v>
      </c>
      <c r="F1451" s="3">
        <v>117500</v>
      </c>
      <c r="G1451" s="57" t="str">
        <f t="shared" si="22"/>
        <v>-</v>
      </c>
    </row>
    <row r="1452" spans="1:10" x14ac:dyDescent="0.2">
      <c r="A1452" s="1" t="s">
        <v>28</v>
      </c>
      <c r="B1452" s="2" t="s">
        <v>120</v>
      </c>
      <c r="C1452" s="1"/>
      <c r="D1452" s="5" t="s">
        <v>464</v>
      </c>
      <c r="E1452" s="3" t="s">
        <v>465</v>
      </c>
      <c r="F1452" s="3">
        <v>122500</v>
      </c>
      <c r="G1452" s="57" t="str">
        <f t="shared" si="22"/>
        <v>-</v>
      </c>
    </row>
    <row r="1453" spans="1:10" x14ac:dyDescent="0.2">
      <c r="A1453" s="1" t="s">
        <v>28</v>
      </c>
      <c r="B1453" s="2" t="s">
        <v>120</v>
      </c>
      <c r="C1453" s="1"/>
      <c r="D1453" s="5" t="s">
        <v>464</v>
      </c>
      <c r="E1453" s="3" t="s">
        <v>465</v>
      </c>
      <c r="F1453" s="3">
        <v>142500</v>
      </c>
      <c r="G1453" s="57" t="str">
        <f t="shared" si="22"/>
        <v>-</v>
      </c>
    </row>
    <row r="1454" spans="1:10" x14ac:dyDescent="0.2">
      <c r="A1454" s="1" t="s">
        <v>28</v>
      </c>
      <c r="B1454" s="2" t="s">
        <v>120</v>
      </c>
      <c r="C1454" s="1"/>
      <c r="D1454" s="5" t="s">
        <v>464</v>
      </c>
      <c r="E1454" s="3" t="s">
        <v>465</v>
      </c>
      <c r="F1454" s="3">
        <v>162500</v>
      </c>
      <c r="G1454" s="57" t="str">
        <f t="shared" si="22"/>
        <v>-</v>
      </c>
    </row>
    <row r="1455" spans="1:10" x14ac:dyDescent="0.2">
      <c r="A1455" s="1" t="s">
        <v>28</v>
      </c>
      <c r="B1455" s="2" t="s">
        <v>120</v>
      </c>
      <c r="C1455" s="1"/>
      <c r="D1455" s="5" t="s">
        <v>464</v>
      </c>
      <c r="G1455" s="57" t="str">
        <f t="shared" si="22"/>
        <v>-</v>
      </c>
      <c r="H1455" s="19">
        <v>97500</v>
      </c>
      <c r="I1455" s="19" t="s">
        <v>465</v>
      </c>
    </row>
    <row r="1456" spans="1:10" x14ac:dyDescent="0.2">
      <c r="A1456" s="1" t="s">
        <v>28</v>
      </c>
      <c r="B1456" s="2" t="s">
        <v>120</v>
      </c>
      <c r="C1456" s="1"/>
      <c r="D1456" s="5" t="s">
        <v>464</v>
      </c>
      <c r="G1456" s="57" t="str">
        <f t="shared" si="22"/>
        <v>-</v>
      </c>
      <c r="H1456" s="19">
        <v>97500</v>
      </c>
      <c r="I1456" s="19" t="s">
        <v>465</v>
      </c>
    </row>
    <row r="1457" spans="1:10" x14ac:dyDescent="0.2">
      <c r="A1457" s="1" t="s">
        <v>28</v>
      </c>
      <c r="B1457" s="2" t="s">
        <v>120</v>
      </c>
      <c r="C1457" s="1"/>
      <c r="D1457" s="5" t="s">
        <v>464</v>
      </c>
      <c r="G1457" s="57" t="str">
        <f t="shared" si="22"/>
        <v>-</v>
      </c>
      <c r="H1457" s="19">
        <v>97500</v>
      </c>
      <c r="I1457" s="19" t="s">
        <v>465</v>
      </c>
    </row>
    <row r="1458" spans="1:10" x14ac:dyDescent="0.2">
      <c r="A1458" s="1" t="s">
        <v>28</v>
      </c>
      <c r="B1458" s="2" t="s">
        <v>120</v>
      </c>
      <c r="C1458" s="1"/>
      <c r="D1458" s="5" t="s">
        <v>464</v>
      </c>
      <c r="G1458" s="57" t="str">
        <f t="shared" si="22"/>
        <v>-</v>
      </c>
      <c r="H1458" s="19">
        <v>97500</v>
      </c>
      <c r="I1458" s="19" t="s">
        <v>465</v>
      </c>
    </row>
    <row r="1459" spans="1:10" x14ac:dyDescent="0.2">
      <c r="A1459" s="1" t="s">
        <v>28</v>
      </c>
      <c r="B1459" s="2" t="s">
        <v>120</v>
      </c>
      <c r="C1459" s="1"/>
      <c r="D1459" s="5" t="s">
        <v>464</v>
      </c>
      <c r="G1459" s="57" t="str">
        <f t="shared" si="22"/>
        <v>-</v>
      </c>
      <c r="H1459" s="19" t="s">
        <v>465</v>
      </c>
      <c r="I1459" s="19">
        <v>92500</v>
      </c>
    </row>
    <row r="1460" spans="1:10" x14ac:dyDescent="0.2">
      <c r="A1460" s="1" t="s">
        <v>28</v>
      </c>
      <c r="B1460" s="2" t="s">
        <v>120</v>
      </c>
      <c r="C1460" s="1"/>
      <c r="D1460" s="5" t="s">
        <v>464</v>
      </c>
      <c r="G1460" s="57" t="str">
        <f t="shared" si="22"/>
        <v>-</v>
      </c>
      <c r="H1460" s="19" t="s">
        <v>465</v>
      </c>
      <c r="I1460" s="19">
        <v>92500</v>
      </c>
    </row>
    <row r="1461" spans="1:10" x14ac:dyDescent="0.2">
      <c r="A1461" s="1" t="s">
        <v>28</v>
      </c>
      <c r="B1461" s="2" t="s">
        <v>120</v>
      </c>
      <c r="C1461" s="1"/>
      <c r="D1461" s="5" t="s">
        <v>464</v>
      </c>
      <c r="G1461" s="57" t="str">
        <f t="shared" si="22"/>
        <v>-</v>
      </c>
      <c r="H1461" s="19" t="s">
        <v>465</v>
      </c>
      <c r="I1461" s="19">
        <v>92500</v>
      </c>
    </row>
    <row r="1462" spans="1:10" x14ac:dyDescent="0.2">
      <c r="A1462" s="1" t="s">
        <v>28</v>
      </c>
      <c r="B1462" s="2" t="s">
        <v>120</v>
      </c>
      <c r="C1462" s="1"/>
      <c r="D1462" s="5" t="s">
        <v>464</v>
      </c>
      <c r="G1462" s="57" t="str">
        <f t="shared" si="22"/>
        <v>-</v>
      </c>
      <c r="H1462" s="19" t="s">
        <v>465</v>
      </c>
      <c r="I1462" s="19">
        <v>92500</v>
      </c>
    </row>
    <row r="1463" spans="1:10" x14ac:dyDescent="0.2">
      <c r="A1463" s="1" t="s">
        <v>28</v>
      </c>
      <c r="B1463" s="2" t="s">
        <v>120</v>
      </c>
      <c r="C1463" s="1"/>
      <c r="D1463" s="5" t="s">
        <v>464</v>
      </c>
      <c r="G1463" s="57" t="str">
        <f t="shared" si="22"/>
        <v>-</v>
      </c>
      <c r="H1463" s="19" t="s">
        <v>465</v>
      </c>
      <c r="I1463" s="19">
        <v>92500</v>
      </c>
    </row>
    <row r="1464" spans="1:10" x14ac:dyDescent="0.2">
      <c r="A1464" s="1" t="s">
        <v>28</v>
      </c>
      <c r="B1464" s="2" t="s">
        <v>120</v>
      </c>
      <c r="C1464" s="1"/>
      <c r="D1464" s="5" t="s">
        <v>464</v>
      </c>
      <c r="G1464" s="57" t="str">
        <f t="shared" si="22"/>
        <v>-</v>
      </c>
      <c r="H1464" s="19" t="s">
        <v>465</v>
      </c>
      <c r="I1464" s="19">
        <v>92500</v>
      </c>
    </row>
    <row r="1465" spans="1:10" x14ac:dyDescent="0.2">
      <c r="A1465" s="1" t="s">
        <v>28</v>
      </c>
      <c r="B1465" s="2" t="s">
        <v>120</v>
      </c>
      <c r="C1465" s="1"/>
      <c r="D1465" s="5" t="s">
        <v>464</v>
      </c>
      <c r="G1465" s="57" t="str">
        <f t="shared" si="22"/>
        <v>-</v>
      </c>
      <c r="H1465" s="19" t="s">
        <v>465</v>
      </c>
      <c r="I1465" s="19">
        <v>97500</v>
      </c>
    </row>
    <row r="1466" spans="1:10" x14ac:dyDescent="0.2">
      <c r="A1466" s="1" t="s">
        <v>28</v>
      </c>
      <c r="B1466" s="2" t="s">
        <v>120</v>
      </c>
      <c r="C1466" s="1"/>
      <c r="D1466" s="5" t="s">
        <v>464</v>
      </c>
      <c r="G1466" s="57" t="str">
        <f t="shared" si="22"/>
        <v>-</v>
      </c>
      <c r="H1466" s="19" t="s">
        <v>465</v>
      </c>
      <c r="I1466" s="19">
        <v>97500</v>
      </c>
    </row>
    <row r="1467" spans="1:10" x14ac:dyDescent="0.2">
      <c r="A1467" s="1" t="s">
        <v>28</v>
      </c>
      <c r="B1467" s="2" t="s">
        <v>120</v>
      </c>
      <c r="C1467" s="1"/>
      <c r="D1467" s="5" t="s">
        <v>464</v>
      </c>
      <c r="G1467" s="57" t="str">
        <f t="shared" si="22"/>
        <v>-</v>
      </c>
      <c r="H1467" s="19" t="s">
        <v>465</v>
      </c>
      <c r="I1467" s="19">
        <v>97500</v>
      </c>
    </row>
    <row r="1468" spans="1:10" x14ac:dyDescent="0.2">
      <c r="A1468" s="1" t="s">
        <v>34</v>
      </c>
      <c r="B1468" s="2" t="s">
        <v>121</v>
      </c>
      <c r="C1468" s="1" t="s">
        <v>2138</v>
      </c>
      <c r="D1468" s="5" t="s">
        <v>2139</v>
      </c>
      <c r="E1468" s="3" t="s">
        <v>465</v>
      </c>
      <c r="F1468" s="3">
        <v>130000</v>
      </c>
      <c r="G1468" s="57" t="str">
        <f t="shared" si="22"/>
        <v>-</v>
      </c>
      <c r="J1468" s="5" t="s">
        <v>4285</v>
      </c>
    </row>
    <row r="1469" spans="1:10" x14ac:dyDescent="0.2">
      <c r="A1469" s="1" t="s">
        <v>34</v>
      </c>
      <c r="B1469" s="2" t="s">
        <v>121</v>
      </c>
      <c r="C1469" s="1" t="s">
        <v>2140</v>
      </c>
      <c r="D1469" s="5" t="s">
        <v>487</v>
      </c>
      <c r="E1469" s="3">
        <v>122000</v>
      </c>
      <c r="F1469" s="3">
        <v>126000</v>
      </c>
      <c r="G1469" s="57">
        <f t="shared" si="22"/>
        <v>3.2786885245901641E-2</v>
      </c>
      <c r="J1469" s="5" t="s">
        <v>3920</v>
      </c>
    </row>
    <row r="1470" spans="1:10" x14ac:dyDescent="0.2">
      <c r="A1470" s="1" t="s">
        <v>34</v>
      </c>
      <c r="B1470" s="2" t="s">
        <v>121</v>
      </c>
      <c r="C1470" s="1" t="s">
        <v>2141</v>
      </c>
      <c r="D1470" s="5" t="s">
        <v>2142</v>
      </c>
      <c r="E1470" s="3">
        <v>132000</v>
      </c>
      <c r="F1470" s="3">
        <v>139000</v>
      </c>
      <c r="G1470" s="57">
        <f t="shared" si="22"/>
        <v>5.3030303030303032E-2</v>
      </c>
      <c r="J1470" s="5" t="s">
        <v>3921</v>
      </c>
    </row>
    <row r="1471" spans="1:10" ht="25.5" x14ac:dyDescent="0.2">
      <c r="A1471" s="1" t="s">
        <v>34</v>
      </c>
      <c r="B1471" s="2" t="s">
        <v>121</v>
      </c>
      <c r="C1471" s="1" t="s">
        <v>2143</v>
      </c>
      <c r="D1471" s="5" t="s">
        <v>2144</v>
      </c>
      <c r="E1471" s="3">
        <v>149000</v>
      </c>
      <c r="F1471" s="3">
        <v>152000</v>
      </c>
      <c r="G1471" s="57">
        <f t="shared" si="22"/>
        <v>2.0134228187919462E-2</v>
      </c>
      <c r="J1471" s="5" t="s">
        <v>3922</v>
      </c>
    </row>
    <row r="1472" spans="1:10" ht="25.5" x14ac:dyDescent="0.2">
      <c r="A1472" s="1" t="s">
        <v>34</v>
      </c>
      <c r="B1472" s="2" t="s">
        <v>121</v>
      </c>
      <c r="C1472" s="1" t="s">
        <v>2145</v>
      </c>
      <c r="D1472" s="5" t="s">
        <v>2146</v>
      </c>
      <c r="E1472" s="3">
        <v>157000</v>
      </c>
      <c r="F1472" s="3">
        <v>160000</v>
      </c>
      <c r="G1472" s="57">
        <f t="shared" si="22"/>
        <v>1.9108280254777069E-2</v>
      </c>
      <c r="J1472" s="5" t="s">
        <v>3923</v>
      </c>
    </row>
    <row r="1473" spans="1:10" ht="25.5" x14ac:dyDescent="0.2">
      <c r="A1473" s="1" t="s">
        <v>34</v>
      </c>
      <c r="B1473" s="2" t="s">
        <v>121</v>
      </c>
      <c r="C1473" s="1" t="s">
        <v>2147</v>
      </c>
      <c r="D1473" s="5" t="s">
        <v>450</v>
      </c>
      <c r="E1473" s="3">
        <v>197000</v>
      </c>
      <c r="F1473" s="3">
        <v>201000</v>
      </c>
      <c r="G1473" s="57">
        <f t="shared" si="22"/>
        <v>2.030456852791878E-2</v>
      </c>
      <c r="J1473" s="5" t="s">
        <v>3924</v>
      </c>
    </row>
    <row r="1474" spans="1:10" x14ac:dyDescent="0.2">
      <c r="A1474" s="1" t="s">
        <v>34</v>
      </c>
      <c r="B1474" s="2" t="s">
        <v>121</v>
      </c>
      <c r="C1474" s="1" t="s">
        <v>3925</v>
      </c>
      <c r="D1474" s="5" t="s">
        <v>2139</v>
      </c>
      <c r="E1474" s="3">
        <v>112000</v>
      </c>
      <c r="F1474" s="3" t="s">
        <v>465</v>
      </c>
      <c r="G1474" s="57" t="str">
        <f t="shared" si="22"/>
        <v>-</v>
      </c>
      <c r="J1474" s="5" t="s">
        <v>4286</v>
      </c>
    </row>
    <row r="1475" spans="1:10" x14ac:dyDescent="0.2">
      <c r="A1475" s="1" t="s">
        <v>34</v>
      </c>
      <c r="B1475" s="2" t="s">
        <v>121</v>
      </c>
      <c r="C1475" s="1"/>
      <c r="D1475" s="5" t="s">
        <v>464</v>
      </c>
      <c r="G1475" s="57" t="str">
        <f t="shared" ref="G1475:G1538" si="23">IF(ISERROR((F1475-E1475)/E1475),"-",(F1475-E1475)/E1475)</f>
        <v>-</v>
      </c>
      <c r="H1475" s="19">
        <v>92500</v>
      </c>
      <c r="I1475" s="19" t="s">
        <v>465</v>
      </c>
    </row>
    <row r="1476" spans="1:10" x14ac:dyDescent="0.2">
      <c r="A1476" s="1" t="s">
        <v>34</v>
      </c>
      <c r="B1476" s="2" t="s">
        <v>121</v>
      </c>
      <c r="C1476" s="1"/>
      <c r="D1476" s="5" t="s">
        <v>464</v>
      </c>
      <c r="G1476" s="57" t="str">
        <f t="shared" si="23"/>
        <v>-</v>
      </c>
      <c r="H1476" s="19">
        <v>92500</v>
      </c>
      <c r="I1476" s="19" t="s">
        <v>465</v>
      </c>
    </row>
    <row r="1477" spans="1:10" x14ac:dyDescent="0.2">
      <c r="A1477" s="1" t="s">
        <v>34</v>
      </c>
      <c r="B1477" s="2" t="s">
        <v>121</v>
      </c>
      <c r="C1477" s="1"/>
      <c r="D1477" s="5" t="s">
        <v>464</v>
      </c>
      <c r="G1477" s="57" t="str">
        <f t="shared" si="23"/>
        <v>-</v>
      </c>
      <c r="H1477" s="19">
        <v>92500</v>
      </c>
      <c r="I1477" s="19" t="s">
        <v>465</v>
      </c>
    </row>
    <row r="1478" spans="1:10" x14ac:dyDescent="0.2">
      <c r="A1478" s="1" t="s">
        <v>34</v>
      </c>
      <c r="B1478" s="2" t="s">
        <v>121</v>
      </c>
      <c r="C1478" s="1"/>
      <c r="D1478" s="5" t="s">
        <v>464</v>
      </c>
      <c r="G1478" s="57" t="str">
        <f t="shared" si="23"/>
        <v>-</v>
      </c>
      <c r="H1478" s="19">
        <v>92500</v>
      </c>
      <c r="I1478" s="19" t="s">
        <v>465</v>
      </c>
    </row>
    <row r="1479" spans="1:10" x14ac:dyDescent="0.2">
      <c r="A1479" s="1" t="s">
        <v>34</v>
      </c>
      <c r="B1479" s="2" t="s">
        <v>121</v>
      </c>
      <c r="C1479" s="1"/>
      <c r="D1479" s="5" t="s">
        <v>464</v>
      </c>
      <c r="G1479" s="57" t="str">
        <f t="shared" si="23"/>
        <v>-</v>
      </c>
      <c r="H1479" s="19">
        <v>92500</v>
      </c>
      <c r="I1479" s="19" t="s">
        <v>465</v>
      </c>
    </row>
    <row r="1480" spans="1:10" x14ac:dyDescent="0.2">
      <c r="A1480" s="1" t="s">
        <v>34</v>
      </c>
      <c r="B1480" s="2" t="s">
        <v>121</v>
      </c>
      <c r="C1480" s="1"/>
      <c r="D1480" s="5" t="s">
        <v>464</v>
      </c>
      <c r="G1480" s="57" t="str">
        <f t="shared" si="23"/>
        <v>-</v>
      </c>
      <c r="H1480" s="19">
        <v>92500</v>
      </c>
      <c r="I1480" s="19" t="s">
        <v>465</v>
      </c>
    </row>
    <row r="1481" spans="1:10" x14ac:dyDescent="0.2">
      <c r="A1481" s="1" t="s">
        <v>34</v>
      </c>
      <c r="B1481" s="2" t="s">
        <v>121</v>
      </c>
      <c r="C1481" s="1"/>
      <c r="D1481" s="5" t="s">
        <v>464</v>
      </c>
      <c r="G1481" s="57" t="str">
        <f t="shared" si="23"/>
        <v>-</v>
      </c>
      <c r="H1481" s="19">
        <v>97500</v>
      </c>
      <c r="I1481" s="19" t="s">
        <v>465</v>
      </c>
    </row>
    <row r="1482" spans="1:10" x14ac:dyDescent="0.2">
      <c r="A1482" s="1" t="s">
        <v>34</v>
      </c>
      <c r="B1482" s="2" t="s">
        <v>121</v>
      </c>
      <c r="C1482" s="1"/>
      <c r="D1482" s="5" t="s">
        <v>464</v>
      </c>
      <c r="G1482" s="57" t="str">
        <f t="shared" si="23"/>
        <v>-</v>
      </c>
      <c r="H1482" s="19" t="s">
        <v>465</v>
      </c>
      <c r="I1482" s="19">
        <v>92500</v>
      </c>
    </row>
    <row r="1483" spans="1:10" x14ac:dyDescent="0.2">
      <c r="A1483" s="1" t="s">
        <v>34</v>
      </c>
      <c r="B1483" s="2" t="s">
        <v>121</v>
      </c>
      <c r="C1483" s="1"/>
      <c r="D1483" s="5" t="s">
        <v>464</v>
      </c>
      <c r="G1483" s="57" t="str">
        <f t="shared" si="23"/>
        <v>-</v>
      </c>
      <c r="H1483" s="19" t="s">
        <v>465</v>
      </c>
      <c r="I1483" s="19">
        <v>92500</v>
      </c>
    </row>
    <row r="1484" spans="1:10" x14ac:dyDescent="0.2">
      <c r="A1484" s="1" t="s">
        <v>34</v>
      </c>
      <c r="B1484" s="2" t="s">
        <v>121</v>
      </c>
      <c r="C1484" s="1"/>
      <c r="D1484" s="5" t="s">
        <v>464</v>
      </c>
      <c r="G1484" s="57" t="str">
        <f t="shared" si="23"/>
        <v>-</v>
      </c>
      <c r="H1484" s="19" t="s">
        <v>465</v>
      </c>
      <c r="I1484" s="19">
        <v>92500</v>
      </c>
    </row>
    <row r="1485" spans="1:10" x14ac:dyDescent="0.2">
      <c r="A1485" s="1" t="s">
        <v>34</v>
      </c>
      <c r="B1485" s="2" t="s">
        <v>121</v>
      </c>
      <c r="C1485" s="1"/>
      <c r="D1485" s="5" t="s">
        <v>464</v>
      </c>
      <c r="G1485" s="57" t="str">
        <f t="shared" si="23"/>
        <v>-</v>
      </c>
      <c r="H1485" s="19" t="s">
        <v>465</v>
      </c>
      <c r="I1485" s="19">
        <v>92500</v>
      </c>
    </row>
    <row r="1486" spans="1:10" x14ac:dyDescent="0.2">
      <c r="A1486" s="1" t="s">
        <v>34</v>
      </c>
      <c r="B1486" s="2" t="s">
        <v>121</v>
      </c>
      <c r="C1486" s="1"/>
      <c r="D1486" s="5" t="s">
        <v>464</v>
      </c>
      <c r="G1486" s="57" t="str">
        <f t="shared" si="23"/>
        <v>-</v>
      </c>
      <c r="H1486" s="19" t="s">
        <v>465</v>
      </c>
      <c r="I1486" s="19">
        <v>92500</v>
      </c>
    </row>
    <row r="1487" spans="1:10" x14ac:dyDescent="0.2">
      <c r="A1487" s="1" t="s">
        <v>34</v>
      </c>
      <c r="B1487" s="2" t="s">
        <v>121</v>
      </c>
      <c r="C1487" s="1"/>
      <c r="D1487" s="5" t="s">
        <v>464</v>
      </c>
      <c r="G1487" s="57" t="str">
        <f t="shared" si="23"/>
        <v>-</v>
      </c>
      <c r="H1487" s="19" t="s">
        <v>465</v>
      </c>
      <c r="I1487" s="19">
        <v>92500</v>
      </c>
    </row>
    <row r="1488" spans="1:10" x14ac:dyDescent="0.2">
      <c r="A1488" s="1" t="s">
        <v>34</v>
      </c>
      <c r="B1488" s="2" t="s">
        <v>121</v>
      </c>
      <c r="C1488" s="1"/>
      <c r="D1488" s="5" t="s">
        <v>464</v>
      </c>
      <c r="G1488" s="57" t="str">
        <f t="shared" si="23"/>
        <v>-</v>
      </c>
      <c r="H1488" s="19" t="s">
        <v>465</v>
      </c>
      <c r="I1488" s="19">
        <v>92500</v>
      </c>
    </row>
    <row r="1489" spans="1:11" x14ac:dyDescent="0.2">
      <c r="A1489" s="1" t="s">
        <v>34</v>
      </c>
      <c r="B1489" s="2" t="s">
        <v>121</v>
      </c>
      <c r="C1489" s="1"/>
      <c r="D1489" s="5" t="s">
        <v>464</v>
      </c>
      <c r="G1489" s="57" t="str">
        <f t="shared" si="23"/>
        <v>-</v>
      </c>
      <c r="H1489" s="19" t="s">
        <v>465</v>
      </c>
      <c r="I1489" s="19">
        <v>92500</v>
      </c>
    </row>
    <row r="1490" spans="1:11" x14ac:dyDescent="0.2">
      <c r="A1490" s="1" t="s">
        <v>34</v>
      </c>
      <c r="B1490" s="2" t="s">
        <v>121</v>
      </c>
      <c r="C1490" s="1"/>
      <c r="D1490" s="5" t="s">
        <v>464</v>
      </c>
      <c r="G1490" s="57" t="str">
        <f t="shared" si="23"/>
        <v>-</v>
      </c>
      <c r="H1490" s="19" t="s">
        <v>465</v>
      </c>
      <c r="I1490" s="19">
        <v>92500</v>
      </c>
    </row>
    <row r="1491" spans="1:11" x14ac:dyDescent="0.2">
      <c r="A1491" s="1" t="s">
        <v>34</v>
      </c>
      <c r="B1491" s="2" t="s">
        <v>121</v>
      </c>
      <c r="C1491" s="1"/>
      <c r="D1491" s="5" t="s">
        <v>464</v>
      </c>
      <c r="G1491" s="57" t="str">
        <f t="shared" si="23"/>
        <v>-</v>
      </c>
      <c r="H1491" s="19" t="s">
        <v>465</v>
      </c>
      <c r="I1491" s="19">
        <v>92500</v>
      </c>
    </row>
    <row r="1492" spans="1:11" x14ac:dyDescent="0.2">
      <c r="A1492" s="1" t="s">
        <v>34</v>
      </c>
      <c r="B1492" s="2" t="s">
        <v>121</v>
      </c>
      <c r="C1492" s="1"/>
      <c r="D1492" s="5" t="s">
        <v>464</v>
      </c>
      <c r="G1492" s="57" t="str">
        <f t="shared" si="23"/>
        <v>-</v>
      </c>
      <c r="H1492" s="19" t="s">
        <v>465</v>
      </c>
      <c r="I1492" s="19">
        <v>92500</v>
      </c>
    </row>
    <row r="1493" spans="1:11" x14ac:dyDescent="0.2">
      <c r="A1493" s="1" t="s">
        <v>34</v>
      </c>
      <c r="B1493" s="2" t="s">
        <v>121</v>
      </c>
      <c r="C1493" s="1"/>
      <c r="D1493" s="5" t="s">
        <v>464</v>
      </c>
      <c r="G1493" s="57" t="str">
        <f t="shared" si="23"/>
        <v>-</v>
      </c>
      <c r="H1493" s="19" t="s">
        <v>465</v>
      </c>
      <c r="I1493" s="19">
        <v>97500</v>
      </c>
    </row>
    <row r="1494" spans="1:11" x14ac:dyDescent="0.2">
      <c r="A1494" s="1" t="s">
        <v>34</v>
      </c>
      <c r="B1494" s="2" t="s">
        <v>121</v>
      </c>
      <c r="C1494" s="1"/>
      <c r="D1494" s="5" t="s">
        <v>464</v>
      </c>
      <c r="G1494" s="57" t="str">
        <f t="shared" si="23"/>
        <v>-</v>
      </c>
      <c r="H1494" s="19" t="s">
        <v>465</v>
      </c>
      <c r="I1494" s="19">
        <v>97500</v>
      </c>
    </row>
    <row r="1495" spans="1:11" x14ac:dyDescent="0.2">
      <c r="A1495" s="1" t="s">
        <v>34</v>
      </c>
      <c r="B1495" s="2" t="s">
        <v>121</v>
      </c>
      <c r="C1495" s="1"/>
      <c r="D1495" s="5" t="s">
        <v>464</v>
      </c>
      <c r="G1495" s="57" t="str">
        <f t="shared" si="23"/>
        <v>-</v>
      </c>
      <c r="H1495" s="19" t="s">
        <v>465</v>
      </c>
      <c r="I1495" s="19">
        <v>97500</v>
      </c>
    </row>
    <row r="1496" spans="1:11" x14ac:dyDescent="0.2">
      <c r="A1496" s="1" t="s">
        <v>34</v>
      </c>
      <c r="B1496" s="2" t="s">
        <v>121</v>
      </c>
      <c r="C1496" s="1"/>
      <c r="D1496" s="5" t="s">
        <v>464</v>
      </c>
      <c r="G1496" s="57" t="str">
        <f t="shared" si="23"/>
        <v>-</v>
      </c>
      <c r="H1496" s="19" t="s">
        <v>465</v>
      </c>
      <c r="I1496" s="19">
        <v>97500</v>
      </c>
    </row>
    <row r="1497" spans="1:11" x14ac:dyDescent="0.2">
      <c r="A1497" s="1" t="s">
        <v>34</v>
      </c>
      <c r="B1497" s="2" t="s">
        <v>121</v>
      </c>
      <c r="C1497" s="1"/>
      <c r="D1497" s="5" t="s">
        <v>464</v>
      </c>
      <c r="E1497" s="4"/>
      <c r="G1497" s="57" t="str">
        <f t="shared" si="23"/>
        <v>-</v>
      </c>
      <c r="H1497" s="19" t="s">
        <v>465</v>
      </c>
      <c r="I1497" s="19">
        <v>97500</v>
      </c>
    </row>
    <row r="1498" spans="1:11" x14ac:dyDescent="0.2">
      <c r="A1498" s="1" t="s">
        <v>34</v>
      </c>
      <c r="B1498" s="2" t="s">
        <v>121</v>
      </c>
      <c r="C1498" s="1"/>
      <c r="D1498" s="5" t="s">
        <v>464</v>
      </c>
      <c r="E1498" s="3" t="s">
        <v>465</v>
      </c>
      <c r="F1498" s="3">
        <v>100000</v>
      </c>
      <c r="G1498" s="57" t="str">
        <f t="shared" si="23"/>
        <v>-</v>
      </c>
    </row>
    <row r="1499" spans="1:11" x14ac:dyDescent="0.2">
      <c r="A1499" s="1" t="s">
        <v>34</v>
      </c>
      <c r="B1499" s="2" t="s">
        <v>121</v>
      </c>
      <c r="C1499" s="1"/>
      <c r="D1499" s="5" t="s">
        <v>464</v>
      </c>
      <c r="E1499" s="3" t="s">
        <v>465</v>
      </c>
      <c r="F1499" s="3">
        <v>100000</v>
      </c>
      <c r="G1499" s="57" t="str">
        <f t="shared" si="23"/>
        <v>-</v>
      </c>
    </row>
    <row r="1500" spans="1:11" x14ac:dyDescent="0.2">
      <c r="A1500" s="1" t="s">
        <v>34</v>
      </c>
      <c r="B1500" s="2" t="s">
        <v>121</v>
      </c>
      <c r="C1500" s="1"/>
      <c r="D1500" s="5" t="s">
        <v>464</v>
      </c>
      <c r="E1500" s="3">
        <v>100000</v>
      </c>
      <c r="F1500" s="3" t="s">
        <v>465</v>
      </c>
      <c r="G1500" s="57" t="str">
        <f t="shared" si="23"/>
        <v>-</v>
      </c>
    </row>
    <row r="1501" spans="1:11" ht="38.25" x14ac:dyDescent="0.2">
      <c r="A1501" s="1" t="s">
        <v>4</v>
      </c>
      <c r="B1501" s="2" t="s">
        <v>122</v>
      </c>
      <c r="C1501" s="1"/>
      <c r="D1501" s="5" t="s">
        <v>450</v>
      </c>
      <c r="E1501" s="3">
        <v>136000</v>
      </c>
      <c r="F1501" s="3">
        <v>141000</v>
      </c>
      <c r="G1501" s="57">
        <f t="shared" si="23"/>
        <v>3.6764705882352942E-2</v>
      </c>
      <c r="J1501" s="5" t="s">
        <v>3926</v>
      </c>
    </row>
    <row r="1502" spans="1:11" x14ac:dyDescent="0.2">
      <c r="A1502" s="1" t="s">
        <v>4</v>
      </c>
      <c r="B1502" s="2" t="s">
        <v>122</v>
      </c>
      <c r="C1502" s="1"/>
      <c r="D1502" s="5" t="s">
        <v>464</v>
      </c>
      <c r="E1502" s="3">
        <v>107500</v>
      </c>
      <c r="F1502" s="3" t="s">
        <v>465</v>
      </c>
      <c r="G1502" s="57" t="str">
        <f t="shared" si="23"/>
        <v>-</v>
      </c>
      <c r="J1502" s="5" t="s">
        <v>1241</v>
      </c>
    </row>
    <row r="1503" spans="1:11" ht="25.5" x14ac:dyDescent="0.2">
      <c r="A1503" s="1" t="s">
        <v>11</v>
      </c>
      <c r="B1503" s="2" t="s">
        <v>123</v>
      </c>
      <c r="C1503" s="29" t="s">
        <v>2697</v>
      </c>
      <c r="D1503" s="31"/>
      <c r="G1503" s="57" t="str">
        <f t="shared" si="23"/>
        <v>-</v>
      </c>
      <c r="K1503" s="1" t="s">
        <v>465</v>
      </c>
    </row>
    <row r="1504" spans="1:11" ht="38.25" x14ac:dyDescent="0.2">
      <c r="A1504" s="1" t="s">
        <v>39</v>
      </c>
      <c r="B1504" s="2" t="s">
        <v>124</v>
      </c>
      <c r="C1504" s="1" t="s">
        <v>2134</v>
      </c>
      <c r="D1504" s="5" t="s">
        <v>450</v>
      </c>
      <c r="E1504" s="3">
        <v>181000</v>
      </c>
      <c r="F1504" s="3">
        <v>181000</v>
      </c>
      <c r="G1504" s="57">
        <f t="shared" si="23"/>
        <v>0</v>
      </c>
      <c r="J1504" s="5" t="s">
        <v>4287</v>
      </c>
    </row>
    <row r="1505" spans="1:10" ht="25.5" x14ac:dyDescent="0.2">
      <c r="A1505" s="1" t="s">
        <v>39</v>
      </c>
      <c r="B1505" s="2" t="s">
        <v>124</v>
      </c>
      <c r="C1505" s="1"/>
      <c r="D1505" s="5" t="s">
        <v>854</v>
      </c>
      <c r="E1505" s="3">
        <v>148000</v>
      </c>
      <c r="F1505" s="3">
        <v>119000</v>
      </c>
      <c r="G1505" s="57">
        <f t="shared" si="23"/>
        <v>-0.19594594594594594</v>
      </c>
      <c r="J1505" s="5" t="s">
        <v>3927</v>
      </c>
    </row>
    <row r="1506" spans="1:10" ht="51" x14ac:dyDescent="0.2">
      <c r="A1506" s="1" t="s">
        <v>39</v>
      </c>
      <c r="B1506" s="2" t="s">
        <v>124</v>
      </c>
      <c r="C1506" s="1"/>
      <c r="D1506" s="5" t="s">
        <v>2135</v>
      </c>
      <c r="E1506" s="3">
        <v>127000</v>
      </c>
      <c r="F1506" s="3">
        <v>102000</v>
      </c>
      <c r="G1506" s="57">
        <f t="shared" si="23"/>
        <v>-0.19685039370078741</v>
      </c>
      <c r="J1506" s="5" t="s">
        <v>4288</v>
      </c>
    </row>
    <row r="1507" spans="1:10" ht="25.5" x14ac:dyDescent="0.2">
      <c r="A1507" s="1" t="s">
        <v>39</v>
      </c>
      <c r="B1507" s="2" t="s">
        <v>124</v>
      </c>
      <c r="C1507" s="1"/>
      <c r="D1507" s="5" t="s">
        <v>2136</v>
      </c>
      <c r="E1507" s="3">
        <v>119000</v>
      </c>
      <c r="F1507" s="3">
        <v>118000</v>
      </c>
      <c r="G1507" s="57">
        <f t="shared" si="23"/>
        <v>-8.4033613445378148E-3</v>
      </c>
      <c r="J1507" s="5" t="s">
        <v>3928</v>
      </c>
    </row>
    <row r="1508" spans="1:10" x14ac:dyDescent="0.2">
      <c r="A1508" s="1" t="s">
        <v>39</v>
      </c>
      <c r="B1508" s="2" t="s">
        <v>124</v>
      </c>
      <c r="C1508" s="1"/>
      <c r="D1508" s="5" t="s">
        <v>3929</v>
      </c>
      <c r="E1508" s="3">
        <v>119000</v>
      </c>
      <c r="F1508" s="3">
        <v>60000</v>
      </c>
      <c r="G1508" s="57">
        <f t="shared" si="23"/>
        <v>-0.49579831932773111</v>
      </c>
      <c r="J1508" s="5" t="s">
        <v>4622</v>
      </c>
    </row>
    <row r="1509" spans="1:10" x14ac:dyDescent="0.2">
      <c r="A1509" s="1" t="s">
        <v>39</v>
      </c>
      <c r="B1509" s="2" t="s">
        <v>124</v>
      </c>
      <c r="C1509" s="1"/>
      <c r="D1509" s="5" t="s">
        <v>464</v>
      </c>
      <c r="G1509" s="57" t="str">
        <f t="shared" si="23"/>
        <v>-</v>
      </c>
      <c r="H1509" s="19">
        <v>92500</v>
      </c>
      <c r="I1509" s="19" t="s">
        <v>465</v>
      </c>
    </row>
    <row r="1510" spans="1:10" x14ac:dyDescent="0.2">
      <c r="A1510" s="1" t="s">
        <v>39</v>
      </c>
      <c r="B1510" s="2" t="s">
        <v>124</v>
      </c>
      <c r="C1510" s="1"/>
      <c r="D1510" s="5" t="s">
        <v>464</v>
      </c>
      <c r="G1510" s="57" t="str">
        <f t="shared" si="23"/>
        <v>-</v>
      </c>
      <c r="H1510" s="19">
        <v>92500</v>
      </c>
      <c r="I1510" s="19" t="s">
        <v>465</v>
      </c>
    </row>
    <row r="1511" spans="1:10" x14ac:dyDescent="0.2">
      <c r="A1511" s="1" t="s">
        <v>39</v>
      </c>
      <c r="B1511" s="2" t="s">
        <v>124</v>
      </c>
      <c r="C1511" s="1"/>
      <c r="D1511" s="5" t="s">
        <v>464</v>
      </c>
      <c r="G1511" s="57" t="str">
        <f t="shared" si="23"/>
        <v>-</v>
      </c>
      <c r="H1511" s="19">
        <v>92500</v>
      </c>
      <c r="I1511" s="19" t="s">
        <v>465</v>
      </c>
    </row>
    <row r="1512" spans="1:10" x14ac:dyDescent="0.2">
      <c r="A1512" s="1" t="s">
        <v>39</v>
      </c>
      <c r="B1512" s="2" t="s">
        <v>124</v>
      </c>
      <c r="C1512" s="1"/>
      <c r="D1512" s="5" t="s">
        <v>464</v>
      </c>
      <c r="G1512" s="57" t="str">
        <f t="shared" si="23"/>
        <v>-</v>
      </c>
      <c r="H1512" s="19">
        <v>92500</v>
      </c>
      <c r="I1512" s="19" t="s">
        <v>465</v>
      </c>
    </row>
    <row r="1513" spans="1:10" x14ac:dyDescent="0.2">
      <c r="A1513" s="1" t="s">
        <v>39</v>
      </c>
      <c r="B1513" s="2" t="s">
        <v>124</v>
      </c>
      <c r="C1513" s="1"/>
      <c r="D1513" s="5" t="s">
        <v>464</v>
      </c>
      <c r="G1513" s="57" t="str">
        <f t="shared" si="23"/>
        <v>-</v>
      </c>
      <c r="H1513" s="19">
        <v>92500</v>
      </c>
      <c r="I1513" s="19" t="s">
        <v>465</v>
      </c>
    </row>
    <row r="1514" spans="1:10" x14ac:dyDescent="0.2">
      <c r="A1514" s="1" t="s">
        <v>39</v>
      </c>
      <c r="B1514" s="2" t="s">
        <v>124</v>
      </c>
      <c r="C1514" s="1"/>
      <c r="D1514" s="5" t="s">
        <v>464</v>
      </c>
      <c r="G1514" s="57" t="str">
        <f t="shared" si="23"/>
        <v>-</v>
      </c>
      <c r="H1514" s="19">
        <v>97500</v>
      </c>
      <c r="I1514" s="19" t="s">
        <v>465</v>
      </c>
    </row>
    <row r="1515" spans="1:10" x14ac:dyDescent="0.2">
      <c r="A1515" s="1" t="s">
        <v>39</v>
      </c>
      <c r="B1515" s="2" t="s">
        <v>124</v>
      </c>
      <c r="C1515" s="1"/>
      <c r="D1515" s="5" t="s">
        <v>464</v>
      </c>
      <c r="G1515" s="57" t="str">
        <f t="shared" si="23"/>
        <v>-</v>
      </c>
      <c r="H1515" s="19">
        <v>97500</v>
      </c>
      <c r="I1515" s="19" t="s">
        <v>465</v>
      </c>
    </row>
    <row r="1516" spans="1:10" x14ac:dyDescent="0.2">
      <c r="A1516" s="1" t="s">
        <v>39</v>
      </c>
      <c r="B1516" s="2" t="s">
        <v>124</v>
      </c>
      <c r="C1516" s="1"/>
      <c r="D1516" s="5" t="s">
        <v>464</v>
      </c>
      <c r="G1516" s="57" t="str">
        <f t="shared" si="23"/>
        <v>-</v>
      </c>
      <c r="H1516" s="19" t="s">
        <v>465</v>
      </c>
      <c r="I1516" s="19">
        <v>92500</v>
      </c>
    </row>
    <row r="1517" spans="1:10" x14ac:dyDescent="0.2">
      <c r="A1517" s="1" t="s">
        <v>39</v>
      </c>
      <c r="B1517" s="2" t="s">
        <v>124</v>
      </c>
      <c r="C1517" s="1"/>
      <c r="D1517" s="5" t="s">
        <v>464</v>
      </c>
      <c r="G1517" s="57" t="str">
        <f t="shared" si="23"/>
        <v>-</v>
      </c>
      <c r="H1517" s="19" t="s">
        <v>465</v>
      </c>
      <c r="I1517" s="19">
        <v>92500</v>
      </c>
    </row>
    <row r="1518" spans="1:10" x14ac:dyDescent="0.2">
      <c r="A1518" s="1" t="s">
        <v>39</v>
      </c>
      <c r="B1518" s="2" t="s">
        <v>124</v>
      </c>
      <c r="C1518" s="1"/>
      <c r="D1518" s="5" t="s">
        <v>464</v>
      </c>
      <c r="G1518" s="57" t="str">
        <f t="shared" si="23"/>
        <v>-</v>
      </c>
      <c r="H1518" s="19" t="s">
        <v>465</v>
      </c>
      <c r="I1518" s="19">
        <v>92500</v>
      </c>
    </row>
    <row r="1519" spans="1:10" x14ac:dyDescent="0.2">
      <c r="A1519" s="1" t="s">
        <v>39</v>
      </c>
      <c r="B1519" s="2" t="s">
        <v>124</v>
      </c>
      <c r="C1519" s="1"/>
      <c r="D1519" s="5" t="s">
        <v>464</v>
      </c>
      <c r="G1519" s="57" t="str">
        <f t="shared" si="23"/>
        <v>-</v>
      </c>
      <c r="H1519" s="19" t="s">
        <v>465</v>
      </c>
      <c r="I1519" s="19">
        <v>92500</v>
      </c>
    </row>
    <row r="1520" spans="1:10" x14ac:dyDescent="0.2">
      <c r="A1520" s="1" t="s">
        <v>39</v>
      </c>
      <c r="B1520" s="2" t="s">
        <v>124</v>
      </c>
      <c r="C1520" s="1"/>
      <c r="D1520" s="5" t="s">
        <v>464</v>
      </c>
      <c r="G1520" s="57" t="str">
        <f t="shared" si="23"/>
        <v>-</v>
      </c>
      <c r="H1520" s="19" t="s">
        <v>465</v>
      </c>
      <c r="I1520" s="19">
        <v>92500</v>
      </c>
    </row>
    <row r="1521" spans="1:10" x14ac:dyDescent="0.2">
      <c r="A1521" s="1" t="s">
        <v>39</v>
      </c>
      <c r="B1521" s="2" t="s">
        <v>124</v>
      </c>
      <c r="C1521" s="1"/>
      <c r="D1521" s="5" t="s">
        <v>464</v>
      </c>
      <c r="G1521" s="57" t="str">
        <f t="shared" si="23"/>
        <v>-</v>
      </c>
      <c r="H1521" s="19" t="s">
        <v>465</v>
      </c>
      <c r="I1521" s="19">
        <v>97500</v>
      </c>
    </row>
    <row r="1522" spans="1:10" x14ac:dyDescent="0.2">
      <c r="A1522" s="1" t="s">
        <v>39</v>
      </c>
      <c r="B1522" s="2" t="s">
        <v>124</v>
      </c>
      <c r="C1522" s="1"/>
      <c r="D1522" s="5" t="s">
        <v>464</v>
      </c>
      <c r="G1522" s="57" t="str">
        <f t="shared" si="23"/>
        <v>-</v>
      </c>
      <c r="H1522" s="19" t="s">
        <v>465</v>
      </c>
      <c r="I1522" s="19">
        <v>97500</v>
      </c>
    </row>
    <row r="1523" spans="1:10" x14ac:dyDescent="0.2">
      <c r="A1523" s="1" t="s">
        <v>39</v>
      </c>
      <c r="B1523" s="2" t="s">
        <v>124</v>
      </c>
      <c r="C1523" s="1"/>
      <c r="D1523" s="5" t="s">
        <v>464</v>
      </c>
      <c r="E1523" s="3">
        <v>102500</v>
      </c>
      <c r="F1523" s="3" t="s">
        <v>465</v>
      </c>
      <c r="G1523" s="57" t="str">
        <f t="shared" si="23"/>
        <v>-</v>
      </c>
    </row>
    <row r="1524" spans="1:10" x14ac:dyDescent="0.2">
      <c r="A1524" s="1" t="s">
        <v>39</v>
      </c>
      <c r="B1524" s="2" t="s">
        <v>124</v>
      </c>
      <c r="C1524" s="1"/>
      <c r="D1524" s="5" t="s">
        <v>464</v>
      </c>
      <c r="E1524" s="3">
        <v>107500</v>
      </c>
      <c r="F1524" s="3" t="s">
        <v>465</v>
      </c>
      <c r="G1524" s="57" t="str">
        <f t="shared" si="23"/>
        <v>-</v>
      </c>
    </row>
    <row r="1525" spans="1:10" x14ac:dyDescent="0.2">
      <c r="A1525" s="1" t="s">
        <v>39</v>
      </c>
      <c r="B1525" s="2" t="s">
        <v>124</v>
      </c>
      <c r="C1525" s="1"/>
      <c r="D1525" s="5" t="s">
        <v>464</v>
      </c>
      <c r="E1525" s="3">
        <v>147500</v>
      </c>
      <c r="F1525" s="3" t="s">
        <v>465</v>
      </c>
      <c r="G1525" s="57" t="str">
        <f t="shared" si="23"/>
        <v>-</v>
      </c>
    </row>
    <row r="1526" spans="1:10" x14ac:dyDescent="0.2">
      <c r="A1526" s="1" t="s">
        <v>39</v>
      </c>
      <c r="B1526" s="2" t="s">
        <v>124</v>
      </c>
      <c r="C1526" s="1"/>
      <c r="D1526" s="5" t="s">
        <v>464</v>
      </c>
      <c r="E1526" s="3" t="s">
        <v>465</v>
      </c>
      <c r="F1526" s="3">
        <v>102500</v>
      </c>
      <c r="G1526" s="57" t="str">
        <f t="shared" si="23"/>
        <v>-</v>
      </c>
    </row>
    <row r="1527" spans="1:10" x14ac:dyDescent="0.2">
      <c r="A1527" s="1" t="s">
        <v>39</v>
      </c>
      <c r="B1527" s="2" t="s">
        <v>124</v>
      </c>
      <c r="C1527" s="1"/>
      <c r="D1527" s="5" t="s">
        <v>464</v>
      </c>
      <c r="E1527" s="3" t="s">
        <v>465</v>
      </c>
      <c r="F1527" s="3">
        <v>102500</v>
      </c>
      <c r="G1527" s="57" t="str">
        <f t="shared" si="23"/>
        <v>-</v>
      </c>
    </row>
    <row r="1528" spans="1:10" x14ac:dyDescent="0.2">
      <c r="A1528" s="1" t="s">
        <v>39</v>
      </c>
      <c r="B1528" s="2" t="s">
        <v>124</v>
      </c>
      <c r="C1528" s="1"/>
      <c r="D1528" s="5" t="s">
        <v>464</v>
      </c>
      <c r="E1528" s="3" t="s">
        <v>465</v>
      </c>
      <c r="F1528" s="3">
        <v>107500</v>
      </c>
      <c r="G1528" s="57" t="str">
        <f t="shared" si="23"/>
        <v>-</v>
      </c>
    </row>
    <row r="1529" spans="1:10" x14ac:dyDescent="0.2">
      <c r="A1529" s="1" t="s">
        <v>39</v>
      </c>
      <c r="B1529" s="2" t="s">
        <v>124</v>
      </c>
      <c r="C1529" s="1"/>
      <c r="D1529" s="5" t="s">
        <v>464</v>
      </c>
      <c r="E1529" s="3" t="s">
        <v>465</v>
      </c>
      <c r="F1529" s="3">
        <v>107500</v>
      </c>
      <c r="G1529" s="57" t="str">
        <f t="shared" si="23"/>
        <v>-</v>
      </c>
    </row>
    <row r="1530" spans="1:10" x14ac:dyDescent="0.2">
      <c r="A1530" s="1" t="s">
        <v>39</v>
      </c>
      <c r="B1530" s="2" t="s">
        <v>124</v>
      </c>
      <c r="C1530" s="1"/>
      <c r="D1530" s="5" t="s">
        <v>464</v>
      </c>
      <c r="E1530" s="3" t="s">
        <v>465</v>
      </c>
      <c r="F1530" s="3">
        <v>127500</v>
      </c>
      <c r="G1530" s="57" t="str">
        <f t="shared" si="23"/>
        <v>-</v>
      </c>
    </row>
    <row r="1531" spans="1:10" ht="25.5" x14ac:dyDescent="0.2">
      <c r="A1531" s="1" t="s">
        <v>1</v>
      </c>
      <c r="B1531" s="2" t="s">
        <v>125</v>
      </c>
      <c r="C1531" s="1" t="s">
        <v>2115</v>
      </c>
      <c r="D1531" s="5" t="s">
        <v>450</v>
      </c>
      <c r="E1531" s="3">
        <f>87899+17353</f>
        <v>105252</v>
      </c>
      <c r="F1531" s="3">
        <f>129361+26498</f>
        <v>155859</v>
      </c>
      <c r="G1531" s="57">
        <f t="shared" si="23"/>
        <v>0.48081746665146508</v>
      </c>
      <c r="J1531" s="5" t="s">
        <v>4623</v>
      </c>
    </row>
    <row r="1532" spans="1:10" ht="25.5" x14ac:dyDescent="0.2">
      <c r="A1532" s="1" t="s">
        <v>1</v>
      </c>
      <c r="B1532" s="2" t="s">
        <v>125</v>
      </c>
      <c r="C1532" s="1" t="s">
        <v>2116</v>
      </c>
      <c r="D1532" s="5" t="s">
        <v>2117</v>
      </c>
      <c r="E1532" s="3">
        <f>85429+16408</f>
        <v>101837</v>
      </c>
      <c r="F1532" s="3">
        <f>105779+18613</f>
        <v>124392</v>
      </c>
      <c r="G1532" s="57">
        <f t="shared" si="23"/>
        <v>0.22148138692223848</v>
      </c>
      <c r="J1532" s="5" t="s">
        <v>4624</v>
      </c>
    </row>
    <row r="1533" spans="1:10" ht="25.5" x14ac:dyDescent="0.2">
      <c r="A1533" s="1" t="s">
        <v>1</v>
      </c>
      <c r="B1533" s="2" t="s">
        <v>125</v>
      </c>
      <c r="C1533" s="1" t="s">
        <v>2118</v>
      </c>
      <c r="D1533" s="5" t="s">
        <v>2119</v>
      </c>
      <c r="E1533" s="3">
        <f>90503+18121</f>
        <v>108624</v>
      </c>
      <c r="F1533" s="3">
        <f>156440+19694</f>
        <v>176134</v>
      </c>
      <c r="G1533" s="57">
        <f t="shared" si="23"/>
        <v>0.62150169391662979</v>
      </c>
      <c r="J1533" s="5" t="s">
        <v>3930</v>
      </c>
    </row>
    <row r="1534" spans="1:10" ht="25.5" x14ac:dyDescent="0.2">
      <c r="A1534" s="1" t="s">
        <v>1</v>
      </c>
      <c r="B1534" s="2" t="s">
        <v>125</v>
      </c>
      <c r="C1534" s="1" t="s">
        <v>2120</v>
      </c>
      <c r="D1534" s="5" t="s">
        <v>2121</v>
      </c>
      <c r="E1534" s="3">
        <f>81660+16236</f>
        <v>97896</v>
      </c>
      <c r="F1534" s="3">
        <f>89100+18257</f>
        <v>107357</v>
      </c>
      <c r="G1534" s="57">
        <f t="shared" si="23"/>
        <v>9.664337664460243E-2</v>
      </c>
      <c r="J1534" s="5" t="s">
        <v>3931</v>
      </c>
    </row>
    <row r="1535" spans="1:10" ht="25.5" x14ac:dyDescent="0.2">
      <c r="A1535" s="1" t="s">
        <v>1</v>
      </c>
      <c r="B1535" s="2" t="s">
        <v>125</v>
      </c>
      <c r="C1535" s="1" t="s">
        <v>2122</v>
      </c>
      <c r="D1535" s="5" t="s">
        <v>2123</v>
      </c>
      <c r="E1535" s="3">
        <f>96291+18967</f>
        <v>115258</v>
      </c>
      <c r="F1535" s="3">
        <f>98924+20008</f>
        <v>118932</v>
      </c>
      <c r="G1535" s="57">
        <f t="shared" si="23"/>
        <v>3.1876312273334609E-2</v>
      </c>
      <c r="J1535" s="5" t="s">
        <v>3932</v>
      </c>
    </row>
    <row r="1536" spans="1:10" ht="25.5" x14ac:dyDescent="0.2">
      <c r="A1536" s="1" t="s">
        <v>1</v>
      </c>
      <c r="B1536" s="2" t="s">
        <v>125</v>
      </c>
      <c r="C1536" s="1" t="s">
        <v>2124</v>
      </c>
      <c r="D1536" s="5" t="s">
        <v>2125</v>
      </c>
      <c r="E1536" s="3">
        <f>96587+18967</f>
        <v>115554</v>
      </c>
      <c r="F1536" s="3">
        <f>99101+20008</f>
        <v>119109</v>
      </c>
      <c r="G1536" s="57">
        <f t="shared" si="23"/>
        <v>3.0764837218962563E-2</v>
      </c>
      <c r="J1536" s="5" t="s">
        <v>3933</v>
      </c>
    </row>
    <row r="1537" spans="1:10" ht="38.25" x14ac:dyDescent="0.2">
      <c r="A1537" s="1" t="s">
        <v>1</v>
      </c>
      <c r="B1537" s="2" t="s">
        <v>125</v>
      </c>
      <c r="C1537" s="1" t="s">
        <v>2126</v>
      </c>
      <c r="D1537" s="5" t="s">
        <v>2127</v>
      </c>
      <c r="E1537" s="3">
        <f>86161+16985</f>
        <v>103146</v>
      </c>
      <c r="F1537" s="3">
        <f>89092+1924+62986+18283</f>
        <v>172285</v>
      </c>
      <c r="G1537" s="57">
        <f t="shared" si="23"/>
        <v>0.67030228995792374</v>
      </c>
      <c r="J1537" s="5" t="s">
        <v>4289</v>
      </c>
    </row>
    <row r="1538" spans="1:10" ht="25.5" x14ac:dyDescent="0.2">
      <c r="A1538" s="1" t="s">
        <v>1</v>
      </c>
      <c r="B1538" s="2" t="s">
        <v>125</v>
      </c>
      <c r="C1538" s="1" t="s">
        <v>2128</v>
      </c>
      <c r="D1538" s="5" t="s">
        <v>2129</v>
      </c>
      <c r="E1538" s="3">
        <f>85961+16992</f>
        <v>102953</v>
      </c>
      <c r="F1538" s="3">
        <f>88965+822+18257</f>
        <v>108044</v>
      </c>
      <c r="G1538" s="57">
        <f t="shared" si="23"/>
        <v>4.944974891455324E-2</v>
      </c>
      <c r="J1538" s="5" t="s">
        <v>3934</v>
      </c>
    </row>
    <row r="1539" spans="1:10" ht="38.25" x14ac:dyDescent="0.2">
      <c r="A1539" s="1" t="s">
        <v>1</v>
      </c>
      <c r="B1539" s="2" t="s">
        <v>125</v>
      </c>
      <c r="C1539" s="1" t="s">
        <v>2130</v>
      </c>
      <c r="D1539" s="5" t="s">
        <v>2131</v>
      </c>
      <c r="E1539" s="3">
        <f>98194+19426</f>
        <v>117620</v>
      </c>
      <c r="F1539" s="3">
        <f>99684+1012+65500+20457</f>
        <v>186653</v>
      </c>
      <c r="G1539" s="57">
        <f t="shared" ref="G1539:G1602" si="24">IF(ISERROR((F1539-E1539)/E1539),"-",(F1539-E1539)/E1539)</f>
        <v>0.58691549056282943</v>
      </c>
      <c r="J1539" s="5" t="s">
        <v>4290</v>
      </c>
    </row>
    <row r="1540" spans="1:10" ht="25.5" x14ac:dyDescent="0.2">
      <c r="A1540" s="1" t="s">
        <v>1</v>
      </c>
      <c r="B1540" s="2" t="s">
        <v>125</v>
      </c>
      <c r="C1540" s="1" t="s">
        <v>2132</v>
      </c>
      <c r="D1540" s="5" t="s">
        <v>2133</v>
      </c>
      <c r="E1540" s="3">
        <v>84041</v>
      </c>
      <c r="F1540" s="3">
        <f>92066+1846+1710+21470</f>
        <v>117092</v>
      </c>
      <c r="G1540" s="57">
        <f t="shared" si="24"/>
        <v>0.39327233136207329</v>
      </c>
      <c r="J1540" s="5" t="s">
        <v>3935</v>
      </c>
    </row>
    <row r="1541" spans="1:10" ht="25.5" x14ac:dyDescent="0.2">
      <c r="A1541" s="1" t="s">
        <v>1</v>
      </c>
      <c r="B1541" s="2" t="s">
        <v>125</v>
      </c>
      <c r="C1541" s="1" t="s">
        <v>3936</v>
      </c>
      <c r="D1541" s="5" t="s">
        <v>604</v>
      </c>
      <c r="E1541" s="3">
        <v>105763</v>
      </c>
      <c r="F1541" s="3">
        <f>115592+27236</f>
        <v>142828</v>
      </c>
      <c r="G1541" s="57">
        <f t="shared" si="24"/>
        <v>0.35045337216228739</v>
      </c>
      <c r="J1541" s="5" t="s">
        <v>3937</v>
      </c>
    </row>
    <row r="1542" spans="1:10" x14ac:dyDescent="0.2">
      <c r="A1542" s="1" t="s">
        <v>1</v>
      </c>
      <c r="B1542" s="2" t="s">
        <v>125</v>
      </c>
      <c r="C1542" s="1"/>
      <c r="D1542" s="5" t="s">
        <v>464</v>
      </c>
      <c r="G1542" s="57" t="str">
        <f t="shared" si="24"/>
        <v>-</v>
      </c>
      <c r="H1542" s="19" t="s">
        <v>465</v>
      </c>
      <c r="I1542" s="19">
        <v>92500</v>
      </c>
    </row>
    <row r="1543" spans="1:10" x14ac:dyDescent="0.2">
      <c r="A1543" s="1" t="s">
        <v>1</v>
      </c>
      <c r="B1543" s="2" t="s">
        <v>125</v>
      </c>
      <c r="C1543" s="1"/>
      <c r="D1543" s="5" t="s">
        <v>464</v>
      </c>
      <c r="G1543" s="57" t="str">
        <f t="shared" si="24"/>
        <v>-</v>
      </c>
      <c r="H1543" s="19" t="s">
        <v>465</v>
      </c>
      <c r="I1543" s="19">
        <v>92500</v>
      </c>
    </row>
    <row r="1544" spans="1:10" x14ac:dyDescent="0.2">
      <c r="A1544" s="1" t="s">
        <v>1</v>
      </c>
      <c r="B1544" s="2" t="s">
        <v>125</v>
      </c>
      <c r="C1544" s="1"/>
      <c r="D1544" s="5" t="s">
        <v>464</v>
      </c>
      <c r="G1544" s="57" t="str">
        <f t="shared" si="24"/>
        <v>-</v>
      </c>
      <c r="H1544" s="19" t="s">
        <v>465</v>
      </c>
      <c r="I1544" s="19">
        <v>92500</v>
      </c>
    </row>
    <row r="1545" spans="1:10" x14ac:dyDescent="0.2">
      <c r="A1545" s="1" t="s">
        <v>1</v>
      </c>
      <c r="B1545" s="2" t="s">
        <v>125</v>
      </c>
      <c r="C1545" s="1"/>
      <c r="D1545" s="5" t="s">
        <v>464</v>
      </c>
      <c r="G1545" s="57" t="str">
        <f t="shared" si="24"/>
        <v>-</v>
      </c>
      <c r="H1545" s="19" t="s">
        <v>465</v>
      </c>
      <c r="I1545" s="19">
        <v>92500</v>
      </c>
    </row>
    <row r="1546" spans="1:10" x14ac:dyDescent="0.2">
      <c r="A1546" s="1" t="s">
        <v>1</v>
      </c>
      <c r="B1546" s="2" t="s">
        <v>125</v>
      </c>
      <c r="C1546" s="1"/>
      <c r="D1546" s="5" t="s">
        <v>464</v>
      </c>
      <c r="G1546" s="57" t="str">
        <f t="shared" si="24"/>
        <v>-</v>
      </c>
      <c r="H1546" s="19" t="s">
        <v>465</v>
      </c>
      <c r="I1546" s="19">
        <v>97500</v>
      </c>
    </row>
    <row r="1547" spans="1:10" x14ac:dyDescent="0.2">
      <c r="A1547" s="1" t="s">
        <v>1</v>
      </c>
      <c r="B1547" s="2" t="s">
        <v>125</v>
      </c>
      <c r="C1547" s="1"/>
      <c r="D1547" s="5" t="s">
        <v>464</v>
      </c>
      <c r="G1547" s="57" t="str">
        <f t="shared" si="24"/>
        <v>-</v>
      </c>
      <c r="H1547" s="19" t="s">
        <v>465</v>
      </c>
      <c r="I1547" s="19">
        <v>97500</v>
      </c>
    </row>
    <row r="1548" spans="1:10" x14ac:dyDescent="0.2">
      <c r="A1548" s="1" t="s">
        <v>1</v>
      </c>
      <c r="B1548" s="2" t="s">
        <v>125</v>
      </c>
      <c r="C1548" s="1"/>
      <c r="D1548" s="5" t="s">
        <v>464</v>
      </c>
      <c r="E1548" s="3">
        <v>112500</v>
      </c>
      <c r="F1548" s="3" t="s">
        <v>465</v>
      </c>
      <c r="G1548" s="57" t="str">
        <f t="shared" si="24"/>
        <v>-</v>
      </c>
      <c r="H1548" s="19" t="s">
        <v>465</v>
      </c>
      <c r="I1548" s="19">
        <v>97500</v>
      </c>
    </row>
    <row r="1549" spans="1:10" x14ac:dyDescent="0.2">
      <c r="A1549" s="1" t="s">
        <v>1</v>
      </c>
      <c r="B1549" s="2" t="s">
        <v>125</v>
      </c>
      <c r="C1549" s="1"/>
      <c r="D1549" s="5" t="s">
        <v>464</v>
      </c>
      <c r="E1549" s="4"/>
      <c r="F1549" s="4"/>
      <c r="G1549" s="57" t="str">
        <f t="shared" si="24"/>
        <v>-</v>
      </c>
      <c r="H1549" s="19">
        <v>97500</v>
      </c>
      <c r="I1549" s="19" t="s">
        <v>465</v>
      </c>
    </row>
    <row r="1550" spans="1:10" x14ac:dyDescent="0.2">
      <c r="A1550" s="1" t="s">
        <v>1</v>
      </c>
      <c r="B1550" s="2" t="s">
        <v>125</v>
      </c>
      <c r="C1550" s="1"/>
      <c r="D1550" s="5" t="s">
        <v>464</v>
      </c>
      <c r="G1550" s="57" t="str">
        <f t="shared" si="24"/>
        <v>-</v>
      </c>
    </row>
    <row r="1551" spans="1:10" x14ac:dyDescent="0.2">
      <c r="A1551" s="1" t="s">
        <v>1</v>
      </c>
      <c r="B1551" s="2" t="s">
        <v>125</v>
      </c>
      <c r="C1551" s="1"/>
      <c r="D1551" s="5" t="s">
        <v>464</v>
      </c>
      <c r="E1551" s="3" t="s">
        <v>465</v>
      </c>
      <c r="F1551" s="3">
        <v>102500</v>
      </c>
      <c r="G1551" s="57" t="str">
        <f t="shared" si="24"/>
        <v>-</v>
      </c>
    </row>
    <row r="1552" spans="1:10" x14ac:dyDescent="0.2">
      <c r="A1552" s="1" t="s">
        <v>1</v>
      </c>
      <c r="B1552" s="2" t="s">
        <v>125</v>
      </c>
      <c r="C1552" s="1"/>
      <c r="D1552" s="5" t="s">
        <v>464</v>
      </c>
      <c r="E1552" s="3" t="s">
        <v>465</v>
      </c>
      <c r="F1552" s="3">
        <v>102500</v>
      </c>
      <c r="G1552" s="57" t="str">
        <f t="shared" si="24"/>
        <v>-</v>
      </c>
    </row>
    <row r="1553" spans="1:10" x14ac:dyDescent="0.2">
      <c r="A1553" s="1" t="s">
        <v>1</v>
      </c>
      <c r="B1553" s="2" t="s">
        <v>125</v>
      </c>
      <c r="C1553" s="1"/>
      <c r="D1553" s="5" t="s">
        <v>464</v>
      </c>
      <c r="E1553" s="3" t="s">
        <v>465</v>
      </c>
      <c r="F1553" s="3">
        <v>117500</v>
      </c>
      <c r="G1553" s="57" t="str">
        <f t="shared" si="24"/>
        <v>-</v>
      </c>
    </row>
    <row r="1554" spans="1:10" x14ac:dyDescent="0.2">
      <c r="A1554" s="1" t="s">
        <v>1</v>
      </c>
      <c r="B1554" s="2" t="s">
        <v>125</v>
      </c>
      <c r="C1554" s="1"/>
      <c r="D1554" s="5" t="s">
        <v>464</v>
      </c>
      <c r="E1554" s="3" t="s">
        <v>465</v>
      </c>
      <c r="F1554" s="3">
        <v>117500</v>
      </c>
      <c r="G1554" s="57" t="str">
        <f t="shared" si="24"/>
        <v>-</v>
      </c>
    </row>
    <row r="1555" spans="1:10" x14ac:dyDescent="0.2">
      <c r="A1555" s="1" t="s">
        <v>1</v>
      </c>
      <c r="B1555" s="2" t="s">
        <v>125</v>
      </c>
      <c r="C1555" s="1"/>
      <c r="D1555" s="5" t="s">
        <v>464</v>
      </c>
      <c r="E1555" s="3" t="s">
        <v>465</v>
      </c>
      <c r="F1555" s="3">
        <v>117500</v>
      </c>
      <c r="G1555" s="57" t="str">
        <f t="shared" si="24"/>
        <v>-</v>
      </c>
    </row>
    <row r="1556" spans="1:10" ht="38.25" customHeight="1" x14ac:dyDescent="0.2">
      <c r="A1556" s="1" t="s">
        <v>1</v>
      </c>
      <c r="B1556" s="2" t="s">
        <v>126</v>
      </c>
      <c r="C1556" s="1" t="s">
        <v>2106</v>
      </c>
      <c r="D1556" s="5" t="s">
        <v>450</v>
      </c>
      <c r="E1556" s="3">
        <f>118662+21412</f>
        <v>140074</v>
      </c>
      <c r="F1556" s="3">
        <f>141447+25667</f>
        <v>167114</v>
      </c>
      <c r="G1556" s="57">
        <f t="shared" si="24"/>
        <v>0.19304082128018046</v>
      </c>
      <c r="J1556" s="5" t="s">
        <v>4293</v>
      </c>
    </row>
    <row r="1557" spans="1:10" ht="25.5" x14ac:dyDescent="0.2">
      <c r="A1557" s="1" t="s">
        <v>1</v>
      </c>
      <c r="B1557" s="2" t="s">
        <v>126</v>
      </c>
      <c r="C1557" s="1" t="s">
        <v>2107</v>
      </c>
      <c r="D1557" s="5" t="s">
        <v>2108</v>
      </c>
      <c r="E1557" s="3">
        <f>98746+18268</f>
        <v>117014</v>
      </c>
      <c r="F1557" s="3">
        <f>105217+18725</f>
        <v>123942</v>
      </c>
      <c r="G1557" s="57">
        <f t="shared" si="24"/>
        <v>5.9206590664364948E-2</v>
      </c>
      <c r="J1557" s="5" t="s">
        <v>3938</v>
      </c>
    </row>
    <row r="1558" spans="1:10" ht="39.75" customHeight="1" x14ac:dyDescent="0.2">
      <c r="A1558" s="1" t="s">
        <v>1</v>
      </c>
      <c r="B1558" s="2" t="s">
        <v>126</v>
      </c>
      <c r="C1558" s="1" t="s">
        <v>2109</v>
      </c>
      <c r="D1558" s="5" t="s">
        <v>507</v>
      </c>
      <c r="E1558" s="3">
        <f>92697+16713</f>
        <v>109410</v>
      </c>
      <c r="F1558" s="3">
        <f>100808+18090</f>
        <v>118898</v>
      </c>
      <c r="G1558" s="57">
        <f t="shared" si="24"/>
        <v>8.6719678274380776E-2</v>
      </c>
      <c r="J1558" s="5" t="s">
        <v>4292</v>
      </c>
    </row>
    <row r="1559" spans="1:10" ht="25.5" x14ac:dyDescent="0.2">
      <c r="A1559" s="1" t="s">
        <v>1</v>
      </c>
      <c r="B1559" s="2" t="s">
        <v>126</v>
      </c>
      <c r="C1559" s="1" t="s">
        <v>2110</v>
      </c>
      <c r="D1559" s="5" t="s">
        <v>2111</v>
      </c>
      <c r="E1559" s="3">
        <f>100826+18268</f>
        <v>119094</v>
      </c>
      <c r="F1559" s="3">
        <f>101217+18725</f>
        <v>119942</v>
      </c>
      <c r="G1559" s="57">
        <f t="shared" si="24"/>
        <v>7.1204258820763431E-3</v>
      </c>
      <c r="J1559" s="5" t="s">
        <v>3939</v>
      </c>
    </row>
    <row r="1560" spans="1:10" ht="25.5" x14ac:dyDescent="0.2">
      <c r="A1560" s="1" t="s">
        <v>1</v>
      </c>
      <c r="B1560" s="2" t="s">
        <v>126</v>
      </c>
      <c r="C1560" s="1" t="s">
        <v>2112</v>
      </c>
      <c r="D1560" s="5" t="s">
        <v>908</v>
      </c>
      <c r="E1560" s="3">
        <f>98746+18268</f>
        <v>117014</v>
      </c>
      <c r="F1560" s="3">
        <f>101217+18725</f>
        <v>119942</v>
      </c>
      <c r="G1560" s="57">
        <f t="shared" si="24"/>
        <v>2.5022646862768557E-2</v>
      </c>
      <c r="J1560" s="5" t="s">
        <v>3939</v>
      </c>
    </row>
    <row r="1561" spans="1:10" ht="25.5" x14ac:dyDescent="0.2">
      <c r="A1561" s="1" t="s">
        <v>1</v>
      </c>
      <c r="B1561" s="2" t="s">
        <v>126</v>
      </c>
      <c r="C1561" s="1" t="s">
        <v>2113</v>
      </c>
      <c r="D1561" s="5" t="s">
        <v>627</v>
      </c>
      <c r="E1561" s="3">
        <f>90364+16717</f>
        <v>107081</v>
      </c>
      <c r="F1561" s="3">
        <f>92625+17136</f>
        <v>109761</v>
      </c>
      <c r="G1561" s="57">
        <f t="shared" si="24"/>
        <v>2.5027782706549248E-2</v>
      </c>
      <c r="J1561" s="5" t="s">
        <v>3940</v>
      </c>
    </row>
    <row r="1562" spans="1:10" ht="25.5" x14ac:dyDescent="0.2">
      <c r="A1562" s="1" t="s">
        <v>1</v>
      </c>
      <c r="B1562" s="2" t="s">
        <v>126</v>
      </c>
      <c r="C1562" s="1" t="s">
        <v>2114</v>
      </c>
      <c r="D1562" s="5" t="s">
        <v>3274</v>
      </c>
      <c r="E1562" s="3">
        <f>98124+18153</f>
        <v>116277</v>
      </c>
      <c r="F1562" s="3">
        <f>101217+18725</f>
        <v>119942</v>
      </c>
      <c r="G1562" s="57">
        <f t="shared" si="24"/>
        <v>3.1519561048186658E-2</v>
      </c>
      <c r="J1562" s="5" t="s">
        <v>4291</v>
      </c>
    </row>
    <row r="1563" spans="1:10" x14ac:dyDescent="0.2">
      <c r="A1563" s="1" t="s">
        <v>1</v>
      </c>
      <c r="B1563" s="2" t="s">
        <v>126</v>
      </c>
      <c r="C1563" s="1"/>
      <c r="D1563" s="5" t="s">
        <v>464</v>
      </c>
      <c r="E1563" s="3" t="s">
        <v>465</v>
      </c>
      <c r="F1563" s="3">
        <v>112500</v>
      </c>
      <c r="G1563" s="57" t="str">
        <f t="shared" si="24"/>
        <v>-</v>
      </c>
    </row>
    <row r="1564" spans="1:10" x14ac:dyDescent="0.2">
      <c r="A1564" s="1" t="s">
        <v>1</v>
      </c>
      <c r="B1564" s="2" t="s">
        <v>126</v>
      </c>
      <c r="C1564" s="1"/>
      <c r="D1564" s="5" t="s">
        <v>464</v>
      </c>
      <c r="E1564" s="3" t="s">
        <v>465</v>
      </c>
      <c r="F1564" s="3">
        <v>137500</v>
      </c>
      <c r="G1564" s="57" t="str">
        <f t="shared" si="24"/>
        <v>-</v>
      </c>
    </row>
    <row r="1565" spans="1:10" x14ac:dyDescent="0.2">
      <c r="A1565" s="1" t="s">
        <v>1</v>
      </c>
      <c r="B1565" s="2" t="s">
        <v>126</v>
      </c>
      <c r="C1565" s="1"/>
      <c r="D1565" s="5" t="s">
        <v>464</v>
      </c>
      <c r="G1565" s="57" t="str">
        <f t="shared" si="24"/>
        <v>-</v>
      </c>
      <c r="H1565" s="19" t="s">
        <v>465</v>
      </c>
      <c r="I1565" s="19">
        <v>97500</v>
      </c>
    </row>
    <row r="1566" spans="1:10" x14ac:dyDescent="0.2">
      <c r="A1566" s="1" t="s">
        <v>1</v>
      </c>
      <c r="B1566" s="2" t="s">
        <v>126</v>
      </c>
      <c r="C1566" s="1"/>
      <c r="D1566" s="5" t="s">
        <v>464</v>
      </c>
      <c r="G1566" s="57" t="str">
        <f t="shared" si="24"/>
        <v>-</v>
      </c>
      <c r="H1566" s="19" t="s">
        <v>465</v>
      </c>
      <c r="I1566" s="19">
        <v>97500</v>
      </c>
    </row>
    <row r="1567" spans="1:10" x14ac:dyDescent="0.2">
      <c r="A1567" s="1" t="s">
        <v>1</v>
      </c>
      <c r="B1567" s="2" t="s">
        <v>126</v>
      </c>
      <c r="C1567" s="1"/>
      <c r="D1567" s="5" t="s">
        <v>464</v>
      </c>
      <c r="G1567" s="57" t="str">
        <f t="shared" si="24"/>
        <v>-</v>
      </c>
      <c r="H1567" s="19">
        <v>97500</v>
      </c>
      <c r="I1567" s="19" t="s">
        <v>465</v>
      </c>
    </row>
    <row r="1568" spans="1:10" ht="25.5" x14ac:dyDescent="0.2">
      <c r="A1568" s="1" t="s">
        <v>11</v>
      </c>
      <c r="B1568" s="2" t="s">
        <v>127</v>
      </c>
      <c r="C1568" s="29" t="s">
        <v>2697</v>
      </c>
      <c r="G1568" s="57" t="str">
        <f t="shared" si="24"/>
        <v>-</v>
      </c>
    </row>
    <row r="1569" spans="1:10" ht="25.5" x14ac:dyDescent="0.2">
      <c r="A1569" s="1" t="s">
        <v>111</v>
      </c>
      <c r="B1569" s="2" t="s">
        <v>128</v>
      </c>
      <c r="C1569" s="1" t="s">
        <v>2101</v>
      </c>
      <c r="D1569" s="5" t="s">
        <v>450</v>
      </c>
      <c r="E1569" s="3">
        <v>242485</v>
      </c>
      <c r="F1569" s="3">
        <v>243728</v>
      </c>
      <c r="G1569" s="57">
        <f t="shared" si="24"/>
        <v>5.1260902736251727E-3</v>
      </c>
      <c r="J1569" s="5" t="s">
        <v>3941</v>
      </c>
    </row>
    <row r="1570" spans="1:10" ht="25.5" x14ac:dyDescent="0.2">
      <c r="A1570" s="1" t="s">
        <v>111</v>
      </c>
      <c r="B1570" s="2" t="s">
        <v>128</v>
      </c>
      <c r="C1570" s="1"/>
      <c r="D1570" s="5" t="s">
        <v>2102</v>
      </c>
      <c r="E1570" s="3">
        <v>149129</v>
      </c>
      <c r="F1570" s="3">
        <v>153081</v>
      </c>
      <c r="G1570" s="57">
        <f t="shared" si="24"/>
        <v>2.6500546506715662E-2</v>
      </c>
      <c r="J1570" s="5" t="s">
        <v>3942</v>
      </c>
    </row>
    <row r="1571" spans="1:10" ht="25.5" x14ac:dyDescent="0.2">
      <c r="A1571" s="1" t="s">
        <v>111</v>
      </c>
      <c r="B1571" s="2" t="s">
        <v>128</v>
      </c>
      <c r="C1571" s="1"/>
      <c r="D1571" s="5" t="s">
        <v>2103</v>
      </c>
      <c r="E1571" s="3">
        <v>170163</v>
      </c>
      <c r="F1571" s="3">
        <v>170706</v>
      </c>
      <c r="G1571" s="57">
        <f t="shared" si="24"/>
        <v>3.1910579855785335E-3</v>
      </c>
      <c r="J1571" s="5" t="s">
        <v>3943</v>
      </c>
    </row>
    <row r="1572" spans="1:10" ht="25.5" x14ac:dyDescent="0.2">
      <c r="A1572" s="1" t="s">
        <v>111</v>
      </c>
      <c r="B1572" s="2" t="s">
        <v>128</v>
      </c>
      <c r="C1572" s="1"/>
      <c r="D1572" s="5" t="s">
        <v>2104</v>
      </c>
      <c r="E1572" s="3">
        <v>169260</v>
      </c>
      <c r="F1572" s="3">
        <v>170189</v>
      </c>
      <c r="G1572" s="57">
        <f t="shared" si="24"/>
        <v>5.4885974240812948E-3</v>
      </c>
      <c r="J1572" s="5" t="s">
        <v>3944</v>
      </c>
    </row>
    <row r="1573" spans="1:10" ht="25.5" x14ac:dyDescent="0.2">
      <c r="A1573" s="1" t="s">
        <v>111</v>
      </c>
      <c r="B1573" s="2" t="s">
        <v>128</v>
      </c>
      <c r="C1573" s="1"/>
      <c r="D1573" s="5" t="s">
        <v>2105</v>
      </c>
      <c r="E1573" s="3">
        <v>169624</v>
      </c>
      <c r="F1573" s="3">
        <v>170030</v>
      </c>
      <c r="G1573" s="57">
        <f t="shared" si="24"/>
        <v>2.3935292175635524E-3</v>
      </c>
      <c r="J1573" s="5" t="s">
        <v>3945</v>
      </c>
    </row>
    <row r="1574" spans="1:10" ht="25.5" x14ac:dyDescent="0.2">
      <c r="A1574" s="1" t="s">
        <v>111</v>
      </c>
      <c r="B1574" s="2" t="s">
        <v>128</v>
      </c>
      <c r="C1574" s="1"/>
      <c r="D1574" s="5" t="s">
        <v>451</v>
      </c>
      <c r="E1574" s="3">
        <v>145251</v>
      </c>
      <c r="F1574" s="3">
        <v>145891</v>
      </c>
      <c r="G1574" s="57">
        <f t="shared" si="24"/>
        <v>4.4061658783760525E-3</v>
      </c>
      <c r="J1574" s="5" t="s">
        <v>3946</v>
      </c>
    </row>
    <row r="1575" spans="1:10" ht="51" x14ac:dyDescent="0.2">
      <c r="A1575" s="1" t="s">
        <v>111</v>
      </c>
      <c r="B1575" s="2" t="s">
        <v>128</v>
      </c>
      <c r="C1575" s="1"/>
      <c r="D1575" s="5" t="s">
        <v>852</v>
      </c>
      <c r="E1575" s="3">
        <v>114567</v>
      </c>
      <c r="F1575" s="3">
        <v>133595</v>
      </c>
      <c r="G1575" s="57">
        <f t="shared" si="24"/>
        <v>0.16608622029031048</v>
      </c>
      <c r="J1575" s="5" t="s">
        <v>4625</v>
      </c>
    </row>
    <row r="1576" spans="1:10" ht="25.5" x14ac:dyDescent="0.2">
      <c r="A1576" s="1" t="s">
        <v>111</v>
      </c>
      <c r="B1576" s="2" t="s">
        <v>128</v>
      </c>
      <c r="C1576" s="1"/>
      <c r="D1576" s="5" t="s">
        <v>666</v>
      </c>
      <c r="E1576" s="3">
        <v>169260</v>
      </c>
      <c r="F1576" s="3">
        <v>83764</v>
      </c>
      <c r="G1576" s="57">
        <f t="shared" si="24"/>
        <v>-0.50511638898735678</v>
      </c>
      <c r="J1576" s="5" t="s">
        <v>4294</v>
      </c>
    </row>
    <row r="1577" spans="1:10" x14ac:dyDescent="0.2">
      <c r="A1577" s="1" t="s">
        <v>111</v>
      </c>
      <c r="B1577" s="2" t="s">
        <v>128</v>
      </c>
      <c r="C1577" s="1"/>
      <c r="D1577" s="5" t="s">
        <v>464</v>
      </c>
      <c r="G1577" s="57" t="str">
        <f t="shared" si="24"/>
        <v>-</v>
      </c>
      <c r="H1577" s="19">
        <v>92500</v>
      </c>
      <c r="I1577" s="19" t="s">
        <v>465</v>
      </c>
    </row>
    <row r="1578" spans="1:10" x14ac:dyDescent="0.2">
      <c r="A1578" s="1" t="s">
        <v>111</v>
      </c>
      <c r="B1578" s="2" t="s">
        <v>128</v>
      </c>
      <c r="C1578" s="1"/>
      <c r="D1578" s="5" t="s">
        <v>464</v>
      </c>
      <c r="G1578" s="57" t="str">
        <f t="shared" si="24"/>
        <v>-</v>
      </c>
      <c r="H1578" s="19">
        <v>92500</v>
      </c>
      <c r="I1578" s="19" t="s">
        <v>465</v>
      </c>
    </row>
    <row r="1579" spans="1:10" x14ac:dyDescent="0.2">
      <c r="A1579" s="1" t="s">
        <v>111</v>
      </c>
      <c r="B1579" s="2" t="s">
        <v>128</v>
      </c>
      <c r="C1579" s="1"/>
      <c r="D1579" s="5" t="s">
        <v>464</v>
      </c>
      <c r="G1579" s="57" t="str">
        <f t="shared" si="24"/>
        <v>-</v>
      </c>
      <c r="H1579" s="19">
        <v>92500</v>
      </c>
      <c r="I1579" s="19" t="s">
        <v>465</v>
      </c>
    </row>
    <row r="1580" spans="1:10" x14ac:dyDescent="0.2">
      <c r="A1580" s="1" t="s">
        <v>111</v>
      </c>
      <c r="B1580" s="2" t="s">
        <v>128</v>
      </c>
      <c r="C1580" s="1"/>
      <c r="D1580" s="5" t="s">
        <v>464</v>
      </c>
      <c r="G1580" s="57" t="str">
        <f t="shared" si="24"/>
        <v>-</v>
      </c>
      <c r="H1580" s="19">
        <v>92500</v>
      </c>
      <c r="I1580" s="19" t="s">
        <v>465</v>
      </c>
    </row>
    <row r="1581" spans="1:10" x14ac:dyDescent="0.2">
      <c r="A1581" s="1" t="s">
        <v>111</v>
      </c>
      <c r="B1581" s="2" t="s">
        <v>128</v>
      </c>
      <c r="C1581" s="1"/>
      <c r="D1581" s="5" t="s">
        <v>464</v>
      </c>
      <c r="G1581" s="57" t="str">
        <f t="shared" si="24"/>
        <v>-</v>
      </c>
      <c r="H1581" s="19">
        <v>92500</v>
      </c>
      <c r="I1581" s="19" t="s">
        <v>465</v>
      </c>
    </row>
    <row r="1582" spans="1:10" x14ac:dyDescent="0.2">
      <c r="A1582" s="1" t="s">
        <v>111</v>
      </c>
      <c r="B1582" s="2" t="s">
        <v>128</v>
      </c>
      <c r="C1582" s="1"/>
      <c r="D1582" s="5" t="s">
        <v>464</v>
      </c>
      <c r="G1582" s="57" t="str">
        <f t="shared" si="24"/>
        <v>-</v>
      </c>
      <c r="H1582" s="19">
        <v>97500</v>
      </c>
      <c r="I1582" s="19" t="s">
        <v>465</v>
      </c>
    </row>
    <row r="1583" spans="1:10" x14ac:dyDescent="0.2">
      <c r="A1583" s="1" t="s">
        <v>111</v>
      </c>
      <c r="B1583" s="2" t="s">
        <v>128</v>
      </c>
      <c r="C1583" s="1"/>
      <c r="D1583" s="5" t="s">
        <v>464</v>
      </c>
      <c r="G1583" s="57" t="str">
        <f t="shared" si="24"/>
        <v>-</v>
      </c>
      <c r="H1583" s="19">
        <v>97500</v>
      </c>
      <c r="I1583" s="19" t="s">
        <v>465</v>
      </c>
    </row>
    <row r="1584" spans="1:10" x14ac:dyDescent="0.2">
      <c r="A1584" s="1" t="s">
        <v>111</v>
      </c>
      <c r="B1584" s="2" t="s">
        <v>128</v>
      </c>
      <c r="C1584" s="1"/>
      <c r="D1584" s="5" t="s">
        <v>464</v>
      </c>
      <c r="G1584" s="57" t="str">
        <f t="shared" si="24"/>
        <v>-</v>
      </c>
      <c r="H1584" s="19">
        <v>97500</v>
      </c>
      <c r="I1584" s="19" t="s">
        <v>465</v>
      </c>
    </row>
    <row r="1585" spans="1:10" x14ac:dyDescent="0.2">
      <c r="A1585" s="1" t="s">
        <v>111</v>
      </c>
      <c r="B1585" s="2" t="s">
        <v>128</v>
      </c>
      <c r="C1585" s="1"/>
      <c r="D1585" s="5" t="s">
        <v>464</v>
      </c>
      <c r="G1585" s="57" t="str">
        <f t="shared" si="24"/>
        <v>-</v>
      </c>
      <c r="H1585" s="19">
        <v>97500</v>
      </c>
      <c r="I1585" s="19" t="s">
        <v>465</v>
      </c>
    </row>
    <row r="1586" spans="1:10" x14ac:dyDescent="0.2">
      <c r="A1586" s="1" t="s">
        <v>111</v>
      </c>
      <c r="B1586" s="2" t="s">
        <v>128</v>
      </c>
      <c r="C1586" s="1"/>
      <c r="D1586" s="5" t="s">
        <v>464</v>
      </c>
      <c r="G1586" s="57" t="str">
        <f t="shared" si="24"/>
        <v>-</v>
      </c>
      <c r="H1586" s="19">
        <v>97500</v>
      </c>
      <c r="I1586" s="19" t="s">
        <v>465</v>
      </c>
    </row>
    <row r="1587" spans="1:10" x14ac:dyDescent="0.2">
      <c r="A1587" s="1" t="s">
        <v>111</v>
      </c>
      <c r="B1587" s="2" t="s">
        <v>128</v>
      </c>
      <c r="C1587" s="1"/>
      <c r="D1587" s="5" t="s">
        <v>464</v>
      </c>
      <c r="G1587" s="57" t="str">
        <f t="shared" si="24"/>
        <v>-</v>
      </c>
      <c r="H1587" s="19">
        <v>97500</v>
      </c>
      <c r="I1587" s="19" t="s">
        <v>465</v>
      </c>
    </row>
    <row r="1588" spans="1:10" x14ac:dyDescent="0.2">
      <c r="A1588" s="1" t="s">
        <v>111</v>
      </c>
      <c r="B1588" s="2" t="s">
        <v>128</v>
      </c>
      <c r="C1588" s="1"/>
      <c r="D1588" s="5" t="s">
        <v>464</v>
      </c>
      <c r="G1588" s="57" t="str">
        <f t="shared" si="24"/>
        <v>-</v>
      </c>
      <c r="H1588" s="19">
        <v>97500</v>
      </c>
      <c r="I1588" s="19" t="s">
        <v>465</v>
      </c>
    </row>
    <row r="1589" spans="1:10" x14ac:dyDescent="0.2">
      <c r="A1589" s="1" t="s">
        <v>111</v>
      </c>
      <c r="B1589" s="2" t="s">
        <v>128</v>
      </c>
      <c r="C1589" s="1"/>
      <c r="D1589" s="5" t="s">
        <v>464</v>
      </c>
      <c r="G1589" s="57" t="str">
        <f t="shared" si="24"/>
        <v>-</v>
      </c>
      <c r="H1589" s="19">
        <v>97500</v>
      </c>
      <c r="I1589" s="19" t="s">
        <v>465</v>
      </c>
    </row>
    <row r="1590" spans="1:10" x14ac:dyDescent="0.2">
      <c r="A1590" s="1" t="s">
        <v>111</v>
      </c>
      <c r="B1590" s="2" t="s">
        <v>128</v>
      </c>
      <c r="C1590" s="1"/>
      <c r="D1590" s="5" t="s">
        <v>464</v>
      </c>
      <c r="G1590" s="57" t="str">
        <f t="shared" si="24"/>
        <v>-</v>
      </c>
      <c r="H1590" s="19">
        <v>97500</v>
      </c>
      <c r="I1590" s="19" t="s">
        <v>465</v>
      </c>
    </row>
    <row r="1591" spans="1:10" x14ac:dyDescent="0.2">
      <c r="A1591" s="1" t="s">
        <v>111</v>
      </c>
      <c r="B1591" s="2" t="s">
        <v>128</v>
      </c>
      <c r="C1591" s="1"/>
      <c r="D1591" s="5" t="s">
        <v>464</v>
      </c>
      <c r="G1591" s="57" t="str">
        <f t="shared" si="24"/>
        <v>-</v>
      </c>
      <c r="H1591" s="19">
        <v>97500</v>
      </c>
      <c r="I1591" s="19" t="s">
        <v>465</v>
      </c>
      <c r="J1591" s="1"/>
    </row>
    <row r="1592" spans="1:10" x14ac:dyDescent="0.2">
      <c r="A1592" s="1" t="s">
        <v>111</v>
      </c>
      <c r="B1592" s="2" t="s">
        <v>128</v>
      </c>
      <c r="C1592" s="1"/>
      <c r="D1592" s="5" t="s">
        <v>464</v>
      </c>
      <c r="G1592" s="57" t="str">
        <f t="shared" si="24"/>
        <v>-</v>
      </c>
      <c r="H1592" s="19">
        <v>97500</v>
      </c>
      <c r="I1592" s="19" t="s">
        <v>465</v>
      </c>
      <c r="J1592" s="1"/>
    </row>
    <row r="1593" spans="1:10" x14ac:dyDescent="0.2">
      <c r="A1593" s="1" t="s">
        <v>111</v>
      </c>
      <c r="B1593" s="2" t="s">
        <v>128</v>
      </c>
      <c r="C1593" s="1"/>
      <c r="D1593" s="5" t="s">
        <v>464</v>
      </c>
      <c r="G1593" s="57" t="str">
        <f t="shared" si="24"/>
        <v>-</v>
      </c>
      <c r="H1593" s="19">
        <v>97500</v>
      </c>
      <c r="I1593" s="19" t="s">
        <v>465</v>
      </c>
      <c r="J1593" s="1"/>
    </row>
    <row r="1594" spans="1:10" x14ac:dyDescent="0.2">
      <c r="A1594" s="1" t="s">
        <v>111</v>
      </c>
      <c r="B1594" s="2" t="s">
        <v>128</v>
      </c>
      <c r="C1594" s="1"/>
      <c r="D1594" s="5" t="s">
        <v>464</v>
      </c>
      <c r="G1594" s="57" t="str">
        <f t="shared" si="24"/>
        <v>-</v>
      </c>
      <c r="H1594" s="19">
        <v>97500</v>
      </c>
      <c r="I1594" s="19" t="s">
        <v>465</v>
      </c>
      <c r="J1594" s="1"/>
    </row>
    <row r="1595" spans="1:10" x14ac:dyDescent="0.2">
      <c r="A1595" s="1" t="s">
        <v>111</v>
      </c>
      <c r="B1595" s="2" t="s">
        <v>128</v>
      </c>
      <c r="C1595" s="1"/>
      <c r="D1595" s="5" t="s">
        <v>464</v>
      </c>
      <c r="G1595" s="57" t="str">
        <f t="shared" si="24"/>
        <v>-</v>
      </c>
      <c r="H1595" s="19">
        <v>97500</v>
      </c>
      <c r="I1595" s="19" t="s">
        <v>465</v>
      </c>
      <c r="J1595" s="1"/>
    </row>
    <row r="1596" spans="1:10" x14ac:dyDescent="0.2">
      <c r="A1596" s="1" t="s">
        <v>111</v>
      </c>
      <c r="B1596" s="2" t="s">
        <v>128</v>
      </c>
      <c r="C1596" s="1"/>
      <c r="D1596" s="5" t="s">
        <v>464</v>
      </c>
      <c r="G1596" s="57" t="str">
        <f t="shared" si="24"/>
        <v>-</v>
      </c>
      <c r="H1596" s="19" t="s">
        <v>465</v>
      </c>
      <c r="I1596" s="19">
        <v>92500</v>
      </c>
      <c r="J1596" s="1"/>
    </row>
    <row r="1597" spans="1:10" x14ac:dyDescent="0.2">
      <c r="A1597" s="1" t="s">
        <v>111</v>
      </c>
      <c r="B1597" s="2" t="s">
        <v>128</v>
      </c>
      <c r="C1597" s="1"/>
      <c r="D1597" s="5" t="s">
        <v>464</v>
      </c>
      <c r="G1597" s="57" t="str">
        <f t="shared" si="24"/>
        <v>-</v>
      </c>
      <c r="H1597" s="19" t="s">
        <v>465</v>
      </c>
      <c r="I1597" s="19">
        <v>92500</v>
      </c>
      <c r="J1597" s="1"/>
    </row>
    <row r="1598" spans="1:10" x14ac:dyDescent="0.2">
      <c r="A1598" s="1" t="s">
        <v>111</v>
      </c>
      <c r="B1598" s="2" t="s">
        <v>128</v>
      </c>
      <c r="C1598" s="1"/>
      <c r="D1598" s="5" t="s">
        <v>464</v>
      </c>
      <c r="G1598" s="57" t="str">
        <f t="shared" si="24"/>
        <v>-</v>
      </c>
      <c r="H1598" s="19" t="s">
        <v>465</v>
      </c>
      <c r="I1598" s="19">
        <v>92500</v>
      </c>
      <c r="J1598" s="1"/>
    </row>
    <row r="1599" spans="1:10" x14ac:dyDescent="0.2">
      <c r="A1599" s="1" t="s">
        <v>111</v>
      </c>
      <c r="B1599" s="2" t="s">
        <v>128</v>
      </c>
      <c r="C1599" s="1"/>
      <c r="D1599" s="5" t="s">
        <v>464</v>
      </c>
      <c r="G1599" s="57" t="str">
        <f t="shared" si="24"/>
        <v>-</v>
      </c>
      <c r="H1599" s="19" t="s">
        <v>465</v>
      </c>
      <c r="I1599" s="19">
        <v>92500</v>
      </c>
      <c r="J1599" s="1"/>
    </row>
    <row r="1600" spans="1:10" x14ac:dyDescent="0.2">
      <c r="A1600" s="1" t="s">
        <v>111</v>
      </c>
      <c r="B1600" s="2" t="s">
        <v>128</v>
      </c>
      <c r="C1600" s="1"/>
      <c r="D1600" s="5" t="s">
        <v>464</v>
      </c>
      <c r="G1600" s="57" t="str">
        <f t="shared" si="24"/>
        <v>-</v>
      </c>
      <c r="H1600" s="19" t="s">
        <v>465</v>
      </c>
      <c r="I1600" s="19">
        <v>92500</v>
      </c>
      <c r="J1600" s="1"/>
    </row>
    <row r="1601" spans="1:10" x14ac:dyDescent="0.2">
      <c r="A1601" s="1" t="s">
        <v>111</v>
      </c>
      <c r="B1601" s="2" t="s">
        <v>128</v>
      </c>
      <c r="C1601" s="1"/>
      <c r="D1601" s="5" t="s">
        <v>464</v>
      </c>
      <c r="G1601" s="57" t="str">
        <f t="shared" si="24"/>
        <v>-</v>
      </c>
      <c r="H1601" s="19" t="s">
        <v>465</v>
      </c>
      <c r="I1601" s="19">
        <v>97500</v>
      </c>
      <c r="J1601" s="1"/>
    </row>
    <row r="1602" spans="1:10" x14ac:dyDescent="0.2">
      <c r="A1602" s="1" t="s">
        <v>111</v>
      </c>
      <c r="B1602" s="2" t="s">
        <v>128</v>
      </c>
      <c r="C1602" s="1"/>
      <c r="D1602" s="5" t="s">
        <v>464</v>
      </c>
      <c r="G1602" s="57" t="str">
        <f t="shared" si="24"/>
        <v>-</v>
      </c>
      <c r="H1602" s="19" t="s">
        <v>465</v>
      </c>
      <c r="I1602" s="19">
        <v>97500</v>
      </c>
      <c r="J1602" s="1"/>
    </row>
    <row r="1603" spans="1:10" x14ac:dyDescent="0.2">
      <c r="A1603" s="1" t="s">
        <v>111</v>
      </c>
      <c r="B1603" s="2" t="s">
        <v>128</v>
      </c>
      <c r="C1603" s="1"/>
      <c r="D1603" s="5" t="s">
        <v>464</v>
      </c>
      <c r="G1603" s="57" t="str">
        <f t="shared" ref="G1603:G1666" si="25">IF(ISERROR((F1603-E1603)/E1603),"-",(F1603-E1603)/E1603)</f>
        <v>-</v>
      </c>
      <c r="H1603" s="19" t="s">
        <v>465</v>
      </c>
      <c r="I1603" s="19">
        <v>97500</v>
      </c>
      <c r="J1603" s="1"/>
    </row>
    <row r="1604" spans="1:10" x14ac:dyDescent="0.2">
      <c r="A1604" s="1" t="s">
        <v>111</v>
      </c>
      <c r="B1604" s="2" t="s">
        <v>128</v>
      </c>
      <c r="C1604" s="1"/>
      <c r="D1604" s="5" t="s">
        <v>464</v>
      </c>
      <c r="G1604" s="57" t="str">
        <f t="shared" si="25"/>
        <v>-</v>
      </c>
      <c r="H1604" s="19" t="s">
        <v>465</v>
      </c>
      <c r="I1604" s="19">
        <v>97500</v>
      </c>
      <c r="J1604" s="1"/>
    </row>
    <row r="1605" spans="1:10" x14ac:dyDescent="0.2">
      <c r="A1605" s="1" t="s">
        <v>111</v>
      </c>
      <c r="B1605" s="2" t="s">
        <v>128</v>
      </c>
      <c r="C1605" s="1"/>
      <c r="D1605" s="5" t="s">
        <v>464</v>
      </c>
      <c r="G1605" s="57" t="str">
        <f t="shared" si="25"/>
        <v>-</v>
      </c>
      <c r="H1605" s="19" t="s">
        <v>465</v>
      </c>
      <c r="I1605" s="19">
        <v>97500</v>
      </c>
      <c r="J1605" s="1"/>
    </row>
    <row r="1606" spans="1:10" x14ac:dyDescent="0.2">
      <c r="A1606" s="1" t="s">
        <v>111</v>
      </c>
      <c r="B1606" s="2" t="s">
        <v>128</v>
      </c>
      <c r="C1606" s="1"/>
      <c r="D1606" s="5" t="s">
        <v>464</v>
      </c>
      <c r="G1606" s="57" t="str">
        <f t="shared" si="25"/>
        <v>-</v>
      </c>
      <c r="H1606" s="19" t="s">
        <v>465</v>
      </c>
      <c r="I1606" s="19">
        <v>97500</v>
      </c>
      <c r="J1606" s="1"/>
    </row>
    <row r="1607" spans="1:10" x14ac:dyDescent="0.2">
      <c r="A1607" s="1" t="s">
        <v>111</v>
      </c>
      <c r="B1607" s="2" t="s">
        <v>128</v>
      </c>
      <c r="C1607" s="1"/>
      <c r="D1607" s="5" t="s">
        <v>464</v>
      </c>
      <c r="G1607" s="57" t="str">
        <f t="shared" si="25"/>
        <v>-</v>
      </c>
      <c r="H1607" s="19" t="s">
        <v>465</v>
      </c>
      <c r="I1607" s="19">
        <v>97500</v>
      </c>
      <c r="J1607" s="1"/>
    </row>
    <row r="1608" spans="1:10" x14ac:dyDescent="0.2">
      <c r="A1608" s="1" t="s">
        <v>111</v>
      </c>
      <c r="B1608" s="2" t="s">
        <v>128</v>
      </c>
      <c r="C1608" s="1"/>
      <c r="D1608" s="5" t="s">
        <v>464</v>
      </c>
      <c r="G1608" s="57" t="str">
        <f t="shared" si="25"/>
        <v>-</v>
      </c>
      <c r="H1608" s="19" t="s">
        <v>465</v>
      </c>
      <c r="I1608" s="19">
        <v>97500</v>
      </c>
      <c r="J1608" s="1"/>
    </row>
    <row r="1609" spans="1:10" x14ac:dyDescent="0.2">
      <c r="A1609" s="1" t="s">
        <v>111</v>
      </c>
      <c r="B1609" s="2" t="s">
        <v>128</v>
      </c>
      <c r="C1609" s="1"/>
      <c r="D1609" s="5" t="s">
        <v>464</v>
      </c>
      <c r="G1609" s="57" t="str">
        <f t="shared" si="25"/>
        <v>-</v>
      </c>
      <c r="H1609" s="19" t="s">
        <v>465</v>
      </c>
      <c r="I1609" s="19">
        <v>97500</v>
      </c>
      <c r="J1609" s="1"/>
    </row>
    <row r="1610" spans="1:10" x14ac:dyDescent="0.2">
      <c r="A1610" s="1" t="s">
        <v>111</v>
      </c>
      <c r="B1610" s="2" t="s">
        <v>128</v>
      </c>
      <c r="C1610" s="1"/>
      <c r="D1610" s="5" t="s">
        <v>464</v>
      </c>
      <c r="G1610" s="57" t="str">
        <f t="shared" si="25"/>
        <v>-</v>
      </c>
      <c r="H1610" s="19" t="s">
        <v>465</v>
      </c>
      <c r="I1610" s="19">
        <v>97500</v>
      </c>
      <c r="J1610" s="1"/>
    </row>
    <row r="1611" spans="1:10" x14ac:dyDescent="0.2">
      <c r="A1611" s="1" t="s">
        <v>111</v>
      </c>
      <c r="B1611" s="2" t="s">
        <v>128</v>
      </c>
      <c r="C1611" s="1"/>
      <c r="D1611" s="5" t="s">
        <v>464</v>
      </c>
      <c r="G1611" s="57" t="str">
        <f t="shared" si="25"/>
        <v>-</v>
      </c>
      <c r="H1611" s="19" t="s">
        <v>465</v>
      </c>
      <c r="I1611" s="19">
        <v>97500</v>
      </c>
      <c r="J1611" s="1"/>
    </row>
    <row r="1612" spans="1:10" x14ac:dyDescent="0.2">
      <c r="A1612" s="1" t="s">
        <v>111</v>
      </c>
      <c r="B1612" s="2" t="s">
        <v>128</v>
      </c>
      <c r="C1612" s="1"/>
      <c r="D1612" s="5" t="s">
        <v>464</v>
      </c>
      <c r="G1612" s="57" t="str">
        <f t="shared" si="25"/>
        <v>-</v>
      </c>
      <c r="H1612" s="19" t="s">
        <v>465</v>
      </c>
      <c r="I1612" s="19">
        <v>97500</v>
      </c>
      <c r="J1612" s="1"/>
    </row>
    <row r="1613" spans="1:10" x14ac:dyDescent="0.2">
      <c r="A1613" s="1" t="s">
        <v>111</v>
      </c>
      <c r="B1613" s="2" t="s">
        <v>128</v>
      </c>
      <c r="C1613" s="1"/>
      <c r="D1613" s="5" t="s">
        <v>464</v>
      </c>
      <c r="G1613" s="57" t="str">
        <f t="shared" si="25"/>
        <v>-</v>
      </c>
      <c r="H1613" s="19" t="s">
        <v>465</v>
      </c>
      <c r="I1613" s="19">
        <v>97500</v>
      </c>
      <c r="J1613" s="1"/>
    </row>
    <row r="1614" spans="1:10" x14ac:dyDescent="0.2">
      <c r="A1614" s="1" t="s">
        <v>111</v>
      </c>
      <c r="B1614" s="2" t="s">
        <v>128</v>
      </c>
      <c r="C1614" s="1"/>
      <c r="D1614" s="5" t="s">
        <v>464</v>
      </c>
      <c r="E1614" s="3">
        <v>102500</v>
      </c>
      <c r="F1614" s="3" t="s">
        <v>465</v>
      </c>
      <c r="G1614" s="57" t="str">
        <f t="shared" si="25"/>
        <v>-</v>
      </c>
      <c r="J1614" s="1"/>
    </row>
    <row r="1615" spans="1:10" x14ac:dyDescent="0.2">
      <c r="A1615" s="1" t="s">
        <v>111</v>
      </c>
      <c r="B1615" s="2" t="s">
        <v>128</v>
      </c>
      <c r="C1615" s="1"/>
      <c r="D1615" s="5" t="s">
        <v>464</v>
      </c>
      <c r="E1615" s="3">
        <v>102500</v>
      </c>
      <c r="F1615" s="3" t="s">
        <v>465</v>
      </c>
      <c r="G1615" s="57" t="str">
        <f t="shared" si="25"/>
        <v>-</v>
      </c>
      <c r="J1615" s="1"/>
    </row>
    <row r="1616" spans="1:10" x14ac:dyDescent="0.2">
      <c r="A1616" s="1" t="s">
        <v>111</v>
      </c>
      <c r="B1616" s="2" t="s">
        <v>128</v>
      </c>
      <c r="C1616" s="1"/>
      <c r="D1616" s="5" t="s">
        <v>464</v>
      </c>
      <c r="E1616" s="3">
        <v>102500</v>
      </c>
      <c r="F1616" s="3" t="s">
        <v>465</v>
      </c>
      <c r="G1616" s="57" t="str">
        <f t="shared" si="25"/>
        <v>-</v>
      </c>
      <c r="J1616" s="1"/>
    </row>
    <row r="1617" spans="1:10" x14ac:dyDescent="0.2">
      <c r="A1617" s="1" t="s">
        <v>111</v>
      </c>
      <c r="B1617" s="2" t="s">
        <v>128</v>
      </c>
      <c r="C1617" s="1"/>
      <c r="D1617" s="5" t="s">
        <v>464</v>
      </c>
      <c r="E1617" s="3">
        <v>102500</v>
      </c>
      <c r="F1617" s="3" t="s">
        <v>465</v>
      </c>
      <c r="G1617" s="57" t="str">
        <f t="shared" si="25"/>
        <v>-</v>
      </c>
      <c r="J1617" s="1"/>
    </row>
    <row r="1618" spans="1:10" x14ac:dyDescent="0.2">
      <c r="A1618" s="1" t="s">
        <v>111</v>
      </c>
      <c r="B1618" s="2" t="s">
        <v>128</v>
      </c>
      <c r="C1618" s="1"/>
      <c r="D1618" s="5" t="s">
        <v>464</v>
      </c>
      <c r="E1618" s="3">
        <v>102500</v>
      </c>
      <c r="F1618" s="3" t="s">
        <v>465</v>
      </c>
      <c r="G1618" s="57" t="str">
        <f t="shared" si="25"/>
        <v>-</v>
      </c>
      <c r="J1618" s="1"/>
    </row>
    <row r="1619" spans="1:10" x14ac:dyDescent="0.2">
      <c r="A1619" s="1" t="s">
        <v>111</v>
      </c>
      <c r="B1619" s="2" t="s">
        <v>128</v>
      </c>
      <c r="C1619" s="1"/>
      <c r="D1619" s="5" t="s">
        <v>464</v>
      </c>
      <c r="E1619" s="3">
        <v>112500</v>
      </c>
      <c r="F1619" s="3" t="s">
        <v>465</v>
      </c>
      <c r="G1619" s="57" t="str">
        <f t="shared" si="25"/>
        <v>-</v>
      </c>
      <c r="J1619" s="1"/>
    </row>
    <row r="1620" spans="1:10" x14ac:dyDescent="0.2">
      <c r="A1620" s="1" t="s">
        <v>111</v>
      </c>
      <c r="B1620" s="2" t="s">
        <v>128</v>
      </c>
      <c r="C1620" s="1"/>
      <c r="D1620" s="5" t="s">
        <v>464</v>
      </c>
      <c r="E1620" s="3">
        <v>112500</v>
      </c>
      <c r="F1620" s="3" t="s">
        <v>465</v>
      </c>
      <c r="G1620" s="57" t="str">
        <f t="shared" si="25"/>
        <v>-</v>
      </c>
      <c r="J1620" s="1"/>
    </row>
    <row r="1621" spans="1:10" x14ac:dyDescent="0.2">
      <c r="A1621" s="1" t="s">
        <v>111</v>
      </c>
      <c r="B1621" s="2" t="s">
        <v>128</v>
      </c>
      <c r="C1621" s="1"/>
      <c r="D1621" s="5" t="s">
        <v>464</v>
      </c>
      <c r="E1621" s="3">
        <v>112500</v>
      </c>
      <c r="F1621" s="3" t="s">
        <v>465</v>
      </c>
      <c r="G1621" s="57" t="str">
        <f t="shared" si="25"/>
        <v>-</v>
      </c>
      <c r="J1621" s="1"/>
    </row>
    <row r="1622" spans="1:10" x14ac:dyDescent="0.2">
      <c r="A1622" s="1" t="s">
        <v>111</v>
      </c>
      <c r="B1622" s="2" t="s">
        <v>128</v>
      </c>
      <c r="C1622" s="1"/>
      <c r="D1622" s="5" t="s">
        <v>464</v>
      </c>
      <c r="E1622" s="3">
        <v>112500</v>
      </c>
      <c r="F1622" s="3" t="s">
        <v>465</v>
      </c>
      <c r="G1622" s="57" t="str">
        <f t="shared" si="25"/>
        <v>-</v>
      </c>
      <c r="J1622" s="1"/>
    </row>
    <row r="1623" spans="1:10" x14ac:dyDescent="0.2">
      <c r="A1623" s="1" t="s">
        <v>111</v>
      </c>
      <c r="B1623" s="2" t="s">
        <v>128</v>
      </c>
      <c r="C1623" s="1"/>
      <c r="D1623" s="5" t="s">
        <v>464</v>
      </c>
      <c r="E1623" s="3">
        <v>112500</v>
      </c>
      <c r="F1623" s="3" t="s">
        <v>465</v>
      </c>
      <c r="G1623" s="57" t="str">
        <f t="shared" si="25"/>
        <v>-</v>
      </c>
      <c r="J1623" s="1"/>
    </row>
    <row r="1624" spans="1:10" x14ac:dyDescent="0.2">
      <c r="A1624" s="1" t="s">
        <v>111</v>
      </c>
      <c r="B1624" s="2" t="s">
        <v>128</v>
      </c>
      <c r="C1624" s="1"/>
      <c r="D1624" s="5" t="s">
        <v>464</v>
      </c>
      <c r="E1624" s="3">
        <v>112500</v>
      </c>
      <c r="F1624" s="3" t="s">
        <v>465</v>
      </c>
      <c r="G1624" s="57" t="str">
        <f t="shared" si="25"/>
        <v>-</v>
      </c>
      <c r="J1624" s="1"/>
    </row>
    <row r="1625" spans="1:10" x14ac:dyDescent="0.2">
      <c r="A1625" s="1" t="s">
        <v>111</v>
      </c>
      <c r="B1625" s="2" t="s">
        <v>128</v>
      </c>
      <c r="C1625" s="1"/>
      <c r="D1625" s="5" t="s">
        <v>464</v>
      </c>
      <c r="E1625" s="3">
        <v>122500</v>
      </c>
      <c r="F1625" s="3" t="s">
        <v>465</v>
      </c>
      <c r="G1625" s="57" t="str">
        <f t="shared" si="25"/>
        <v>-</v>
      </c>
      <c r="J1625" s="1"/>
    </row>
    <row r="1626" spans="1:10" x14ac:dyDescent="0.2">
      <c r="A1626" s="1" t="s">
        <v>111</v>
      </c>
      <c r="B1626" s="2" t="s">
        <v>128</v>
      </c>
      <c r="C1626" s="1"/>
      <c r="D1626" s="5" t="s">
        <v>464</v>
      </c>
      <c r="E1626" s="3">
        <v>122500</v>
      </c>
      <c r="F1626" s="3" t="s">
        <v>465</v>
      </c>
      <c r="G1626" s="57" t="str">
        <f t="shared" si="25"/>
        <v>-</v>
      </c>
      <c r="J1626" s="1"/>
    </row>
    <row r="1627" spans="1:10" x14ac:dyDescent="0.2">
      <c r="A1627" s="1" t="s">
        <v>111</v>
      </c>
      <c r="B1627" s="2" t="s">
        <v>128</v>
      </c>
      <c r="C1627" s="1"/>
      <c r="D1627" s="5" t="s">
        <v>464</v>
      </c>
      <c r="E1627" s="3">
        <v>122500</v>
      </c>
      <c r="F1627" s="3" t="s">
        <v>465</v>
      </c>
      <c r="G1627" s="57" t="str">
        <f t="shared" si="25"/>
        <v>-</v>
      </c>
      <c r="J1627" s="1"/>
    </row>
    <row r="1628" spans="1:10" x14ac:dyDescent="0.2">
      <c r="A1628" s="1" t="s">
        <v>111</v>
      </c>
      <c r="B1628" s="2" t="s">
        <v>128</v>
      </c>
      <c r="C1628" s="1"/>
      <c r="D1628" s="5" t="s">
        <v>464</v>
      </c>
      <c r="E1628" s="3">
        <v>127500</v>
      </c>
      <c r="F1628" s="3" t="s">
        <v>465</v>
      </c>
      <c r="G1628" s="57" t="str">
        <f t="shared" si="25"/>
        <v>-</v>
      </c>
      <c r="J1628" s="1"/>
    </row>
    <row r="1629" spans="1:10" x14ac:dyDescent="0.2">
      <c r="A1629" s="1" t="s">
        <v>111</v>
      </c>
      <c r="B1629" s="2" t="s">
        <v>128</v>
      </c>
      <c r="C1629" s="1"/>
      <c r="D1629" s="5" t="s">
        <v>464</v>
      </c>
      <c r="E1629" s="3">
        <v>147500</v>
      </c>
      <c r="F1629" s="3" t="s">
        <v>465</v>
      </c>
      <c r="G1629" s="57" t="str">
        <f t="shared" si="25"/>
        <v>-</v>
      </c>
      <c r="J1629" s="1"/>
    </row>
    <row r="1630" spans="1:10" x14ac:dyDescent="0.2">
      <c r="A1630" s="1" t="s">
        <v>111</v>
      </c>
      <c r="B1630" s="2" t="s">
        <v>128</v>
      </c>
      <c r="C1630" s="1"/>
      <c r="D1630" s="5" t="s">
        <v>464</v>
      </c>
      <c r="E1630" s="3">
        <v>202500</v>
      </c>
      <c r="F1630" s="3" t="s">
        <v>465</v>
      </c>
      <c r="G1630" s="57" t="str">
        <f t="shared" si="25"/>
        <v>-</v>
      </c>
      <c r="J1630" s="1"/>
    </row>
    <row r="1631" spans="1:10" x14ac:dyDescent="0.2">
      <c r="A1631" s="1" t="s">
        <v>111</v>
      </c>
      <c r="B1631" s="2" t="s">
        <v>128</v>
      </c>
      <c r="C1631" s="1"/>
      <c r="D1631" s="5" t="s">
        <v>464</v>
      </c>
      <c r="E1631" s="3" t="s">
        <v>465</v>
      </c>
      <c r="F1631" s="3">
        <v>102500</v>
      </c>
      <c r="G1631" s="57" t="str">
        <f t="shared" si="25"/>
        <v>-</v>
      </c>
      <c r="J1631" s="1"/>
    </row>
    <row r="1632" spans="1:10" x14ac:dyDescent="0.2">
      <c r="A1632" s="1" t="s">
        <v>111</v>
      </c>
      <c r="B1632" s="2" t="s">
        <v>128</v>
      </c>
      <c r="C1632" s="1"/>
      <c r="D1632" s="5" t="s">
        <v>464</v>
      </c>
      <c r="E1632" s="3" t="s">
        <v>465</v>
      </c>
      <c r="F1632" s="3">
        <v>102500</v>
      </c>
      <c r="G1632" s="57" t="str">
        <f t="shared" si="25"/>
        <v>-</v>
      </c>
      <c r="J1632" s="1"/>
    </row>
    <row r="1633" spans="1:10" x14ac:dyDescent="0.2">
      <c r="A1633" s="1" t="s">
        <v>111</v>
      </c>
      <c r="B1633" s="2" t="s">
        <v>128</v>
      </c>
      <c r="C1633" s="1"/>
      <c r="D1633" s="5" t="s">
        <v>464</v>
      </c>
      <c r="E1633" s="3" t="s">
        <v>465</v>
      </c>
      <c r="F1633" s="3">
        <v>112500</v>
      </c>
      <c r="G1633" s="57" t="str">
        <f t="shared" si="25"/>
        <v>-</v>
      </c>
      <c r="J1633" s="1"/>
    </row>
    <row r="1634" spans="1:10" x14ac:dyDescent="0.2">
      <c r="A1634" s="1" t="s">
        <v>111</v>
      </c>
      <c r="B1634" s="2" t="s">
        <v>128</v>
      </c>
      <c r="C1634" s="1"/>
      <c r="D1634" s="5" t="s">
        <v>464</v>
      </c>
      <c r="E1634" s="3" t="s">
        <v>465</v>
      </c>
      <c r="F1634" s="3">
        <v>112500</v>
      </c>
      <c r="G1634" s="57" t="str">
        <f t="shared" si="25"/>
        <v>-</v>
      </c>
      <c r="J1634" s="1"/>
    </row>
    <row r="1635" spans="1:10" x14ac:dyDescent="0.2">
      <c r="A1635" s="1" t="s">
        <v>111</v>
      </c>
      <c r="B1635" s="2" t="s">
        <v>128</v>
      </c>
      <c r="C1635" s="1"/>
      <c r="D1635" s="5" t="s">
        <v>464</v>
      </c>
      <c r="E1635" s="3" t="s">
        <v>465</v>
      </c>
      <c r="F1635" s="3">
        <v>112500</v>
      </c>
      <c r="G1635" s="57" t="str">
        <f t="shared" si="25"/>
        <v>-</v>
      </c>
      <c r="J1635" s="1"/>
    </row>
    <row r="1636" spans="1:10" x14ac:dyDescent="0.2">
      <c r="A1636" s="1" t="s">
        <v>111</v>
      </c>
      <c r="B1636" s="2" t="s">
        <v>128</v>
      </c>
      <c r="C1636" s="1"/>
      <c r="D1636" s="5" t="s">
        <v>464</v>
      </c>
      <c r="E1636" s="3" t="s">
        <v>465</v>
      </c>
      <c r="F1636" s="3">
        <v>112500</v>
      </c>
      <c r="G1636" s="57" t="str">
        <f t="shared" si="25"/>
        <v>-</v>
      </c>
      <c r="J1636" s="1"/>
    </row>
    <row r="1637" spans="1:10" x14ac:dyDescent="0.2">
      <c r="A1637" s="1" t="s">
        <v>111</v>
      </c>
      <c r="B1637" s="2" t="s">
        <v>128</v>
      </c>
      <c r="C1637" s="1"/>
      <c r="D1637" s="5" t="s">
        <v>464</v>
      </c>
      <c r="E1637" s="3" t="s">
        <v>465</v>
      </c>
      <c r="F1637" s="3">
        <v>112500</v>
      </c>
      <c r="G1637" s="57" t="str">
        <f t="shared" si="25"/>
        <v>-</v>
      </c>
      <c r="J1637" s="1"/>
    </row>
    <row r="1638" spans="1:10" x14ac:dyDescent="0.2">
      <c r="A1638" s="1" t="s">
        <v>111</v>
      </c>
      <c r="B1638" s="2" t="s">
        <v>128</v>
      </c>
      <c r="C1638" s="1"/>
      <c r="D1638" s="5" t="s">
        <v>464</v>
      </c>
      <c r="E1638" s="3" t="s">
        <v>465</v>
      </c>
      <c r="F1638" s="3">
        <v>112500</v>
      </c>
      <c r="G1638" s="57" t="str">
        <f t="shared" si="25"/>
        <v>-</v>
      </c>
      <c r="J1638" s="1"/>
    </row>
    <row r="1639" spans="1:10" x14ac:dyDescent="0.2">
      <c r="A1639" s="1" t="s">
        <v>111</v>
      </c>
      <c r="B1639" s="2" t="s">
        <v>128</v>
      </c>
      <c r="C1639" s="1"/>
      <c r="D1639" s="5" t="s">
        <v>464</v>
      </c>
      <c r="E1639" s="3" t="s">
        <v>465</v>
      </c>
      <c r="F1639" s="3">
        <v>112500</v>
      </c>
      <c r="G1639" s="57" t="str">
        <f t="shared" si="25"/>
        <v>-</v>
      </c>
      <c r="J1639" s="1"/>
    </row>
    <row r="1640" spans="1:10" x14ac:dyDescent="0.2">
      <c r="A1640" s="1" t="s">
        <v>111</v>
      </c>
      <c r="B1640" s="2" t="s">
        <v>128</v>
      </c>
      <c r="C1640" s="1"/>
      <c r="D1640" s="5" t="s">
        <v>464</v>
      </c>
      <c r="E1640" s="3" t="s">
        <v>465</v>
      </c>
      <c r="F1640" s="3">
        <v>122500</v>
      </c>
      <c r="G1640" s="57" t="str">
        <f t="shared" si="25"/>
        <v>-</v>
      </c>
      <c r="J1640" s="1"/>
    </row>
    <row r="1641" spans="1:10" x14ac:dyDescent="0.2">
      <c r="A1641" s="1" t="s">
        <v>111</v>
      </c>
      <c r="B1641" s="2" t="s">
        <v>128</v>
      </c>
      <c r="C1641" s="1"/>
      <c r="D1641" s="5" t="s">
        <v>464</v>
      </c>
      <c r="E1641" s="3" t="s">
        <v>465</v>
      </c>
      <c r="F1641" s="3">
        <v>127500</v>
      </c>
      <c r="G1641" s="57" t="str">
        <f t="shared" si="25"/>
        <v>-</v>
      </c>
      <c r="J1641" s="1"/>
    </row>
    <row r="1642" spans="1:10" x14ac:dyDescent="0.2">
      <c r="A1642" s="1" t="s">
        <v>111</v>
      </c>
      <c r="B1642" s="2" t="s">
        <v>128</v>
      </c>
      <c r="C1642" s="1"/>
      <c r="D1642" s="5" t="s">
        <v>464</v>
      </c>
      <c r="E1642" s="3" t="s">
        <v>465</v>
      </c>
      <c r="F1642" s="3">
        <v>132500</v>
      </c>
      <c r="G1642" s="57" t="str">
        <f t="shared" si="25"/>
        <v>-</v>
      </c>
      <c r="J1642" s="1"/>
    </row>
    <row r="1643" spans="1:10" x14ac:dyDescent="0.2">
      <c r="A1643" s="1" t="s">
        <v>111</v>
      </c>
      <c r="B1643" s="2" t="s">
        <v>128</v>
      </c>
      <c r="C1643" s="1"/>
      <c r="D1643" s="5" t="s">
        <v>464</v>
      </c>
      <c r="E1643" s="3" t="s">
        <v>465</v>
      </c>
      <c r="F1643" s="3">
        <v>157500</v>
      </c>
      <c r="G1643" s="57" t="str">
        <f t="shared" si="25"/>
        <v>-</v>
      </c>
      <c r="J1643" s="1"/>
    </row>
    <row r="1644" spans="1:10" x14ac:dyDescent="0.2">
      <c r="A1644" s="1" t="s">
        <v>111</v>
      </c>
      <c r="B1644" s="2" t="s">
        <v>128</v>
      </c>
      <c r="C1644" s="1"/>
      <c r="D1644" s="5" t="s">
        <v>464</v>
      </c>
      <c r="E1644" s="3" t="s">
        <v>465</v>
      </c>
      <c r="F1644" s="3">
        <v>202500</v>
      </c>
      <c r="G1644" s="57" t="str">
        <f t="shared" si="25"/>
        <v>-</v>
      </c>
    </row>
    <row r="1645" spans="1:10" ht="25.5" x14ac:dyDescent="0.2">
      <c r="A1645" s="1" t="s">
        <v>25</v>
      </c>
      <c r="B1645" s="2" t="s">
        <v>129</v>
      </c>
      <c r="C1645" s="1" t="s">
        <v>2094</v>
      </c>
      <c r="D1645" s="5" t="s">
        <v>450</v>
      </c>
      <c r="E1645" s="3">
        <v>58636</v>
      </c>
      <c r="F1645" s="3">
        <v>183854</v>
      </c>
      <c r="G1645" s="57">
        <f t="shared" si="25"/>
        <v>2.1355140186915889</v>
      </c>
      <c r="J1645" s="5" t="s">
        <v>4295</v>
      </c>
    </row>
    <row r="1646" spans="1:10" ht="25.5" x14ac:dyDescent="0.2">
      <c r="A1646" s="1" t="s">
        <v>25</v>
      </c>
      <c r="B1646" s="2" t="s">
        <v>129</v>
      </c>
      <c r="C1646" s="1" t="s">
        <v>2095</v>
      </c>
      <c r="D1646" s="5" t="s">
        <v>2096</v>
      </c>
      <c r="E1646" s="3">
        <v>133418</v>
      </c>
      <c r="F1646" s="3">
        <v>164624</v>
      </c>
      <c r="G1646" s="57">
        <f t="shared" si="25"/>
        <v>0.23389647573790642</v>
      </c>
      <c r="J1646" s="5" t="s">
        <v>3947</v>
      </c>
    </row>
    <row r="1647" spans="1:10" ht="25.5" x14ac:dyDescent="0.2">
      <c r="A1647" s="1" t="s">
        <v>25</v>
      </c>
      <c r="B1647" s="2" t="s">
        <v>129</v>
      </c>
      <c r="C1647" s="1" t="s">
        <v>2097</v>
      </c>
      <c r="D1647" s="5" t="s">
        <v>2098</v>
      </c>
      <c r="E1647" s="3">
        <v>178369</v>
      </c>
      <c r="F1647" s="3">
        <v>169722</v>
      </c>
      <c r="G1647" s="57">
        <f t="shared" si="25"/>
        <v>-4.8478154836322458E-2</v>
      </c>
      <c r="J1647" s="5" t="s">
        <v>3948</v>
      </c>
    </row>
    <row r="1648" spans="1:10" ht="25.5" x14ac:dyDescent="0.2">
      <c r="A1648" s="1" t="s">
        <v>25</v>
      </c>
      <c r="B1648" s="2" t="s">
        <v>129</v>
      </c>
      <c r="C1648" s="1" t="s">
        <v>2099</v>
      </c>
      <c r="D1648" s="5" t="s">
        <v>2100</v>
      </c>
      <c r="E1648" s="3">
        <v>163865</v>
      </c>
      <c r="F1648" s="3">
        <v>172383</v>
      </c>
      <c r="G1648" s="57">
        <f t="shared" si="25"/>
        <v>5.1981814298355355E-2</v>
      </c>
      <c r="J1648" s="5" t="s">
        <v>4626</v>
      </c>
    </row>
    <row r="1649" spans="1:10" x14ac:dyDescent="0.2">
      <c r="A1649" s="1" t="s">
        <v>25</v>
      </c>
      <c r="B1649" s="2" t="s">
        <v>129</v>
      </c>
      <c r="C1649" s="1"/>
      <c r="D1649" s="5" t="s">
        <v>464</v>
      </c>
      <c r="G1649" s="57" t="str">
        <f t="shared" si="25"/>
        <v>-</v>
      </c>
      <c r="H1649" s="19">
        <v>92500</v>
      </c>
      <c r="I1649" s="19" t="s">
        <v>465</v>
      </c>
    </row>
    <row r="1650" spans="1:10" x14ac:dyDescent="0.2">
      <c r="A1650" s="1" t="s">
        <v>25</v>
      </c>
      <c r="B1650" s="2" t="s">
        <v>129</v>
      </c>
      <c r="C1650" s="1"/>
      <c r="D1650" s="5" t="s">
        <v>464</v>
      </c>
      <c r="G1650" s="57" t="str">
        <f t="shared" si="25"/>
        <v>-</v>
      </c>
      <c r="H1650" s="19">
        <v>92500</v>
      </c>
      <c r="I1650" s="19" t="s">
        <v>465</v>
      </c>
    </row>
    <row r="1651" spans="1:10" x14ac:dyDescent="0.2">
      <c r="A1651" s="1" t="s">
        <v>25</v>
      </c>
      <c r="B1651" s="2" t="s">
        <v>129</v>
      </c>
      <c r="C1651" s="1"/>
      <c r="D1651" s="5" t="s">
        <v>464</v>
      </c>
      <c r="G1651" s="57" t="str">
        <f t="shared" si="25"/>
        <v>-</v>
      </c>
      <c r="H1651" s="19">
        <v>92500</v>
      </c>
      <c r="I1651" s="19" t="s">
        <v>465</v>
      </c>
    </row>
    <row r="1652" spans="1:10" x14ac:dyDescent="0.2">
      <c r="A1652" s="1" t="s">
        <v>25</v>
      </c>
      <c r="B1652" s="2" t="s">
        <v>129</v>
      </c>
      <c r="C1652" s="1"/>
      <c r="D1652" s="5" t="s">
        <v>464</v>
      </c>
      <c r="G1652" s="57" t="str">
        <f t="shared" si="25"/>
        <v>-</v>
      </c>
      <c r="H1652" s="19">
        <v>92500</v>
      </c>
      <c r="I1652" s="19" t="s">
        <v>465</v>
      </c>
    </row>
    <row r="1653" spans="1:10" x14ac:dyDescent="0.2">
      <c r="A1653" s="1" t="s">
        <v>25</v>
      </c>
      <c r="B1653" s="2" t="s">
        <v>129</v>
      </c>
      <c r="C1653" s="1"/>
      <c r="D1653" s="5" t="s">
        <v>464</v>
      </c>
      <c r="G1653" s="57" t="str">
        <f t="shared" si="25"/>
        <v>-</v>
      </c>
      <c r="H1653" s="19">
        <v>92500</v>
      </c>
      <c r="I1653" s="19" t="s">
        <v>465</v>
      </c>
    </row>
    <row r="1654" spans="1:10" x14ac:dyDescent="0.2">
      <c r="A1654" s="1" t="s">
        <v>25</v>
      </c>
      <c r="B1654" s="2" t="s">
        <v>129</v>
      </c>
      <c r="C1654" s="1"/>
      <c r="D1654" s="5" t="s">
        <v>464</v>
      </c>
      <c r="G1654" s="57" t="str">
        <f t="shared" si="25"/>
        <v>-</v>
      </c>
      <c r="H1654" s="19">
        <v>92500</v>
      </c>
      <c r="I1654" s="19" t="s">
        <v>465</v>
      </c>
    </row>
    <row r="1655" spans="1:10" x14ac:dyDescent="0.2">
      <c r="A1655" s="1" t="s">
        <v>25</v>
      </c>
      <c r="B1655" s="2" t="s">
        <v>129</v>
      </c>
      <c r="C1655" s="1"/>
      <c r="D1655" s="5" t="s">
        <v>464</v>
      </c>
      <c r="G1655" s="57" t="str">
        <f t="shared" si="25"/>
        <v>-</v>
      </c>
      <c r="H1655" s="19">
        <v>97500</v>
      </c>
      <c r="I1655" s="19" t="s">
        <v>465</v>
      </c>
    </row>
    <row r="1656" spans="1:10" x14ac:dyDescent="0.2">
      <c r="A1656" s="1" t="s">
        <v>25</v>
      </c>
      <c r="B1656" s="2" t="s">
        <v>129</v>
      </c>
      <c r="C1656" s="1"/>
      <c r="D1656" s="5" t="s">
        <v>464</v>
      </c>
      <c r="G1656" s="57" t="str">
        <f t="shared" si="25"/>
        <v>-</v>
      </c>
      <c r="H1656" s="19">
        <v>97500</v>
      </c>
      <c r="I1656" s="19" t="s">
        <v>465</v>
      </c>
    </row>
    <row r="1657" spans="1:10" x14ac:dyDescent="0.2">
      <c r="A1657" s="1" t="s">
        <v>25</v>
      </c>
      <c r="B1657" s="2" t="s">
        <v>129</v>
      </c>
      <c r="C1657" s="1"/>
      <c r="D1657" s="5" t="s">
        <v>464</v>
      </c>
      <c r="G1657" s="57" t="str">
        <f t="shared" si="25"/>
        <v>-</v>
      </c>
      <c r="H1657" s="19">
        <v>97500</v>
      </c>
      <c r="I1657" s="19" t="s">
        <v>465</v>
      </c>
    </row>
    <row r="1658" spans="1:10" x14ac:dyDescent="0.2">
      <c r="A1658" s="1" t="s">
        <v>25</v>
      </c>
      <c r="B1658" s="2" t="s">
        <v>129</v>
      </c>
      <c r="C1658" s="1"/>
      <c r="D1658" s="5" t="s">
        <v>464</v>
      </c>
      <c r="G1658" s="57" t="str">
        <f t="shared" si="25"/>
        <v>-</v>
      </c>
      <c r="H1658" s="19" t="s">
        <v>465</v>
      </c>
      <c r="I1658" s="19">
        <v>92500</v>
      </c>
    </row>
    <row r="1659" spans="1:10" x14ac:dyDescent="0.2">
      <c r="A1659" s="1" t="s">
        <v>25</v>
      </c>
      <c r="B1659" s="2" t="s">
        <v>129</v>
      </c>
      <c r="C1659" s="1"/>
      <c r="D1659" s="5" t="s">
        <v>464</v>
      </c>
      <c r="G1659" s="57" t="str">
        <f t="shared" si="25"/>
        <v>-</v>
      </c>
      <c r="H1659" s="19" t="s">
        <v>465</v>
      </c>
      <c r="I1659" s="19">
        <v>92500</v>
      </c>
      <c r="J1659" s="1"/>
    </row>
    <row r="1660" spans="1:10" x14ac:dyDescent="0.2">
      <c r="A1660" s="1" t="s">
        <v>25</v>
      </c>
      <c r="B1660" s="2" t="s">
        <v>129</v>
      </c>
      <c r="C1660" s="1"/>
      <c r="D1660" s="5" t="s">
        <v>464</v>
      </c>
      <c r="G1660" s="57" t="str">
        <f t="shared" si="25"/>
        <v>-</v>
      </c>
      <c r="H1660" s="19" t="s">
        <v>465</v>
      </c>
      <c r="I1660" s="19">
        <v>92500</v>
      </c>
      <c r="J1660" s="1"/>
    </row>
    <row r="1661" spans="1:10" x14ac:dyDescent="0.2">
      <c r="A1661" s="1" t="s">
        <v>25</v>
      </c>
      <c r="B1661" s="2" t="s">
        <v>129</v>
      </c>
      <c r="C1661" s="1"/>
      <c r="D1661" s="5" t="s">
        <v>464</v>
      </c>
      <c r="G1661" s="57" t="str">
        <f t="shared" si="25"/>
        <v>-</v>
      </c>
      <c r="H1661" s="19" t="s">
        <v>465</v>
      </c>
      <c r="I1661" s="19">
        <v>92500</v>
      </c>
      <c r="J1661" s="1"/>
    </row>
    <row r="1662" spans="1:10" x14ac:dyDescent="0.2">
      <c r="A1662" s="1" t="s">
        <v>25</v>
      </c>
      <c r="B1662" s="2" t="s">
        <v>129</v>
      </c>
      <c r="C1662" s="1"/>
      <c r="D1662" s="5" t="s">
        <v>464</v>
      </c>
      <c r="G1662" s="57" t="str">
        <f t="shared" si="25"/>
        <v>-</v>
      </c>
      <c r="H1662" s="19" t="s">
        <v>465</v>
      </c>
      <c r="I1662" s="19">
        <v>92500</v>
      </c>
      <c r="J1662" s="1"/>
    </row>
    <row r="1663" spans="1:10" x14ac:dyDescent="0.2">
      <c r="A1663" s="1" t="s">
        <v>25</v>
      </c>
      <c r="B1663" s="2" t="s">
        <v>129</v>
      </c>
      <c r="C1663" s="1"/>
      <c r="D1663" s="5" t="s">
        <v>464</v>
      </c>
      <c r="G1663" s="57" t="str">
        <f t="shared" si="25"/>
        <v>-</v>
      </c>
      <c r="H1663" s="19" t="s">
        <v>465</v>
      </c>
      <c r="I1663" s="19">
        <v>97500</v>
      </c>
      <c r="J1663" s="1"/>
    </row>
    <row r="1664" spans="1:10" x14ac:dyDescent="0.2">
      <c r="A1664" s="1" t="s">
        <v>25</v>
      </c>
      <c r="B1664" s="2" t="s">
        <v>129</v>
      </c>
      <c r="C1664" s="1"/>
      <c r="D1664" s="5" t="s">
        <v>464</v>
      </c>
      <c r="G1664" s="57" t="str">
        <f t="shared" si="25"/>
        <v>-</v>
      </c>
      <c r="H1664" s="19" t="s">
        <v>465</v>
      </c>
      <c r="I1664" s="19">
        <v>97500</v>
      </c>
      <c r="J1664" s="1"/>
    </row>
    <row r="1665" spans="1:10" x14ac:dyDescent="0.2">
      <c r="A1665" s="1" t="s">
        <v>25</v>
      </c>
      <c r="B1665" s="2" t="s">
        <v>129</v>
      </c>
      <c r="C1665" s="1"/>
      <c r="D1665" s="5" t="s">
        <v>464</v>
      </c>
      <c r="G1665" s="57" t="str">
        <f t="shared" si="25"/>
        <v>-</v>
      </c>
      <c r="H1665" s="19" t="s">
        <v>465</v>
      </c>
      <c r="I1665" s="19">
        <v>97500</v>
      </c>
      <c r="J1665" s="1"/>
    </row>
    <row r="1666" spans="1:10" x14ac:dyDescent="0.2">
      <c r="A1666" s="1" t="s">
        <v>25</v>
      </c>
      <c r="B1666" s="2" t="s">
        <v>129</v>
      </c>
      <c r="C1666" s="1"/>
      <c r="D1666" s="5" t="s">
        <v>464</v>
      </c>
      <c r="G1666" s="57" t="str">
        <f t="shared" si="25"/>
        <v>-</v>
      </c>
      <c r="H1666" s="19" t="s">
        <v>465</v>
      </c>
      <c r="I1666" s="19">
        <v>97500</v>
      </c>
      <c r="J1666" s="1"/>
    </row>
    <row r="1667" spans="1:10" x14ac:dyDescent="0.2">
      <c r="A1667" s="1" t="s">
        <v>25</v>
      </c>
      <c r="B1667" s="2" t="s">
        <v>129</v>
      </c>
      <c r="C1667" s="1"/>
      <c r="D1667" s="5" t="s">
        <v>464</v>
      </c>
      <c r="G1667" s="57" t="str">
        <f t="shared" ref="G1667:G1730" si="26">IF(ISERROR((F1667-E1667)/E1667),"-",(F1667-E1667)/E1667)</f>
        <v>-</v>
      </c>
      <c r="H1667" s="19" t="s">
        <v>465</v>
      </c>
      <c r="I1667" s="19">
        <v>97500</v>
      </c>
      <c r="J1667" s="1"/>
    </row>
    <row r="1668" spans="1:10" x14ac:dyDescent="0.2">
      <c r="A1668" s="1" t="s">
        <v>25</v>
      </c>
      <c r="B1668" s="2" t="s">
        <v>129</v>
      </c>
      <c r="C1668" s="1"/>
      <c r="D1668" s="5" t="s">
        <v>464</v>
      </c>
      <c r="G1668" s="57" t="str">
        <f t="shared" si="26"/>
        <v>-</v>
      </c>
      <c r="H1668" s="19" t="s">
        <v>465</v>
      </c>
      <c r="I1668" s="19">
        <v>97500</v>
      </c>
      <c r="J1668" s="1"/>
    </row>
    <row r="1669" spans="1:10" x14ac:dyDescent="0.2">
      <c r="A1669" s="1" t="s">
        <v>25</v>
      </c>
      <c r="B1669" s="2" t="s">
        <v>129</v>
      </c>
      <c r="C1669" s="1"/>
      <c r="D1669" s="5" t="s">
        <v>464</v>
      </c>
      <c r="E1669" s="3">
        <v>102500</v>
      </c>
      <c r="F1669" s="3" t="s">
        <v>465</v>
      </c>
      <c r="G1669" s="57" t="str">
        <f t="shared" si="26"/>
        <v>-</v>
      </c>
      <c r="J1669" s="1"/>
    </row>
    <row r="1670" spans="1:10" x14ac:dyDescent="0.2">
      <c r="A1670" s="1" t="s">
        <v>25</v>
      </c>
      <c r="B1670" s="2" t="s">
        <v>129</v>
      </c>
      <c r="C1670" s="1"/>
      <c r="D1670" s="5" t="s">
        <v>464</v>
      </c>
      <c r="E1670" s="3">
        <v>102500</v>
      </c>
      <c r="F1670" s="3" t="s">
        <v>465</v>
      </c>
      <c r="G1670" s="57" t="str">
        <f t="shared" si="26"/>
        <v>-</v>
      </c>
      <c r="J1670" s="1"/>
    </row>
    <row r="1671" spans="1:10" x14ac:dyDescent="0.2">
      <c r="A1671" s="1" t="s">
        <v>25</v>
      </c>
      <c r="B1671" s="2" t="s">
        <v>129</v>
      </c>
      <c r="C1671" s="1"/>
      <c r="D1671" s="5" t="s">
        <v>464</v>
      </c>
      <c r="E1671" s="3">
        <v>102500</v>
      </c>
      <c r="F1671" s="3" t="s">
        <v>465</v>
      </c>
      <c r="G1671" s="57" t="str">
        <f t="shared" si="26"/>
        <v>-</v>
      </c>
      <c r="J1671" s="1"/>
    </row>
    <row r="1672" spans="1:10" x14ac:dyDescent="0.2">
      <c r="A1672" s="1" t="s">
        <v>25</v>
      </c>
      <c r="B1672" s="2" t="s">
        <v>129</v>
      </c>
      <c r="C1672" s="1"/>
      <c r="D1672" s="5" t="s">
        <v>464</v>
      </c>
      <c r="E1672" s="3">
        <v>107500</v>
      </c>
      <c r="F1672" s="3" t="s">
        <v>465</v>
      </c>
      <c r="G1672" s="57" t="str">
        <f t="shared" si="26"/>
        <v>-</v>
      </c>
      <c r="J1672" s="1"/>
    </row>
    <row r="1673" spans="1:10" x14ac:dyDescent="0.2">
      <c r="A1673" s="1" t="s">
        <v>25</v>
      </c>
      <c r="B1673" s="2" t="s">
        <v>129</v>
      </c>
      <c r="C1673" s="1"/>
      <c r="D1673" s="5" t="s">
        <v>464</v>
      </c>
      <c r="E1673" s="3">
        <v>112500</v>
      </c>
      <c r="F1673" s="3" t="s">
        <v>465</v>
      </c>
      <c r="G1673" s="57" t="str">
        <f t="shared" si="26"/>
        <v>-</v>
      </c>
      <c r="J1673" s="1"/>
    </row>
    <row r="1674" spans="1:10" x14ac:dyDescent="0.2">
      <c r="A1674" s="1" t="s">
        <v>25</v>
      </c>
      <c r="B1674" s="2" t="s">
        <v>129</v>
      </c>
      <c r="C1674" s="1"/>
      <c r="D1674" s="5" t="s">
        <v>464</v>
      </c>
      <c r="E1674" s="3">
        <v>112500</v>
      </c>
      <c r="F1674" s="3" t="s">
        <v>465</v>
      </c>
      <c r="G1674" s="57" t="str">
        <f t="shared" si="26"/>
        <v>-</v>
      </c>
      <c r="J1674" s="1"/>
    </row>
    <row r="1675" spans="1:10" x14ac:dyDescent="0.2">
      <c r="A1675" s="1" t="s">
        <v>25</v>
      </c>
      <c r="B1675" s="2" t="s">
        <v>129</v>
      </c>
      <c r="C1675" s="1"/>
      <c r="D1675" s="5" t="s">
        <v>464</v>
      </c>
      <c r="E1675" s="3">
        <v>112500</v>
      </c>
      <c r="F1675" s="3" t="s">
        <v>465</v>
      </c>
      <c r="G1675" s="57" t="str">
        <f t="shared" si="26"/>
        <v>-</v>
      </c>
      <c r="J1675" s="1"/>
    </row>
    <row r="1676" spans="1:10" x14ac:dyDescent="0.2">
      <c r="A1676" s="1" t="s">
        <v>25</v>
      </c>
      <c r="B1676" s="2" t="s">
        <v>129</v>
      </c>
      <c r="C1676" s="1"/>
      <c r="D1676" s="5" t="s">
        <v>464</v>
      </c>
      <c r="E1676" s="3">
        <v>117500</v>
      </c>
      <c r="F1676" s="3" t="s">
        <v>465</v>
      </c>
      <c r="G1676" s="57" t="str">
        <f t="shared" si="26"/>
        <v>-</v>
      </c>
      <c r="J1676" s="1"/>
    </row>
    <row r="1677" spans="1:10" x14ac:dyDescent="0.2">
      <c r="A1677" s="1" t="s">
        <v>25</v>
      </c>
      <c r="B1677" s="2" t="s">
        <v>129</v>
      </c>
      <c r="C1677" s="1"/>
      <c r="D1677" s="5" t="s">
        <v>464</v>
      </c>
      <c r="E1677" s="3">
        <v>117500</v>
      </c>
      <c r="F1677" s="3" t="s">
        <v>465</v>
      </c>
      <c r="G1677" s="57" t="str">
        <f t="shared" si="26"/>
        <v>-</v>
      </c>
      <c r="J1677" s="1"/>
    </row>
    <row r="1678" spans="1:10" x14ac:dyDescent="0.2">
      <c r="A1678" s="1" t="s">
        <v>25</v>
      </c>
      <c r="B1678" s="2" t="s">
        <v>129</v>
      </c>
      <c r="C1678" s="1"/>
      <c r="D1678" s="5" t="s">
        <v>464</v>
      </c>
      <c r="E1678" s="3">
        <v>127500</v>
      </c>
      <c r="F1678" s="3" t="s">
        <v>465</v>
      </c>
      <c r="G1678" s="57" t="str">
        <f t="shared" si="26"/>
        <v>-</v>
      </c>
      <c r="J1678" s="1"/>
    </row>
    <row r="1679" spans="1:10" x14ac:dyDescent="0.2">
      <c r="A1679" s="1" t="s">
        <v>25</v>
      </c>
      <c r="B1679" s="2" t="s">
        <v>129</v>
      </c>
      <c r="C1679" s="1"/>
      <c r="D1679" s="5" t="s">
        <v>464</v>
      </c>
      <c r="E1679" s="3">
        <v>127500</v>
      </c>
      <c r="F1679" s="3" t="s">
        <v>465</v>
      </c>
      <c r="G1679" s="57" t="str">
        <f t="shared" si="26"/>
        <v>-</v>
      </c>
      <c r="J1679" s="1"/>
    </row>
    <row r="1680" spans="1:10" x14ac:dyDescent="0.2">
      <c r="A1680" s="1" t="s">
        <v>25</v>
      </c>
      <c r="B1680" s="2" t="s">
        <v>129</v>
      </c>
      <c r="C1680" s="1"/>
      <c r="D1680" s="5" t="s">
        <v>464</v>
      </c>
      <c r="E1680" s="3">
        <v>137500</v>
      </c>
      <c r="F1680" s="3" t="s">
        <v>465</v>
      </c>
      <c r="G1680" s="57" t="str">
        <f t="shared" si="26"/>
        <v>-</v>
      </c>
      <c r="J1680" s="1"/>
    </row>
    <row r="1681" spans="1:10" x14ac:dyDescent="0.2">
      <c r="A1681" s="1" t="s">
        <v>25</v>
      </c>
      <c r="B1681" s="2" t="s">
        <v>129</v>
      </c>
      <c r="C1681" s="1"/>
      <c r="D1681" s="5" t="s">
        <v>464</v>
      </c>
      <c r="E1681" s="3">
        <v>142500</v>
      </c>
      <c r="F1681" s="3" t="s">
        <v>465</v>
      </c>
      <c r="G1681" s="57" t="str">
        <f t="shared" si="26"/>
        <v>-</v>
      </c>
      <c r="J1681" s="1"/>
    </row>
    <row r="1682" spans="1:10" x14ac:dyDescent="0.2">
      <c r="A1682" s="1" t="s">
        <v>25</v>
      </c>
      <c r="B1682" s="2" t="s">
        <v>129</v>
      </c>
      <c r="C1682" s="1"/>
      <c r="D1682" s="5" t="s">
        <v>464</v>
      </c>
      <c r="E1682" s="3">
        <v>152500</v>
      </c>
      <c r="F1682" s="3" t="s">
        <v>465</v>
      </c>
      <c r="G1682" s="57" t="str">
        <f t="shared" si="26"/>
        <v>-</v>
      </c>
      <c r="J1682" s="1"/>
    </row>
    <row r="1683" spans="1:10" x14ac:dyDescent="0.2">
      <c r="A1683" s="1" t="s">
        <v>25</v>
      </c>
      <c r="B1683" s="2" t="s">
        <v>129</v>
      </c>
      <c r="C1683" s="1"/>
      <c r="D1683" s="5" t="s">
        <v>464</v>
      </c>
      <c r="E1683" s="3" t="s">
        <v>465</v>
      </c>
      <c r="F1683" s="3">
        <v>102500</v>
      </c>
      <c r="G1683" s="57" t="str">
        <f t="shared" si="26"/>
        <v>-</v>
      </c>
      <c r="J1683" s="1"/>
    </row>
    <row r="1684" spans="1:10" x14ac:dyDescent="0.2">
      <c r="A1684" s="1" t="s">
        <v>25</v>
      </c>
      <c r="B1684" s="2" t="s">
        <v>129</v>
      </c>
      <c r="C1684" s="1"/>
      <c r="D1684" s="5" t="s">
        <v>464</v>
      </c>
      <c r="E1684" s="3" t="s">
        <v>465</v>
      </c>
      <c r="F1684" s="3">
        <v>107500</v>
      </c>
      <c r="G1684" s="57" t="str">
        <f t="shared" si="26"/>
        <v>-</v>
      </c>
      <c r="J1684" s="1"/>
    </row>
    <row r="1685" spans="1:10" x14ac:dyDescent="0.2">
      <c r="A1685" s="1" t="s">
        <v>25</v>
      </c>
      <c r="B1685" s="2" t="s">
        <v>129</v>
      </c>
      <c r="C1685" s="1"/>
      <c r="D1685" s="5" t="s">
        <v>464</v>
      </c>
      <c r="E1685" s="3" t="s">
        <v>465</v>
      </c>
      <c r="F1685" s="3">
        <v>107500</v>
      </c>
      <c r="G1685" s="57" t="str">
        <f t="shared" si="26"/>
        <v>-</v>
      </c>
      <c r="J1685" s="1"/>
    </row>
    <row r="1686" spans="1:10" x14ac:dyDescent="0.2">
      <c r="A1686" s="1" t="s">
        <v>25</v>
      </c>
      <c r="B1686" s="2" t="s">
        <v>129</v>
      </c>
      <c r="C1686" s="1"/>
      <c r="D1686" s="5" t="s">
        <v>464</v>
      </c>
      <c r="E1686" s="3" t="s">
        <v>465</v>
      </c>
      <c r="F1686" s="3">
        <v>107500</v>
      </c>
      <c r="G1686" s="57" t="str">
        <f t="shared" si="26"/>
        <v>-</v>
      </c>
      <c r="J1686" s="1"/>
    </row>
    <row r="1687" spans="1:10" x14ac:dyDescent="0.2">
      <c r="A1687" s="1" t="s">
        <v>25</v>
      </c>
      <c r="B1687" s="2" t="s">
        <v>129</v>
      </c>
      <c r="C1687" s="1"/>
      <c r="D1687" s="5" t="s">
        <v>464</v>
      </c>
      <c r="E1687" s="3" t="s">
        <v>465</v>
      </c>
      <c r="F1687" s="3">
        <v>107500</v>
      </c>
      <c r="G1687" s="57" t="str">
        <f t="shared" si="26"/>
        <v>-</v>
      </c>
      <c r="J1687" s="1"/>
    </row>
    <row r="1688" spans="1:10" x14ac:dyDescent="0.2">
      <c r="A1688" s="1" t="s">
        <v>25</v>
      </c>
      <c r="B1688" s="2" t="s">
        <v>129</v>
      </c>
      <c r="C1688" s="1"/>
      <c r="D1688" s="5" t="s">
        <v>464</v>
      </c>
      <c r="E1688" s="3" t="s">
        <v>465</v>
      </c>
      <c r="F1688" s="3">
        <v>107500</v>
      </c>
      <c r="G1688" s="57" t="str">
        <f t="shared" si="26"/>
        <v>-</v>
      </c>
      <c r="J1688" s="1"/>
    </row>
    <row r="1689" spans="1:10" x14ac:dyDescent="0.2">
      <c r="A1689" s="1" t="s">
        <v>25</v>
      </c>
      <c r="B1689" s="2" t="s">
        <v>129</v>
      </c>
      <c r="C1689" s="1"/>
      <c r="D1689" s="5" t="s">
        <v>464</v>
      </c>
      <c r="E1689" s="3" t="s">
        <v>465</v>
      </c>
      <c r="F1689" s="3">
        <v>112500</v>
      </c>
      <c r="G1689" s="57" t="str">
        <f t="shared" si="26"/>
        <v>-</v>
      </c>
      <c r="J1689" s="1"/>
    </row>
    <row r="1690" spans="1:10" x14ac:dyDescent="0.2">
      <c r="A1690" s="1" t="s">
        <v>25</v>
      </c>
      <c r="B1690" s="2" t="s">
        <v>129</v>
      </c>
      <c r="C1690" s="1"/>
      <c r="D1690" s="5" t="s">
        <v>464</v>
      </c>
      <c r="E1690" s="3" t="s">
        <v>465</v>
      </c>
      <c r="F1690" s="3">
        <v>112500</v>
      </c>
      <c r="G1690" s="57" t="str">
        <f t="shared" si="26"/>
        <v>-</v>
      </c>
    </row>
    <row r="1691" spans="1:10" x14ac:dyDescent="0.2">
      <c r="A1691" s="1" t="s">
        <v>25</v>
      </c>
      <c r="B1691" s="2" t="s">
        <v>129</v>
      </c>
      <c r="C1691" s="1"/>
      <c r="D1691" s="5" t="s">
        <v>464</v>
      </c>
      <c r="E1691" s="3" t="s">
        <v>465</v>
      </c>
      <c r="F1691" s="3">
        <v>112500</v>
      </c>
      <c r="G1691" s="57" t="str">
        <f t="shared" si="26"/>
        <v>-</v>
      </c>
    </row>
    <row r="1692" spans="1:10" x14ac:dyDescent="0.2">
      <c r="A1692" s="1" t="s">
        <v>25</v>
      </c>
      <c r="B1692" s="2" t="s">
        <v>129</v>
      </c>
      <c r="C1692" s="1"/>
      <c r="D1692" s="5" t="s">
        <v>464</v>
      </c>
      <c r="E1692" s="3" t="s">
        <v>465</v>
      </c>
      <c r="F1692" s="3">
        <v>117500</v>
      </c>
      <c r="G1692" s="57" t="str">
        <f t="shared" si="26"/>
        <v>-</v>
      </c>
    </row>
    <row r="1693" spans="1:10" x14ac:dyDescent="0.2">
      <c r="A1693" s="1" t="s">
        <v>25</v>
      </c>
      <c r="B1693" s="2" t="s">
        <v>129</v>
      </c>
      <c r="C1693" s="1"/>
      <c r="D1693" s="5" t="s">
        <v>464</v>
      </c>
      <c r="E1693" s="3" t="s">
        <v>465</v>
      </c>
      <c r="F1693" s="3">
        <v>122500</v>
      </c>
      <c r="G1693" s="57" t="str">
        <f t="shared" si="26"/>
        <v>-</v>
      </c>
    </row>
    <row r="1694" spans="1:10" ht="25.5" x14ac:dyDescent="0.2">
      <c r="A1694" s="1" t="s">
        <v>1</v>
      </c>
      <c r="B1694" s="2" t="s">
        <v>130</v>
      </c>
      <c r="C1694" s="1" t="s">
        <v>2085</v>
      </c>
      <c r="D1694" s="5" t="s">
        <v>450</v>
      </c>
      <c r="E1694" s="3">
        <f>124257+21496</f>
        <v>145753</v>
      </c>
      <c r="F1694" s="3">
        <f>123213+22425</f>
        <v>145638</v>
      </c>
      <c r="G1694" s="57">
        <f t="shared" si="26"/>
        <v>-7.8900605819434244E-4</v>
      </c>
      <c r="J1694" s="5" t="s">
        <v>3949</v>
      </c>
    </row>
    <row r="1695" spans="1:10" ht="25.5" x14ac:dyDescent="0.2">
      <c r="A1695" s="1" t="s">
        <v>1</v>
      </c>
      <c r="B1695" s="2" t="s">
        <v>130</v>
      </c>
      <c r="C1695" s="1" t="s">
        <v>2086</v>
      </c>
      <c r="D1695" s="5" t="s">
        <v>2087</v>
      </c>
      <c r="E1695" s="3">
        <f>107128+18533</f>
        <v>125661</v>
      </c>
      <c r="F1695" s="3">
        <f>109796+19983</f>
        <v>129779</v>
      </c>
      <c r="G1695" s="57">
        <f t="shared" si="26"/>
        <v>3.2770708493486442E-2</v>
      </c>
      <c r="J1695" s="5" t="s">
        <v>3950</v>
      </c>
    </row>
    <row r="1696" spans="1:10" ht="25.5" x14ac:dyDescent="0.2">
      <c r="A1696" s="1" t="s">
        <v>1</v>
      </c>
      <c r="B1696" s="2" t="s">
        <v>130</v>
      </c>
      <c r="C1696" s="1" t="s">
        <v>2088</v>
      </c>
      <c r="D1696" s="5" t="s">
        <v>2089</v>
      </c>
      <c r="E1696" s="3">
        <f>99819+17080</f>
        <v>116899</v>
      </c>
      <c r="F1696" s="3">
        <f>102288+18416</f>
        <v>120704</v>
      </c>
      <c r="G1696" s="57">
        <f t="shared" si="26"/>
        <v>3.254946577815037E-2</v>
      </c>
      <c r="J1696" s="5" t="s">
        <v>3951</v>
      </c>
    </row>
    <row r="1697" spans="1:10" ht="51" x14ac:dyDescent="0.2">
      <c r="A1697" s="1" t="s">
        <v>1</v>
      </c>
      <c r="B1697" s="2" t="s">
        <v>130</v>
      </c>
      <c r="C1697" s="1" t="s">
        <v>2090</v>
      </c>
      <c r="D1697" s="5" t="s">
        <v>2091</v>
      </c>
      <c r="E1697" s="3">
        <f>90896+15630</f>
        <v>106526</v>
      </c>
      <c r="F1697" s="3">
        <f>101604+18399</f>
        <v>120003</v>
      </c>
      <c r="G1697" s="57">
        <f t="shared" si="26"/>
        <v>0.12651371496160563</v>
      </c>
      <c r="J1697" s="5" t="s">
        <v>4296</v>
      </c>
    </row>
    <row r="1698" spans="1:10" ht="102" x14ac:dyDescent="0.2">
      <c r="A1698" s="1" t="s">
        <v>1</v>
      </c>
      <c r="B1698" s="2" t="s">
        <v>130</v>
      </c>
      <c r="C1698" s="1" t="s">
        <v>2092</v>
      </c>
      <c r="D1698" s="5" t="s">
        <v>2093</v>
      </c>
      <c r="E1698" s="3">
        <f>45589+8721</f>
        <v>54310</v>
      </c>
      <c r="F1698" s="3">
        <f>90318+10091</f>
        <v>100409</v>
      </c>
      <c r="G1698" s="57">
        <f t="shared" si="26"/>
        <v>0.84881237341189464</v>
      </c>
      <c r="J1698" s="5" t="s">
        <v>4627</v>
      </c>
    </row>
    <row r="1699" spans="1:10" x14ac:dyDescent="0.2">
      <c r="A1699" s="1" t="s">
        <v>1</v>
      </c>
      <c r="B1699" s="2" t="s">
        <v>130</v>
      </c>
      <c r="C1699" s="1"/>
      <c r="D1699" s="5" t="s">
        <v>464</v>
      </c>
      <c r="G1699" s="57" t="str">
        <f t="shared" si="26"/>
        <v>-</v>
      </c>
      <c r="H1699" s="19">
        <v>92500</v>
      </c>
      <c r="I1699" s="19" t="s">
        <v>465</v>
      </c>
    </row>
    <row r="1700" spans="1:10" x14ac:dyDescent="0.2">
      <c r="A1700" s="1" t="s">
        <v>1</v>
      </c>
      <c r="B1700" s="2" t="s">
        <v>130</v>
      </c>
      <c r="C1700" s="1"/>
      <c r="D1700" s="5" t="s">
        <v>464</v>
      </c>
      <c r="G1700" s="57" t="str">
        <f t="shared" si="26"/>
        <v>-</v>
      </c>
      <c r="H1700" s="19" t="s">
        <v>465</v>
      </c>
      <c r="I1700" s="19">
        <v>92500</v>
      </c>
    </row>
    <row r="1701" spans="1:10" x14ac:dyDescent="0.2">
      <c r="A1701" s="1" t="s">
        <v>1</v>
      </c>
      <c r="B1701" s="2" t="s">
        <v>130</v>
      </c>
      <c r="C1701" s="1"/>
      <c r="D1701" s="5" t="s">
        <v>464</v>
      </c>
      <c r="G1701" s="57" t="str">
        <f t="shared" si="26"/>
        <v>-</v>
      </c>
      <c r="H1701" s="19" t="s">
        <v>465</v>
      </c>
      <c r="I1701" s="19">
        <v>97500</v>
      </c>
    </row>
    <row r="1702" spans="1:10" x14ac:dyDescent="0.2">
      <c r="A1702" s="1" t="s">
        <v>1</v>
      </c>
      <c r="B1702" s="2" t="s">
        <v>130</v>
      </c>
      <c r="C1702" s="1"/>
      <c r="D1702" s="5" t="s">
        <v>464</v>
      </c>
      <c r="E1702" s="3">
        <v>117500</v>
      </c>
      <c r="F1702" s="3" t="s">
        <v>465</v>
      </c>
      <c r="G1702" s="57" t="str">
        <f t="shared" si="26"/>
        <v>-</v>
      </c>
    </row>
    <row r="1703" spans="1:10" ht="38.25" x14ac:dyDescent="0.2">
      <c r="A1703" s="1" t="s">
        <v>20</v>
      </c>
      <c r="B1703" s="2" t="s">
        <v>131</v>
      </c>
      <c r="C1703" s="1"/>
      <c r="D1703" s="5" t="s">
        <v>450</v>
      </c>
      <c r="E1703" s="3">
        <v>153539</v>
      </c>
      <c r="F1703" s="3">
        <v>158365</v>
      </c>
      <c r="G1703" s="57">
        <f t="shared" si="26"/>
        <v>3.1431753495854475E-2</v>
      </c>
      <c r="J1703" s="5" t="s">
        <v>3952</v>
      </c>
    </row>
    <row r="1704" spans="1:10" ht="38.25" x14ac:dyDescent="0.2">
      <c r="A1704" s="1" t="s">
        <v>20</v>
      </c>
      <c r="B1704" s="2" t="s">
        <v>131</v>
      </c>
      <c r="C1704" s="1"/>
      <c r="D1704" s="5" t="s">
        <v>455</v>
      </c>
      <c r="E1704" s="3">
        <v>119441</v>
      </c>
      <c r="F1704" s="3">
        <v>126651</v>
      </c>
      <c r="G1704" s="57">
        <f t="shared" si="26"/>
        <v>6.0364531442302055E-2</v>
      </c>
      <c r="J1704" s="5" t="s">
        <v>3953</v>
      </c>
    </row>
    <row r="1705" spans="1:10" ht="25.5" x14ac:dyDescent="0.2">
      <c r="A1705" s="1" t="s">
        <v>20</v>
      </c>
      <c r="B1705" s="2" t="s">
        <v>131</v>
      </c>
      <c r="C1705" s="1"/>
      <c r="D1705" s="5" t="s">
        <v>529</v>
      </c>
      <c r="E1705" s="3">
        <v>115459</v>
      </c>
      <c r="F1705" s="3">
        <v>10372</v>
      </c>
      <c r="G1705" s="57">
        <f t="shared" si="26"/>
        <v>-0.91016724551572414</v>
      </c>
      <c r="J1705" s="5" t="s">
        <v>4297</v>
      </c>
    </row>
    <row r="1706" spans="1:10" ht="51" x14ac:dyDescent="0.2">
      <c r="A1706" s="1" t="s">
        <v>20</v>
      </c>
      <c r="B1706" s="2" t="s">
        <v>131</v>
      </c>
      <c r="C1706" s="1"/>
      <c r="D1706" s="5" t="s">
        <v>2084</v>
      </c>
      <c r="E1706" s="3">
        <v>60381</v>
      </c>
      <c r="F1706" s="3">
        <v>107943</v>
      </c>
      <c r="G1706" s="57">
        <f t="shared" si="26"/>
        <v>0.78769811695732106</v>
      </c>
      <c r="J1706" s="5" t="s">
        <v>4298</v>
      </c>
    </row>
    <row r="1707" spans="1:10" ht="63.75" customHeight="1" x14ac:dyDescent="0.2">
      <c r="A1707" s="1" t="s">
        <v>34</v>
      </c>
      <c r="B1707" s="2" t="s">
        <v>132</v>
      </c>
      <c r="C1707" s="1"/>
      <c r="D1707" s="5" t="s">
        <v>4300</v>
      </c>
      <c r="E1707" s="3">
        <v>128745</v>
      </c>
      <c r="F1707" s="3">
        <v>142453</v>
      </c>
      <c r="G1707" s="57">
        <f t="shared" si="26"/>
        <v>0.10647403782671172</v>
      </c>
      <c r="J1707" s="5" t="s">
        <v>4299</v>
      </c>
    </row>
    <row r="1708" spans="1:10" ht="25.5" x14ac:dyDescent="0.2">
      <c r="A1708" s="1" t="s">
        <v>34</v>
      </c>
      <c r="B1708" s="2" t="s">
        <v>132</v>
      </c>
      <c r="C1708" s="1" t="s">
        <v>2082</v>
      </c>
      <c r="D1708" s="5" t="s">
        <v>468</v>
      </c>
      <c r="E1708" s="3">
        <v>95875</v>
      </c>
      <c r="F1708" s="3">
        <v>200751</v>
      </c>
      <c r="G1708" s="57">
        <f t="shared" si="26"/>
        <v>1.0938826597131681</v>
      </c>
      <c r="J1708" s="5" t="s">
        <v>3954</v>
      </c>
    </row>
    <row r="1709" spans="1:10" ht="38.25" x14ac:dyDescent="0.2">
      <c r="A1709" s="1" t="s">
        <v>34</v>
      </c>
      <c r="B1709" s="2" t="s">
        <v>132</v>
      </c>
      <c r="C1709" s="1" t="s">
        <v>2083</v>
      </c>
      <c r="D1709" s="5" t="s">
        <v>468</v>
      </c>
      <c r="E1709" s="3">
        <v>95999</v>
      </c>
      <c r="F1709" s="3">
        <v>200751</v>
      </c>
      <c r="G1709" s="57">
        <f t="shared" si="26"/>
        <v>1.0911780331045116</v>
      </c>
      <c r="J1709" s="5" t="s">
        <v>4301</v>
      </c>
    </row>
    <row r="1710" spans="1:10" ht="25.5" x14ac:dyDescent="0.2">
      <c r="A1710" s="1" t="s">
        <v>34</v>
      </c>
      <c r="B1710" s="2" t="s">
        <v>133</v>
      </c>
      <c r="C1710" s="1"/>
      <c r="D1710" s="5" t="s">
        <v>450</v>
      </c>
      <c r="E1710" s="3">
        <v>77390</v>
      </c>
      <c r="F1710" s="3">
        <v>123632</v>
      </c>
      <c r="G1710" s="57">
        <f t="shared" si="26"/>
        <v>0.59751905930998839</v>
      </c>
      <c r="J1710" s="5" t="s">
        <v>4302</v>
      </c>
    </row>
    <row r="1711" spans="1:10" ht="38.25" x14ac:dyDescent="0.2">
      <c r="A1711" s="1" t="s">
        <v>34</v>
      </c>
      <c r="B1711" s="2" t="s">
        <v>133</v>
      </c>
      <c r="C1711" s="1"/>
      <c r="D1711" s="5" t="s">
        <v>3955</v>
      </c>
      <c r="E1711" s="3">
        <v>66511</v>
      </c>
      <c r="F1711" s="3">
        <v>113787</v>
      </c>
      <c r="G1711" s="57">
        <f t="shared" si="26"/>
        <v>0.71079971733998892</v>
      </c>
      <c r="J1711" s="5" t="s">
        <v>4303</v>
      </c>
    </row>
    <row r="1712" spans="1:10" ht="38.25" x14ac:dyDescent="0.2">
      <c r="A1712" s="1" t="s">
        <v>34</v>
      </c>
      <c r="B1712" s="2" t="s">
        <v>133</v>
      </c>
      <c r="C1712" s="1"/>
      <c r="D1712" s="5" t="s">
        <v>2303</v>
      </c>
      <c r="E1712" s="3">
        <v>64958</v>
      </c>
      <c r="F1712" s="3">
        <v>108374</v>
      </c>
      <c r="G1712" s="57">
        <f t="shared" si="26"/>
        <v>0.66837033159887926</v>
      </c>
      <c r="J1712" s="5" t="s">
        <v>4304</v>
      </c>
    </row>
    <row r="1713" spans="1:10" ht="38.25" x14ac:dyDescent="0.2">
      <c r="A1713" s="1" t="s">
        <v>34</v>
      </c>
      <c r="B1713" s="2" t="s">
        <v>133</v>
      </c>
      <c r="C1713" s="1"/>
      <c r="D1713" s="5" t="s">
        <v>3956</v>
      </c>
      <c r="E1713" s="3">
        <v>66807</v>
      </c>
      <c r="F1713" s="3">
        <v>107588</v>
      </c>
      <c r="G1713" s="57">
        <f t="shared" si="26"/>
        <v>0.6104300447557891</v>
      </c>
      <c r="J1713" s="5" t="s">
        <v>4305</v>
      </c>
    </row>
    <row r="1714" spans="1:10" x14ac:dyDescent="0.2">
      <c r="A1714" s="1" t="s">
        <v>34</v>
      </c>
      <c r="B1714" s="2" t="s">
        <v>133</v>
      </c>
      <c r="C1714" s="1"/>
      <c r="D1714" s="5" t="s">
        <v>464</v>
      </c>
      <c r="E1714" s="3" t="s">
        <v>465</v>
      </c>
      <c r="F1714" s="3">
        <v>102500</v>
      </c>
      <c r="G1714" s="57" t="str">
        <f t="shared" si="26"/>
        <v>-</v>
      </c>
    </row>
    <row r="1715" spans="1:10" x14ac:dyDescent="0.2">
      <c r="A1715" s="1" t="s">
        <v>34</v>
      </c>
      <c r="B1715" s="2" t="s">
        <v>133</v>
      </c>
      <c r="C1715" s="1"/>
      <c r="D1715" s="5" t="s">
        <v>464</v>
      </c>
      <c r="E1715" s="3" t="s">
        <v>465</v>
      </c>
      <c r="F1715" s="3">
        <v>102500</v>
      </c>
      <c r="G1715" s="57" t="str">
        <f t="shared" si="26"/>
        <v>-</v>
      </c>
    </row>
    <row r="1716" spans="1:10" x14ac:dyDescent="0.2">
      <c r="A1716" s="1" t="s">
        <v>34</v>
      </c>
      <c r="B1716" s="2" t="s">
        <v>133</v>
      </c>
      <c r="C1716" s="1"/>
      <c r="D1716" s="5" t="s">
        <v>464</v>
      </c>
      <c r="E1716" s="3" t="s">
        <v>465</v>
      </c>
      <c r="F1716" s="3">
        <v>107500</v>
      </c>
      <c r="G1716" s="57" t="str">
        <f t="shared" si="26"/>
        <v>-</v>
      </c>
    </row>
    <row r="1717" spans="1:10" x14ac:dyDescent="0.2">
      <c r="A1717" s="1" t="s">
        <v>34</v>
      </c>
      <c r="B1717" s="2" t="s">
        <v>133</v>
      </c>
      <c r="C1717" s="1"/>
      <c r="D1717" s="5" t="s">
        <v>464</v>
      </c>
      <c r="E1717" s="3" t="s">
        <v>465</v>
      </c>
      <c r="F1717" s="3">
        <v>107500</v>
      </c>
      <c r="G1717" s="57" t="str">
        <f t="shared" si="26"/>
        <v>-</v>
      </c>
    </row>
    <row r="1718" spans="1:10" ht="25.5" x14ac:dyDescent="0.2">
      <c r="A1718" s="1" t="s">
        <v>1</v>
      </c>
      <c r="B1718" s="2" t="s">
        <v>135</v>
      </c>
      <c r="C1718" s="1" t="s">
        <v>1662</v>
      </c>
      <c r="D1718" s="5" t="s">
        <v>450</v>
      </c>
      <c r="E1718" s="3">
        <f>122325+21179</f>
        <v>143504</v>
      </c>
      <c r="F1718" s="3">
        <f>119223+834+3032+22297</f>
        <v>145386</v>
      </c>
      <c r="G1718" s="57">
        <f t="shared" si="26"/>
        <v>1.3114617014159884E-2</v>
      </c>
      <c r="J1718" s="5" t="s">
        <v>3957</v>
      </c>
    </row>
    <row r="1719" spans="1:10" ht="25.5" x14ac:dyDescent="0.2">
      <c r="A1719" s="1" t="s">
        <v>1</v>
      </c>
      <c r="B1719" s="2" t="s">
        <v>135</v>
      </c>
      <c r="C1719" s="1" t="s">
        <v>1663</v>
      </c>
      <c r="D1719" s="5" t="s">
        <v>855</v>
      </c>
      <c r="E1719" s="3">
        <f>102945+15215</f>
        <v>118160</v>
      </c>
      <c r="F1719" s="3">
        <f>102954+15215</f>
        <v>118169</v>
      </c>
      <c r="G1719" s="57">
        <f t="shared" si="26"/>
        <v>7.6167907921462422E-5</v>
      </c>
      <c r="J1719" s="5" t="s">
        <v>3958</v>
      </c>
    </row>
    <row r="1720" spans="1:10" ht="25.5" x14ac:dyDescent="0.2">
      <c r="A1720" s="1" t="s">
        <v>1</v>
      </c>
      <c r="B1720" s="2" t="s">
        <v>135</v>
      </c>
      <c r="C1720" s="1" t="s">
        <v>1664</v>
      </c>
      <c r="D1720" s="5" t="s">
        <v>1665</v>
      </c>
      <c r="E1720" s="3">
        <f>105870+17688</f>
        <v>123558</v>
      </c>
      <c r="F1720" s="3">
        <f>104845+18624</f>
        <v>123469</v>
      </c>
      <c r="G1720" s="57">
        <f t="shared" si="26"/>
        <v>-7.203094902798686E-4</v>
      </c>
      <c r="J1720" s="5" t="s">
        <v>3959</v>
      </c>
    </row>
    <row r="1721" spans="1:10" ht="25.5" x14ac:dyDescent="0.2">
      <c r="A1721" s="1" t="s">
        <v>1</v>
      </c>
      <c r="B1721" s="2" t="s">
        <v>135</v>
      </c>
      <c r="C1721" s="1" t="s">
        <v>1666</v>
      </c>
      <c r="D1721" s="5" t="s">
        <v>3960</v>
      </c>
      <c r="E1721" s="3">
        <f>99942+17183</f>
        <v>117125</v>
      </c>
      <c r="F1721" s="3">
        <f>102945+18600</f>
        <v>121545</v>
      </c>
      <c r="G1721" s="57">
        <f t="shared" si="26"/>
        <v>3.7737459978655283E-2</v>
      </c>
      <c r="J1721" s="5" t="s">
        <v>4628</v>
      </c>
    </row>
    <row r="1722" spans="1:10" x14ac:dyDescent="0.2">
      <c r="A1722" s="1" t="s">
        <v>1</v>
      </c>
      <c r="B1722" s="2" t="s">
        <v>135</v>
      </c>
      <c r="C1722" s="1"/>
      <c r="D1722" s="5" t="s">
        <v>464</v>
      </c>
      <c r="E1722" s="3">
        <v>107500</v>
      </c>
      <c r="F1722" s="3" t="s">
        <v>465</v>
      </c>
      <c r="G1722" s="57" t="str">
        <f t="shared" si="26"/>
        <v>-</v>
      </c>
    </row>
    <row r="1723" spans="1:10" x14ac:dyDescent="0.2">
      <c r="A1723" s="1" t="s">
        <v>1</v>
      </c>
      <c r="B1723" s="2" t="s">
        <v>135</v>
      </c>
      <c r="C1723" s="1"/>
      <c r="D1723" s="5" t="s">
        <v>464</v>
      </c>
      <c r="E1723" s="3">
        <v>107500</v>
      </c>
      <c r="F1723" s="3" t="s">
        <v>465</v>
      </c>
      <c r="G1723" s="57" t="str">
        <f t="shared" si="26"/>
        <v>-</v>
      </c>
    </row>
    <row r="1724" spans="1:10" x14ac:dyDescent="0.2">
      <c r="A1724" s="1" t="s">
        <v>1</v>
      </c>
      <c r="B1724" s="2" t="s">
        <v>135</v>
      </c>
      <c r="C1724" s="1"/>
      <c r="D1724" s="5" t="s">
        <v>464</v>
      </c>
      <c r="E1724" s="3">
        <v>112500</v>
      </c>
      <c r="F1724" s="3" t="s">
        <v>465</v>
      </c>
      <c r="G1724" s="57" t="str">
        <f t="shared" si="26"/>
        <v>-</v>
      </c>
    </row>
    <row r="1725" spans="1:10" x14ac:dyDescent="0.2">
      <c r="A1725" s="1" t="s">
        <v>1</v>
      </c>
      <c r="B1725" s="2" t="s">
        <v>135</v>
      </c>
      <c r="C1725" s="1"/>
      <c r="D1725" s="5" t="s">
        <v>464</v>
      </c>
      <c r="E1725" s="3">
        <v>147500</v>
      </c>
      <c r="F1725" s="3" t="s">
        <v>465</v>
      </c>
      <c r="G1725" s="57" t="str">
        <f t="shared" si="26"/>
        <v>-</v>
      </c>
    </row>
    <row r="1726" spans="1:10" x14ac:dyDescent="0.2">
      <c r="A1726" s="1" t="s">
        <v>1</v>
      </c>
      <c r="B1726" s="2" t="s">
        <v>135</v>
      </c>
      <c r="C1726" s="1"/>
      <c r="D1726" s="5" t="s">
        <v>464</v>
      </c>
      <c r="E1726" s="3" t="s">
        <v>465</v>
      </c>
      <c r="F1726" s="3">
        <v>102500</v>
      </c>
      <c r="G1726" s="57" t="str">
        <f t="shared" si="26"/>
        <v>-</v>
      </c>
    </row>
    <row r="1727" spans="1:10" x14ac:dyDescent="0.2">
      <c r="A1727" s="1" t="s">
        <v>1</v>
      </c>
      <c r="B1727" s="2" t="s">
        <v>135</v>
      </c>
      <c r="C1727" s="1"/>
      <c r="D1727" s="5" t="s">
        <v>464</v>
      </c>
      <c r="E1727" s="3" t="s">
        <v>465</v>
      </c>
      <c r="F1727" s="3">
        <v>102500</v>
      </c>
      <c r="G1727" s="57" t="str">
        <f t="shared" si="26"/>
        <v>-</v>
      </c>
    </row>
    <row r="1728" spans="1:10" x14ac:dyDescent="0.2">
      <c r="A1728" s="1" t="s">
        <v>1</v>
      </c>
      <c r="B1728" s="2" t="s">
        <v>135</v>
      </c>
      <c r="C1728" s="1"/>
      <c r="D1728" s="5" t="s">
        <v>464</v>
      </c>
      <c r="E1728" s="3" t="s">
        <v>465</v>
      </c>
      <c r="F1728" s="3">
        <v>102500</v>
      </c>
      <c r="G1728" s="57" t="str">
        <f t="shared" si="26"/>
        <v>-</v>
      </c>
    </row>
    <row r="1729" spans="1:10" ht="38.25" x14ac:dyDescent="0.2">
      <c r="A1729" s="1" t="s">
        <v>4</v>
      </c>
      <c r="B1729" s="2" t="s">
        <v>136</v>
      </c>
      <c r="C1729" s="1"/>
      <c r="D1729" s="5" t="s">
        <v>3961</v>
      </c>
      <c r="E1729" s="3">
        <v>91438</v>
      </c>
      <c r="F1729" s="3">
        <v>180404</v>
      </c>
      <c r="G1729" s="57">
        <f t="shared" si="26"/>
        <v>0.97296528795467963</v>
      </c>
      <c r="J1729" s="5" t="s">
        <v>4306</v>
      </c>
    </row>
    <row r="1730" spans="1:10" ht="25.5" x14ac:dyDescent="0.2">
      <c r="A1730" s="1" t="s">
        <v>20</v>
      </c>
      <c r="B1730" s="2" t="s">
        <v>137</v>
      </c>
      <c r="C1730" s="1"/>
      <c r="D1730" s="5" t="s">
        <v>450</v>
      </c>
      <c r="E1730" s="3">
        <v>194278</v>
      </c>
      <c r="F1730" s="3">
        <v>155936</v>
      </c>
      <c r="G1730" s="57">
        <f t="shared" si="26"/>
        <v>-0.19735636562039963</v>
      </c>
      <c r="J1730" s="5" t="s">
        <v>3962</v>
      </c>
    </row>
    <row r="1731" spans="1:10" ht="25.5" x14ac:dyDescent="0.2">
      <c r="A1731" s="1" t="s">
        <v>20</v>
      </c>
      <c r="B1731" s="2" t="s">
        <v>137</v>
      </c>
      <c r="C1731" s="1"/>
      <c r="D1731" s="5" t="s">
        <v>454</v>
      </c>
      <c r="E1731" s="3">
        <v>110571</v>
      </c>
      <c r="F1731" s="3">
        <v>110530</v>
      </c>
      <c r="G1731" s="57">
        <f t="shared" ref="G1731:G1794" si="27">IF(ISERROR((F1731-E1731)/E1731),"-",(F1731-E1731)/E1731)</f>
        <v>-3.7080247081061038E-4</v>
      </c>
      <c r="J1731" s="5" t="s">
        <v>3963</v>
      </c>
    </row>
    <row r="1732" spans="1:10" ht="25.5" x14ac:dyDescent="0.2">
      <c r="A1732" s="1" t="s">
        <v>20</v>
      </c>
      <c r="B1732" s="2" t="s">
        <v>137</v>
      </c>
      <c r="C1732" s="1"/>
      <c r="D1732" s="5" t="s">
        <v>1661</v>
      </c>
      <c r="E1732" s="3">
        <v>125277</v>
      </c>
      <c r="F1732" s="3">
        <v>125308</v>
      </c>
      <c r="G1732" s="57">
        <f t="shared" si="27"/>
        <v>2.4745164714991578E-4</v>
      </c>
      <c r="J1732" s="5" t="s">
        <v>3964</v>
      </c>
    </row>
    <row r="1733" spans="1:10" x14ac:dyDescent="0.2">
      <c r="A1733" s="1" t="s">
        <v>20</v>
      </c>
      <c r="B1733" s="2" t="s">
        <v>137</v>
      </c>
      <c r="C1733" s="1"/>
      <c r="D1733" s="5" t="s">
        <v>464</v>
      </c>
      <c r="G1733" s="57" t="str">
        <f t="shared" si="27"/>
        <v>-</v>
      </c>
      <c r="H1733" s="19">
        <v>92500</v>
      </c>
      <c r="I1733" s="19" t="s">
        <v>465</v>
      </c>
    </row>
    <row r="1734" spans="1:10" x14ac:dyDescent="0.2">
      <c r="A1734" s="1" t="s">
        <v>20</v>
      </c>
      <c r="B1734" s="2" t="s">
        <v>137</v>
      </c>
      <c r="C1734" s="1"/>
      <c r="D1734" s="5" t="s">
        <v>464</v>
      </c>
      <c r="G1734" s="57" t="str">
        <f t="shared" si="27"/>
        <v>-</v>
      </c>
      <c r="H1734" s="19">
        <v>92500</v>
      </c>
      <c r="J1734" s="5" t="s">
        <v>539</v>
      </c>
    </row>
    <row r="1735" spans="1:10" x14ac:dyDescent="0.2">
      <c r="A1735" s="1" t="s">
        <v>20</v>
      </c>
      <c r="B1735" s="2" t="s">
        <v>137</v>
      </c>
      <c r="C1735" s="1"/>
      <c r="D1735" s="5" t="s">
        <v>464</v>
      </c>
      <c r="G1735" s="57" t="str">
        <f t="shared" si="27"/>
        <v>-</v>
      </c>
      <c r="H1735" s="19" t="s">
        <v>465</v>
      </c>
      <c r="I1735" s="19">
        <v>92500</v>
      </c>
    </row>
    <row r="1736" spans="1:10" x14ac:dyDescent="0.2">
      <c r="A1736" s="1" t="s">
        <v>20</v>
      </c>
      <c r="B1736" s="2" t="s">
        <v>137</v>
      </c>
      <c r="C1736" s="1"/>
      <c r="D1736" s="5" t="s">
        <v>464</v>
      </c>
      <c r="E1736" s="3" t="s">
        <v>465</v>
      </c>
      <c r="F1736" s="3">
        <v>102500</v>
      </c>
      <c r="G1736" s="57" t="str">
        <f t="shared" si="27"/>
        <v>-</v>
      </c>
    </row>
    <row r="1737" spans="1:10" ht="25.5" x14ac:dyDescent="0.2">
      <c r="A1737" s="1" t="s">
        <v>8</v>
      </c>
      <c r="B1737" s="2" t="s">
        <v>138</v>
      </c>
      <c r="C1737" s="1" t="s">
        <v>1660</v>
      </c>
      <c r="D1737" s="5" t="s">
        <v>450</v>
      </c>
      <c r="E1737" s="3">
        <v>159838</v>
      </c>
      <c r="F1737" s="3">
        <v>157371</v>
      </c>
      <c r="G1737" s="57">
        <f t="shared" si="27"/>
        <v>-1.5434377307023361E-2</v>
      </c>
      <c r="J1737" s="5" t="s">
        <v>3965</v>
      </c>
    </row>
    <row r="1738" spans="1:10" ht="25.5" x14ac:dyDescent="0.2">
      <c r="A1738" s="1" t="s">
        <v>8</v>
      </c>
      <c r="B1738" s="2" t="s">
        <v>138</v>
      </c>
      <c r="C1738" s="1"/>
      <c r="D1738" s="5" t="s">
        <v>758</v>
      </c>
      <c r="E1738" s="3">
        <v>104960</v>
      </c>
      <c r="F1738" s="3">
        <v>103779</v>
      </c>
      <c r="G1738" s="57">
        <f t="shared" si="27"/>
        <v>-1.1251905487804878E-2</v>
      </c>
      <c r="J1738" s="5" t="s">
        <v>4629</v>
      </c>
    </row>
    <row r="1739" spans="1:10" ht="25.5" x14ac:dyDescent="0.2">
      <c r="A1739" s="1" t="s">
        <v>8</v>
      </c>
      <c r="B1739" s="2" t="s">
        <v>138</v>
      </c>
      <c r="C1739" s="1"/>
      <c r="D1739" s="5" t="s">
        <v>759</v>
      </c>
      <c r="E1739" s="3">
        <v>100401</v>
      </c>
      <c r="F1739" s="3">
        <v>110349</v>
      </c>
      <c r="G1739" s="57">
        <f t="shared" si="27"/>
        <v>9.908267845937789E-2</v>
      </c>
      <c r="J1739" s="5" t="s">
        <v>3966</v>
      </c>
    </row>
    <row r="1740" spans="1:10" ht="25.5" x14ac:dyDescent="0.2">
      <c r="A1740" s="1" t="s">
        <v>1</v>
      </c>
      <c r="B1740" s="2" t="s">
        <v>139</v>
      </c>
      <c r="C1740" s="1" t="s">
        <v>1655</v>
      </c>
      <c r="D1740" s="5" t="s">
        <v>450</v>
      </c>
      <c r="E1740" s="3">
        <f>114796+21647</f>
        <v>136443</v>
      </c>
      <c r="F1740" s="3">
        <f>113795+22408</f>
        <v>136203</v>
      </c>
      <c r="G1740" s="57">
        <f t="shared" si="27"/>
        <v>-1.7589762758074801E-3</v>
      </c>
      <c r="J1740" s="5" t="s">
        <v>3967</v>
      </c>
    </row>
    <row r="1741" spans="1:10" ht="25.5" x14ac:dyDescent="0.2">
      <c r="A1741" s="1" t="s">
        <v>1</v>
      </c>
      <c r="B1741" s="2" t="s">
        <v>139</v>
      </c>
      <c r="C1741" s="1" t="s">
        <v>1656</v>
      </c>
      <c r="D1741" s="5" t="s">
        <v>855</v>
      </c>
      <c r="E1741" s="3">
        <f>15441+3053</f>
        <v>18494</v>
      </c>
      <c r="F1741" s="3">
        <f>95927+19435</f>
        <v>115362</v>
      </c>
      <c r="G1741" s="57">
        <f t="shared" si="27"/>
        <v>5.2378068562777118</v>
      </c>
      <c r="J1741" s="5" t="s">
        <v>4439</v>
      </c>
    </row>
    <row r="1742" spans="1:10" ht="25.5" x14ac:dyDescent="0.2">
      <c r="A1742" s="1" t="s">
        <v>1</v>
      </c>
      <c r="B1742" s="2" t="s">
        <v>139</v>
      </c>
      <c r="C1742" s="1" t="s">
        <v>1657</v>
      </c>
      <c r="D1742" s="5" t="s">
        <v>452</v>
      </c>
      <c r="E1742" s="3">
        <f>101661+17929</f>
        <v>119590</v>
      </c>
      <c r="F1742" s="3">
        <f>101001+19435</f>
        <v>120436</v>
      </c>
      <c r="G1742" s="57">
        <f t="shared" si="27"/>
        <v>7.0741700811104606E-3</v>
      </c>
      <c r="J1742" s="5" t="s">
        <v>3968</v>
      </c>
    </row>
    <row r="1743" spans="1:10" ht="25.5" x14ac:dyDescent="0.2">
      <c r="A1743" s="1" t="s">
        <v>1</v>
      </c>
      <c r="B1743" s="2" t="s">
        <v>139</v>
      </c>
      <c r="C1743" s="1" t="s">
        <v>1658</v>
      </c>
      <c r="D1743" s="5" t="s">
        <v>1011</v>
      </c>
      <c r="E1743" s="3">
        <f>92138+13424</f>
        <v>105562</v>
      </c>
      <c r="F1743" s="3">
        <f>95880+14058</f>
        <v>109938</v>
      </c>
      <c r="G1743" s="57">
        <f t="shared" si="27"/>
        <v>4.1454311210473466E-2</v>
      </c>
      <c r="J1743" s="5" t="s">
        <v>3969</v>
      </c>
    </row>
    <row r="1744" spans="1:10" ht="25.5" x14ac:dyDescent="0.2">
      <c r="A1744" s="1" t="s">
        <v>1</v>
      </c>
      <c r="B1744" s="2" t="s">
        <v>139</v>
      </c>
      <c r="C1744" s="1" t="s">
        <v>1659</v>
      </c>
      <c r="D1744" s="5" t="s">
        <v>942</v>
      </c>
      <c r="E1744" s="3">
        <f>101661+17929</f>
        <v>119590</v>
      </c>
      <c r="F1744" s="3">
        <f>101001+19435</f>
        <v>120436</v>
      </c>
      <c r="G1744" s="57">
        <f t="shared" si="27"/>
        <v>7.0741700811104606E-3</v>
      </c>
      <c r="J1744" s="5" t="s">
        <v>3968</v>
      </c>
    </row>
    <row r="1745" spans="1:10" ht="38.25" x14ac:dyDescent="0.2">
      <c r="A1745" s="1" t="s">
        <v>8</v>
      </c>
      <c r="B1745" s="2" t="s">
        <v>140</v>
      </c>
      <c r="C1745" s="1"/>
      <c r="D1745" s="5" t="s">
        <v>450</v>
      </c>
      <c r="E1745" s="3">
        <v>130998</v>
      </c>
      <c r="F1745" s="3">
        <v>132081</v>
      </c>
      <c r="G1745" s="57">
        <f t="shared" si="27"/>
        <v>8.2673017908670363E-3</v>
      </c>
      <c r="J1745" s="5" t="s">
        <v>4630</v>
      </c>
    </row>
    <row r="1746" spans="1:10" ht="51" x14ac:dyDescent="0.2">
      <c r="A1746" s="1" t="s">
        <v>8</v>
      </c>
      <c r="B1746" s="2" t="s">
        <v>140</v>
      </c>
      <c r="C1746" s="1"/>
      <c r="D1746" s="5" t="s">
        <v>529</v>
      </c>
      <c r="E1746" s="3">
        <v>99305</v>
      </c>
      <c r="F1746" s="3">
        <v>131862</v>
      </c>
      <c r="G1746" s="57">
        <f t="shared" si="27"/>
        <v>0.32784854740446101</v>
      </c>
      <c r="J1746" s="5" t="s">
        <v>4631</v>
      </c>
    </row>
    <row r="1747" spans="1:10" ht="25.5" x14ac:dyDescent="0.2">
      <c r="A1747" s="1" t="s">
        <v>1</v>
      </c>
      <c r="B1747" s="2" t="s">
        <v>141</v>
      </c>
      <c r="C1747" s="1" t="s">
        <v>1651</v>
      </c>
      <c r="D1747" s="5" t="s">
        <v>450</v>
      </c>
      <c r="E1747" s="3">
        <f>108962+11337</f>
        <v>120299</v>
      </c>
      <c r="F1747" s="3">
        <f>112548+10709</f>
        <v>123257</v>
      </c>
      <c r="G1747" s="57">
        <f t="shared" si="27"/>
        <v>2.4588733073425382E-2</v>
      </c>
      <c r="J1747" s="5" t="s">
        <v>3970</v>
      </c>
    </row>
    <row r="1748" spans="1:10" ht="25.5" x14ac:dyDescent="0.2">
      <c r="A1748" s="1" t="s">
        <v>1</v>
      </c>
      <c r="B1748" s="2" t="s">
        <v>141</v>
      </c>
      <c r="C1748" s="1" t="s">
        <v>3971</v>
      </c>
      <c r="D1748" s="5" t="s">
        <v>2111</v>
      </c>
      <c r="E1748" s="3">
        <f>96737+9887</f>
        <v>106624</v>
      </c>
      <c r="F1748" s="3">
        <f>99154+9353</f>
        <v>108507</v>
      </c>
      <c r="G1748" s="57">
        <f t="shared" si="27"/>
        <v>1.7660189075630252E-2</v>
      </c>
      <c r="J1748" s="5" t="s">
        <v>3972</v>
      </c>
    </row>
    <row r="1749" spans="1:10" ht="25.5" x14ac:dyDescent="0.2">
      <c r="A1749" s="1" t="s">
        <v>1</v>
      </c>
      <c r="B1749" s="2" t="s">
        <v>141</v>
      </c>
      <c r="C1749" s="1" t="s">
        <v>1652</v>
      </c>
      <c r="D1749" s="5" t="s">
        <v>1653</v>
      </c>
      <c r="E1749" s="3">
        <f>97438+9887</f>
        <v>107325</v>
      </c>
      <c r="F1749" s="3">
        <f>100536+9353</f>
        <v>109889</v>
      </c>
      <c r="G1749" s="57">
        <f t="shared" si="27"/>
        <v>2.3890053575588165E-2</v>
      </c>
      <c r="J1749" s="5" t="s">
        <v>3973</v>
      </c>
    </row>
    <row r="1750" spans="1:10" ht="25.5" x14ac:dyDescent="0.2">
      <c r="A1750" s="1" t="s">
        <v>1</v>
      </c>
      <c r="B1750" s="2" t="s">
        <v>141</v>
      </c>
      <c r="C1750" s="1" t="s">
        <v>3974</v>
      </c>
      <c r="D1750" s="5" t="s">
        <v>942</v>
      </c>
      <c r="E1750" s="3">
        <f>97291+9887</f>
        <v>107178</v>
      </c>
      <c r="F1750" s="3">
        <f>99697+9353</f>
        <v>109050</v>
      </c>
      <c r="G1750" s="57">
        <f t="shared" si="27"/>
        <v>1.7466271063091305E-2</v>
      </c>
      <c r="J1750" s="5" t="s">
        <v>3975</v>
      </c>
    </row>
    <row r="1751" spans="1:10" ht="25.5" x14ac:dyDescent="0.2">
      <c r="A1751" s="1" t="s">
        <v>1</v>
      </c>
      <c r="B1751" s="2" t="s">
        <v>141</v>
      </c>
      <c r="C1751" s="1" t="s">
        <v>3976</v>
      </c>
      <c r="D1751" s="5" t="s">
        <v>455</v>
      </c>
      <c r="E1751" s="3">
        <f>97550+9887</f>
        <v>107437</v>
      </c>
      <c r="F1751" s="3">
        <f>98324+9353</f>
        <v>107677</v>
      </c>
      <c r="G1751" s="57">
        <f t="shared" si="27"/>
        <v>2.2338672896674329E-3</v>
      </c>
      <c r="J1751" s="5" t="s">
        <v>3977</v>
      </c>
    </row>
    <row r="1752" spans="1:10" ht="25.5" x14ac:dyDescent="0.2">
      <c r="A1752" s="1" t="s">
        <v>1</v>
      </c>
      <c r="B1752" s="2" t="s">
        <v>141</v>
      </c>
      <c r="C1752" s="1" t="s">
        <v>1654</v>
      </c>
      <c r="D1752" s="5" t="s">
        <v>507</v>
      </c>
      <c r="E1752" s="3">
        <f>98080+9887</f>
        <v>107967</v>
      </c>
      <c r="F1752" s="3">
        <f>100764+9353</f>
        <v>110117</v>
      </c>
      <c r="G1752" s="57">
        <f t="shared" si="27"/>
        <v>1.9913492085544656E-2</v>
      </c>
      <c r="J1752" s="5" t="s">
        <v>3978</v>
      </c>
    </row>
    <row r="1753" spans="1:10" x14ac:dyDescent="0.2">
      <c r="A1753" s="1" t="s">
        <v>1</v>
      </c>
      <c r="B1753" s="2" t="s">
        <v>141</v>
      </c>
      <c r="C1753" s="1"/>
      <c r="G1753" s="57" t="str">
        <f t="shared" si="27"/>
        <v>-</v>
      </c>
      <c r="H1753" s="19">
        <v>97500</v>
      </c>
      <c r="I1753" s="19" t="s">
        <v>465</v>
      </c>
    </row>
    <row r="1754" spans="1:10" x14ac:dyDescent="0.2">
      <c r="A1754" s="1" t="s">
        <v>1</v>
      </c>
      <c r="B1754" s="2" t="s">
        <v>141</v>
      </c>
      <c r="C1754" s="1"/>
      <c r="G1754" s="57" t="str">
        <f t="shared" si="27"/>
        <v>-</v>
      </c>
      <c r="H1754" s="19" t="s">
        <v>465</v>
      </c>
      <c r="I1754" s="19">
        <v>97500</v>
      </c>
    </row>
    <row r="1755" spans="1:10" x14ac:dyDescent="0.2">
      <c r="A1755" s="1" t="s">
        <v>1</v>
      </c>
      <c r="B1755" s="2" t="s">
        <v>141</v>
      </c>
      <c r="C1755" s="1"/>
      <c r="E1755" s="3">
        <v>112500</v>
      </c>
      <c r="F1755" s="3" t="s">
        <v>465</v>
      </c>
      <c r="G1755" s="57" t="str">
        <f t="shared" si="27"/>
        <v>-</v>
      </c>
    </row>
    <row r="1756" spans="1:10" x14ac:dyDescent="0.2">
      <c r="A1756" s="1" t="s">
        <v>1</v>
      </c>
      <c r="B1756" s="2" t="s">
        <v>141</v>
      </c>
      <c r="C1756" s="1"/>
      <c r="E1756" s="3">
        <v>112500</v>
      </c>
      <c r="F1756" s="3" t="s">
        <v>465</v>
      </c>
      <c r="G1756" s="57" t="str">
        <f t="shared" si="27"/>
        <v>-</v>
      </c>
    </row>
    <row r="1757" spans="1:10" x14ac:dyDescent="0.2">
      <c r="A1757" s="1" t="s">
        <v>1</v>
      </c>
      <c r="B1757" s="2" t="s">
        <v>141</v>
      </c>
      <c r="C1757" s="1"/>
      <c r="E1757" s="3">
        <v>112500</v>
      </c>
      <c r="F1757" s="3" t="s">
        <v>465</v>
      </c>
      <c r="G1757" s="57" t="str">
        <f t="shared" si="27"/>
        <v>-</v>
      </c>
    </row>
    <row r="1758" spans="1:10" x14ac:dyDescent="0.2">
      <c r="A1758" s="1" t="s">
        <v>1</v>
      </c>
      <c r="B1758" s="2" t="s">
        <v>141</v>
      </c>
      <c r="C1758" s="1"/>
      <c r="E1758" s="3" t="s">
        <v>465</v>
      </c>
      <c r="F1758" s="3">
        <v>117500</v>
      </c>
      <c r="G1758" s="57" t="str">
        <f t="shared" si="27"/>
        <v>-</v>
      </c>
    </row>
    <row r="1759" spans="1:10" x14ac:dyDescent="0.2">
      <c r="A1759" s="1" t="s">
        <v>1</v>
      </c>
      <c r="B1759" s="2" t="s">
        <v>141</v>
      </c>
      <c r="C1759" s="1"/>
      <c r="E1759" s="3" t="s">
        <v>465</v>
      </c>
      <c r="F1759" s="3">
        <v>117500</v>
      </c>
      <c r="G1759" s="57" t="str">
        <f t="shared" si="27"/>
        <v>-</v>
      </c>
    </row>
    <row r="1760" spans="1:10" ht="25.5" x14ac:dyDescent="0.2">
      <c r="A1760" s="1" t="s">
        <v>28</v>
      </c>
      <c r="B1760" s="2" t="s">
        <v>142</v>
      </c>
      <c r="C1760" s="1" t="s">
        <v>1646</v>
      </c>
      <c r="D1760" s="5" t="s">
        <v>450</v>
      </c>
      <c r="E1760" s="3">
        <v>201000</v>
      </c>
      <c r="F1760" s="3">
        <v>202000</v>
      </c>
      <c r="G1760" s="57">
        <f t="shared" si="27"/>
        <v>4.9751243781094526E-3</v>
      </c>
      <c r="J1760" s="5" t="s">
        <v>3979</v>
      </c>
    </row>
    <row r="1761" spans="1:10" ht="25.5" x14ac:dyDescent="0.2">
      <c r="A1761" s="1" t="s">
        <v>28</v>
      </c>
      <c r="B1761" s="2" t="s">
        <v>142</v>
      </c>
      <c r="C1761" s="1"/>
      <c r="D1761" s="5" t="s">
        <v>1647</v>
      </c>
      <c r="E1761" s="3">
        <v>152000</v>
      </c>
      <c r="F1761" s="3">
        <v>153000</v>
      </c>
      <c r="G1761" s="57">
        <f t="shared" si="27"/>
        <v>6.5789473684210523E-3</v>
      </c>
      <c r="J1761" s="5" t="s">
        <v>3980</v>
      </c>
    </row>
    <row r="1762" spans="1:10" ht="63.75" x14ac:dyDescent="0.2">
      <c r="A1762" s="1" t="s">
        <v>28</v>
      </c>
      <c r="B1762" s="2" t="s">
        <v>142</v>
      </c>
      <c r="C1762" s="1"/>
      <c r="D1762" s="5" t="s">
        <v>854</v>
      </c>
      <c r="E1762" s="3">
        <v>162000</v>
      </c>
      <c r="F1762" s="3">
        <v>424000</v>
      </c>
      <c r="G1762" s="57">
        <f t="shared" si="27"/>
        <v>1.617283950617284</v>
      </c>
      <c r="J1762" s="5" t="s">
        <v>4307</v>
      </c>
    </row>
    <row r="1763" spans="1:10" ht="25.5" x14ac:dyDescent="0.2">
      <c r="A1763" s="1" t="s">
        <v>28</v>
      </c>
      <c r="B1763" s="2" t="s">
        <v>142</v>
      </c>
      <c r="C1763" s="1"/>
      <c r="D1763" s="5" t="s">
        <v>1648</v>
      </c>
      <c r="E1763" s="3">
        <v>147000</v>
      </c>
      <c r="F1763" s="3">
        <v>148000</v>
      </c>
      <c r="G1763" s="57">
        <f t="shared" si="27"/>
        <v>6.8027210884353739E-3</v>
      </c>
      <c r="J1763" s="5" t="s">
        <v>3981</v>
      </c>
    </row>
    <row r="1764" spans="1:10" ht="25.5" x14ac:dyDescent="0.2">
      <c r="A1764" s="1" t="s">
        <v>28</v>
      </c>
      <c r="B1764" s="2" t="s">
        <v>142</v>
      </c>
      <c r="C1764" s="1"/>
      <c r="D1764" s="5" t="s">
        <v>1649</v>
      </c>
      <c r="E1764" s="3">
        <v>139000</v>
      </c>
      <c r="F1764" s="3">
        <v>139000</v>
      </c>
      <c r="G1764" s="57">
        <f t="shared" si="27"/>
        <v>0</v>
      </c>
      <c r="J1764" s="5" t="s">
        <v>3982</v>
      </c>
    </row>
    <row r="1765" spans="1:10" ht="25.5" x14ac:dyDescent="0.2">
      <c r="A1765" s="1" t="s">
        <v>28</v>
      </c>
      <c r="B1765" s="2" t="s">
        <v>142</v>
      </c>
      <c r="C1765" s="1"/>
      <c r="D1765" s="5" t="s">
        <v>1650</v>
      </c>
      <c r="E1765" s="3">
        <v>138000</v>
      </c>
      <c r="F1765" s="3">
        <v>138000</v>
      </c>
      <c r="G1765" s="57">
        <f t="shared" si="27"/>
        <v>0</v>
      </c>
      <c r="J1765" s="5" t="s">
        <v>4632</v>
      </c>
    </row>
    <row r="1766" spans="1:10" ht="25.5" x14ac:dyDescent="0.2">
      <c r="A1766" s="1" t="s">
        <v>28</v>
      </c>
      <c r="B1766" s="2" t="s">
        <v>142</v>
      </c>
      <c r="C1766" s="1"/>
      <c r="D1766" s="5" t="s">
        <v>740</v>
      </c>
      <c r="E1766" s="3">
        <v>103000</v>
      </c>
      <c r="F1766" s="3">
        <v>118000</v>
      </c>
      <c r="G1766" s="57">
        <f t="shared" si="27"/>
        <v>0.14563106796116504</v>
      </c>
      <c r="J1766" s="5" t="s">
        <v>4633</v>
      </c>
    </row>
    <row r="1767" spans="1:10" x14ac:dyDescent="0.2">
      <c r="A1767" s="1" t="s">
        <v>28</v>
      </c>
      <c r="B1767" s="2" t="s">
        <v>142</v>
      </c>
      <c r="C1767" s="1"/>
      <c r="D1767" s="5" t="s">
        <v>464</v>
      </c>
      <c r="G1767" s="57" t="str">
        <f t="shared" si="27"/>
        <v>-</v>
      </c>
      <c r="H1767" s="19">
        <v>92500</v>
      </c>
      <c r="I1767" s="19" t="s">
        <v>465</v>
      </c>
    </row>
    <row r="1768" spans="1:10" x14ac:dyDescent="0.2">
      <c r="A1768" s="1" t="s">
        <v>28</v>
      </c>
      <c r="B1768" s="2" t="s">
        <v>142</v>
      </c>
      <c r="C1768" s="1"/>
      <c r="D1768" s="5" t="s">
        <v>464</v>
      </c>
      <c r="G1768" s="57" t="str">
        <f t="shared" si="27"/>
        <v>-</v>
      </c>
      <c r="H1768" s="19">
        <v>92500</v>
      </c>
      <c r="I1768" s="19" t="s">
        <v>465</v>
      </c>
    </row>
    <row r="1769" spans="1:10" x14ac:dyDescent="0.2">
      <c r="A1769" s="1" t="s">
        <v>28</v>
      </c>
      <c r="B1769" s="2" t="s">
        <v>142</v>
      </c>
      <c r="C1769" s="1"/>
      <c r="D1769" s="5" t="s">
        <v>464</v>
      </c>
      <c r="G1769" s="57" t="str">
        <f t="shared" si="27"/>
        <v>-</v>
      </c>
      <c r="H1769" s="19" t="s">
        <v>465</v>
      </c>
      <c r="I1769" s="19">
        <v>92500</v>
      </c>
    </row>
    <row r="1770" spans="1:10" x14ac:dyDescent="0.2">
      <c r="A1770" s="1" t="s">
        <v>28</v>
      </c>
      <c r="B1770" s="2" t="s">
        <v>142</v>
      </c>
      <c r="C1770" s="1"/>
      <c r="D1770" s="5" t="s">
        <v>464</v>
      </c>
      <c r="G1770" s="57" t="str">
        <f t="shared" si="27"/>
        <v>-</v>
      </c>
      <c r="H1770" s="19" t="s">
        <v>465</v>
      </c>
      <c r="I1770" s="19">
        <v>92500</v>
      </c>
    </row>
    <row r="1771" spans="1:10" x14ac:dyDescent="0.2">
      <c r="A1771" s="1" t="s">
        <v>28</v>
      </c>
      <c r="B1771" s="2" t="s">
        <v>142</v>
      </c>
      <c r="C1771" s="1"/>
      <c r="D1771" s="5" t="s">
        <v>464</v>
      </c>
      <c r="E1771" s="3">
        <v>102500</v>
      </c>
      <c r="F1771" s="3" t="s">
        <v>465</v>
      </c>
      <c r="G1771" s="57" t="str">
        <f t="shared" si="27"/>
        <v>-</v>
      </c>
    </row>
    <row r="1772" spans="1:10" x14ac:dyDescent="0.2">
      <c r="A1772" s="1" t="s">
        <v>28</v>
      </c>
      <c r="B1772" s="2" t="s">
        <v>142</v>
      </c>
      <c r="C1772" s="1"/>
      <c r="D1772" s="5" t="s">
        <v>464</v>
      </c>
      <c r="E1772" s="3">
        <v>107500</v>
      </c>
      <c r="F1772" s="3" t="s">
        <v>465</v>
      </c>
      <c r="G1772" s="57" t="str">
        <f t="shared" si="27"/>
        <v>-</v>
      </c>
    </row>
    <row r="1773" spans="1:10" x14ac:dyDescent="0.2">
      <c r="A1773" s="1" t="s">
        <v>28</v>
      </c>
      <c r="B1773" s="2" t="s">
        <v>142</v>
      </c>
      <c r="C1773" s="1"/>
      <c r="D1773" s="5" t="s">
        <v>464</v>
      </c>
      <c r="E1773" s="3" t="s">
        <v>465</v>
      </c>
      <c r="F1773" s="3">
        <v>102500</v>
      </c>
      <c r="G1773" s="57" t="str">
        <f t="shared" si="27"/>
        <v>-</v>
      </c>
    </row>
    <row r="1774" spans="1:10" x14ac:dyDescent="0.2">
      <c r="A1774" s="1" t="s">
        <v>28</v>
      </c>
      <c r="B1774" s="2" t="s">
        <v>142</v>
      </c>
      <c r="C1774" s="1"/>
      <c r="D1774" s="5" t="s">
        <v>464</v>
      </c>
      <c r="E1774" s="3" t="s">
        <v>465</v>
      </c>
      <c r="F1774" s="3">
        <v>102500</v>
      </c>
      <c r="G1774" s="57" t="str">
        <f t="shared" si="27"/>
        <v>-</v>
      </c>
    </row>
    <row r="1775" spans="1:10" ht="38.25" x14ac:dyDescent="0.2">
      <c r="A1775" s="1" t="s">
        <v>39</v>
      </c>
      <c r="B1775" s="2" t="s">
        <v>143</v>
      </c>
      <c r="C1775" s="1"/>
      <c r="D1775" s="5" t="s">
        <v>450</v>
      </c>
      <c r="E1775" s="3">
        <v>128535</v>
      </c>
      <c r="F1775" s="3">
        <v>151439</v>
      </c>
      <c r="G1775" s="57">
        <f t="shared" si="27"/>
        <v>0.17819271015676663</v>
      </c>
      <c r="J1775" s="5" t="s">
        <v>3983</v>
      </c>
    </row>
    <row r="1776" spans="1:10" ht="89.25" x14ac:dyDescent="0.2">
      <c r="A1776" s="1" t="s">
        <v>39</v>
      </c>
      <c r="B1776" s="2" t="s">
        <v>143</v>
      </c>
      <c r="C1776" s="1"/>
      <c r="D1776" s="5" t="s">
        <v>3984</v>
      </c>
      <c r="E1776" s="3">
        <v>113229</v>
      </c>
      <c r="F1776" s="3" t="s">
        <v>465</v>
      </c>
      <c r="G1776" s="57" t="str">
        <f t="shared" si="27"/>
        <v>-</v>
      </c>
      <c r="J1776" s="5" t="s">
        <v>4308</v>
      </c>
    </row>
    <row r="1777" spans="1:10" ht="38.25" x14ac:dyDescent="0.2">
      <c r="A1777" s="1" t="s">
        <v>39</v>
      </c>
      <c r="B1777" s="2" t="s">
        <v>143</v>
      </c>
      <c r="C1777" s="1"/>
      <c r="D1777" s="5" t="s">
        <v>774</v>
      </c>
      <c r="E1777" s="3" t="s">
        <v>465</v>
      </c>
      <c r="F1777" s="3">
        <v>141328</v>
      </c>
      <c r="G1777" s="57" t="str">
        <f t="shared" si="27"/>
        <v>-</v>
      </c>
      <c r="J1777" s="5" t="s">
        <v>4309</v>
      </c>
    </row>
    <row r="1778" spans="1:10" x14ac:dyDescent="0.2">
      <c r="A1778" s="1" t="s">
        <v>39</v>
      </c>
      <c r="B1778" s="2" t="s">
        <v>143</v>
      </c>
      <c r="C1778" s="1"/>
      <c r="D1778" s="5" t="s">
        <v>464</v>
      </c>
      <c r="G1778" s="57" t="str">
        <f t="shared" si="27"/>
        <v>-</v>
      </c>
      <c r="H1778" s="19" t="s">
        <v>465</v>
      </c>
      <c r="I1778" s="19">
        <v>97042</v>
      </c>
      <c r="J1778" s="5" t="s">
        <v>539</v>
      </c>
    </row>
    <row r="1779" spans="1:10" x14ac:dyDescent="0.2">
      <c r="A1779" s="1" t="s">
        <v>39</v>
      </c>
      <c r="B1779" s="2" t="s">
        <v>143</v>
      </c>
      <c r="C1779" s="1"/>
      <c r="D1779" s="5" t="s">
        <v>464</v>
      </c>
      <c r="G1779" s="57" t="str">
        <f t="shared" si="27"/>
        <v>-</v>
      </c>
      <c r="H1779" s="19" t="s">
        <v>465</v>
      </c>
      <c r="I1779" s="19">
        <v>96982</v>
      </c>
      <c r="J1779" s="5" t="s">
        <v>539</v>
      </c>
    </row>
    <row r="1780" spans="1:10" ht="25.5" x14ac:dyDescent="0.2">
      <c r="A1780" s="1" t="s">
        <v>4</v>
      </c>
      <c r="B1780" s="2" t="s">
        <v>144</v>
      </c>
      <c r="C1780" s="1" t="s">
        <v>1640</v>
      </c>
      <c r="D1780" s="5" t="s">
        <v>450</v>
      </c>
      <c r="E1780" s="3" t="s">
        <v>465</v>
      </c>
      <c r="F1780" s="3">
        <v>198747</v>
      </c>
      <c r="G1780" s="57" t="str">
        <f t="shared" si="27"/>
        <v>-</v>
      </c>
      <c r="J1780" s="5" t="s">
        <v>3985</v>
      </c>
    </row>
    <row r="1781" spans="1:10" ht="76.5" x14ac:dyDescent="0.2">
      <c r="A1781" s="1" t="s">
        <v>4</v>
      </c>
      <c r="B1781" s="2" t="s">
        <v>144</v>
      </c>
      <c r="C1781" s="1" t="s">
        <v>1641</v>
      </c>
      <c r="D1781" s="5" t="s">
        <v>450</v>
      </c>
      <c r="E1781" s="3">
        <v>233239</v>
      </c>
      <c r="F1781" s="3">
        <v>213716</v>
      </c>
      <c r="G1781" s="57">
        <f t="shared" si="27"/>
        <v>-8.3703840266850738E-2</v>
      </c>
      <c r="J1781" s="5" t="s">
        <v>4310</v>
      </c>
    </row>
    <row r="1782" spans="1:10" ht="25.5" x14ac:dyDescent="0.2">
      <c r="A1782" s="1" t="s">
        <v>4</v>
      </c>
      <c r="B1782" s="2" t="s">
        <v>144</v>
      </c>
      <c r="C1782" s="1" t="s">
        <v>1642</v>
      </c>
      <c r="D1782" s="5" t="s">
        <v>854</v>
      </c>
      <c r="E1782" s="3">
        <v>197046</v>
      </c>
      <c r="F1782" s="3">
        <v>183386</v>
      </c>
      <c r="G1782" s="57">
        <f t="shared" si="27"/>
        <v>-6.93239142129249E-2</v>
      </c>
      <c r="J1782" s="5" t="s">
        <v>3986</v>
      </c>
    </row>
    <row r="1783" spans="1:10" ht="51" x14ac:dyDescent="0.2">
      <c r="A1783" s="1" t="s">
        <v>4</v>
      </c>
      <c r="B1783" s="2" t="s">
        <v>144</v>
      </c>
      <c r="C1783" s="1"/>
      <c r="D1783" s="5" t="s">
        <v>562</v>
      </c>
      <c r="E1783" s="3">
        <v>173600</v>
      </c>
      <c r="F1783" s="3">
        <v>165564</v>
      </c>
      <c r="G1783" s="57">
        <f t="shared" si="27"/>
        <v>-4.6290322580645159E-2</v>
      </c>
      <c r="J1783" s="5" t="s">
        <v>4311</v>
      </c>
    </row>
    <row r="1784" spans="1:10" ht="38.25" x14ac:dyDescent="0.2">
      <c r="A1784" s="1" t="s">
        <v>4</v>
      </c>
      <c r="B1784" s="2" t="s">
        <v>144</v>
      </c>
      <c r="C1784" s="1"/>
      <c r="D1784" s="5" t="s">
        <v>3987</v>
      </c>
      <c r="E1784" s="3">
        <v>369946</v>
      </c>
      <c r="F1784" s="3" t="s">
        <v>465</v>
      </c>
      <c r="G1784" s="57" t="str">
        <f t="shared" si="27"/>
        <v>-</v>
      </c>
      <c r="J1784" s="5" t="s">
        <v>4312</v>
      </c>
    </row>
    <row r="1785" spans="1:10" ht="25.5" x14ac:dyDescent="0.2">
      <c r="A1785" s="1" t="s">
        <v>4</v>
      </c>
      <c r="B1785" s="2" t="s">
        <v>144</v>
      </c>
      <c r="C1785" s="1"/>
      <c r="D1785" s="5" t="s">
        <v>1643</v>
      </c>
      <c r="E1785" s="3">
        <v>145378</v>
      </c>
      <c r="F1785" s="3">
        <v>153306</v>
      </c>
      <c r="G1785" s="57">
        <f t="shared" si="27"/>
        <v>5.4533698358761297E-2</v>
      </c>
      <c r="J1785" s="5" t="s">
        <v>3988</v>
      </c>
    </row>
    <row r="1786" spans="1:10" ht="25.5" x14ac:dyDescent="0.2">
      <c r="A1786" s="1" t="s">
        <v>4</v>
      </c>
      <c r="B1786" s="2" t="s">
        <v>144</v>
      </c>
      <c r="C1786" s="1"/>
      <c r="D1786" s="5" t="s">
        <v>3989</v>
      </c>
      <c r="E1786" s="3">
        <v>154807</v>
      </c>
      <c r="F1786" s="3" t="s">
        <v>465</v>
      </c>
      <c r="G1786" s="57" t="str">
        <f t="shared" si="27"/>
        <v>-</v>
      </c>
      <c r="J1786" s="5" t="s">
        <v>3990</v>
      </c>
    </row>
    <row r="1787" spans="1:10" ht="25.5" x14ac:dyDescent="0.2">
      <c r="A1787" s="1" t="s">
        <v>4</v>
      </c>
      <c r="B1787" s="2" t="s">
        <v>144</v>
      </c>
      <c r="C1787" s="1"/>
      <c r="D1787" s="5" t="s">
        <v>1644</v>
      </c>
      <c r="E1787" s="3">
        <v>148505</v>
      </c>
      <c r="F1787" s="3">
        <v>145386</v>
      </c>
      <c r="G1787" s="57">
        <f t="shared" si="27"/>
        <v>-2.1002659843102924E-2</v>
      </c>
      <c r="J1787" s="5" t="s">
        <v>3991</v>
      </c>
    </row>
    <row r="1788" spans="1:10" ht="51" customHeight="1" x14ac:dyDescent="0.2">
      <c r="A1788" s="1" t="s">
        <v>4</v>
      </c>
      <c r="B1788" s="2" t="s">
        <v>144</v>
      </c>
      <c r="C1788" s="1"/>
      <c r="D1788" s="5" t="s">
        <v>1645</v>
      </c>
      <c r="E1788" s="3" t="s">
        <v>465</v>
      </c>
      <c r="F1788" s="3">
        <v>125119</v>
      </c>
      <c r="G1788" s="57" t="str">
        <f t="shared" si="27"/>
        <v>-</v>
      </c>
      <c r="J1788" s="5" t="s">
        <v>4313</v>
      </c>
    </row>
    <row r="1789" spans="1:10" x14ac:dyDescent="0.2">
      <c r="A1789" s="1" t="s">
        <v>4</v>
      </c>
      <c r="B1789" s="2" t="s">
        <v>144</v>
      </c>
      <c r="C1789" s="1"/>
      <c r="D1789" s="5" t="s">
        <v>464</v>
      </c>
      <c r="G1789" s="57" t="str">
        <f t="shared" si="27"/>
        <v>-</v>
      </c>
      <c r="H1789" s="19">
        <v>92500</v>
      </c>
      <c r="I1789" s="19" t="s">
        <v>465</v>
      </c>
    </row>
    <row r="1790" spans="1:10" x14ac:dyDescent="0.2">
      <c r="A1790" s="1" t="s">
        <v>4</v>
      </c>
      <c r="B1790" s="2" t="s">
        <v>144</v>
      </c>
      <c r="C1790" s="1"/>
      <c r="D1790" s="5" t="s">
        <v>464</v>
      </c>
      <c r="G1790" s="57" t="str">
        <f t="shared" si="27"/>
        <v>-</v>
      </c>
      <c r="H1790" s="19">
        <v>92500</v>
      </c>
      <c r="I1790" s="19" t="s">
        <v>465</v>
      </c>
    </row>
    <row r="1791" spans="1:10" x14ac:dyDescent="0.2">
      <c r="A1791" s="1" t="s">
        <v>4</v>
      </c>
      <c r="B1791" s="2" t="s">
        <v>144</v>
      </c>
      <c r="C1791" s="1"/>
      <c r="D1791" s="5" t="s">
        <v>464</v>
      </c>
      <c r="G1791" s="57" t="str">
        <f t="shared" si="27"/>
        <v>-</v>
      </c>
      <c r="H1791" s="19">
        <v>97500</v>
      </c>
      <c r="I1791" s="19" t="s">
        <v>465</v>
      </c>
    </row>
    <row r="1792" spans="1:10" x14ac:dyDescent="0.2">
      <c r="A1792" s="1" t="s">
        <v>4</v>
      </c>
      <c r="B1792" s="2" t="s">
        <v>144</v>
      </c>
      <c r="C1792" s="1"/>
      <c r="D1792" s="5" t="s">
        <v>464</v>
      </c>
      <c r="G1792" s="57" t="str">
        <f t="shared" si="27"/>
        <v>-</v>
      </c>
      <c r="H1792" s="19">
        <v>97500</v>
      </c>
      <c r="I1792" s="19" t="s">
        <v>465</v>
      </c>
    </row>
    <row r="1793" spans="1:10" x14ac:dyDescent="0.2">
      <c r="A1793" s="1" t="s">
        <v>4</v>
      </c>
      <c r="B1793" s="2" t="s">
        <v>144</v>
      </c>
      <c r="C1793" s="1"/>
      <c r="D1793" s="5" t="s">
        <v>464</v>
      </c>
      <c r="G1793" s="57" t="str">
        <f t="shared" si="27"/>
        <v>-</v>
      </c>
      <c r="H1793" s="19" t="s">
        <v>465</v>
      </c>
      <c r="I1793" s="19">
        <v>92500</v>
      </c>
    </row>
    <row r="1794" spans="1:10" x14ac:dyDescent="0.2">
      <c r="A1794" s="1" t="s">
        <v>4</v>
      </c>
      <c r="B1794" s="2" t="s">
        <v>144</v>
      </c>
      <c r="C1794" s="1"/>
      <c r="D1794" s="5" t="s">
        <v>464</v>
      </c>
      <c r="G1794" s="57" t="str">
        <f t="shared" si="27"/>
        <v>-</v>
      </c>
      <c r="H1794" s="19" t="s">
        <v>465</v>
      </c>
      <c r="I1794" s="19">
        <v>92500</v>
      </c>
    </row>
    <row r="1795" spans="1:10" x14ac:dyDescent="0.2">
      <c r="A1795" s="1" t="s">
        <v>4</v>
      </c>
      <c r="B1795" s="2" t="s">
        <v>144</v>
      </c>
      <c r="C1795" s="1"/>
      <c r="D1795" s="5" t="s">
        <v>464</v>
      </c>
      <c r="G1795" s="57" t="str">
        <f t="shared" ref="G1795:G1858" si="28">IF(ISERROR((F1795-E1795)/E1795),"-",(F1795-E1795)/E1795)</f>
        <v>-</v>
      </c>
      <c r="H1795" s="19" t="s">
        <v>465</v>
      </c>
      <c r="I1795" s="19">
        <v>92500</v>
      </c>
    </row>
    <row r="1796" spans="1:10" x14ac:dyDescent="0.2">
      <c r="A1796" s="1" t="s">
        <v>4</v>
      </c>
      <c r="B1796" s="2" t="s">
        <v>144</v>
      </c>
      <c r="C1796" s="1"/>
      <c r="D1796" s="5" t="s">
        <v>464</v>
      </c>
      <c r="G1796" s="57" t="str">
        <f t="shared" si="28"/>
        <v>-</v>
      </c>
      <c r="H1796" s="19" t="s">
        <v>465</v>
      </c>
      <c r="I1796" s="19">
        <v>92500</v>
      </c>
      <c r="J1796" s="1"/>
    </row>
    <row r="1797" spans="1:10" x14ac:dyDescent="0.2">
      <c r="A1797" s="1" t="s">
        <v>4</v>
      </c>
      <c r="B1797" s="2" t="s">
        <v>144</v>
      </c>
      <c r="C1797" s="1"/>
      <c r="D1797" s="5" t="s">
        <v>464</v>
      </c>
      <c r="G1797" s="57" t="str">
        <f t="shared" si="28"/>
        <v>-</v>
      </c>
      <c r="H1797" s="19" t="s">
        <v>465</v>
      </c>
      <c r="I1797" s="19">
        <v>92500</v>
      </c>
      <c r="J1797" s="1"/>
    </row>
    <row r="1798" spans="1:10" x14ac:dyDescent="0.2">
      <c r="A1798" s="1" t="s">
        <v>4</v>
      </c>
      <c r="B1798" s="2" t="s">
        <v>144</v>
      </c>
      <c r="C1798" s="1"/>
      <c r="D1798" s="5" t="s">
        <v>464</v>
      </c>
      <c r="G1798" s="57" t="str">
        <f t="shared" si="28"/>
        <v>-</v>
      </c>
      <c r="H1798" s="19" t="s">
        <v>465</v>
      </c>
      <c r="I1798" s="19">
        <v>92500</v>
      </c>
      <c r="J1798" s="1"/>
    </row>
    <row r="1799" spans="1:10" x14ac:dyDescent="0.2">
      <c r="A1799" s="1" t="s">
        <v>4</v>
      </c>
      <c r="B1799" s="2" t="s">
        <v>144</v>
      </c>
      <c r="C1799" s="1"/>
      <c r="D1799" s="5" t="s">
        <v>464</v>
      </c>
      <c r="G1799" s="57" t="str">
        <f t="shared" si="28"/>
        <v>-</v>
      </c>
      <c r="H1799" s="19" t="s">
        <v>465</v>
      </c>
      <c r="I1799" s="19">
        <v>97500</v>
      </c>
      <c r="J1799" s="1"/>
    </row>
    <row r="1800" spans="1:10" x14ac:dyDescent="0.2">
      <c r="A1800" s="1" t="s">
        <v>4</v>
      </c>
      <c r="B1800" s="2" t="s">
        <v>144</v>
      </c>
      <c r="C1800" s="1"/>
      <c r="D1800" s="5" t="s">
        <v>464</v>
      </c>
      <c r="G1800" s="57" t="str">
        <f t="shared" si="28"/>
        <v>-</v>
      </c>
      <c r="H1800" s="19" t="s">
        <v>465</v>
      </c>
      <c r="I1800" s="19">
        <v>97500</v>
      </c>
      <c r="J1800" s="1"/>
    </row>
    <row r="1801" spans="1:10" x14ac:dyDescent="0.2">
      <c r="A1801" s="1" t="s">
        <v>4</v>
      </c>
      <c r="B1801" s="2" t="s">
        <v>144</v>
      </c>
      <c r="C1801" s="1"/>
      <c r="D1801" s="5" t="s">
        <v>464</v>
      </c>
      <c r="E1801" s="3">
        <v>102500</v>
      </c>
      <c r="F1801" s="3" t="s">
        <v>465</v>
      </c>
      <c r="G1801" s="57" t="str">
        <f t="shared" si="28"/>
        <v>-</v>
      </c>
      <c r="J1801" s="1"/>
    </row>
    <row r="1802" spans="1:10" x14ac:dyDescent="0.2">
      <c r="A1802" s="1" t="s">
        <v>4</v>
      </c>
      <c r="B1802" s="2" t="s">
        <v>144</v>
      </c>
      <c r="C1802" s="1"/>
      <c r="D1802" s="5" t="s">
        <v>464</v>
      </c>
      <c r="E1802" s="3">
        <v>107500</v>
      </c>
      <c r="F1802" s="3" t="s">
        <v>465</v>
      </c>
      <c r="G1802" s="57" t="str">
        <f t="shared" si="28"/>
        <v>-</v>
      </c>
      <c r="J1802" s="1"/>
    </row>
    <row r="1803" spans="1:10" x14ac:dyDescent="0.2">
      <c r="A1803" s="1" t="s">
        <v>4</v>
      </c>
      <c r="B1803" s="2" t="s">
        <v>144</v>
      </c>
      <c r="C1803" s="1"/>
      <c r="D1803" s="5" t="s">
        <v>464</v>
      </c>
      <c r="E1803" s="3">
        <v>112500</v>
      </c>
      <c r="F1803" s="3" t="s">
        <v>465</v>
      </c>
      <c r="G1803" s="57" t="str">
        <f t="shared" si="28"/>
        <v>-</v>
      </c>
      <c r="J1803" s="1"/>
    </row>
    <row r="1804" spans="1:10" x14ac:dyDescent="0.2">
      <c r="A1804" s="1" t="s">
        <v>4</v>
      </c>
      <c r="B1804" s="2" t="s">
        <v>144</v>
      </c>
      <c r="C1804" s="1"/>
      <c r="D1804" s="5" t="s">
        <v>464</v>
      </c>
      <c r="E1804" s="3">
        <v>117500</v>
      </c>
      <c r="F1804" s="3" t="s">
        <v>465</v>
      </c>
      <c r="G1804" s="57" t="str">
        <f t="shared" si="28"/>
        <v>-</v>
      </c>
      <c r="J1804" s="1"/>
    </row>
    <row r="1805" spans="1:10" x14ac:dyDescent="0.2">
      <c r="A1805" s="1" t="s">
        <v>4</v>
      </c>
      <c r="B1805" s="2" t="s">
        <v>144</v>
      </c>
      <c r="C1805" s="1"/>
      <c r="D1805" s="5" t="s">
        <v>464</v>
      </c>
      <c r="E1805" s="3">
        <v>122500</v>
      </c>
      <c r="F1805" s="3" t="s">
        <v>465</v>
      </c>
      <c r="G1805" s="57" t="str">
        <f t="shared" si="28"/>
        <v>-</v>
      </c>
      <c r="J1805" s="1"/>
    </row>
    <row r="1806" spans="1:10" x14ac:dyDescent="0.2">
      <c r="A1806" s="1" t="s">
        <v>4</v>
      </c>
      <c r="B1806" s="2" t="s">
        <v>144</v>
      </c>
      <c r="C1806" s="1"/>
      <c r="D1806" s="5" t="s">
        <v>464</v>
      </c>
      <c r="E1806" s="3">
        <v>122500</v>
      </c>
      <c r="F1806" s="3" t="s">
        <v>465</v>
      </c>
      <c r="G1806" s="57" t="str">
        <f t="shared" si="28"/>
        <v>-</v>
      </c>
      <c r="J1806" s="1"/>
    </row>
    <row r="1807" spans="1:10" x14ac:dyDescent="0.2">
      <c r="A1807" s="1" t="s">
        <v>4</v>
      </c>
      <c r="B1807" s="2" t="s">
        <v>144</v>
      </c>
      <c r="C1807" s="1"/>
      <c r="D1807" s="5" t="s">
        <v>464</v>
      </c>
      <c r="E1807" s="3">
        <v>127500</v>
      </c>
      <c r="F1807" s="3" t="s">
        <v>465</v>
      </c>
      <c r="G1807" s="57" t="str">
        <f t="shared" si="28"/>
        <v>-</v>
      </c>
      <c r="J1807" s="1"/>
    </row>
    <row r="1808" spans="1:10" x14ac:dyDescent="0.2">
      <c r="A1808" s="1" t="s">
        <v>4</v>
      </c>
      <c r="B1808" s="2" t="s">
        <v>144</v>
      </c>
      <c r="C1808" s="1"/>
      <c r="D1808" s="5" t="s">
        <v>464</v>
      </c>
      <c r="E1808" s="3">
        <v>127500</v>
      </c>
      <c r="F1808" s="3" t="s">
        <v>465</v>
      </c>
      <c r="G1808" s="57" t="str">
        <f t="shared" si="28"/>
        <v>-</v>
      </c>
      <c r="J1808" s="1"/>
    </row>
    <row r="1809" spans="1:10" x14ac:dyDescent="0.2">
      <c r="A1809" s="1" t="s">
        <v>4</v>
      </c>
      <c r="B1809" s="2" t="s">
        <v>144</v>
      </c>
      <c r="C1809" s="1"/>
      <c r="D1809" s="5" t="s">
        <v>464</v>
      </c>
      <c r="E1809" s="3">
        <v>147500</v>
      </c>
      <c r="F1809" s="3" t="s">
        <v>465</v>
      </c>
      <c r="G1809" s="57" t="str">
        <f t="shared" si="28"/>
        <v>-</v>
      </c>
      <c r="J1809" s="1"/>
    </row>
    <row r="1810" spans="1:10" x14ac:dyDescent="0.2">
      <c r="A1810" s="1" t="s">
        <v>4</v>
      </c>
      <c r="B1810" s="2" t="s">
        <v>144</v>
      </c>
      <c r="C1810" s="1"/>
      <c r="D1810" s="5" t="s">
        <v>464</v>
      </c>
      <c r="E1810" s="3">
        <v>167500</v>
      </c>
      <c r="F1810" s="3" t="s">
        <v>465</v>
      </c>
      <c r="G1810" s="57" t="str">
        <f t="shared" si="28"/>
        <v>-</v>
      </c>
      <c r="J1810" s="1"/>
    </row>
    <row r="1811" spans="1:10" x14ac:dyDescent="0.2">
      <c r="A1811" s="1" t="s">
        <v>4</v>
      </c>
      <c r="B1811" s="2" t="s">
        <v>144</v>
      </c>
      <c r="C1811" s="1"/>
      <c r="D1811" s="5" t="s">
        <v>464</v>
      </c>
      <c r="E1811" s="3">
        <v>197500</v>
      </c>
      <c r="F1811" s="3" t="s">
        <v>465</v>
      </c>
      <c r="G1811" s="57" t="str">
        <f t="shared" si="28"/>
        <v>-</v>
      </c>
      <c r="J1811" s="1"/>
    </row>
    <row r="1812" spans="1:10" x14ac:dyDescent="0.2">
      <c r="A1812" s="1" t="s">
        <v>4</v>
      </c>
      <c r="B1812" s="2" t="s">
        <v>144</v>
      </c>
      <c r="C1812" s="1"/>
      <c r="D1812" s="5" t="s">
        <v>464</v>
      </c>
      <c r="E1812" s="3">
        <v>202500</v>
      </c>
      <c r="F1812" s="3" t="s">
        <v>465</v>
      </c>
      <c r="G1812" s="57" t="str">
        <f t="shared" si="28"/>
        <v>-</v>
      </c>
    </row>
    <row r="1813" spans="1:10" x14ac:dyDescent="0.2">
      <c r="A1813" s="1" t="s">
        <v>4</v>
      </c>
      <c r="B1813" s="2" t="s">
        <v>144</v>
      </c>
      <c r="C1813" s="1"/>
      <c r="D1813" s="5" t="s">
        <v>464</v>
      </c>
      <c r="E1813" s="3" t="s">
        <v>465</v>
      </c>
      <c r="F1813" s="3">
        <v>102500</v>
      </c>
      <c r="G1813" s="57" t="str">
        <f t="shared" si="28"/>
        <v>-</v>
      </c>
    </row>
    <row r="1814" spans="1:10" x14ac:dyDescent="0.2">
      <c r="A1814" s="1" t="s">
        <v>4</v>
      </c>
      <c r="B1814" s="2" t="s">
        <v>144</v>
      </c>
      <c r="C1814" s="1"/>
      <c r="D1814" s="5" t="s">
        <v>464</v>
      </c>
      <c r="E1814" s="3" t="s">
        <v>465</v>
      </c>
      <c r="F1814" s="3">
        <v>107500</v>
      </c>
      <c r="G1814" s="57" t="str">
        <f t="shared" si="28"/>
        <v>-</v>
      </c>
    </row>
    <row r="1815" spans="1:10" x14ac:dyDescent="0.2">
      <c r="A1815" s="1" t="s">
        <v>4</v>
      </c>
      <c r="B1815" s="2" t="s">
        <v>144</v>
      </c>
      <c r="C1815" s="1"/>
      <c r="D1815" s="5" t="s">
        <v>464</v>
      </c>
      <c r="E1815" s="3" t="s">
        <v>465</v>
      </c>
      <c r="F1815" s="3">
        <v>112500</v>
      </c>
      <c r="G1815" s="57" t="str">
        <f t="shared" si="28"/>
        <v>-</v>
      </c>
    </row>
    <row r="1816" spans="1:10" x14ac:dyDescent="0.2">
      <c r="A1816" s="1" t="s">
        <v>4</v>
      </c>
      <c r="B1816" s="2" t="s">
        <v>144</v>
      </c>
      <c r="C1816" s="1"/>
      <c r="D1816" s="5" t="s">
        <v>464</v>
      </c>
      <c r="E1816" s="3" t="s">
        <v>465</v>
      </c>
      <c r="F1816" s="3">
        <v>117500</v>
      </c>
      <c r="G1816" s="57" t="str">
        <f t="shared" si="28"/>
        <v>-</v>
      </c>
    </row>
    <row r="1817" spans="1:10" x14ac:dyDescent="0.2">
      <c r="A1817" s="1" t="s">
        <v>4</v>
      </c>
      <c r="B1817" s="2" t="s">
        <v>144</v>
      </c>
      <c r="C1817" s="1"/>
      <c r="D1817" s="5" t="s">
        <v>464</v>
      </c>
      <c r="E1817" s="3" t="s">
        <v>465</v>
      </c>
      <c r="F1817" s="3">
        <v>122500</v>
      </c>
      <c r="G1817" s="57" t="str">
        <f t="shared" si="28"/>
        <v>-</v>
      </c>
    </row>
    <row r="1818" spans="1:10" x14ac:dyDescent="0.2">
      <c r="A1818" s="1" t="s">
        <v>4</v>
      </c>
      <c r="B1818" s="2" t="s">
        <v>144</v>
      </c>
      <c r="C1818" s="1"/>
      <c r="D1818" s="5" t="s">
        <v>464</v>
      </c>
      <c r="E1818" s="3" t="s">
        <v>465</v>
      </c>
      <c r="F1818" s="3">
        <v>122500</v>
      </c>
      <c r="G1818" s="57" t="str">
        <f t="shared" si="28"/>
        <v>-</v>
      </c>
    </row>
    <row r="1819" spans="1:10" x14ac:dyDescent="0.2">
      <c r="A1819" s="1" t="s">
        <v>4</v>
      </c>
      <c r="B1819" s="2" t="s">
        <v>144</v>
      </c>
      <c r="C1819" s="1"/>
      <c r="D1819" s="5" t="s">
        <v>464</v>
      </c>
      <c r="E1819" s="3" t="s">
        <v>465</v>
      </c>
      <c r="F1819" s="3">
        <v>127500</v>
      </c>
      <c r="G1819" s="57" t="str">
        <f t="shared" si="28"/>
        <v>-</v>
      </c>
    </row>
    <row r="1820" spans="1:10" x14ac:dyDescent="0.2">
      <c r="A1820" s="1" t="s">
        <v>4</v>
      </c>
      <c r="B1820" s="2" t="s">
        <v>144</v>
      </c>
      <c r="C1820" s="1"/>
      <c r="D1820" s="5" t="s">
        <v>464</v>
      </c>
      <c r="E1820" s="3" t="s">
        <v>465</v>
      </c>
      <c r="F1820" s="3">
        <v>127500</v>
      </c>
      <c r="G1820" s="57" t="str">
        <f t="shared" si="28"/>
        <v>-</v>
      </c>
    </row>
    <row r="1821" spans="1:10" x14ac:dyDescent="0.2">
      <c r="A1821" s="1" t="s">
        <v>4</v>
      </c>
      <c r="B1821" s="2" t="s">
        <v>144</v>
      </c>
      <c r="C1821" s="1"/>
      <c r="D1821" s="5" t="s">
        <v>464</v>
      </c>
      <c r="E1821" s="3" t="s">
        <v>465</v>
      </c>
      <c r="F1821" s="3">
        <v>137500</v>
      </c>
      <c r="G1821" s="57" t="str">
        <f t="shared" si="28"/>
        <v>-</v>
      </c>
    </row>
    <row r="1822" spans="1:10" x14ac:dyDescent="0.2">
      <c r="A1822" s="1" t="s">
        <v>4</v>
      </c>
      <c r="B1822" s="2" t="s">
        <v>144</v>
      </c>
      <c r="C1822" s="1"/>
      <c r="D1822" s="5" t="s">
        <v>464</v>
      </c>
      <c r="E1822" s="3" t="s">
        <v>465</v>
      </c>
      <c r="F1822" s="3">
        <v>152500</v>
      </c>
      <c r="G1822" s="57" t="str">
        <f t="shared" si="28"/>
        <v>-</v>
      </c>
    </row>
    <row r="1823" spans="1:10" x14ac:dyDescent="0.2">
      <c r="A1823" s="1" t="s">
        <v>4</v>
      </c>
      <c r="B1823" s="2" t="s">
        <v>144</v>
      </c>
      <c r="C1823" s="1"/>
      <c r="D1823" s="5" t="s">
        <v>464</v>
      </c>
      <c r="E1823" s="3" t="s">
        <v>465</v>
      </c>
      <c r="F1823" s="3">
        <v>167500</v>
      </c>
      <c r="G1823" s="57" t="str">
        <f t="shared" si="28"/>
        <v>-</v>
      </c>
    </row>
    <row r="1824" spans="1:10" ht="25.5" x14ac:dyDescent="0.2">
      <c r="A1824" s="1" t="s">
        <v>4</v>
      </c>
      <c r="B1824" s="2" t="s">
        <v>145</v>
      </c>
      <c r="C1824" s="1"/>
      <c r="D1824" s="5" t="s">
        <v>450</v>
      </c>
      <c r="E1824" s="3">
        <v>129790</v>
      </c>
      <c r="F1824" s="3">
        <v>128333</v>
      </c>
      <c r="G1824" s="57">
        <f t="shared" si="28"/>
        <v>-1.1225826334848601E-2</v>
      </c>
      <c r="J1824" s="5" t="s">
        <v>3992</v>
      </c>
    </row>
    <row r="1825" spans="1:10" ht="38.25" x14ac:dyDescent="0.2">
      <c r="A1825" s="1" t="s">
        <v>4</v>
      </c>
      <c r="B1825" s="2" t="s">
        <v>145</v>
      </c>
      <c r="C1825" s="1"/>
      <c r="D1825" s="5" t="s">
        <v>455</v>
      </c>
      <c r="E1825" s="3">
        <v>49076</v>
      </c>
      <c r="F1825" s="3">
        <v>105583</v>
      </c>
      <c r="G1825" s="57">
        <f t="shared" si="28"/>
        <v>1.1514182084929496</v>
      </c>
      <c r="J1825" s="5" t="s">
        <v>4314</v>
      </c>
    </row>
    <row r="1826" spans="1:10" x14ac:dyDescent="0.2">
      <c r="A1826" s="1" t="s">
        <v>4</v>
      </c>
      <c r="B1826" s="2" t="s">
        <v>145</v>
      </c>
      <c r="C1826" s="1"/>
      <c r="D1826" s="5" t="s">
        <v>464</v>
      </c>
      <c r="G1826" s="57" t="str">
        <f t="shared" si="28"/>
        <v>-</v>
      </c>
      <c r="H1826" s="19">
        <v>92500</v>
      </c>
      <c r="I1826" s="19" t="s">
        <v>465</v>
      </c>
    </row>
    <row r="1827" spans="1:10" x14ac:dyDescent="0.2">
      <c r="A1827" s="1" t="s">
        <v>4</v>
      </c>
      <c r="B1827" s="2" t="s">
        <v>145</v>
      </c>
      <c r="C1827" s="1"/>
      <c r="D1827" s="5" t="s">
        <v>464</v>
      </c>
      <c r="G1827" s="57" t="str">
        <f t="shared" si="28"/>
        <v>-</v>
      </c>
      <c r="H1827" s="19">
        <v>97500</v>
      </c>
      <c r="I1827" s="19" t="s">
        <v>465</v>
      </c>
      <c r="J1827" s="5" t="s">
        <v>539</v>
      </c>
    </row>
    <row r="1828" spans="1:10" x14ac:dyDescent="0.2">
      <c r="A1828" s="1" t="s">
        <v>4</v>
      </c>
      <c r="B1828" s="2" t="s">
        <v>145</v>
      </c>
      <c r="C1828" s="1"/>
      <c r="D1828" s="5" t="s">
        <v>464</v>
      </c>
      <c r="E1828" s="3" t="s">
        <v>465</v>
      </c>
      <c r="F1828" s="3">
        <v>102500</v>
      </c>
      <c r="G1828" s="57" t="str">
        <f t="shared" si="28"/>
        <v>-</v>
      </c>
    </row>
    <row r="1829" spans="1:10" x14ac:dyDescent="0.2">
      <c r="A1829" s="1" t="s">
        <v>4</v>
      </c>
      <c r="B1829" s="2" t="s">
        <v>145</v>
      </c>
      <c r="C1829" s="1"/>
      <c r="D1829" s="5" t="s">
        <v>464</v>
      </c>
      <c r="E1829" s="3">
        <v>122500</v>
      </c>
      <c r="F1829" s="3" t="s">
        <v>465</v>
      </c>
      <c r="G1829" s="57" t="str">
        <f t="shared" si="28"/>
        <v>-</v>
      </c>
      <c r="J1829" s="5" t="s">
        <v>539</v>
      </c>
    </row>
    <row r="1830" spans="1:10" x14ac:dyDescent="0.2">
      <c r="A1830" s="1" t="s">
        <v>4</v>
      </c>
      <c r="B1830" s="2" t="s">
        <v>145</v>
      </c>
      <c r="C1830" s="1"/>
      <c r="D1830" s="5" t="s">
        <v>464</v>
      </c>
      <c r="E1830" s="3">
        <v>127500</v>
      </c>
      <c r="F1830" s="3" t="s">
        <v>465</v>
      </c>
      <c r="G1830" s="57" t="str">
        <f t="shared" si="28"/>
        <v>-</v>
      </c>
      <c r="J1830" s="5" t="s">
        <v>539</v>
      </c>
    </row>
    <row r="1831" spans="1:10" x14ac:dyDescent="0.2">
      <c r="A1831" s="1" t="s">
        <v>4</v>
      </c>
      <c r="B1831" s="2" t="s">
        <v>145</v>
      </c>
      <c r="C1831" s="1"/>
      <c r="D1831" s="5" t="s">
        <v>464</v>
      </c>
      <c r="E1831" s="3">
        <v>132500</v>
      </c>
      <c r="F1831" s="3" t="s">
        <v>465</v>
      </c>
      <c r="G1831" s="57" t="str">
        <f t="shared" si="28"/>
        <v>-</v>
      </c>
      <c r="J1831" s="5" t="s">
        <v>539</v>
      </c>
    </row>
    <row r="1832" spans="1:10" ht="25.5" x14ac:dyDescent="0.2">
      <c r="A1832" s="1" t="s">
        <v>4</v>
      </c>
      <c r="B1832" s="2" t="s">
        <v>146</v>
      </c>
      <c r="C1832" s="1"/>
      <c r="D1832" s="5" t="s">
        <v>450</v>
      </c>
      <c r="E1832" s="3">
        <v>129703</v>
      </c>
      <c r="F1832" s="3">
        <v>127912</v>
      </c>
      <c r="G1832" s="57">
        <f t="shared" si="28"/>
        <v>-1.3808470120197683E-2</v>
      </c>
      <c r="J1832" s="5" t="s">
        <v>4634</v>
      </c>
    </row>
    <row r="1833" spans="1:10" ht="25.5" x14ac:dyDescent="0.2">
      <c r="A1833" s="1" t="s">
        <v>6</v>
      </c>
      <c r="B1833" s="2" t="s">
        <v>147</v>
      </c>
      <c r="C1833" s="1"/>
      <c r="D1833" s="5" t="s">
        <v>450</v>
      </c>
      <c r="E1833" s="3">
        <v>105601</v>
      </c>
      <c r="F1833" s="3">
        <v>109943</v>
      </c>
      <c r="G1833" s="57">
        <f t="shared" si="28"/>
        <v>4.1117034876563666E-2</v>
      </c>
      <c r="J1833" s="5" t="s">
        <v>3993</v>
      </c>
    </row>
    <row r="1834" spans="1:10" ht="25.5" x14ac:dyDescent="0.2">
      <c r="A1834" s="1" t="s">
        <v>1</v>
      </c>
      <c r="B1834" s="2" t="s">
        <v>148</v>
      </c>
      <c r="C1834" s="1" t="s">
        <v>1639</v>
      </c>
      <c r="D1834" s="5" t="s">
        <v>450</v>
      </c>
      <c r="E1834" s="3">
        <f>99055+27166</f>
        <v>126221</v>
      </c>
      <c r="F1834" s="3">
        <f>98898+221+28967</f>
        <v>128086</v>
      </c>
      <c r="G1834" s="57">
        <f t="shared" si="28"/>
        <v>1.477567124329549E-2</v>
      </c>
      <c r="J1834" s="5" t="s">
        <v>3994</v>
      </c>
    </row>
    <row r="1835" spans="1:10" x14ac:dyDescent="0.2">
      <c r="A1835" s="1" t="s">
        <v>1</v>
      </c>
      <c r="B1835" s="2" t="s">
        <v>148</v>
      </c>
      <c r="C1835" s="1"/>
      <c r="D1835" s="5" t="s">
        <v>464</v>
      </c>
      <c r="G1835" s="57" t="str">
        <f t="shared" si="28"/>
        <v>-</v>
      </c>
      <c r="H1835" s="19" t="s">
        <v>465</v>
      </c>
      <c r="I1835" s="19">
        <v>92500</v>
      </c>
    </row>
    <row r="1836" spans="1:10" x14ac:dyDescent="0.2">
      <c r="A1836" s="1" t="s">
        <v>1</v>
      </c>
      <c r="B1836" s="2" t="s">
        <v>148</v>
      </c>
      <c r="C1836" s="1"/>
      <c r="D1836" s="5" t="s">
        <v>464</v>
      </c>
      <c r="E1836" s="3" t="s">
        <v>465</v>
      </c>
      <c r="F1836" s="3">
        <v>127500</v>
      </c>
      <c r="G1836" s="57" t="str">
        <f t="shared" si="28"/>
        <v>-</v>
      </c>
    </row>
    <row r="1837" spans="1:10" x14ac:dyDescent="0.2">
      <c r="A1837" s="1" t="s">
        <v>1</v>
      </c>
      <c r="B1837" s="2" t="s">
        <v>148</v>
      </c>
      <c r="C1837" s="1"/>
      <c r="D1837" s="5" t="s">
        <v>464</v>
      </c>
      <c r="E1837" s="3" t="s">
        <v>465</v>
      </c>
      <c r="F1837" s="3">
        <v>127500</v>
      </c>
      <c r="G1837" s="57" t="str">
        <f t="shared" si="28"/>
        <v>-</v>
      </c>
    </row>
    <row r="1838" spans="1:10" ht="25.5" x14ac:dyDescent="0.2">
      <c r="A1838" s="1" t="s">
        <v>4</v>
      </c>
      <c r="B1838" s="2" t="s">
        <v>149</v>
      </c>
      <c r="C1838" s="1"/>
      <c r="D1838" s="5" t="s">
        <v>3995</v>
      </c>
      <c r="E1838" s="3">
        <v>162893.44</v>
      </c>
      <c r="F1838" s="3">
        <v>157877.17000000001</v>
      </c>
      <c r="G1838" s="57">
        <f t="shared" si="28"/>
        <v>-3.07947944373941E-2</v>
      </c>
      <c r="J1838" s="5" t="s">
        <v>3996</v>
      </c>
    </row>
    <row r="1839" spans="1:10" ht="38.25" x14ac:dyDescent="0.2">
      <c r="A1839" s="1" t="s">
        <v>4</v>
      </c>
      <c r="B1839" s="2" t="s">
        <v>149</v>
      </c>
      <c r="C1839" s="1"/>
      <c r="D1839" s="5" t="s">
        <v>1637</v>
      </c>
      <c r="E1839" s="3">
        <v>122270.52</v>
      </c>
      <c r="F1839" s="3">
        <v>128815.91</v>
      </c>
      <c r="G1839" s="57">
        <f t="shared" si="28"/>
        <v>5.3532036994690127E-2</v>
      </c>
      <c r="J1839" s="5" t="s">
        <v>3997</v>
      </c>
    </row>
    <row r="1840" spans="1:10" ht="38.25" x14ac:dyDescent="0.2">
      <c r="A1840" s="1" t="s">
        <v>4</v>
      </c>
      <c r="B1840" s="2" t="s">
        <v>149</v>
      </c>
      <c r="C1840" s="1"/>
      <c r="D1840" s="5" t="s">
        <v>1638</v>
      </c>
      <c r="E1840" s="3">
        <v>124482.23</v>
      </c>
      <c r="F1840" s="3">
        <v>125111.15</v>
      </c>
      <c r="G1840" s="57">
        <f t="shared" si="28"/>
        <v>5.0522873827051323E-3</v>
      </c>
      <c r="J1840" s="5" t="s">
        <v>3998</v>
      </c>
    </row>
    <row r="1841" spans="1:10" ht="76.5" x14ac:dyDescent="0.2">
      <c r="A1841" s="1" t="s">
        <v>25</v>
      </c>
      <c r="B1841" s="2" t="s">
        <v>150</v>
      </c>
      <c r="C1841" s="1" t="s">
        <v>1633</v>
      </c>
      <c r="D1841" s="5" t="s">
        <v>450</v>
      </c>
      <c r="E1841" s="3">
        <v>248441.54</v>
      </c>
      <c r="F1841" s="3">
        <v>231603.89</v>
      </c>
      <c r="G1841" s="57">
        <f t="shared" si="28"/>
        <v>-6.7773086578033589E-2</v>
      </c>
      <c r="J1841" s="5" t="s">
        <v>4635</v>
      </c>
    </row>
    <row r="1842" spans="1:10" ht="63.75" x14ac:dyDescent="0.2">
      <c r="A1842" s="1" t="s">
        <v>25</v>
      </c>
      <c r="B1842" s="2" t="s">
        <v>150</v>
      </c>
      <c r="C1842" s="1"/>
      <c r="D1842" s="5" t="s">
        <v>1634</v>
      </c>
      <c r="E1842" s="3">
        <v>155716.07999999999</v>
      </c>
      <c r="F1842" s="3">
        <v>156644.81</v>
      </c>
      <c r="G1842" s="57">
        <f t="shared" si="28"/>
        <v>5.9642523752204048E-3</v>
      </c>
      <c r="J1842" s="5" t="s">
        <v>4315</v>
      </c>
    </row>
    <row r="1843" spans="1:10" ht="25.5" x14ac:dyDescent="0.2">
      <c r="A1843" s="1" t="s">
        <v>25</v>
      </c>
      <c r="B1843" s="2" t="s">
        <v>150</v>
      </c>
      <c r="C1843" s="1"/>
      <c r="D1843" s="5" t="s">
        <v>1635</v>
      </c>
      <c r="E1843" s="3">
        <v>155171.29</v>
      </c>
      <c r="F1843" s="3">
        <v>158425.04999999999</v>
      </c>
      <c r="G1843" s="57">
        <f t="shared" si="28"/>
        <v>2.0968827416463318E-2</v>
      </c>
      <c r="J1843" s="5" t="s">
        <v>3999</v>
      </c>
    </row>
    <row r="1844" spans="1:10" ht="38.25" x14ac:dyDescent="0.2">
      <c r="A1844" s="1" t="s">
        <v>25</v>
      </c>
      <c r="B1844" s="2" t="s">
        <v>150</v>
      </c>
      <c r="C1844" s="1"/>
      <c r="D1844" s="5" t="s">
        <v>1636</v>
      </c>
      <c r="E1844" s="3">
        <v>143449.41</v>
      </c>
      <c r="F1844" s="3">
        <v>149710.93</v>
      </c>
      <c r="G1844" s="57">
        <f t="shared" si="28"/>
        <v>4.3649674125533104E-2</v>
      </c>
      <c r="J1844" s="5" t="s">
        <v>4316</v>
      </c>
    </row>
    <row r="1845" spans="1:10" ht="25.5" x14ac:dyDescent="0.2">
      <c r="A1845" s="1" t="s">
        <v>25</v>
      </c>
      <c r="B1845" s="2" t="s">
        <v>150</v>
      </c>
      <c r="C1845" s="1"/>
      <c r="D1845" s="5" t="s">
        <v>942</v>
      </c>
      <c r="E1845" s="3">
        <v>144365.04</v>
      </c>
      <c r="F1845" s="3">
        <v>148026.51</v>
      </c>
      <c r="G1845" s="57">
        <f t="shared" si="28"/>
        <v>2.5362580857526178E-2</v>
      </c>
      <c r="J1845" s="5" t="s">
        <v>4000</v>
      </c>
    </row>
    <row r="1846" spans="1:10" ht="38.25" x14ac:dyDescent="0.2">
      <c r="A1846" s="1" t="s">
        <v>25</v>
      </c>
      <c r="B1846" s="2" t="s">
        <v>150</v>
      </c>
      <c r="C1846" s="1"/>
      <c r="D1846" s="5" t="s">
        <v>4001</v>
      </c>
      <c r="E1846" s="3">
        <v>134090.1</v>
      </c>
      <c r="F1846" s="3">
        <v>141511.23000000001</v>
      </c>
      <c r="G1846" s="57">
        <f t="shared" si="28"/>
        <v>5.5344354281188578E-2</v>
      </c>
      <c r="J1846" s="5" t="s">
        <v>4317</v>
      </c>
    </row>
    <row r="1847" spans="1:10" ht="39.75" customHeight="1" x14ac:dyDescent="0.2">
      <c r="A1847" s="1" t="s">
        <v>25</v>
      </c>
      <c r="B1847" s="2" t="s">
        <v>150</v>
      </c>
      <c r="C1847" s="1"/>
      <c r="D1847" s="5" t="s">
        <v>4002</v>
      </c>
      <c r="E1847" s="3">
        <v>137877</v>
      </c>
      <c r="F1847" s="3">
        <v>81167</v>
      </c>
      <c r="G1847" s="57">
        <f t="shared" si="28"/>
        <v>-0.41130863015586355</v>
      </c>
      <c r="J1847" s="5" t="s">
        <v>4318</v>
      </c>
    </row>
    <row r="1848" spans="1:10" x14ac:dyDescent="0.2">
      <c r="A1848" s="1" t="s">
        <v>25</v>
      </c>
      <c r="B1848" s="2" t="s">
        <v>150</v>
      </c>
      <c r="C1848" s="1"/>
      <c r="D1848" s="5" t="s">
        <v>464</v>
      </c>
      <c r="G1848" s="57" t="str">
        <f t="shared" si="28"/>
        <v>-</v>
      </c>
      <c r="H1848" s="19">
        <v>92500</v>
      </c>
      <c r="I1848" s="19" t="s">
        <v>465</v>
      </c>
    </row>
    <row r="1849" spans="1:10" x14ac:dyDescent="0.2">
      <c r="A1849" s="1" t="s">
        <v>25</v>
      </c>
      <c r="B1849" s="2" t="s">
        <v>150</v>
      </c>
      <c r="C1849" s="1"/>
      <c r="D1849" s="5" t="s">
        <v>464</v>
      </c>
      <c r="G1849" s="57" t="str">
        <f t="shared" si="28"/>
        <v>-</v>
      </c>
      <c r="H1849" s="19">
        <v>92500</v>
      </c>
      <c r="I1849" s="19" t="s">
        <v>465</v>
      </c>
    </row>
    <row r="1850" spans="1:10" x14ac:dyDescent="0.2">
      <c r="A1850" s="1" t="s">
        <v>25</v>
      </c>
      <c r="B1850" s="2" t="s">
        <v>150</v>
      </c>
      <c r="C1850" s="1"/>
      <c r="D1850" s="5" t="s">
        <v>464</v>
      </c>
      <c r="G1850" s="57" t="str">
        <f t="shared" si="28"/>
        <v>-</v>
      </c>
      <c r="H1850" s="19">
        <v>92500</v>
      </c>
      <c r="I1850" s="19" t="s">
        <v>465</v>
      </c>
    </row>
    <row r="1851" spans="1:10" x14ac:dyDescent="0.2">
      <c r="A1851" s="1" t="s">
        <v>25</v>
      </c>
      <c r="B1851" s="2" t="s">
        <v>150</v>
      </c>
      <c r="C1851" s="1"/>
      <c r="D1851" s="5" t="s">
        <v>464</v>
      </c>
      <c r="G1851" s="57" t="str">
        <f t="shared" si="28"/>
        <v>-</v>
      </c>
      <c r="H1851" s="19">
        <v>92500</v>
      </c>
      <c r="I1851" s="19" t="s">
        <v>465</v>
      </c>
      <c r="J1851" s="5" t="s">
        <v>539</v>
      </c>
    </row>
    <row r="1852" spans="1:10" x14ac:dyDescent="0.2">
      <c r="A1852" s="1" t="s">
        <v>25</v>
      </c>
      <c r="B1852" s="2" t="s">
        <v>150</v>
      </c>
      <c r="C1852" s="1"/>
      <c r="D1852" s="5" t="s">
        <v>464</v>
      </c>
      <c r="G1852" s="57" t="str">
        <f t="shared" si="28"/>
        <v>-</v>
      </c>
      <c r="H1852" s="19">
        <v>92500</v>
      </c>
      <c r="I1852" s="19" t="s">
        <v>465</v>
      </c>
      <c r="J1852" s="5" t="s">
        <v>539</v>
      </c>
    </row>
    <row r="1853" spans="1:10" x14ac:dyDescent="0.2">
      <c r="A1853" s="1" t="s">
        <v>25</v>
      </c>
      <c r="B1853" s="2" t="s">
        <v>150</v>
      </c>
      <c r="C1853" s="1"/>
      <c r="D1853" s="5" t="s">
        <v>464</v>
      </c>
      <c r="G1853" s="57" t="str">
        <f t="shared" si="28"/>
        <v>-</v>
      </c>
      <c r="H1853" s="19">
        <v>92500</v>
      </c>
      <c r="I1853" s="19" t="s">
        <v>465</v>
      </c>
      <c r="J1853" s="5" t="s">
        <v>539</v>
      </c>
    </row>
    <row r="1854" spans="1:10" x14ac:dyDescent="0.2">
      <c r="A1854" s="1" t="s">
        <v>25</v>
      </c>
      <c r="B1854" s="2" t="s">
        <v>150</v>
      </c>
      <c r="C1854" s="1"/>
      <c r="D1854" s="5" t="s">
        <v>464</v>
      </c>
      <c r="G1854" s="57" t="str">
        <f t="shared" si="28"/>
        <v>-</v>
      </c>
      <c r="H1854" s="19">
        <v>97500</v>
      </c>
      <c r="I1854" s="19" t="s">
        <v>465</v>
      </c>
    </row>
    <row r="1855" spans="1:10" x14ac:dyDescent="0.2">
      <c r="A1855" s="1" t="s">
        <v>25</v>
      </c>
      <c r="B1855" s="2" t="s">
        <v>150</v>
      </c>
      <c r="C1855" s="1"/>
      <c r="D1855" s="5" t="s">
        <v>464</v>
      </c>
      <c r="G1855" s="57" t="str">
        <f t="shared" si="28"/>
        <v>-</v>
      </c>
      <c r="H1855" s="19">
        <v>97500</v>
      </c>
      <c r="I1855" s="19" t="s">
        <v>465</v>
      </c>
    </row>
    <row r="1856" spans="1:10" x14ac:dyDescent="0.2">
      <c r="A1856" s="1" t="s">
        <v>25</v>
      </c>
      <c r="B1856" s="2" t="s">
        <v>150</v>
      </c>
      <c r="C1856" s="1"/>
      <c r="D1856" s="5" t="s">
        <v>464</v>
      </c>
      <c r="G1856" s="57" t="str">
        <f t="shared" si="28"/>
        <v>-</v>
      </c>
      <c r="H1856" s="19">
        <v>97500</v>
      </c>
      <c r="I1856" s="19" t="s">
        <v>465</v>
      </c>
    </row>
    <row r="1857" spans="1:10" x14ac:dyDescent="0.2">
      <c r="A1857" s="1" t="s">
        <v>25</v>
      </c>
      <c r="B1857" s="2" t="s">
        <v>150</v>
      </c>
      <c r="C1857" s="1"/>
      <c r="D1857" s="5" t="s">
        <v>464</v>
      </c>
      <c r="G1857" s="57" t="str">
        <f t="shared" si="28"/>
        <v>-</v>
      </c>
      <c r="H1857" s="19">
        <v>97500</v>
      </c>
      <c r="I1857" s="19" t="s">
        <v>465</v>
      </c>
    </row>
    <row r="1858" spans="1:10" x14ac:dyDescent="0.2">
      <c r="A1858" s="1" t="s">
        <v>25</v>
      </c>
      <c r="B1858" s="2" t="s">
        <v>150</v>
      </c>
      <c r="C1858" s="1"/>
      <c r="D1858" s="5" t="s">
        <v>464</v>
      </c>
      <c r="G1858" s="57" t="str">
        <f t="shared" si="28"/>
        <v>-</v>
      </c>
      <c r="H1858" s="19">
        <v>97500</v>
      </c>
      <c r="I1858" s="19" t="s">
        <v>465</v>
      </c>
      <c r="J1858" s="5" t="s">
        <v>539</v>
      </c>
    </row>
    <row r="1859" spans="1:10" x14ac:dyDescent="0.2">
      <c r="A1859" s="1" t="s">
        <v>25</v>
      </c>
      <c r="B1859" s="2" t="s">
        <v>150</v>
      </c>
      <c r="C1859" s="1"/>
      <c r="D1859" s="5" t="s">
        <v>464</v>
      </c>
      <c r="G1859" s="57" t="str">
        <f t="shared" ref="G1859:G1922" si="29">IF(ISERROR((F1859-E1859)/E1859),"-",(F1859-E1859)/E1859)</f>
        <v>-</v>
      </c>
      <c r="H1859" s="19" t="s">
        <v>465</v>
      </c>
      <c r="I1859" s="19">
        <v>92500</v>
      </c>
    </row>
    <row r="1860" spans="1:10" x14ac:dyDescent="0.2">
      <c r="A1860" s="1" t="s">
        <v>25</v>
      </c>
      <c r="B1860" s="2" t="s">
        <v>150</v>
      </c>
      <c r="C1860" s="1"/>
      <c r="D1860" s="5" t="s">
        <v>464</v>
      </c>
      <c r="G1860" s="57" t="str">
        <f t="shared" si="29"/>
        <v>-</v>
      </c>
      <c r="H1860" s="19" t="s">
        <v>465</v>
      </c>
      <c r="I1860" s="19">
        <v>92500</v>
      </c>
    </row>
    <row r="1861" spans="1:10" x14ac:dyDescent="0.2">
      <c r="A1861" s="1" t="s">
        <v>25</v>
      </c>
      <c r="B1861" s="2" t="s">
        <v>150</v>
      </c>
      <c r="C1861" s="1"/>
      <c r="D1861" s="5" t="s">
        <v>464</v>
      </c>
      <c r="G1861" s="57" t="str">
        <f t="shared" si="29"/>
        <v>-</v>
      </c>
      <c r="H1861" s="19" t="s">
        <v>465</v>
      </c>
      <c r="I1861" s="19">
        <v>92500</v>
      </c>
      <c r="J1861" s="5" t="s">
        <v>539</v>
      </c>
    </row>
    <row r="1862" spans="1:10" x14ac:dyDescent="0.2">
      <c r="A1862" s="1" t="s">
        <v>25</v>
      </c>
      <c r="B1862" s="2" t="s">
        <v>150</v>
      </c>
      <c r="C1862" s="1"/>
      <c r="D1862" s="5" t="s">
        <v>464</v>
      </c>
      <c r="G1862" s="57" t="str">
        <f t="shared" si="29"/>
        <v>-</v>
      </c>
      <c r="H1862" s="19" t="s">
        <v>465</v>
      </c>
      <c r="I1862" s="19">
        <v>97500</v>
      </c>
    </row>
    <row r="1863" spans="1:10" x14ac:dyDescent="0.2">
      <c r="A1863" s="1" t="s">
        <v>25</v>
      </c>
      <c r="B1863" s="2" t="s">
        <v>150</v>
      </c>
      <c r="C1863" s="1"/>
      <c r="D1863" s="5" t="s">
        <v>464</v>
      </c>
      <c r="G1863" s="57" t="str">
        <f t="shared" si="29"/>
        <v>-</v>
      </c>
      <c r="H1863" s="19" t="s">
        <v>465</v>
      </c>
      <c r="I1863" s="19">
        <v>97500</v>
      </c>
    </row>
    <row r="1864" spans="1:10" x14ac:dyDescent="0.2">
      <c r="A1864" s="1" t="s">
        <v>25</v>
      </c>
      <c r="B1864" s="2" t="s">
        <v>150</v>
      </c>
      <c r="C1864" s="1"/>
      <c r="D1864" s="5" t="s">
        <v>464</v>
      </c>
      <c r="G1864" s="57" t="str">
        <f t="shared" si="29"/>
        <v>-</v>
      </c>
      <c r="H1864" s="19" t="s">
        <v>465</v>
      </c>
      <c r="I1864" s="19">
        <v>97500</v>
      </c>
    </row>
    <row r="1865" spans="1:10" x14ac:dyDescent="0.2">
      <c r="A1865" s="1" t="s">
        <v>25</v>
      </c>
      <c r="B1865" s="2" t="s">
        <v>150</v>
      </c>
      <c r="C1865" s="1"/>
      <c r="D1865" s="5" t="s">
        <v>464</v>
      </c>
      <c r="G1865" s="57" t="str">
        <f t="shared" si="29"/>
        <v>-</v>
      </c>
      <c r="H1865" s="19" t="s">
        <v>465</v>
      </c>
      <c r="I1865" s="19">
        <v>97500</v>
      </c>
    </row>
    <row r="1866" spans="1:10" x14ac:dyDescent="0.2">
      <c r="A1866" s="1" t="s">
        <v>25</v>
      </c>
      <c r="B1866" s="2" t="s">
        <v>150</v>
      </c>
      <c r="C1866" s="1"/>
      <c r="D1866" s="5" t="s">
        <v>464</v>
      </c>
      <c r="G1866" s="57" t="str">
        <f t="shared" si="29"/>
        <v>-</v>
      </c>
      <c r="H1866" s="19" t="s">
        <v>465</v>
      </c>
      <c r="I1866" s="19">
        <v>97500</v>
      </c>
    </row>
    <row r="1867" spans="1:10" x14ac:dyDescent="0.2">
      <c r="A1867" s="1" t="s">
        <v>25</v>
      </c>
      <c r="B1867" s="2" t="s">
        <v>150</v>
      </c>
      <c r="C1867" s="1"/>
      <c r="D1867" s="5" t="s">
        <v>464</v>
      </c>
      <c r="G1867" s="57" t="str">
        <f t="shared" si="29"/>
        <v>-</v>
      </c>
      <c r="H1867" s="19" t="s">
        <v>465</v>
      </c>
      <c r="I1867" s="19">
        <v>97500</v>
      </c>
    </row>
    <row r="1868" spans="1:10" x14ac:dyDescent="0.2">
      <c r="A1868" s="1" t="s">
        <v>25</v>
      </c>
      <c r="B1868" s="2" t="s">
        <v>150</v>
      </c>
      <c r="C1868" s="1"/>
      <c r="D1868" s="5" t="s">
        <v>464</v>
      </c>
      <c r="E1868" s="3">
        <v>102500</v>
      </c>
      <c r="F1868" s="3" t="s">
        <v>465</v>
      </c>
      <c r="G1868" s="57" t="str">
        <f t="shared" si="29"/>
        <v>-</v>
      </c>
    </row>
    <row r="1869" spans="1:10" x14ac:dyDescent="0.2">
      <c r="A1869" s="1" t="s">
        <v>25</v>
      </c>
      <c r="B1869" s="2" t="s">
        <v>150</v>
      </c>
      <c r="C1869" s="1"/>
      <c r="D1869" s="5" t="s">
        <v>464</v>
      </c>
      <c r="E1869" s="3">
        <v>102500</v>
      </c>
      <c r="F1869" s="3" t="s">
        <v>465</v>
      </c>
      <c r="G1869" s="57" t="str">
        <f t="shared" si="29"/>
        <v>-</v>
      </c>
    </row>
    <row r="1870" spans="1:10" x14ac:dyDescent="0.2">
      <c r="A1870" s="1" t="s">
        <v>25</v>
      </c>
      <c r="B1870" s="2" t="s">
        <v>150</v>
      </c>
      <c r="C1870" s="1"/>
      <c r="D1870" s="5" t="s">
        <v>464</v>
      </c>
      <c r="E1870" s="3">
        <v>112500</v>
      </c>
      <c r="F1870" s="3" t="s">
        <v>465</v>
      </c>
      <c r="G1870" s="57" t="str">
        <f t="shared" si="29"/>
        <v>-</v>
      </c>
      <c r="J1870" s="5" t="s">
        <v>539</v>
      </c>
    </row>
    <row r="1871" spans="1:10" x14ac:dyDescent="0.2">
      <c r="A1871" s="1" t="s">
        <v>25</v>
      </c>
      <c r="B1871" s="2" t="s">
        <v>150</v>
      </c>
      <c r="C1871" s="1"/>
      <c r="D1871" s="5" t="s">
        <v>464</v>
      </c>
      <c r="E1871" s="3">
        <v>112500</v>
      </c>
      <c r="F1871" s="3" t="s">
        <v>465</v>
      </c>
      <c r="G1871" s="57" t="str">
        <f t="shared" si="29"/>
        <v>-</v>
      </c>
      <c r="J1871" s="5" t="s">
        <v>539</v>
      </c>
    </row>
    <row r="1872" spans="1:10" x14ac:dyDescent="0.2">
      <c r="A1872" s="1" t="s">
        <v>25</v>
      </c>
      <c r="B1872" s="2" t="s">
        <v>150</v>
      </c>
      <c r="C1872" s="1"/>
      <c r="D1872" s="5" t="s">
        <v>464</v>
      </c>
      <c r="E1872" s="3">
        <v>132500</v>
      </c>
      <c r="F1872" s="3" t="s">
        <v>465</v>
      </c>
      <c r="G1872" s="57" t="str">
        <f t="shared" si="29"/>
        <v>-</v>
      </c>
      <c r="J1872" s="5" t="s">
        <v>539</v>
      </c>
    </row>
    <row r="1873" spans="1:10" x14ac:dyDescent="0.2">
      <c r="A1873" s="1" t="s">
        <v>25</v>
      </c>
      <c r="B1873" s="2" t="s">
        <v>150</v>
      </c>
      <c r="C1873" s="1"/>
      <c r="D1873" s="5" t="s">
        <v>464</v>
      </c>
      <c r="E1873" s="3">
        <v>152500</v>
      </c>
      <c r="F1873" s="3" t="s">
        <v>465</v>
      </c>
      <c r="G1873" s="57" t="str">
        <f t="shared" si="29"/>
        <v>-</v>
      </c>
      <c r="J1873" s="5" t="s">
        <v>539</v>
      </c>
    </row>
    <row r="1874" spans="1:10" x14ac:dyDescent="0.2">
      <c r="A1874" s="1" t="s">
        <v>25</v>
      </c>
      <c r="B1874" s="2" t="s">
        <v>150</v>
      </c>
      <c r="C1874" s="1"/>
      <c r="D1874" s="5" t="s">
        <v>464</v>
      </c>
      <c r="E1874" s="3" t="s">
        <v>465</v>
      </c>
      <c r="F1874" s="3">
        <v>102500</v>
      </c>
      <c r="G1874" s="57" t="str">
        <f t="shared" si="29"/>
        <v>-</v>
      </c>
    </row>
    <row r="1875" spans="1:10" x14ac:dyDescent="0.2">
      <c r="A1875" s="1" t="s">
        <v>25</v>
      </c>
      <c r="B1875" s="2" t="s">
        <v>150</v>
      </c>
      <c r="C1875" s="1"/>
      <c r="D1875" s="5" t="s">
        <v>464</v>
      </c>
      <c r="E1875" s="3" t="s">
        <v>465</v>
      </c>
      <c r="F1875" s="3">
        <v>112500</v>
      </c>
      <c r="G1875" s="57" t="str">
        <f t="shared" si="29"/>
        <v>-</v>
      </c>
      <c r="J1875" s="5" t="s">
        <v>539</v>
      </c>
    </row>
    <row r="1876" spans="1:10" ht="51" x14ac:dyDescent="0.2">
      <c r="A1876" s="1" t="s">
        <v>20</v>
      </c>
      <c r="B1876" s="2" t="s">
        <v>151</v>
      </c>
      <c r="C1876" s="1" t="s">
        <v>1631</v>
      </c>
      <c r="D1876" s="5" t="s">
        <v>450</v>
      </c>
      <c r="E1876" s="3">
        <v>171461</v>
      </c>
      <c r="F1876" s="3">
        <v>170660</v>
      </c>
      <c r="G1876" s="57">
        <f t="shared" si="29"/>
        <v>-4.6716162859192466E-3</v>
      </c>
      <c r="J1876" s="5" t="s">
        <v>4319</v>
      </c>
    </row>
    <row r="1877" spans="1:10" ht="25.5" x14ac:dyDescent="0.2">
      <c r="A1877" s="1" t="s">
        <v>20</v>
      </c>
      <c r="B1877" s="2" t="s">
        <v>151</v>
      </c>
      <c r="C1877" s="1"/>
      <c r="D1877" s="5" t="s">
        <v>1632</v>
      </c>
      <c r="E1877" s="3" t="s">
        <v>465</v>
      </c>
      <c r="F1877" s="3">
        <v>122819</v>
      </c>
      <c r="G1877" s="57" t="str">
        <f t="shared" si="29"/>
        <v>-</v>
      </c>
      <c r="J1877" s="5" t="s">
        <v>4636</v>
      </c>
    </row>
    <row r="1878" spans="1:10" x14ac:dyDescent="0.2">
      <c r="A1878" s="1" t="s">
        <v>20</v>
      </c>
      <c r="B1878" s="2" t="s">
        <v>151</v>
      </c>
      <c r="C1878" s="1"/>
      <c r="D1878" s="5" t="s">
        <v>455</v>
      </c>
      <c r="E1878" s="3">
        <v>103945</v>
      </c>
      <c r="F1878" s="3" t="s">
        <v>465</v>
      </c>
      <c r="G1878" s="57" t="str">
        <f t="shared" si="29"/>
        <v>-</v>
      </c>
    </row>
    <row r="1879" spans="1:10" ht="38.25" x14ac:dyDescent="0.2">
      <c r="A1879" s="1" t="s">
        <v>4</v>
      </c>
      <c r="B1879" s="2" t="s">
        <v>152</v>
      </c>
      <c r="C1879" s="1"/>
      <c r="D1879" s="5" t="s">
        <v>450</v>
      </c>
      <c r="E1879" s="3">
        <v>118000</v>
      </c>
      <c r="F1879" s="3">
        <v>127000</v>
      </c>
      <c r="G1879" s="57">
        <f t="shared" si="29"/>
        <v>7.6271186440677971E-2</v>
      </c>
      <c r="J1879" s="5" t="s">
        <v>4320</v>
      </c>
    </row>
    <row r="1880" spans="1:10" x14ac:dyDescent="0.2">
      <c r="A1880" s="1" t="s">
        <v>4</v>
      </c>
      <c r="B1880" s="2" t="s">
        <v>152</v>
      </c>
      <c r="C1880" s="1"/>
      <c r="D1880" s="5" t="s">
        <v>464</v>
      </c>
      <c r="G1880" s="57" t="str">
        <f t="shared" si="29"/>
        <v>-</v>
      </c>
      <c r="H1880" s="19">
        <v>92500</v>
      </c>
      <c r="I1880" s="19" t="s">
        <v>465</v>
      </c>
    </row>
    <row r="1881" spans="1:10" x14ac:dyDescent="0.2">
      <c r="A1881" s="1" t="s">
        <v>4</v>
      </c>
      <c r="B1881" s="2" t="s">
        <v>152</v>
      </c>
      <c r="C1881" s="1"/>
      <c r="D1881" s="5" t="s">
        <v>464</v>
      </c>
      <c r="G1881" s="57" t="str">
        <f t="shared" si="29"/>
        <v>-</v>
      </c>
      <c r="H1881" s="19">
        <v>92500</v>
      </c>
      <c r="I1881" s="19" t="s">
        <v>465</v>
      </c>
    </row>
    <row r="1882" spans="1:10" x14ac:dyDescent="0.2">
      <c r="A1882" s="1" t="s">
        <v>4</v>
      </c>
      <c r="B1882" s="2" t="s">
        <v>152</v>
      </c>
      <c r="C1882" s="1"/>
      <c r="D1882" s="5" t="s">
        <v>464</v>
      </c>
      <c r="G1882" s="57" t="str">
        <f t="shared" si="29"/>
        <v>-</v>
      </c>
      <c r="H1882" s="19">
        <v>97500</v>
      </c>
      <c r="I1882" s="19" t="s">
        <v>465</v>
      </c>
    </row>
    <row r="1883" spans="1:10" x14ac:dyDescent="0.2">
      <c r="A1883" s="1" t="s">
        <v>4</v>
      </c>
      <c r="B1883" s="2" t="s">
        <v>152</v>
      </c>
      <c r="C1883" s="1"/>
      <c r="D1883" s="5" t="s">
        <v>464</v>
      </c>
      <c r="G1883" s="57" t="str">
        <f t="shared" si="29"/>
        <v>-</v>
      </c>
      <c r="H1883" s="19" t="s">
        <v>465</v>
      </c>
      <c r="I1883" s="19">
        <v>92500</v>
      </c>
    </row>
    <row r="1884" spans="1:10" x14ac:dyDescent="0.2">
      <c r="A1884" s="1" t="s">
        <v>4</v>
      </c>
      <c r="B1884" s="2" t="s">
        <v>152</v>
      </c>
      <c r="C1884" s="1"/>
      <c r="D1884" s="5" t="s">
        <v>464</v>
      </c>
      <c r="G1884" s="57" t="str">
        <f t="shared" si="29"/>
        <v>-</v>
      </c>
      <c r="H1884" s="19" t="s">
        <v>465</v>
      </c>
      <c r="I1884" s="19">
        <v>92500</v>
      </c>
    </row>
    <row r="1885" spans="1:10" x14ac:dyDescent="0.2">
      <c r="A1885" s="1" t="s">
        <v>4</v>
      </c>
      <c r="B1885" s="2" t="s">
        <v>152</v>
      </c>
      <c r="C1885" s="1"/>
      <c r="D1885" s="5" t="s">
        <v>464</v>
      </c>
      <c r="G1885" s="57" t="str">
        <f t="shared" si="29"/>
        <v>-</v>
      </c>
      <c r="I1885" s="19">
        <v>97500</v>
      </c>
    </row>
    <row r="1886" spans="1:10" x14ac:dyDescent="0.2">
      <c r="A1886" s="1" t="s">
        <v>4</v>
      </c>
      <c r="B1886" s="2" t="s">
        <v>152</v>
      </c>
      <c r="C1886" s="1"/>
      <c r="D1886" s="5" t="s">
        <v>464</v>
      </c>
      <c r="E1886" s="3">
        <v>107500</v>
      </c>
      <c r="F1886" s="3" t="s">
        <v>465</v>
      </c>
      <c r="G1886" s="57" t="str">
        <f t="shared" si="29"/>
        <v>-</v>
      </c>
    </row>
    <row r="1887" spans="1:10" x14ac:dyDescent="0.2">
      <c r="A1887" s="1" t="s">
        <v>4</v>
      </c>
      <c r="B1887" s="2" t="s">
        <v>152</v>
      </c>
      <c r="C1887" s="1"/>
      <c r="D1887" s="5" t="s">
        <v>464</v>
      </c>
      <c r="E1887" s="3" t="s">
        <v>465</v>
      </c>
      <c r="F1887" s="3">
        <v>107500</v>
      </c>
      <c r="G1887" s="57" t="str">
        <f t="shared" si="29"/>
        <v>-</v>
      </c>
    </row>
    <row r="1888" spans="1:10" ht="25.5" x14ac:dyDescent="0.2">
      <c r="A1888" s="1" t="s">
        <v>8</v>
      </c>
      <c r="B1888" s="2" t="s">
        <v>153</v>
      </c>
      <c r="C1888" s="1"/>
      <c r="D1888" s="5" t="s">
        <v>450</v>
      </c>
      <c r="E1888" s="3">
        <v>134503</v>
      </c>
      <c r="F1888" s="3">
        <v>134559</v>
      </c>
      <c r="G1888" s="57">
        <f t="shared" si="29"/>
        <v>4.1634759076005737E-4</v>
      </c>
      <c r="J1888" s="5" t="s">
        <v>4003</v>
      </c>
    </row>
    <row r="1889" spans="1:10" ht="38.25" x14ac:dyDescent="0.2">
      <c r="A1889" s="1" t="s">
        <v>20</v>
      </c>
      <c r="B1889" s="2" t="s">
        <v>154</v>
      </c>
      <c r="C1889" s="1" t="s">
        <v>1615</v>
      </c>
      <c r="D1889" s="5" t="s">
        <v>450</v>
      </c>
      <c r="E1889" s="3">
        <v>267442</v>
      </c>
      <c r="F1889" s="3">
        <v>271060</v>
      </c>
      <c r="G1889" s="57">
        <f t="shared" si="29"/>
        <v>1.3528166854869466E-2</v>
      </c>
      <c r="J1889" s="5" t="s">
        <v>4321</v>
      </c>
    </row>
    <row r="1890" spans="1:10" ht="38.25" x14ac:dyDescent="0.2">
      <c r="A1890" s="1" t="s">
        <v>20</v>
      </c>
      <c r="B1890" s="2" t="s">
        <v>154</v>
      </c>
      <c r="C1890" s="1" t="s">
        <v>1614</v>
      </c>
      <c r="D1890" s="5" t="s">
        <v>1612</v>
      </c>
      <c r="E1890" s="3">
        <v>179722</v>
      </c>
      <c r="F1890" s="3">
        <v>184223</v>
      </c>
      <c r="G1890" s="57">
        <f t="shared" si="29"/>
        <v>2.5044234985143722E-2</v>
      </c>
      <c r="J1890" s="5" t="s">
        <v>4004</v>
      </c>
    </row>
    <row r="1891" spans="1:10" ht="38.25" x14ac:dyDescent="0.2">
      <c r="A1891" s="1" t="s">
        <v>20</v>
      </c>
      <c r="B1891" s="2" t="s">
        <v>154</v>
      </c>
      <c r="C1891" s="1" t="s">
        <v>4005</v>
      </c>
      <c r="D1891" s="5" t="s">
        <v>4006</v>
      </c>
      <c r="E1891" s="3">
        <v>220970</v>
      </c>
      <c r="F1891" s="3" t="s">
        <v>465</v>
      </c>
      <c r="G1891" s="57" t="str">
        <f t="shared" si="29"/>
        <v>-</v>
      </c>
      <c r="J1891" s="5" t="s">
        <v>4322</v>
      </c>
    </row>
    <row r="1892" spans="1:10" ht="25.5" x14ac:dyDescent="0.2">
      <c r="A1892" s="1" t="s">
        <v>20</v>
      </c>
      <c r="B1892" s="2" t="s">
        <v>154</v>
      </c>
      <c r="C1892" s="1" t="s">
        <v>1613</v>
      </c>
      <c r="D1892" s="5" t="s">
        <v>4637</v>
      </c>
      <c r="E1892" s="3">
        <v>198875</v>
      </c>
      <c r="F1892" s="3">
        <v>183162</v>
      </c>
      <c r="G1892" s="57">
        <f t="shared" si="29"/>
        <v>-7.9009428032683848E-2</v>
      </c>
      <c r="J1892" s="5" t="s">
        <v>4007</v>
      </c>
    </row>
    <row r="1893" spans="1:10" ht="25.5" x14ac:dyDescent="0.2">
      <c r="A1893" s="1" t="s">
        <v>20</v>
      </c>
      <c r="B1893" s="2" t="s">
        <v>154</v>
      </c>
      <c r="C1893" s="1" t="s">
        <v>1616</v>
      </c>
      <c r="D1893" s="5" t="s">
        <v>4008</v>
      </c>
      <c r="E1893" s="3" t="s">
        <v>465</v>
      </c>
      <c r="F1893" s="3">
        <v>183197</v>
      </c>
      <c r="G1893" s="57" t="str">
        <f t="shared" si="29"/>
        <v>-</v>
      </c>
      <c r="J1893" s="5" t="s">
        <v>4009</v>
      </c>
    </row>
    <row r="1894" spans="1:10" ht="38.25" x14ac:dyDescent="0.2">
      <c r="A1894" s="1" t="s">
        <v>20</v>
      </c>
      <c r="B1894" s="2" t="s">
        <v>154</v>
      </c>
      <c r="C1894" s="1" t="s">
        <v>1617</v>
      </c>
      <c r="D1894" s="5" t="s">
        <v>501</v>
      </c>
      <c r="E1894" s="3" t="s">
        <v>465</v>
      </c>
      <c r="F1894" s="3">
        <v>183832</v>
      </c>
      <c r="G1894" s="57" t="str">
        <f t="shared" si="29"/>
        <v>-</v>
      </c>
      <c r="J1894" s="5" t="s">
        <v>4010</v>
      </c>
    </row>
    <row r="1895" spans="1:10" ht="38.25" x14ac:dyDescent="0.2">
      <c r="A1895" s="1" t="s">
        <v>20</v>
      </c>
      <c r="B1895" s="2" t="s">
        <v>154</v>
      </c>
      <c r="C1895" s="1" t="s">
        <v>1618</v>
      </c>
      <c r="D1895" s="5" t="s">
        <v>1619</v>
      </c>
      <c r="E1895" s="3" t="s">
        <v>465</v>
      </c>
      <c r="F1895" s="3">
        <v>177476</v>
      </c>
      <c r="G1895" s="57" t="str">
        <f t="shared" si="29"/>
        <v>-</v>
      </c>
      <c r="J1895" s="5" t="s">
        <v>4011</v>
      </c>
    </row>
    <row r="1896" spans="1:10" ht="38.25" x14ac:dyDescent="0.2">
      <c r="A1896" s="1" t="s">
        <v>20</v>
      </c>
      <c r="B1896" s="2" t="s">
        <v>154</v>
      </c>
      <c r="C1896" s="1" t="s">
        <v>1620</v>
      </c>
      <c r="D1896" s="5" t="s">
        <v>1621</v>
      </c>
      <c r="E1896" s="3" t="s">
        <v>465</v>
      </c>
      <c r="F1896" s="3">
        <v>172878</v>
      </c>
      <c r="G1896" s="57" t="str">
        <f t="shared" si="29"/>
        <v>-</v>
      </c>
      <c r="J1896" s="5" t="s">
        <v>4323</v>
      </c>
    </row>
    <row r="1897" spans="1:10" ht="25.5" x14ac:dyDescent="0.2">
      <c r="A1897" s="1" t="s">
        <v>20</v>
      </c>
      <c r="B1897" s="2" t="s">
        <v>154</v>
      </c>
      <c r="C1897" s="1"/>
      <c r="D1897" s="5" t="s">
        <v>4012</v>
      </c>
      <c r="E1897" s="3">
        <v>169343</v>
      </c>
      <c r="F1897" s="3" t="s">
        <v>465</v>
      </c>
      <c r="G1897" s="57" t="str">
        <f t="shared" si="29"/>
        <v>-</v>
      </c>
      <c r="J1897" s="5" t="s">
        <v>4013</v>
      </c>
    </row>
    <row r="1898" spans="1:10" ht="38.25" x14ac:dyDescent="0.2">
      <c r="A1898" s="1" t="s">
        <v>20</v>
      </c>
      <c r="B1898" s="2" t="s">
        <v>154</v>
      </c>
      <c r="C1898" s="1"/>
      <c r="D1898" s="5" t="s">
        <v>2142</v>
      </c>
      <c r="E1898" s="3">
        <v>191138</v>
      </c>
      <c r="F1898" s="3" t="s">
        <v>465</v>
      </c>
      <c r="G1898" s="57" t="str">
        <f t="shared" si="29"/>
        <v>-</v>
      </c>
      <c r="J1898" s="5" t="s">
        <v>4324</v>
      </c>
    </row>
    <row r="1899" spans="1:10" ht="51" x14ac:dyDescent="0.2">
      <c r="A1899" s="1" t="s">
        <v>20</v>
      </c>
      <c r="B1899" s="2" t="s">
        <v>154</v>
      </c>
      <c r="C1899" s="1"/>
      <c r="D1899" s="5" t="s">
        <v>4014</v>
      </c>
      <c r="E1899" s="3">
        <v>176243</v>
      </c>
      <c r="F1899" s="3" t="s">
        <v>465</v>
      </c>
      <c r="G1899" s="57" t="str">
        <f t="shared" si="29"/>
        <v>-</v>
      </c>
      <c r="J1899" s="5" t="s">
        <v>4325</v>
      </c>
    </row>
    <row r="1900" spans="1:10" ht="25.5" x14ac:dyDescent="0.2">
      <c r="A1900" s="1" t="s">
        <v>20</v>
      </c>
      <c r="B1900" s="2" t="s">
        <v>154</v>
      </c>
      <c r="C1900" s="1"/>
      <c r="D1900" s="5" t="s">
        <v>4015</v>
      </c>
      <c r="E1900" s="3">
        <v>175391</v>
      </c>
      <c r="G1900" s="57">
        <f t="shared" si="29"/>
        <v>-1</v>
      </c>
      <c r="J1900" s="5" t="s">
        <v>4016</v>
      </c>
    </row>
    <row r="1901" spans="1:10" ht="25.5" x14ac:dyDescent="0.2">
      <c r="A1901" s="1" t="s">
        <v>20</v>
      </c>
      <c r="B1901" s="2" t="s">
        <v>154</v>
      </c>
      <c r="C1901" s="1"/>
      <c r="D1901" s="5" t="s">
        <v>451</v>
      </c>
      <c r="E1901" s="3">
        <v>149859</v>
      </c>
      <c r="F1901" s="3">
        <v>139079</v>
      </c>
      <c r="G1901" s="57">
        <f t="shared" si="29"/>
        <v>-7.193428489446746E-2</v>
      </c>
      <c r="J1901" s="5" t="s">
        <v>4017</v>
      </c>
    </row>
    <row r="1902" spans="1:10" ht="25.5" x14ac:dyDescent="0.2">
      <c r="A1902" s="1" t="s">
        <v>20</v>
      </c>
      <c r="B1902" s="2" t="s">
        <v>154</v>
      </c>
      <c r="C1902" s="2"/>
      <c r="D1902" s="5" t="s">
        <v>4018</v>
      </c>
      <c r="E1902" s="3">
        <v>133014</v>
      </c>
      <c r="F1902" s="3" t="s">
        <v>465</v>
      </c>
      <c r="G1902" s="57" t="str">
        <f t="shared" si="29"/>
        <v>-</v>
      </c>
      <c r="J1902" s="5" t="s">
        <v>4019</v>
      </c>
    </row>
    <row r="1903" spans="1:10" ht="25.5" x14ac:dyDescent="0.2">
      <c r="A1903" s="1" t="s">
        <v>20</v>
      </c>
      <c r="B1903" s="2" t="s">
        <v>154</v>
      </c>
      <c r="C1903" s="2"/>
      <c r="D1903" s="5" t="s">
        <v>487</v>
      </c>
      <c r="E1903" s="3">
        <v>132800</v>
      </c>
      <c r="F1903" s="3" t="s">
        <v>465</v>
      </c>
      <c r="G1903" s="57" t="str">
        <f t="shared" si="29"/>
        <v>-</v>
      </c>
      <c r="J1903" s="5" t="s">
        <v>4020</v>
      </c>
    </row>
    <row r="1904" spans="1:10" ht="38.25" x14ac:dyDescent="0.2">
      <c r="A1904" s="1" t="s">
        <v>20</v>
      </c>
      <c r="B1904" s="2" t="s">
        <v>154</v>
      </c>
      <c r="C1904" s="1"/>
      <c r="D1904" s="5" t="s">
        <v>1269</v>
      </c>
      <c r="E1904" s="3">
        <v>122192</v>
      </c>
      <c r="F1904" s="3">
        <v>133267</v>
      </c>
      <c r="G1904" s="57">
        <f t="shared" si="29"/>
        <v>9.0636048186460649E-2</v>
      </c>
      <c r="J1904" s="5" t="s">
        <v>4021</v>
      </c>
    </row>
    <row r="1905" spans="1:10" x14ac:dyDescent="0.2">
      <c r="A1905" s="1" t="s">
        <v>20</v>
      </c>
      <c r="B1905" s="2" t="s">
        <v>154</v>
      </c>
      <c r="C1905" s="1"/>
      <c r="D1905" s="5" t="s">
        <v>464</v>
      </c>
      <c r="G1905" s="57" t="str">
        <f t="shared" si="29"/>
        <v>-</v>
      </c>
      <c r="H1905" s="19">
        <v>92500</v>
      </c>
      <c r="I1905" s="19" t="s">
        <v>465</v>
      </c>
    </row>
    <row r="1906" spans="1:10" x14ac:dyDescent="0.2">
      <c r="A1906" s="1" t="s">
        <v>20</v>
      </c>
      <c r="B1906" s="2" t="s">
        <v>154</v>
      </c>
      <c r="C1906" s="1"/>
      <c r="D1906" s="5" t="s">
        <v>464</v>
      </c>
      <c r="G1906" s="57" t="str">
        <f t="shared" si="29"/>
        <v>-</v>
      </c>
      <c r="H1906" s="19">
        <v>92500</v>
      </c>
      <c r="I1906" s="19" t="s">
        <v>465</v>
      </c>
    </row>
    <row r="1907" spans="1:10" x14ac:dyDescent="0.2">
      <c r="A1907" s="1" t="s">
        <v>20</v>
      </c>
      <c r="B1907" s="2" t="s">
        <v>154</v>
      </c>
      <c r="C1907" s="1"/>
      <c r="D1907" s="5" t="s">
        <v>464</v>
      </c>
      <c r="G1907" s="57" t="str">
        <f t="shared" si="29"/>
        <v>-</v>
      </c>
      <c r="H1907" s="19">
        <v>92500</v>
      </c>
      <c r="I1907" s="19" t="s">
        <v>465</v>
      </c>
      <c r="J1907" s="1"/>
    </row>
    <row r="1908" spans="1:10" x14ac:dyDescent="0.2">
      <c r="A1908" s="1" t="s">
        <v>20</v>
      </c>
      <c r="B1908" s="2" t="s">
        <v>154</v>
      </c>
      <c r="C1908" s="1"/>
      <c r="D1908" s="5" t="s">
        <v>464</v>
      </c>
      <c r="G1908" s="57" t="str">
        <f t="shared" si="29"/>
        <v>-</v>
      </c>
      <c r="H1908" s="19">
        <v>92500</v>
      </c>
      <c r="I1908" s="19" t="s">
        <v>465</v>
      </c>
      <c r="J1908" s="1"/>
    </row>
    <row r="1909" spans="1:10" x14ac:dyDescent="0.2">
      <c r="A1909" s="1" t="s">
        <v>20</v>
      </c>
      <c r="B1909" s="2" t="s">
        <v>154</v>
      </c>
      <c r="C1909" s="1"/>
      <c r="D1909" s="5" t="s">
        <v>464</v>
      </c>
      <c r="G1909" s="57" t="str">
        <f t="shared" si="29"/>
        <v>-</v>
      </c>
      <c r="H1909" s="19">
        <v>92500</v>
      </c>
      <c r="I1909" s="19" t="s">
        <v>465</v>
      </c>
      <c r="J1909" s="1"/>
    </row>
    <row r="1910" spans="1:10" x14ac:dyDescent="0.2">
      <c r="A1910" s="1" t="s">
        <v>20</v>
      </c>
      <c r="B1910" s="2" t="s">
        <v>154</v>
      </c>
      <c r="C1910" s="1"/>
      <c r="D1910" s="5" t="s">
        <v>464</v>
      </c>
      <c r="G1910" s="57" t="str">
        <f t="shared" si="29"/>
        <v>-</v>
      </c>
      <c r="H1910" s="19">
        <v>92500</v>
      </c>
      <c r="I1910" s="19" t="s">
        <v>465</v>
      </c>
      <c r="J1910" s="1"/>
    </row>
    <row r="1911" spans="1:10" x14ac:dyDescent="0.2">
      <c r="A1911" s="1" t="s">
        <v>20</v>
      </c>
      <c r="B1911" s="2" t="s">
        <v>154</v>
      </c>
      <c r="C1911" s="1"/>
      <c r="D1911" s="5" t="s">
        <v>464</v>
      </c>
      <c r="G1911" s="57" t="str">
        <f t="shared" si="29"/>
        <v>-</v>
      </c>
      <c r="H1911" s="19">
        <v>92500</v>
      </c>
      <c r="I1911" s="19" t="s">
        <v>465</v>
      </c>
      <c r="J1911" s="1"/>
    </row>
    <row r="1912" spans="1:10" x14ac:dyDescent="0.2">
      <c r="A1912" s="1" t="s">
        <v>20</v>
      </c>
      <c r="B1912" s="2" t="s">
        <v>154</v>
      </c>
      <c r="C1912" s="1"/>
      <c r="D1912" s="5" t="s">
        <v>464</v>
      </c>
      <c r="G1912" s="57" t="str">
        <f t="shared" si="29"/>
        <v>-</v>
      </c>
      <c r="H1912" s="19">
        <v>92500</v>
      </c>
      <c r="I1912" s="19" t="s">
        <v>465</v>
      </c>
      <c r="J1912" s="1"/>
    </row>
    <row r="1913" spans="1:10" x14ac:dyDescent="0.2">
      <c r="A1913" s="1" t="s">
        <v>20</v>
      </c>
      <c r="B1913" s="2" t="s">
        <v>154</v>
      </c>
      <c r="C1913" s="1"/>
      <c r="D1913" s="5" t="s">
        <v>464</v>
      </c>
      <c r="G1913" s="57" t="str">
        <f t="shared" si="29"/>
        <v>-</v>
      </c>
      <c r="H1913" s="19">
        <v>92500</v>
      </c>
      <c r="I1913" s="19" t="s">
        <v>465</v>
      </c>
      <c r="J1913" s="1"/>
    </row>
    <row r="1914" spans="1:10" x14ac:dyDescent="0.2">
      <c r="A1914" s="1" t="s">
        <v>20</v>
      </c>
      <c r="B1914" s="2" t="s">
        <v>154</v>
      </c>
      <c r="C1914" s="1"/>
      <c r="D1914" s="5" t="s">
        <v>464</v>
      </c>
      <c r="G1914" s="57" t="str">
        <f t="shared" si="29"/>
        <v>-</v>
      </c>
      <c r="H1914" s="19">
        <v>92500</v>
      </c>
      <c r="I1914" s="19" t="s">
        <v>465</v>
      </c>
      <c r="J1914" s="1"/>
    </row>
    <row r="1915" spans="1:10" x14ac:dyDescent="0.2">
      <c r="A1915" s="1" t="s">
        <v>20</v>
      </c>
      <c r="B1915" s="2" t="s">
        <v>154</v>
      </c>
      <c r="C1915" s="1"/>
      <c r="D1915" s="5" t="s">
        <v>464</v>
      </c>
      <c r="G1915" s="57" t="str">
        <f t="shared" si="29"/>
        <v>-</v>
      </c>
      <c r="H1915" s="19">
        <v>92500</v>
      </c>
      <c r="I1915" s="19" t="s">
        <v>465</v>
      </c>
      <c r="J1915" s="1"/>
    </row>
    <row r="1916" spans="1:10" x14ac:dyDescent="0.2">
      <c r="A1916" s="1" t="s">
        <v>20</v>
      </c>
      <c r="B1916" s="2" t="s">
        <v>154</v>
      </c>
      <c r="C1916" s="1"/>
      <c r="D1916" s="5" t="s">
        <v>464</v>
      </c>
      <c r="G1916" s="57" t="str">
        <f t="shared" si="29"/>
        <v>-</v>
      </c>
      <c r="H1916" s="19">
        <v>92500</v>
      </c>
      <c r="I1916" s="19" t="s">
        <v>465</v>
      </c>
      <c r="J1916" s="1"/>
    </row>
    <row r="1917" spans="1:10" x14ac:dyDescent="0.2">
      <c r="A1917" s="1" t="s">
        <v>20</v>
      </c>
      <c r="B1917" s="2" t="s">
        <v>154</v>
      </c>
      <c r="C1917" s="1"/>
      <c r="D1917" s="5" t="s">
        <v>464</v>
      </c>
      <c r="G1917" s="57" t="str">
        <f t="shared" si="29"/>
        <v>-</v>
      </c>
      <c r="H1917" s="19">
        <v>97500</v>
      </c>
      <c r="I1917" s="19" t="s">
        <v>465</v>
      </c>
      <c r="J1917" s="1"/>
    </row>
    <row r="1918" spans="1:10" x14ac:dyDescent="0.2">
      <c r="A1918" s="1" t="s">
        <v>20</v>
      </c>
      <c r="B1918" s="2" t="s">
        <v>154</v>
      </c>
      <c r="C1918" s="1"/>
      <c r="D1918" s="5" t="s">
        <v>464</v>
      </c>
      <c r="G1918" s="57" t="str">
        <f t="shared" si="29"/>
        <v>-</v>
      </c>
      <c r="H1918" s="19">
        <v>97500</v>
      </c>
      <c r="I1918" s="19" t="s">
        <v>465</v>
      </c>
      <c r="J1918" s="1"/>
    </row>
    <row r="1919" spans="1:10" x14ac:dyDescent="0.2">
      <c r="A1919" s="1" t="s">
        <v>20</v>
      </c>
      <c r="B1919" s="2" t="s">
        <v>154</v>
      </c>
      <c r="C1919" s="1"/>
      <c r="D1919" s="5" t="s">
        <v>464</v>
      </c>
      <c r="G1919" s="57" t="str">
        <f t="shared" si="29"/>
        <v>-</v>
      </c>
      <c r="H1919" s="19">
        <v>97500</v>
      </c>
      <c r="I1919" s="19" t="s">
        <v>465</v>
      </c>
      <c r="J1919" s="1"/>
    </row>
    <row r="1920" spans="1:10" x14ac:dyDescent="0.2">
      <c r="A1920" s="1" t="s">
        <v>20</v>
      </c>
      <c r="B1920" s="2" t="s">
        <v>154</v>
      </c>
      <c r="C1920" s="1"/>
      <c r="D1920" s="5" t="s">
        <v>464</v>
      </c>
      <c r="G1920" s="57" t="str">
        <f t="shared" si="29"/>
        <v>-</v>
      </c>
      <c r="H1920" s="19">
        <v>97500</v>
      </c>
      <c r="I1920" s="19" t="s">
        <v>465</v>
      </c>
      <c r="J1920" s="1"/>
    </row>
    <row r="1921" spans="1:10" x14ac:dyDescent="0.2">
      <c r="A1921" s="1" t="s">
        <v>20</v>
      </c>
      <c r="B1921" s="2" t="s">
        <v>154</v>
      </c>
      <c r="C1921" s="1"/>
      <c r="D1921" s="5" t="s">
        <v>464</v>
      </c>
      <c r="G1921" s="57" t="str">
        <f t="shared" si="29"/>
        <v>-</v>
      </c>
      <c r="H1921" s="19">
        <v>97500</v>
      </c>
      <c r="I1921" s="19" t="s">
        <v>465</v>
      </c>
      <c r="J1921" s="1"/>
    </row>
    <row r="1922" spans="1:10" x14ac:dyDescent="0.2">
      <c r="A1922" s="1" t="s">
        <v>20</v>
      </c>
      <c r="B1922" s="2" t="s">
        <v>154</v>
      </c>
      <c r="C1922" s="1"/>
      <c r="D1922" s="5" t="s">
        <v>464</v>
      </c>
      <c r="G1922" s="57" t="str">
        <f t="shared" si="29"/>
        <v>-</v>
      </c>
      <c r="H1922" s="19">
        <v>97500</v>
      </c>
      <c r="I1922" s="19" t="s">
        <v>465</v>
      </c>
      <c r="J1922" s="1"/>
    </row>
    <row r="1923" spans="1:10" x14ac:dyDescent="0.2">
      <c r="A1923" s="1" t="s">
        <v>20</v>
      </c>
      <c r="B1923" s="2" t="s">
        <v>154</v>
      </c>
      <c r="C1923" s="1"/>
      <c r="D1923" s="5" t="s">
        <v>464</v>
      </c>
      <c r="G1923" s="57" t="str">
        <f t="shared" ref="G1923:G1986" si="30">IF(ISERROR((F1923-E1923)/E1923),"-",(F1923-E1923)/E1923)</f>
        <v>-</v>
      </c>
      <c r="H1923" s="19" t="s">
        <v>465</v>
      </c>
      <c r="I1923" s="19">
        <v>92500</v>
      </c>
      <c r="J1923" s="1"/>
    </row>
    <row r="1924" spans="1:10" x14ac:dyDescent="0.2">
      <c r="A1924" s="1" t="s">
        <v>20</v>
      </c>
      <c r="B1924" s="2" t="s">
        <v>154</v>
      </c>
      <c r="C1924" s="1"/>
      <c r="D1924" s="5" t="s">
        <v>464</v>
      </c>
      <c r="G1924" s="57" t="str">
        <f t="shared" si="30"/>
        <v>-</v>
      </c>
      <c r="H1924" s="19" t="s">
        <v>465</v>
      </c>
      <c r="I1924" s="19">
        <v>92500</v>
      </c>
      <c r="J1924" s="1"/>
    </row>
    <row r="1925" spans="1:10" x14ac:dyDescent="0.2">
      <c r="A1925" s="1" t="s">
        <v>20</v>
      </c>
      <c r="B1925" s="2" t="s">
        <v>154</v>
      </c>
      <c r="C1925" s="1"/>
      <c r="D1925" s="5" t="s">
        <v>464</v>
      </c>
      <c r="G1925" s="57" t="str">
        <f t="shared" si="30"/>
        <v>-</v>
      </c>
      <c r="H1925" s="19" t="s">
        <v>465</v>
      </c>
      <c r="I1925" s="19">
        <v>92500</v>
      </c>
      <c r="J1925" s="1"/>
    </row>
    <row r="1926" spans="1:10" x14ac:dyDescent="0.2">
      <c r="A1926" s="1" t="s">
        <v>20</v>
      </c>
      <c r="B1926" s="2" t="s">
        <v>154</v>
      </c>
      <c r="C1926" s="1"/>
      <c r="D1926" s="5" t="s">
        <v>464</v>
      </c>
      <c r="G1926" s="57" t="str">
        <f t="shared" si="30"/>
        <v>-</v>
      </c>
      <c r="H1926" s="19" t="s">
        <v>465</v>
      </c>
      <c r="I1926" s="19">
        <v>92500</v>
      </c>
      <c r="J1926" s="1"/>
    </row>
    <row r="1927" spans="1:10" x14ac:dyDescent="0.2">
      <c r="A1927" s="1" t="s">
        <v>20</v>
      </c>
      <c r="B1927" s="2" t="s">
        <v>154</v>
      </c>
      <c r="C1927" s="1"/>
      <c r="D1927" s="5" t="s">
        <v>464</v>
      </c>
      <c r="G1927" s="57" t="str">
        <f t="shared" si="30"/>
        <v>-</v>
      </c>
      <c r="H1927" s="19" t="s">
        <v>465</v>
      </c>
      <c r="I1927" s="19">
        <v>92500</v>
      </c>
      <c r="J1927" s="1"/>
    </row>
    <row r="1928" spans="1:10" x14ac:dyDescent="0.2">
      <c r="A1928" s="1" t="s">
        <v>20</v>
      </c>
      <c r="B1928" s="2" t="s">
        <v>154</v>
      </c>
      <c r="C1928" s="1"/>
      <c r="D1928" s="5" t="s">
        <v>464</v>
      </c>
      <c r="G1928" s="57" t="str">
        <f t="shared" si="30"/>
        <v>-</v>
      </c>
      <c r="H1928" s="19" t="s">
        <v>465</v>
      </c>
      <c r="I1928" s="19">
        <v>92500</v>
      </c>
      <c r="J1928" s="1"/>
    </row>
    <row r="1929" spans="1:10" x14ac:dyDescent="0.2">
      <c r="A1929" s="1" t="s">
        <v>20</v>
      </c>
      <c r="B1929" s="2" t="s">
        <v>154</v>
      </c>
      <c r="C1929" s="1"/>
      <c r="D1929" s="5" t="s">
        <v>464</v>
      </c>
      <c r="G1929" s="57" t="str">
        <f t="shared" si="30"/>
        <v>-</v>
      </c>
      <c r="H1929" s="19" t="s">
        <v>465</v>
      </c>
      <c r="I1929" s="19">
        <v>92500</v>
      </c>
      <c r="J1929" s="1"/>
    </row>
    <row r="1930" spans="1:10" x14ac:dyDescent="0.2">
      <c r="A1930" s="1" t="s">
        <v>20</v>
      </c>
      <c r="B1930" s="2" t="s">
        <v>154</v>
      </c>
      <c r="C1930" s="1"/>
      <c r="D1930" s="5" t="s">
        <v>464</v>
      </c>
      <c r="G1930" s="57" t="str">
        <f t="shared" si="30"/>
        <v>-</v>
      </c>
      <c r="H1930" s="19" t="s">
        <v>465</v>
      </c>
      <c r="I1930" s="19">
        <v>92500</v>
      </c>
      <c r="J1930" s="1"/>
    </row>
    <row r="1931" spans="1:10" x14ac:dyDescent="0.2">
      <c r="A1931" s="1" t="s">
        <v>20</v>
      </c>
      <c r="B1931" s="2" t="s">
        <v>154</v>
      </c>
      <c r="C1931" s="1"/>
      <c r="D1931" s="5" t="s">
        <v>464</v>
      </c>
      <c r="G1931" s="57" t="str">
        <f t="shared" si="30"/>
        <v>-</v>
      </c>
      <c r="H1931" s="19" t="s">
        <v>465</v>
      </c>
      <c r="I1931" s="19">
        <v>92500</v>
      </c>
      <c r="J1931" s="1"/>
    </row>
    <row r="1932" spans="1:10" x14ac:dyDescent="0.2">
      <c r="A1932" s="1" t="s">
        <v>20</v>
      </c>
      <c r="B1932" s="2" t="s">
        <v>154</v>
      </c>
      <c r="C1932" s="1"/>
      <c r="D1932" s="5" t="s">
        <v>464</v>
      </c>
      <c r="G1932" s="57" t="str">
        <f t="shared" si="30"/>
        <v>-</v>
      </c>
      <c r="H1932" s="19" t="s">
        <v>465</v>
      </c>
      <c r="I1932" s="19">
        <v>92500</v>
      </c>
      <c r="J1932" s="1"/>
    </row>
    <row r="1933" spans="1:10" x14ac:dyDescent="0.2">
      <c r="A1933" s="1" t="s">
        <v>20</v>
      </c>
      <c r="B1933" s="2" t="s">
        <v>154</v>
      </c>
      <c r="C1933" s="1"/>
      <c r="D1933" s="5" t="s">
        <v>464</v>
      </c>
      <c r="G1933" s="57" t="str">
        <f t="shared" si="30"/>
        <v>-</v>
      </c>
      <c r="H1933" s="19" t="s">
        <v>465</v>
      </c>
      <c r="I1933" s="19">
        <v>92500</v>
      </c>
      <c r="J1933" s="1"/>
    </row>
    <row r="1934" spans="1:10" x14ac:dyDescent="0.2">
      <c r="A1934" s="1" t="s">
        <v>20</v>
      </c>
      <c r="B1934" s="2" t="s">
        <v>154</v>
      </c>
      <c r="C1934" s="1"/>
      <c r="D1934" s="5" t="s">
        <v>464</v>
      </c>
      <c r="G1934" s="57" t="str">
        <f t="shared" si="30"/>
        <v>-</v>
      </c>
      <c r="H1934" s="19" t="s">
        <v>465</v>
      </c>
      <c r="I1934" s="19">
        <v>92500</v>
      </c>
      <c r="J1934" s="1"/>
    </row>
    <row r="1935" spans="1:10" x14ac:dyDescent="0.2">
      <c r="A1935" s="1" t="s">
        <v>20</v>
      </c>
      <c r="B1935" s="2" t="s">
        <v>154</v>
      </c>
      <c r="C1935" s="1"/>
      <c r="D1935" s="5" t="s">
        <v>464</v>
      </c>
      <c r="G1935" s="57" t="str">
        <f t="shared" si="30"/>
        <v>-</v>
      </c>
      <c r="H1935" s="19" t="s">
        <v>465</v>
      </c>
      <c r="I1935" s="19">
        <v>92500</v>
      </c>
      <c r="J1935" s="1"/>
    </row>
    <row r="1936" spans="1:10" x14ac:dyDescent="0.2">
      <c r="A1936" s="1" t="s">
        <v>20</v>
      </c>
      <c r="B1936" s="2" t="s">
        <v>154</v>
      </c>
      <c r="C1936" s="1"/>
      <c r="D1936" s="5" t="s">
        <v>464</v>
      </c>
      <c r="G1936" s="57" t="str">
        <f t="shared" si="30"/>
        <v>-</v>
      </c>
      <c r="H1936" s="19" t="s">
        <v>465</v>
      </c>
      <c r="I1936" s="19">
        <v>92500</v>
      </c>
      <c r="J1936" s="1"/>
    </row>
    <row r="1937" spans="1:10" x14ac:dyDescent="0.2">
      <c r="A1937" s="1" t="s">
        <v>20</v>
      </c>
      <c r="B1937" s="2" t="s">
        <v>154</v>
      </c>
      <c r="C1937" s="1"/>
      <c r="D1937" s="5" t="s">
        <v>464</v>
      </c>
      <c r="G1937" s="57" t="str">
        <f t="shared" si="30"/>
        <v>-</v>
      </c>
      <c r="H1937" s="19" t="s">
        <v>465</v>
      </c>
      <c r="I1937" s="19">
        <v>97500</v>
      </c>
      <c r="J1937" s="1"/>
    </row>
    <row r="1938" spans="1:10" x14ac:dyDescent="0.2">
      <c r="A1938" s="1" t="s">
        <v>20</v>
      </c>
      <c r="B1938" s="2" t="s">
        <v>154</v>
      </c>
      <c r="C1938" s="1"/>
      <c r="D1938" s="5" t="s">
        <v>464</v>
      </c>
      <c r="G1938" s="57" t="str">
        <f t="shared" si="30"/>
        <v>-</v>
      </c>
      <c r="H1938" s="19" t="s">
        <v>465</v>
      </c>
      <c r="I1938" s="19">
        <v>97500</v>
      </c>
      <c r="J1938" s="1"/>
    </row>
    <row r="1939" spans="1:10" x14ac:dyDescent="0.2">
      <c r="A1939" s="1" t="s">
        <v>20</v>
      </c>
      <c r="B1939" s="2" t="s">
        <v>154</v>
      </c>
      <c r="C1939" s="1"/>
      <c r="D1939" s="5" t="s">
        <v>464</v>
      </c>
      <c r="G1939" s="57" t="str">
        <f t="shared" si="30"/>
        <v>-</v>
      </c>
      <c r="H1939" s="19" t="s">
        <v>465</v>
      </c>
      <c r="I1939" s="19">
        <v>97500</v>
      </c>
      <c r="J1939" s="1"/>
    </row>
    <row r="1940" spans="1:10" x14ac:dyDescent="0.2">
      <c r="A1940" s="1" t="s">
        <v>20</v>
      </c>
      <c r="B1940" s="2" t="s">
        <v>154</v>
      </c>
      <c r="C1940" s="1"/>
      <c r="D1940" s="5" t="s">
        <v>464</v>
      </c>
      <c r="G1940" s="57" t="str">
        <f t="shared" si="30"/>
        <v>-</v>
      </c>
      <c r="H1940" s="19" t="s">
        <v>465</v>
      </c>
      <c r="I1940" s="19">
        <v>97500</v>
      </c>
      <c r="J1940" s="1"/>
    </row>
    <row r="1941" spans="1:10" x14ac:dyDescent="0.2">
      <c r="A1941" s="1" t="s">
        <v>20</v>
      </c>
      <c r="B1941" s="2" t="s">
        <v>154</v>
      </c>
      <c r="C1941" s="1"/>
      <c r="D1941" s="5" t="s">
        <v>464</v>
      </c>
      <c r="G1941" s="57" t="str">
        <f t="shared" si="30"/>
        <v>-</v>
      </c>
      <c r="H1941" s="19" t="s">
        <v>465</v>
      </c>
      <c r="I1941" s="19">
        <v>97500</v>
      </c>
      <c r="J1941" s="1"/>
    </row>
    <row r="1942" spans="1:10" x14ac:dyDescent="0.2">
      <c r="A1942" s="1" t="s">
        <v>20</v>
      </c>
      <c r="B1942" s="2" t="s">
        <v>154</v>
      </c>
      <c r="C1942" s="1"/>
      <c r="D1942" s="5" t="s">
        <v>464</v>
      </c>
      <c r="G1942" s="57" t="str">
        <f t="shared" si="30"/>
        <v>-</v>
      </c>
      <c r="H1942" s="19" t="s">
        <v>465</v>
      </c>
      <c r="I1942" s="19">
        <v>97500</v>
      </c>
      <c r="J1942" s="1"/>
    </row>
    <row r="1943" spans="1:10" x14ac:dyDescent="0.2">
      <c r="A1943" s="1" t="s">
        <v>20</v>
      </c>
      <c r="B1943" s="2" t="s">
        <v>154</v>
      </c>
      <c r="C1943" s="1"/>
      <c r="D1943" s="5" t="s">
        <v>464</v>
      </c>
      <c r="G1943" s="57" t="str">
        <f t="shared" si="30"/>
        <v>-</v>
      </c>
      <c r="H1943" s="19" t="s">
        <v>465</v>
      </c>
      <c r="I1943" s="19">
        <v>97500</v>
      </c>
      <c r="J1943" s="1"/>
    </row>
    <row r="1944" spans="1:10" x14ac:dyDescent="0.2">
      <c r="A1944" s="1" t="s">
        <v>20</v>
      </c>
      <c r="B1944" s="2" t="s">
        <v>154</v>
      </c>
      <c r="C1944" s="1"/>
      <c r="D1944" s="5" t="s">
        <v>464</v>
      </c>
      <c r="G1944" s="57" t="str">
        <f t="shared" si="30"/>
        <v>-</v>
      </c>
      <c r="H1944" s="19" t="s">
        <v>465</v>
      </c>
      <c r="I1944" s="19">
        <v>97500</v>
      </c>
      <c r="J1944" s="1"/>
    </row>
    <row r="1945" spans="1:10" x14ac:dyDescent="0.2">
      <c r="A1945" s="1" t="s">
        <v>20</v>
      </c>
      <c r="B1945" s="2" t="s">
        <v>154</v>
      </c>
      <c r="C1945" s="1"/>
      <c r="D1945" s="5" t="s">
        <v>464</v>
      </c>
      <c r="G1945" s="57" t="str">
        <f t="shared" si="30"/>
        <v>-</v>
      </c>
      <c r="H1945" s="19" t="s">
        <v>465</v>
      </c>
      <c r="I1945" s="19">
        <v>97500</v>
      </c>
      <c r="J1945" s="1"/>
    </row>
    <row r="1946" spans="1:10" x14ac:dyDescent="0.2">
      <c r="A1946" s="1" t="s">
        <v>20</v>
      </c>
      <c r="B1946" s="2" t="s">
        <v>154</v>
      </c>
      <c r="C1946" s="1"/>
      <c r="D1946" s="5" t="s">
        <v>464</v>
      </c>
      <c r="G1946" s="57" t="str">
        <f t="shared" si="30"/>
        <v>-</v>
      </c>
      <c r="H1946" s="19" t="s">
        <v>465</v>
      </c>
      <c r="I1946" s="19">
        <v>97500</v>
      </c>
      <c r="J1946" s="1"/>
    </row>
    <row r="1947" spans="1:10" x14ac:dyDescent="0.2">
      <c r="A1947" s="1" t="s">
        <v>20</v>
      </c>
      <c r="B1947" s="2" t="s">
        <v>154</v>
      </c>
      <c r="C1947" s="1"/>
      <c r="D1947" s="5" t="s">
        <v>464</v>
      </c>
      <c r="G1947" s="57" t="str">
        <f t="shared" si="30"/>
        <v>-</v>
      </c>
      <c r="H1947" s="19" t="s">
        <v>465</v>
      </c>
      <c r="I1947" s="19">
        <v>97500</v>
      </c>
      <c r="J1947" s="1"/>
    </row>
    <row r="1948" spans="1:10" x14ac:dyDescent="0.2">
      <c r="A1948" s="1" t="s">
        <v>20</v>
      </c>
      <c r="B1948" s="2" t="s">
        <v>154</v>
      </c>
      <c r="C1948" s="1"/>
      <c r="D1948" s="5" t="s">
        <v>464</v>
      </c>
      <c r="G1948" s="57" t="str">
        <f t="shared" si="30"/>
        <v>-</v>
      </c>
      <c r="H1948" s="19" t="s">
        <v>465</v>
      </c>
      <c r="I1948" s="19">
        <v>97500</v>
      </c>
      <c r="J1948" s="1"/>
    </row>
    <row r="1949" spans="1:10" x14ac:dyDescent="0.2">
      <c r="A1949" s="1" t="s">
        <v>20</v>
      </c>
      <c r="B1949" s="2" t="s">
        <v>154</v>
      </c>
      <c r="C1949" s="1"/>
      <c r="D1949" s="5" t="s">
        <v>464</v>
      </c>
      <c r="G1949" s="57" t="str">
        <f t="shared" si="30"/>
        <v>-</v>
      </c>
      <c r="H1949" s="19" t="s">
        <v>465</v>
      </c>
      <c r="I1949" s="19">
        <v>97500</v>
      </c>
      <c r="J1949" s="1"/>
    </row>
    <row r="1950" spans="1:10" x14ac:dyDescent="0.2">
      <c r="A1950" s="1" t="s">
        <v>20</v>
      </c>
      <c r="B1950" s="2" t="s">
        <v>154</v>
      </c>
      <c r="C1950" s="1"/>
      <c r="D1950" s="5" t="s">
        <v>464</v>
      </c>
      <c r="G1950" s="57" t="str">
        <f t="shared" si="30"/>
        <v>-</v>
      </c>
      <c r="H1950" s="19" t="s">
        <v>465</v>
      </c>
      <c r="I1950" s="19">
        <v>97500</v>
      </c>
      <c r="J1950" s="1"/>
    </row>
    <row r="1951" spans="1:10" x14ac:dyDescent="0.2">
      <c r="A1951" s="1" t="s">
        <v>20</v>
      </c>
      <c r="B1951" s="2" t="s">
        <v>154</v>
      </c>
      <c r="C1951" s="1"/>
      <c r="D1951" s="5" t="s">
        <v>464</v>
      </c>
      <c r="G1951" s="57" t="str">
        <f t="shared" si="30"/>
        <v>-</v>
      </c>
      <c r="H1951" s="19" t="s">
        <v>465</v>
      </c>
      <c r="I1951" s="19">
        <v>97500</v>
      </c>
      <c r="J1951" s="1"/>
    </row>
    <row r="1952" spans="1:10" x14ac:dyDescent="0.2">
      <c r="A1952" s="1" t="s">
        <v>20</v>
      </c>
      <c r="B1952" s="2" t="s">
        <v>154</v>
      </c>
      <c r="C1952" s="1"/>
      <c r="D1952" s="5" t="s">
        <v>464</v>
      </c>
      <c r="E1952" s="3">
        <v>102500</v>
      </c>
      <c r="F1952" s="3" t="s">
        <v>465</v>
      </c>
      <c r="G1952" s="57" t="str">
        <f t="shared" si="30"/>
        <v>-</v>
      </c>
      <c r="J1952" s="1"/>
    </row>
    <row r="1953" spans="1:10" x14ac:dyDescent="0.2">
      <c r="A1953" s="1" t="s">
        <v>20</v>
      </c>
      <c r="B1953" s="2" t="s">
        <v>154</v>
      </c>
      <c r="C1953" s="1"/>
      <c r="D1953" s="5" t="s">
        <v>464</v>
      </c>
      <c r="E1953" s="3">
        <v>102500</v>
      </c>
      <c r="F1953" s="3" t="s">
        <v>465</v>
      </c>
      <c r="G1953" s="57" t="str">
        <f t="shared" si="30"/>
        <v>-</v>
      </c>
      <c r="J1953" s="1"/>
    </row>
    <row r="1954" spans="1:10" x14ac:dyDescent="0.2">
      <c r="A1954" s="1" t="s">
        <v>20</v>
      </c>
      <c r="B1954" s="2" t="s">
        <v>154</v>
      </c>
      <c r="C1954" s="1"/>
      <c r="D1954" s="5" t="s">
        <v>464</v>
      </c>
      <c r="E1954" s="3">
        <v>102500</v>
      </c>
      <c r="F1954" s="3" t="s">
        <v>465</v>
      </c>
      <c r="G1954" s="57" t="str">
        <f t="shared" si="30"/>
        <v>-</v>
      </c>
      <c r="J1954" s="1"/>
    </row>
    <row r="1955" spans="1:10" x14ac:dyDescent="0.2">
      <c r="A1955" s="1" t="s">
        <v>20</v>
      </c>
      <c r="B1955" s="2" t="s">
        <v>154</v>
      </c>
      <c r="C1955" s="1"/>
      <c r="D1955" s="5" t="s">
        <v>464</v>
      </c>
      <c r="E1955" s="3">
        <v>102500</v>
      </c>
      <c r="F1955" s="3" t="s">
        <v>465</v>
      </c>
      <c r="G1955" s="57" t="str">
        <f t="shared" si="30"/>
        <v>-</v>
      </c>
      <c r="J1955" s="1"/>
    </row>
    <row r="1956" spans="1:10" x14ac:dyDescent="0.2">
      <c r="A1956" s="1" t="s">
        <v>20</v>
      </c>
      <c r="B1956" s="2" t="s">
        <v>154</v>
      </c>
      <c r="C1956" s="1"/>
      <c r="D1956" s="5" t="s">
        <v>464</v>
      </c>
      <c r="E1956" s="3">
        <v>107500</v>
      </c>
      <c r="F1956" s="3" t="s">
        <v>465</v>
      </c>
      <c r="G1956" s="57" t="str">
        <f t="shared" si="30"/>
        <v>-</v>
      </c>
      <c r="J1956" s="1"/>
    </row>
    <row r="1957" spans="1:10" x14ac:dyDescent="0.2">
      <c r="A1957" s="1" t="s">
        <v>20</v>
      </c>
      <c r="B1957" s="2" t="s">
        <v>154</v>
      </c>
      <c r="C1957" s="1"/>
      <c r="D1957" s="5" t="s">
        <v>464</v>
      </c>
      <c r="E1957" s="3">
        <v>107500</v>
      </c>
      <c r="F1957" s="3" t="s">
        <v>465</v>
      </c>
      <c r="G1957" s="57" t="str">
        <f t="shared" si="30"/>
        <v>-</v>
      </c>
      <c r="J1957" s="1"/>
    </row>
    <row r="1958" spans="1:10" x14ac:dyDescent="0.2">
      <c r="A1958" s="1" t="s">
        <v>20</v>
      </c>
      <c r="B1958" s="2" t="s">
        <v>154</v>
      </c>
      <c r="C1958" s="1"/>
      <c r="D1958" s="5" t="s">
        <v>464</v>
      </c>
      <c r="E1958" s="3">
        <v>112500</v>
      </c>
      <c r="F1958" s="3" t="s">
        <v>465</v>
      </c>
      <c r="G1958" s="57" t="str">
        <f t="shared" si="30"/>
        <v>-</v>
      </c>
      <c r="J1958" s="1"/>
    </row>
    <row r="1959" spans="1:10" x14ac:dyDescent="0.2">
      <c r="A1959" s="1" t="s">
        <v>20</v>
      </c>
      <c r="B1959" s="2" t="s">
        <v>154</v>
      </c>
      <c r="C1959" s="1"/>
      <c r="D1959" s="5" t="s">
        <v>464</v>
      </c>
      <c r="E1959" s="3">
        <v>117500</v>
      </c>
      <c r="F1959" s="3" t="s">
        <v>465</v>
      </c>
      <c r="G1959" s="57" t="str">
        <f t="shared" si="30"/>
        <v>-</v>
      </c>
      <c r="J1959" s="1"/>
    </row>
    <row r="1960" spans="1:10" x14ac:dyDescent="0.2">
      <c r="A1960" s="1" t="s">
        <v>20</v>
      </c>
      <c r="B1960" s="2" t="s">
        <v>154</v>
      </c>
      <c r="C1960" s="1"/>
      <c r="D1960" s="5" t="s">
        <v>464</v>
      </c>
      <c r="E1960" s="3">
        <v>122500</v>
      </c>
      <c r="F1960" s="3" t="s">
        <v>465</v>
      </c>
      <c r="G1960" s="57" t="str">
        <f t="shared" si="30"/>
        <v>-</v>
      </c>
      <c r="J1960" s="1"/>
    </row>
    <row r="1961" spans="1:10" x14ac:dyDescent="0.2">
      <c r="A1961" s="1" t="s">
        <v>20</v>
      </c>
      <c r="B1961" s="2" t="s">
        <v>154</v>
      </c>
      <c r="C1961" s="1"/>
      <c r="D1961" s="5" t="s">
        <v>464</v>
      </c>
      <c r="E1961" s="3">
        <v>157500</v>
      </c>
      <c r="F1961" s="3" t="s">
        <v>465</v>
      </c>
      <c r="G1961" s="57" t="str">
        <f t="shared" si="30"/>
        <v>-</v>
      </c>
      <c r="J1961" s="1"/>
    </row>
    <row r="1962" spans="1:10" x14ac:dyDescent="0.2">
      <c r="A1962" s="1" t="s">
        <v>20</v>
      </c>
      <c r="B1962" s="2" t="s">
        <v>154</v>
      </c>
      <c r="C1962" s="1"/>
      <c r="D1962" s="5" t="s">
        <v>464</v>
      </c>
      <c r="E1962" s="3" t="s">
        <v>465</v>
      </c>
      <c r="F1962" s="3">
        <v>102500</v>
      </c>
      <c r="G1962" s="57" t="str">
        <f t="shared" si="30"/>
        <v>-</v>
      </c>
      <c r="J1962" s="1"/>
    </row>
    <row r="1963" spans="1:10" x14ac:dyDescent="0.2">
      <c r="A1963" s="1" t="s">
        <v>20</v>
      </c>
      <c r="B1963" s="2" t="s">
        <v>154</v>
      </c>
      <c r="C1963" s="1"/>
      <c r="D1963" s="5" t="s">
        <v>464</v>
      </c>
      <c r="E1963" s="3" t="s">
        <v>465</v>
      </c>
      <c r="F1963" s="3">
        <v>102500</v>
      </c>
      <c r="G1963" s="57" t="str">
        <f t="shared" si="30"/>
        <v>-</v>
      </c>
      <c r="J1963" s="1"/>
    </row>
    <row r="1964" spans="1:10" x14ac:dyDescent="0.2">
      <c r="A1964" s="1" t="s">
        <v>20</v>
      </c>
      <c r="B1964" s="2" t="s">
        <v>154</v>
      </c>
      <c r="C1964" s="1"/>
      <c r="D1964" s="5" t="s">
        <v>464</v>
      </c>
      <c r="E1964" s="3" t="s">
        <v>465</v>
      </c>
      <c r="F1964" s="3">
        <v>102500</v>
      </c>
      <c r="G1964" s="57" t="str">
        <f t="shared" si="30"/>
        <v>-</v>
      </c>
      <c r="J1964" s="1"/>
    </row>
    <row r="1965" spans="1:10" x14ac:dyDescent="0.2">
      <c r="A1965" s="1" t="s">
        <v>20</v>
      </c>
      <c r="B1965" s="2" t="s">
        <v>154</v>
      </c>
      <c r="C1965" s="1"/>
      <c r="D1965" s="5" t="s">
        <v>464</v>
      </c>
      <c r="E1965" s="3" t="s">
        <v>465</v>
      </c>
      <c r="F1965" s="3">
        <v>102500</v>
      </c>
      <c r="G1965" s="57" t="str">
        <f t="shared" si="30"/>
        <v>-</v>
      </c>
      <c r="J1965" s="1"/>
    </row>
    <row r="1966" spans="1:10" x14ac:dyDescent="0.2">
      <c r="A1966" s="1" t="s">
        <v>20</v>
      </c>
      <c r="B1966" s="2" t="s">
        <v>154</v>
      </c>
      <c r="C1966" s="1"/>
      <c r="D1966" s="5" t="s">
        <v>464</v>
      </c>
      <c r="E1966" s="3" t="s">
        <v>465</v>
      </c>
      <c r="F1966" s="3">
        <v>102500</v>
      </c>
      <c r="G1966" s="57" t="str">
        <f t="shared" si="30"/>
        <v>-</v>
      </c>
      <c r="J1966" s="1"/>
    </row>
    <row r="1967" spans="1:10" x14ac:dyDescent="0.2">
      <c r="A1967" s="1" t="s">
        <v>20</v>
      </c>
      <c r="B1967" s="2" t="s">
        <v>154</v>
      </c>
      <c r="C1967" s="1"/>
      <c r="D1967" s="5" t="s">
        <v>464</v>
      </c>
      <c r="E1967" s="3" t="s">
        <v>465</v>
      </c>
      <c r="F1967" s="3">
        <v>102500</v>
      </c>
      <c r="G1967" s="57" t="str">
        <f t="shared" si="30"/>
        <v>-</v>
      </c>
      <c r="J1967" s="1"/>
    </row>
    <row r="1968" spans="1:10" x14ac:dyDescent="0.2">
      <c r="A1968" s="1" t="s">
        <v>20</v>
      </c>
      <c r="B1968" s="2" t="s">
        <v>154</v>
      </c>
      <c r="C1968" s="1"/>
      <c r="D1968" s="5" t="s">
        <v>464</v>
      </c>
      <c r="E1968" s="3" t="s">
        <v>465</v>
      </c>
      <c r="F1968" s="3">
        <v>102500</v>
      </c>
      <c r="G1968" s="57" t="str">
        <f t="shared" si="30"/>
        <v>-</v>
      </c>
      <c r="J1968" s="1"/>
    </row>
    <row r="1969" spans="1:10" x14ac:dyDescent="0.2">
      <c r="A1969" s="1" t="s">
        <v>20</v>
      </c>
      <c r="B1969" s="2" t="s">
        <v>154</v>
      </c>
      <c r="C1969" s="1"/>
      <c r="D1969" s="5" t="s">
        <v>464</v>
      </c>
      <c r="E1969" s="3" t="s">
        <v>465</v>
      </c>
      <c r="F1969" s="3">
        <v>107500</v>
      </c>
      <c r="G1969" s="57" t="str">
        <f t="shared" si="30"/>
        <v>-</v>
      </c>
      <c r="J1969" s="1"/>
    </row>
    <row r="1970" spans="1:10" x14ac:dyDescent="0.2">
      <c r="A1970" s="1" t="s">
        <v>20</v>
      </c>
      <c r="B1970" s="2" t="s">
        <v>154</v>
      </c>
      <c r="C1970" s="1"/>
      <c r="D1970" s="5" t="s">
        <v>464</v>
      </c>
      <c r="E1970" s="3" t="s">
        <v>465</v>
      </c>
      <c r="F1970" s="3">
        <v>107500</v>
      </c>
      <c r="G1970" s="57" t="str">
        <f t="shared" si="30"/>
        <v>-</v>
      </c>
      <c r="J1970" s="1"/>
    </row>
    <row r="1971" spans="1:10" x14ac:dyDescent="0.2">
      <c r="A1971" s="1" t="s">
        <v>20</v>
      </c>
      <c r="B1971" s="2" t="s">
        <v>154</v>
      </c>
      <c r="C1971" s="1"/>
      <c r="D1971" s="5" t="s">
        <v>464</v>
      </c>
      <c r="E1971" s="3" t="s">
        <v>465</v>
      </c>
      <c r="F1971" s="3">
        <v>107500</v>
      </c>
      <c r="G1971" s="57" t="str">
        <f t="shared" si="30"/>
        <v>-</v>
      </c>
      <c r="J1971" s="1"/>
    </row>
    <row r="1972" spans="1:10" x14ac:dyDescent="0.2">
      <c r="A1972" s="1" t="s">
        <v>20</v>
      </c>
      <c r="B1972" s="2" t="s">
        <v>154</v>
      </c>
      <c r="C1972" s="1"/>
      <c r="D1972" s="5" t="s">
        <v>464</v>
      </c>
      <c r="E1972" s="3" t="s">
        <v>465</v>
      </c>
      <c r="F1972" s="3">
        <v>107500</v>
      </c>
      <c r="G1972" s="57" t="str">
        <f t="shared" si="30"/>
        <v>-</v>
      </c>
      <c r="J1972" s="1"/>
    </row>
    <row r="1973" spans="1:10" x14ac:dyDescent="0.2">
      <c r="A1973" s="1" t="s">
        <v>20</v>
      </c>
      <c r="B1973" s="2" t="s">
        <v>154</v>
      </c>
      <c r="C1973" s="1"/>
      <c r="D1973" s="5" t="s">
        <v>464</v>
      </c>
      <c r="E1973" s="3" t="s">
        <v>465</v>
      </c>
      <c r="F1973" s="3">
        <v>107500</v>
      </c>
      <c r="G1973" s="57" t="str">
        <f t="shared" si="30"/>
        <v>-</v>
      </c>
      <c r="J1973" s="1"/>
    </row>
    <row r="1974" spans="1:10" x14ac:dyDescent="0.2">
      <c r="A1974" s="1" t="s">
        <v>20</v>
      </c>
      <c r="B1974" s="2" t="s">
        <v>154</v>
      </c>
      <c r="C1974" s="1"/>
      <c r="D1974" s="5" t="s">
        <v>464</v>
      </c>
      <c r="E1974" s="3" t="s">
        <v>465</v>
      </c>
      <c r="F1974" s="3">
        <v>107500</v>
      </c>
      <c r="G1974" s="57" t="str">
        <f t="shared" si="30"/>
        <v>-</v>
      </c>
      <c r="J1974" s="1"/>
    </row>
    <row r="1975" spans="1:10" x14ac:dyDescent="0.2">
      <c r="A1975" s="1" t="s">
        <v>20</v>
      </c>
      <c r="B1975" s="2" t="s">
        <v>154</v>
      </c>
      <c r="C1975" s="1"/>
      <c r="D1975" s="5" t="s">
        <v>464</v>
      </c>
      <c r="E1975" s="3" t="s">
        <v>465</v>
      </c>
      <c r="F1975" s="3">
        <v>112500</v>
      </c>
      <c r="G1975" s="57" t="str">
        <f t="shared" si="30"/>
        <v>-</v>
      </c>
      <c r="J1975" s="1"/>
    </row>
    <row r="1976" spans="1:10" x14ac:dyDescent="0.2">
      <c r="A1976" s="1" t="s">
        <v>20</v>
      </c>
      <c r="B1976" s="2" t="s">
        <v>154</v>
      </c>
      <c r="C1976" s="1"/>
      <c r="D1976" s="5" t="s">
        <v>464</v>
      </c>
      <c r="E1976" s="3" t="s">
        <v>465</v>
      </c>
      <c r="F1976" s="3">
        <v>112500</v>
      </c>
      <c r="G1976" s="57" t="str">
        <f t="shared" si="30"/>
        <v>-</v>
      </c>
      <c r="J1976" s="1"/>
    </row>
    <row r="1977" spans="1:10" x14ac:dyDescent="0.2">
      <c r="A1977" s="1" t="s">
        <v>20</v>
      </c>
      <c r="B1977" s="2" t="s">
        <v>154</v>
      </c>
      <c r="C1977" s="1"/>
      <c r="D1977" s="5" t="s">
        <v>464</v>
      </c>
      <c r="E1977" s="3" t="s">
        <v>465</v>
      </c>
      <c r="F1977" s="3">
        <v>112500</v>
      </c>
      <c r="G1977" s="57" t="str">
        <f t="shared" si="30"/>
        <v>-</v>
      </c>
      <c r="J1977" s="1"/>
    </row>
    <row r="1978" spans="1:10" x14ac:dyDescent="0.2">
      <c r="A1978" s="1" t="s">
        <v>20</v>
      </c>
      <c r="B1978" s="2" t="s">
        <v>154</v>
      </c>
      <c r="C1978" s="1"/>
      <c r="D1978" s="5" t="s">
        <v>464</v>
      </c>
      <c r="E1978" s="3" t="s">
        <v>465</v>
      </c>
      <c r="F1978" s="3">
        <v>117500</v>
      </c>
      <c r="G1978" s="57" t="str">
        <f t="shared" si="30"/>
        <v>-</v>
      </c>
      <c r="J1978" s="1"/>
    </row>
    <row r="1979" spans="1:10" x14ac:dyDescent="0.2">
      <c r="A1979" s="1" t="s">
        <v>20</v>
      </c>
      <c r="B1979" s="2" t="s">
        <v>154</v>
      </c>
      <c r="C1979" s="1"/>
      <c r="D1979" s="5" t="s">
        <v>464</v>
      </c>
      <c r="E1979" s="3" t="s">
        <v>465</v>
      </c>
      <c r="F1979" s="3">
        <v>117500</v>
      </c>
      <c r="G1979" s="57" t="str">
        <f t="shared" si="30"/>
        <v>-</v>
      </c>
      <c r="J1979" s="1"/>
    </row>
    <row r="1980" spans="1:10" x14ac:dyDescent="0.2">
      <c r="A1980" s="1" t="s">
        <v>20</v>
      </c>
      <c r="B1980" s="2" t="s">
        <v>154</v>
      </c>
      <c r="C1980" s="1"/>
      <c r="D1980" s="5" t="s">
        <v>464</v>
      </c>
      <c r="E1980" s="3" t="s">
        <v>465</v>
      </c>
      <c r="F1980" s="3">
        <v>122500</v>
      </c>
      <c r="G1980" s="57" t="str">
        <f t="shared" si="30"/>
        <v>-</v>
      </c>
      <c r="J1980" s="1"/>
    </row>
    <row r="1981" spans="1:10" x14ac:dyDescent="0.2">
      <c r="A1981" s="1" t="s">
        <v>20</v>
      </c>
      <c r="B1981" s="2" t="s">
        <v>154</v>
      </c>
      <c r="C1981" s="1"/>
      <c r="D1981" s="5" t="s">
        <v>464</v>
      </c>
      <c r="E1981" s="3" t="s">
        <v>465</v>
      </c>
      <c r="F1981" s="3">
        <v>127500</v>
      </c>
      <c r="G1981" s="57" t="str">
        <f t="shared" si="30"/>
        <v>-</v>
      </c>
      <c r="J1981" s="1"/>
    </row>
    <row r="1982" spans="1:10" x14ac:dyDescent="0.2">
      <c r="A1982" s="1" t="s">
        <v>20</v>
      </c>
      <c r="B1982" s="2" t="s">
        <v>154</v>
      </c>
      <c r="C1982" s="1"/>
      <c r="D1982" s="5" t="s">
        <v>464</v>
      </c>
      <c r="E1982" s="3" t="s">
        <v>465</v>
      </c>
      <c r="F1982" s="3">
        <v>137500</v>
      </c>
      <c r="G1982" s="57" t="str">
        <f t="shared" si="30"/>
        <v>-</v>
      </c>
      <c r="J1982" s="1"/>
    </row>
    <row r="1983" spans="1:10" x14ac:dyDescent="0.2">
      <c r="A1983" s="1" t="s">
        <v>20</v>
      </c>
      <c r="B1983" s="2" t="s">
        <v>154</v>
      </c>
      <c r="C1983" s="1"/>
      <c r="D1983" s="5" t="s">
        <v>464</v>
      </c>
      <c r="E1983" s="3" t="s">
        <v>465</v>
      </c>
      <c r="F1983" s="3">
        <v>137500</v>
      </c>
      <c r="G1983" s="57" t="str">
        <f t="shared" si="30"/>
        <v>-</v>
      </c>
      <c r="J1983" s="1"/>
    </row>
    <row r="1984" spans="1:10" x14ac:dyDescent="0.2">
      <c r="A1984" s="1" t="s">
        <v>20</v>
      </c>
      <c r="B1984" s="2" t="s">
        <v>154</v>
      </c>
      <c r="C1984" s="1"/>
      <c r="D1984" s="5" t="s">
        <v>464</v>
      </c>
      <c r="E1984" s="3" t="s">
        <v>465</v>
      </c>
      <c r="F1984" s="3">
        <v>137500</v>
      </c>
      <c r="G1984" s="57" t="str">
        <f t="shared" si="30"/>
        <v>-</v>
      </c>
      <c r="J1984" s="1"/>
    </row>
    <row r="1985" spans="1:10" x14ac:dyDescent="0.2">
      <c r="A1985" s="1" t="s">
        <v>20</v>
      </c>
      <c r="B1985" s="2" t="s">
        <v>154</v>
      </c>
      <c r="C1985" s="1"/>
      <c r="D1985" s="5" t="s">
        <v>464</v>
      </c>
      <c r="E1985" s="3" t="s">
        <v>465</v>
      </c>
      <c r="F1985" s="3">
        <v>142500</v>
      </c>
      <c r="G1985" s="57" t="str">
        <f t="shared" si="30"/>
        <v>-</v>
      </c>
      <c r="J1985" s="1"/>
    </row>
    <row r="1986" spans="1:10" x14ac:dyDescent="0.2">
      <c r="A1986" s="1" t="s">
        <v>20</v>
      </c>
      <c r="B1986" s="2" t="s">
        <v>154</v>
      </c>
      <c r="C1986" s="1"/>
      <c r="D1986" s="5" t="s">
        <v>464</v>
      </c>
      <c r="E1986" s="3" t="s">
        <v>465</v>
      </c>
      <c r="F1986" s="3">
        <v>152500</v>
      </c>
      <c r="G1986" s="57" t="str">
        <f t="shared" si="30"/>
        <v>-</v>
      </c>
      <c r="J1986" s="1"/>
    </row>
    <row r="1987" spans="1:10" x14ac:dyDescent="0.2">
      <c r="A1987" s="1" t="s">
        <v>20</v>
      </c>
      <c r="B1987" s="2" t="s">
        <v>154</v>
      </c>
      <c r="C1987" s="1"/>
      <c r="D1987" s="5" t="s">
        <v>464</v>
      </c>
      <c r="E1987" s="3" t="s">
        <v>465</v>
      </c>
      <c r="F1987" s="3">
        <v>172500</v>
      </c>
      <c r="G1987" s="57" t="str">
        <f t="shared" ref="G1987:G2050" si="31">IF(ISERROR((F1987-E1987)/E1987),"-",(F1987-E1987)/E1987)</f>
        <v>-</v>
      </c>
    </row>
    <row r="1988" spans="1:10" x14ac:dyDescent="0.2">
      <c r="A1988" s="1" t="s">
        <v>20</v>
      </c>
      <c r="B1988" s="2" t="s">
        <v>154</v>
      </c>
      <c r="C1988" s="1"/>
      <c r="D1988" s="5" t="s">
        <v>464</v>
      </c>
      <c r="E1988" s="3" t="s">
        <v>465</v>
      </c>
      <c r="F1988" s="3">
        <v>182500</v>
      </c>
      <c r="G1988" s="57" t="str">
        <f t="shared" si="31"/>
        <v>-</v>
      </c>
    </row>
    <row r="1989" spans="1:10" ht="25.5" x14ac:dyDescent="0.2">
      <c r="A1989" s="1" t="s">
        <v>34</v>
      </c>
      <c r="B1989" s="2" t="s">
        <v>155</v>
      </c>
      <c r="C1989" s="1"/>
      <c r="D1989" s="5" t="s">
        <v>450</v>
      </c>
      <c r="E1989" s="3">
        <v>141265</v>
      </c>
      <c r="F1989" s="3">
        <v>125816</v>
      </c>
      <c r="G1989" s="57">
        <f t="shared" si="31"/>
        <v>-0.10936183768095424</v>
      </c>
      <c r="J1989" s="5" t="s">
        <v>4022</v>
      </c>
    </row>
    <row r="1990" spans="1:10" s="13" customFormat="1" ht="25.5" x14ac:dyDescent="0.2">
      <c r="A1990" s="13" t="s">
        <v>1</v>
      </c>
      <c r="B1990" s="12" t="s">
        <v>156</v>
      </c>
      <c r="C1990" s="13" t="s">
        <v>1601</v>
      </c>
      <c r="D1990" s="7" t="s">
        <v>450</v>
      </c>
      <c r="E1990" s="6">
        <f>133740+22787+842</f>
        <v>157369</v>
      </c>
      <c r="F1990" s="6">
        <f>131956+536+23420</f>
        <v>155912</v>
      </c>
      <c r="G1990" s="57">
        <f t="shared" si="31"/>
        <v>-9.2584943667431332E-3</v>
      </c>
      <c r="H1990" s="21"/>
      <c r="I1990" s="21"/>
      <c r="J1990" s="7" t="s">
        <v>4023</v>
      </c>
    </row>
    <row r="1991" spans="1:10" ht="25.5" x14ac:dyDescent="0.2">
      <c r="A1991" s="13" t="s">
        <v>1</v>
      </c>
      <c r="B1991" s="2" t="s">
        <v>156</v>
      </c>
      <c r="C1991" s="1" t="s">
        <v>1602</v>
      </c>
      <c r="D1991" s="5" t="s">
        <v>1603</v>
      </c>
      <c r="E1991" s="3">
        <f>91123+16141</f>
        <v>107264</v>
      </c>
      <c r="F1991" s="3">
        <f>92574+16843</f>
        <v>109417</v>
      </c>
      <c r="G1991" s="57">
        <f t="shared" si="31"/>
        <v>2.0071971957040573E-2</v>
      </c>
      <c r="J1991" s="5" t="s">
        <v>4024</v>
      </c>
    </row>
    <row r="1992" spans="1:10" ht="25.5" x14ac:dyDescent="0.2">
      <c r="A1992" s="13" t="s">
        <v>1</v>
      </c>
      <c r="B1992" s="2" t="s">
        <v>156</v>
      </c>
      <c r="C1992" s="1" t="s">
        <v>1604</v>
      </c>
      <c r="D1992" s="5" t="s">
        <v>855</v>
      </c>
      <c r="E1992" s="3">
        <f>91286+15988</f>
        <v>107274</v>
      </c>
      <c r="F1992" s="3">
        <f>93506+16843</f>
        <v>110349</v>
      </c>
      <c r="G1992" s="57">
        <f t="shared" si="31"/>
        <v>2.8664914145086415E-2</v>
      </c>
      <c r="J1992" s="5" t="s">
        <v>4025</v>
      </c>
    </row>
    <row r="1993" spans="1:10" ht="25.5" x14ac:dyDescent="0.2">
      <c r="A1993" s="13" t="s">
        <v>1</v>
      </c>
      <c r="B1993" s="2" t="s">
        <v>156</v>
      </c>
      <c r="C1993" s="1" t="s">
        <v>4026</v>
      </c>
      <c r="D1993" s="5" t="s">
        <v>2600</v>
      </c>
      <c r="E1993" s="3">
        <f>91246+15988</f>
        <v>107234</v>
      </c>
      <c r="F1993" s="3">
        <f>93506+16843</f>
        <v>110349</v>
      </c>
      <c r="G1993" s="57">
        <f t="shared" si="31"/>
        <v>2.9048622638342316E-2</v>
      </c>
      <c r="J1993" s="5" t="s">
        <v>4025</v>
      </c>
    </row>
    <row r="1994" spans="1:10" ht="25.5" x14ac:dyDescent="0.2">
      <c r="A1994" s="13" t="s">
        <v>1</v>
      </c>
      <c r="B1994" s="2" t="s">
        <v>156</v>
      </c>
      <c r="C1994" s="1" t="s">
        <v>1605</v>
      </c>
      <c r="D1994" s="5" t="s">
        <v>1606</v>
      </c>
      <c r="E1994" s="3">
        <f>85972+15199</f>
        <v>101171</v>
      </c>
      <c r="F1994" s="3">
        <f>88082+16012</f>
        <v>104094</v>
      </c>
      <c r="G1994" s="57">
        <f t="shared" si="31"/>
        <v>2.8891678445404315E-2</v>
      </c>
      <c r="J1994" s="5" t="s">
        <v>4027</v>
      </c>
    </row>
    <row r="1995" spans="1:10" ht="51" x14ac:dyDescent="0.2">
      <c r="A1995" s="13" t="s">
        <v>1</v>
      </c>
      <c r="B1995" s="2" t="s">
        <v>156</v>
      </c>
      <c r="C1995" s="1" t="s">
        <v>1607</v>
      </c>
      <c r="D1995" s="5" t="s">
        <v>4028</v>
      </c>
      <c r="E1995" s="3">
        <f>91286+15988</f>
        <v>107274</v>
      </c>
      <c r="F1995" s="3">
        <f>97007+48692</f>
        <v>145699</v>
      </c>
      <c r="G1995" s="57">
        <f t="shared" si="31"/>
        <v>0.35819490277234001</v>
      </c>
      <c r="J1995" s="5" t="s">
        <v>4326</v>
      </c>
    </row>
    <row r="1996" spans="1:10" ht="25.5" x14ac:dyDescent="0.2">
      <c r="A1996" s="13" t="s">
        <v>1</v>
      </c>
      <c r="B1996" s="2" t="s">
        <v>156</v>
      </c>
      <c r="C1996" s="1" t="s">
        <v>1608</v>
      </c>
      <c r="D1996" s="5" t="s">
        <v>1609</v>
      </c>
      <c r="E1996" s="3">
        <f>101286+15988</f>
        <v>117274</v>
      </c>
      <c r="F1996" s="3">
        <f>93506+16843</f>
        <v>110349</v>
      </c>
      <c r="G1996" s="57">
        <f t="shared" si="31"/>
        <v>-5.9049746746934528E-2</v>
      </c>
      <c r="J1996" s="5" t="s">
        <v>2186</v>
      </c>
    </row>
    <row r="1997" spans="1:10" ht="25.5" x14ac:dyDescent="0.2">
      <c r="A1997" s="13" t="s">
        <v>1</v>
      </c>
      <c r="B1997" s="2" t="s">
        <v>156</v>
      </c>
      <c r="C1997" s="1" t="s">
        <v>1610</v>
      </c>
      <c r="D1997" s="5" t="s">
        <v>1611</v>
      </c>
      <c r="E1997" s="3">
        <f>91286+15988</f>
        <v>107274</v>
      </c>
      <c r="F1997" s="3">
        <f>93506+16843</f>
        <v>110349</v>
      </c>
      <c r="G1997" s="57">
        <f t="shared" si="31"/>
        <v>2.8664914145086415E-2</v>
      </c>
      <c r="J1997" s="5" t="s">
        <v>2185</v>
      </c>
    </row>
    <row r="1998" spans="1:10" ht="25.5" x14ac:dyDescent="0.2">
      <c r="A1998" s="1" t="s">
        <v>4</v>
      </c>
      <c r="B1998" s="2" t="s">
        <v>157</v>
      </c>
      <c r="C1998" s="1"/>
      <c r="D1998" s="5" t="s">
        <v>783</v>
      </c>
      <c r="E1998" s="3">
        <v>128000</v>
      </c>
      <c r="F1998" s="3">
        <v>121835</v>
      </c>
      <c r="G1998" s="57">
        <f t="shared" si="31"/>
        <v>-4.81640625E-2</v>
      </c>
      <c r="J1998" s="5" t="s">
        <v>4029</v>
      </c>
    </row>
    <row r="1999" spans="1:10" ht="25.5" x14ac:dyDescent="0.2">
      <c r="A1999" s="1" t="s">
        <v>4</v>
      </c>
      <c r="B1999" s="2" t="s">
        <v>157</v>
      </c>
      <c r="C1999" s="1"/>
      <c r="D1999" s="5" t="s">
        <v>1600</v>
      </c>
      <c r="E1999" s="3">
        <v>98391</v>
      </c>
      <c r="F1999" s="3">
        <v>297467</v>
      </c>
      <c r="G1999" s="57">
        <f t="shared" si="31"/>
        <v>2.0233151406124543</v>
      </c>
      <c r="J1999" s="5" t="s">
        <v>4638</v>
      </c>
    </row>
    <row r="2000" spans="1:10" ht="38.25" x14ac:dyDescent="0.2">
      <c r="A2000" s="1" t="s">
        <v>4</v>
      </c>
      <c r="B2000" s="2" t="s">
        <v>157</v>
      </c>
      <c r="C2000" s="1"/>
      <c r="D2000" s="5" t="s">
        <v>613</v>
      </c>
      <c r="E2000" s="3">
        <v>100550</v>
      </c>
      <c r="F2000" s="3">
        <v>94431</v>
      </c>
      <c r="G2000" s="57">
        <f t="shared" si="31"/>
        <v>-6.0855295872700152E-2</v>
      </c>
      <c r="J2000" s="5" t="s">
        <v>4639</v>
      </c>
    </row>
    <row r="2001" spans="1:10" ht="51" x14ac:dyDescent="0.2">
      <c r="A2001" s="1" t="s">
        <v>20</v>
      </c>
      <c r="B2001" s="2" t="s">
        <v>158</v>
      </c>
      <c r="D2001" s="5" t="s">
        <v>1597</v>
      </c>
      <c r="E2001" s="3">
        <v>202580</v>
      </c>
      <c r="F2001" s="3">
        <v>400616</v>
      </c>
      <c r="G2001" s="57">
        <f t="shared" si="31"/>
        <v>0.9775693553164182</v>
      </c>
      <c r="J2001" s="5" t="s">
        <v>4327</v>
      </c>
    </row>
    <row r="2002" spans="1:10" ht="38.25" x14ac:dyDescent="0.2">
      <c r="A2002" s="1" t="s">
        <v>20</v>
      </c>
      <c r="B2002" s="2" t="s">
        <v>158</v>
      </c>
      <c r="D2002" s="5" t="s">
        <v>1598</v>
      </c>
      <c r="E2002" s="4" t="s">
        <v>465</v>
      </c>
      <c r="F2002" s="3">
        <v>141769</v>
      </c>
      <c r="G2002" s="57" t="str">
        <f t="shared" si="31"/>
        <v>-</v>
      </c>
      <c r="J2002" s="5" t="s">
        <v>4328</v>
      </c>
    </row>
    <row r="2003" spans="1:10" ht="38.25" x14ac:dyDescent="0.2">
      <c r="A2003" s="1" t="s">
        <v>20</v>
      </c>
      <c r="B2003" s="2" t="s">
        <v>158</v>
      </c>
      <c r="D2003" s="5" t="s">
        <v>4030</v>
      </c>
      <c r="E2003" s="4" t="s">
        <v>465</v>
      </c>
      <c r="F2003" s="3">
        <v>117574</v>
      </c>
      <c r="G2003" s="57" t="str">
        <f t="shared" si="31"/>
        <v>-</v>
      </c>
      <c r="J2003" s="5" t="s">
        <v>4329</v>
      </c>
    </row>
    <row r="2004" spans="1:10" ht="25.5" x14ac:dyDescent="0.2">
      <c r="A2004" s="1" t="s">
        <v>20</v>
      </c>
      <c r="B2004" s="2" t="s">
        <v>158</v>
      </c>
      <c r="D2004" s="5" t="s">
        <v>4031</v>
      </c>
      <c r="E2004" s="3">
        <v>128559</v>
      </c>
      <c r="F2004" s="3" t="s">
        <v>465</v>
      </c>
      <c r="G2004" s="57" t="str">
        <f t="shared" si="31"/>
        <v>-</v>
      </c>
      <c r="J2004" s="5" t="s">
        <v>4032</v>
      </c>
    </row>
    <row r="2005" spans="1:10" ht="25.5" x14ac:dyDescent="0.2">
      <c r="A2005" s="1" t="s">
        <v>20</v>
      </c>
      <c r="B2005" s="2" t="s">
        <v>158</v>
      </c>
      <c r="D2005" s="5" t="s">
        <v>4033</v>
      </c>
      <c r="E2005" s="3">
        <v>121369</v>
      </c>
      <c r="F2005" s="3" t="s">
        <v>465</v>
      </c>
      <c r="G2005" s="57" t="str">
        <f t="shared" si="31"/>
        <v>-</v>
      </c>
      <c r="J2005" s="5" t="s">
        <v>4034</v>
      </c>
    </row>
    <row r="2006" spans="1:10" ht="25.5" x14ac:dyDescent="0.2">
      <c r="A2006" s="1" t="s">
        <v>20</v>
      </c>
      <c r="B2006" s="2" t="s">
        <v>158</v>
      </c>
      <c r="D2006" s="5" t="s">
        <v>1599</v>
      </c>
      <c r="E2006" s="3">
        <v>93909</v>
      </c>
      <c r="F2006" s="3">
        <v>116142</v>
      </c>
      <c r="G2006" s="57">
        <f t="shared" si="31"/>
        <v>0.23675047120084336</v>
      </c>
      <c r="J2006" s="5" t="s">
        <v>4035</v>
      </c>
    </row>
    <row r="2007" spans="1:10" x14ac:dyDescent="0.2">
      <c r="A2007" s="1" t="s">
        <v>20</v>
      </c>
      <c r="B2007" s="2" t="s">
        <v>158</v>
      </c>
      <c r="D2007" s="5" t="s">
        <v>464</v>
      </c>
      <c r="G2007" s="57" t="str">
        <f t="shared" si="31"/>
        <v>-</v>
      </c>
      <c r="H2007" s="19">
        <v>92500</v>
      </c>
      <c r="I2007" s="19" t="s">
        <v>465</v>
      </c>
    </row>
    <row r="2008" spans="1:10" x14ac:dyDescent="0.2">
      <c r="A2008" s="1" t="s">
        <v>20</v>
      </c>
      <c r="B2008" s="2" t="s">
        <v>158</v>
      </c>
      <c r="D2008" s="5" t="s">
        <v>464</v>
      </c>
      <c r="E2008" s="3">
        <v>107500</v>
      </c>
      <c r="F2008" s="3" t="s">
        <v>465</v>
      </c>
      <c r="G2008" s="57" t="str">
        <f t="shared" si="31"/>
        <v>-</v>
      </c>
    </row>
    <row r="2009" spans="1:10" x14ac:dyDescent="0.2">
      <c r="A2009" s="1" t="s">
        <v>20</v>
      </c>
      <c r="B2009" s="2" t="s">
        <v>158</v>
      </c>
      <c r="D2009" s="5" t="s">
        <v>464</v>
      </c>
      <c r="E2009" s="3" t="s">
        <v>465</v>
      </c>
      <c r="F2009" s="3">
        <v>137500</v>
      </c>
      <c r="G2009" s="57" t="str">
        <f t="shared" si="31"/>
        <v>-</v>
      </c>
    </row>
    <row r="2010" spans="1:10" x14ac:dyDescent="0.2">
      <c r="A2010" s="1" t="s">
        <v>20</v>
      </c>
      <c r="B2010" s="2" t="s">
        <v>158</v>
      </c>
      <c r="C2010" s="1"/>
      <c r="D2010" s="5" t="s">
        <v>464</v>
      </c>
      <c r="E2010" s="3" t="s">
        <v>465</v>
      </c>
      <c r="F2010" s="3">
        <v>142500</v>
      </c>
      <c r="G2010" s="57" t="str">
        <f t="shared" si="31"/>
        <v>-</v>
      </c>
    </row>
    <row r="2011" spans="1:10" ht="25.5" x14ac:dyDescent="0.2">
      <c r="A2011" s="1" t="s">
        <v>11</v>
      </c>
      <c r="B2011" s="2" t="s">
        <v>159</v>
      </c>
      <c r="C2011" s="29" t="s">
        <v>2697</v>
      </c>
      <c r="G2011" s="57" t="str">
        <f t="shared" si="31"/>
        <v>-</v>
      </c>
    </row>
    <row r="2012" spans="1:10" ht="25.5" x14ac:dyDescent="0.2">
      <c r="A2012" s="1" t="s">
        <v>1</v>
      </c>
      <c r="B2012" s="2" t="s">
        <v>160</v>
      </c>
      <c r="C2012" s="5" t="s">
        <v>1586</v>
      </c>
      <c r="D2012" s="5" t="s">
        <v>450</v>
      </c>
      <c r="E2012" s="3">
        <f>164560+29036</f>
        <v>193596</v>
      </c>
      <c r="F2012" s="3">
        <f>169717+29632</f>
        <v>199349</v>
      </c>
      <c r="G2012" s="57">
        <f t="shared" si="31"/>
        <v>2.9716523068658442E-2</v>
      </c>
      <c r="J2012" s="5" t="s">
        <v>4036</v>
      </c>
    </row>
    <row r="2013" spans="1:10" ht="25.5" x14ac:dyDescent="0.2">
      <c r="A2013" s="1" t="s">
        <v>1</v>
      </c>
      <c r="B2013" s="2" t="s">
        <v>160</v>
      </c>
      <c r="C2013" s="5" t="s">
        <v>1587</v>
      </c>
      <c r="D2013" s="5" t="s">
        <v>1588</v>
      </c>
      <c r="E2013" s="3">
        <f>108435+19084</f>
        <v>127519</v>
      </c>
      <c r="F2013" s="3">
        <f>111136+20227</f>
        <v>131363</v>
      </c>
      <c r="G2013" s="57">
        <f t="shared" si="31"/>
        <v>3.0144527482179127E-2</v>
      </c>
      <c r="J2013" s="5" t="s">
        <v>4037</v>
      </c>
    </row>
    <row r="2014" spans="1:10" ht="25.5" x14ac:dyDescent="0.2">
      <c r="A2014" s="1" t="s">
        <v>1</v>
      </c>
      <c r="B2014" s="2" t="s">
        <v>160</v>
      </c>
      <c r="C2014" s="5" t="s">
        <v>1589</v>
      </c>
      <c r="D2014" s="5" t="s">
        <v>1590</v>
      </c>
      <c r="E2014" s="3">
        <f>108435+19084</f>
        <v>127519</v>
      </c>
      <c r="F2014" s="3">
        <f>111136+20227</f>
        <v>131363</v>
      </c>
      <c r="G2014" s="57">
        <f t="shared" si="31"/>
        <v>3.0144527482179127E-2</v>
      </c>
      <c r="J2014" s="5" t="s">
        <v>4037</v>
      </c>
    </row>
    <row r="2015" spans="1:10" ht="25.5" x14ac:dyDescent="0.2">
      <c r="A2015" s="1" t="s">
        <v>1</v>
      </c>
      <c r="B2015" s="2" t="s">
        <v>160</v>
      </c>
      <c r="C2015" s="5" t="s">
        <v>1591</v>
      </c>
      <c r="D2015" s="5" t="s">
        <v>4330</v>
      </c>
      <c r="E2015" s="3">
        <f>77206+13597</f>
        <v>90803</v>
      </c>
      <c r="F2015" s="3">
        <f>111136+20227</f>
        <v>131363</v>
      </c>
      <c r="G2015" s="57">
        <f t="shared" si="31"/>
        <v>0.44668127705031774</v>
      </c>
      <c r="J2015" s="5" t="s">
        <v>4331</v>
      </c>
    </row>
    <row r="2016" spans="1:10" ht="25.5" x14ac:dyDescent="0.2">
      <c r="A2016" s="1" t="s">
        <v>1</v>
      </c>
      <c r="B2016" s="2" t="s">
        <v>160</v>
      </c>
      <c r="C2016" s="5" t="s">
        <v>1592</v>
      </c>
      <c r="D2016" s="5" t="s">
        <v>1593</v>
      </c>
      <c r="E2016" s="3">
        <f>108435+19084</f>
        <v>127519</v>
      </c>
      <c r="F2016" s="3">
        <f>111136+20227</f>
        <v>131363</v>
      </c>
      <c r="G2016" s="57">
        <f t="shared" si="31"/>
        <v>3.0144527482179127E-2</v>
      </c>
      <c r="J2016" s="5" t="s">
        <v>4037</v>
      </c>
    </row>
    <row r="2017" spans="1:10" ht="25.5" x14ac:dyDescent="0.2">
      <c r="A2017" s="1" t="s">
        <v>1</v>
      </c>
      <c r="B2017" s="2" t="s">
        <v>160</v>
      </c>
      <c r="C2017" s="5" t="s">
        <v>4038</v>
      </c>
      <c r="D2017" s="5" t="s">
        <v>4039</v>
      </c>
      <c r="E2017" s="3">
        <f>108435+19084</f>
        <v>127519</v>
      </c>
      <c r="F2017" s="3">
        <f>66082+2000+17733</f>
        <v>85815</v>
      </c>
      <c r="G2017" s="57">
        <f t="shared" si="31"/>
        <v>-0.32704146048824095</v>
      </c>
      <c r="J2017" s="5" t="s">
        <v>4332</v>
      </c>
    </row>
    <row r="2018" spans="1:10" ht="25.5" x14ac:dyDescent="0.2">
      <c r="A2018" s="1" t="s">
        <v>1</v>
      </c>
      <c r="B2018" s="2" t="s">
        <v>160</v>
      </c>
      <c r="C2018" s="5" t="s">
        <v>1594</v>
      </c>
      <c r="D2018" s="5" t="s">
        <v>1595</v>
      </c>
      <c r="E2018" s="3">
        <f>108435+19084</f>
        <v>127519</v>
      </c>
      <c r="F2018" s="3">
        <f>111136+20227</f>
        <v>131363</v>
      </c>
      <c r="G2018" s="57">
        <f t="shared" si="31"/>
        <v>3.0144527482179127E-2</v>
      </c>
      <c r="J2018" s="5" t="s">
        <v>4037</v>
      </c>
    </row>
    <row r="2019" spans="1:10" ht="25.5" x14ac:dyDescent="0.2">
      <c r="A2019" s="1" t="s">
        <v>1</v>
      </c>
      <c r="B2019" s="2" t="s">
        <v>160</v>
      </c>
      <c r="C2019" s="5" t="s">
        <v>1596</v>
      </c>
      <c r="D2019" s="5" t="s">
        <v>4040</v>
      </c>
      <c r="E2019" s="3">
        <f>16431+2876</f>
        <v>19307</v>
      </c>
      <c r="F2019" s="3">
        <f>99160+536+18047</f>
        <v>117743</v>
      </c>
      <c r="G2019" s="57">
        <f t="shared" si="31"/>
        <v>5.0984616978298023</v>
      </c>
      <c r="J2019" s="5" t="s">
        <v>4333</v>
      </c>
    </row>
    <row r="2020" spans="1:10" ht="25.5" x14ac:dyDescent="0.2">
      <c r="A2020" s="1" t="s">
        <v>1</v>
      </c>
      <c r="B2020" s="2" t="s">
        <v>160</v>
      </c>
      <c r="C2020" s="5" t="s">
        <v>4041</v>
      </c>
      <c r="D2020" s="5" t="s">
        <v>604</v>
      </c>
      <c r="E2020" s="3">
        <v>104546</v>
      </c>
      <c r="F2020" s="3">
        <f>32356+5249</f>
        <v>37605</v>
      </c>
      <c r="G2020" s="57">
        <f t="shared" si="31"/>
        <v>-0.6403018766858608</v>
      </c>
      <c r="J2020" s="7" t="s">
        <v>4334</v>
      </c>
    </row>
    <row r="2021" spans="1:10" x14ac:dyDescent="0.2">
      <c r="A2021" s="1" t="s">
        <v>1</v>
      </c>
      <c r="B2021" s="2" t="s">
        <v>160</v>
      </c>
      <c r="D2021" s="5" t="s">
        <v>464</v>
      </c>
      <c r="G2021" s="57" t="str">
        <f t="shared" si="31"/>
        <v>-</v>
      </c>
      <c r="H2021" s="19">
        <v>92500</v>
      </c>
      <c r="I2021" s="19" t="s">
        <v>465</v>
      </c>
    </row>
    <row r="2022" spans="1:10" x14ac:dyDescent="0.2">
      <c r="A2022" s="1" t="s">
        <v>1</v>
      </c>
      <c r="B2022" s="2" t="s">
        <v>160</v>
      </c>
      <c r="D2022" s="5" t="s">
        <v>464</v>
      </c>
      <c r="G2022" s="57" t="str">
        <f t="shared" si="31"/>
        <v>-</v>
      </c>
      <c r="H2022" s="19">
        <v>97500</v>
      </c>
      <c r="I2022" s="19" t="s">
        <v>465</v>
      </c>
    </row>
    <row r="2023" spans="1:10" x14ac:dyDescent="0.2">
      <c r="A2023" s="1" t="s">
        <v>1</v>
      </c>
      <c r="B2023" s="2" t="s">
        <v>160</v>
      </c>
      <c r="D2023" s="5" t="s">
        <v>464</v>
      </c>
      <c r="G2023" s="57" t="str">
        <f t="shared" si="31"/>
        <v>-</v>
      </c>
      <c r="H2023" s="19">
        <v>97500</v>
      </c>
      <c r="I2023" s="19" t="s">
        <v>465</v>
      </c>
    </row>
    <row r="2024" spans="1:10" x14ac:dyDescent="0.2">
      <c r="A2024" s="1" t="s">
        <v>1</v>
      </c>
      <c r="B2024" s="2" t="s">
        <v>160</v>
      </c>
      <c r="D2024" s="5" t="s">
        <v>464</v>
      </c>
      <c r="G2024" s="57" t="str">
        <f t="shared" si="31"/>
        <v>-</v>
      </c>
      <c r="H2024" s="19">
        <v>97500</v>
      </c>
      <c r="I2024" s="19" t="s">
        <v>465</v>
      </c>
    </row>
    <row r="2025" spans="1:10" x14ac:dyDescent="0.2">
      <c r="A2025" s="1" t="s">
        <v>1</v>
      </c>
      <c r="B2025" s="2" t="s">
        <v>160</v>
      </c>
      <c r="D2025" s="5" t="s">
        <v>464</v>
      </c>
      <c r="G2025" s="57" t="str">
        <f t="shared" si="31"/>
        <v>-</v>
      </c>
      <c r="H2025" s="19" t="s">
        <v>465</v>
      </c>
      <c r="I2025" s="19">
        <v>92500</v>
      </c>
    </row>
    <row r="2026" spans="1:10" x14ac:dyDescent="0.2">
      <c r="A2026" s="1" t="s">
        <v>1</v>
      </c>
      <c r="B2026" s="2" t="s">
        <v>160</v>
      </c>
      <c r="D2026" s="5" t="s">
        <v>464</v>
      </c>
      <c r="G2026" s="57" t="str">
        <f t="shared" si="31"/>
        <v>-</v>
      </c>
      <c r="H2026" s="19" t="s">
        <v>465</v>
      </c>
      <c r="I2026" s="19">
        <v>92500</v>
      </c>
    </row>
    <row r="2027" spans="1:10" x14ac:dyDescent="0.2">
      <c r="A2027" s="1" t="s">
        <v>1</v>
      </c>
      <c r="B2027" s="2" t="s">
        <v>160</v>
      </c>
      <c r="D2027" s="5" t="s">
        <v>464</v>
      </c>
      <c r="G2027" s="57" t="str">
        <f t="shared" si="31"/>
        <v>-</v>
      </c>
      <c r="H2027" s="19" t="s">
        <v>465</v>
      </c>
      <c r="I2027" s="19">
        <v>92500</v>
      </c>
    </row>
    <row r="2028" spans="1:10" x14ac:dyDescent="0.2">
      <c r="A2028" s="1" t="s">
        <v>1</v>
      </c>
      <c r="B2028" s="2" t="s">
        <v>160</v>
      </c>
      <c r="D2028" s="5" t="s">
        <v>464</v>
      </c>
      <c r="G2028" s="57" t="str">
        <f t="shared" si="31"/>
        <v>-</v>
      </c>
      <c r="H2028" s="19" t="s">
        <v>465</v>
      </c>
      <c r="I2028" s="19">
        <v>92500</v>
      </c>
    </row>
    <row r="2029" spans="1:10" x14ac:dyDescent="0.2">
      <c r="A2029" s="1" t="s">
        <v>1</v>
      </c>
      <c r="B2029" s="2" t="s">
        <v>160</v>
      </c>
      <c r="D2029" s="5" t="s">
        <v>464</v>
      </c>
      <c r="G2029" s="57" t="str">
        <f t="shared" si="31"/>
        <v>-</v>
      </c>
      <c r="H2029" s="19" t="s">
        <v>465</v>
      </c>
      <c r="I2029" s="19">
        <v>97500</v>
      </c>
    </row>
    <row r="2030" spans="1:10" x14ac:dyDescent="0.2">
      <c r="A2030" s="1" t="s">
        <v>1</v>
      </c>
      <c r="B2030" s="2" t="s">
        <v>160</v>
      </c>
      <c r="D2030" s="5" t="s">
        <v>464</v>
      </c>
      <c r="G2030" s="57" t="str">
        <f t="shared" si="31"/>
        <v>-</v>
      </c>
      <c r="H2030" s="19" t="s">
        <v>465</v>
      </c>
      <c r="I2030" s="19">
        <v>97500</v>
      </c>
    </row>
    <row r="2031" spans="1:10" x14ac:dyDescent="0.2">
      <c r="A2031" s="1" t="s">
        <v>1</v>
      </c>
      <c r="B2031" s="2" t="s">
        <v>160</v>
      </c>
      <c r="C2031" s="1"/>
      <c r="D2031" s="5" t="s">
        <v>464</v>
      </c>
      <c r="G2031" s="57" t="str">
        <f t="shared" si="31"/>
        <v>-</v>
      </c>
      <c r="H2031" s="19" t="s">
        <v>465</v>
      </c>
      <c r="I2031" s="19">
        <v>97500</v>
      </c>
    </row>
    <row r="2032" spans="1:10" x14ac:dyDescent="0.2">
      <c r="A2032" s="1" t="s">
        <v>1</v>
      </c>
      <c r="B2032" s="2" t="s">
        <v>160</v>
      </c>
      <c r="C2032" s="1"/>
      <c r="D2032" s="5" t="s">
        <v>464</v>
      </c>
      <c r="G2032" s="57" t="str">
        <f t="shared" si="31"/>
        <v>-</v>
      </c>
      <c r="H2032" s="19" t="s">
        <v>465</v>
      </c>
      <c r="I2032" s="19">
        <v>97500</v>
      </c>
    </row>
    <row r="2033" spans="1:10" x14ac:dyDescent="0.2">
      <c r="A2033" s="1" t="s">
        <v>1</v>
      </c>
      <c r="B2033" s="2" t="s">
        <v>160</v>
      </c>
      <c r="C2033" s="1"/>
      <c r="D2033" s="5" t="s">
        <v>464</v>
      </c>
      <c r="G2033" s="57" t="str">
        <f t="shared" si="31"/>
        <v>-</v>
      </c>
      <c r="H2033" s="19" t="s">
        <v>465</v>
      </c>
      <c r="I2033" s="19">
        <v>97500</v>
      </c>
    </row>
    <row r="2034" spans="1:10" x14ac:dyDescent="0.2">
      <c r="A2034" s="1" t="s">
        <v>1</v>
      </c>
      <c r="B2034" s="2" t="s">
        <v>160</v>
      </c>
      <c r="C2034" s="1"/>
      <c r="D2034" s="5" t="s">
        <v>464</v>
      </c>
      <c r="G2034" s="57" t="str">
        <f t="shared" si="31"/>
        <v>-</v>
      </c>
      <c r="H2034" s="19" t="s">
        <v>465</v>
      </c>
      <c r="I2034" s="19">
        <v>97500</v>
      </c>
    </row>
    <row r="2035" spans="1:10" x14ac:dyDescent="0.2">
      <c r="A2035" s="1" t="s">
        <v>1</v>
      </c>
      <c r="B2035" s="2" t="s">
        <v>160</v>
      </c>
      <c r="C2035" s="1"/>
      <c r="D2035" s="5" t="s">
        <v>464</v>
      </c>
      <c r="E2035" s="3">
        <v>107500</v>
      </c>
      <c r="F2035" s="3" t="s">
        <v>465</v>
      </c>
      <c r="G2035" s="57" t="str">
        <f t="shared" si="31"/>
        <v>-</v>
      </c>
    </row>
    <row r="2036" spans="1:10" x14ac:dyDescent="0.2">
      <c r="A2036" s="1" t="s">
        <v>1</v>
      </c>
      <c r="B2036" s="2" t="s">
        <v>160</v>
      </c>
      <c r="C2036" s="1"/>
      <c r="D2036" s="5" t="s">
        <v>464</v>
      </c>
      <c r="E2036" s="3">
        <v>107500</v>
      </c>
      <c r="F2036" s="3" t="s">
        <v>465</v>
      </c>
      <c r="G2036" s="57" t="str">
        <f t="shared" si="31"/>
        <v>-</v>
      </c>
    </row>
    <row r="2037" spans="1:10" x14ac:dyDescent="0.2">
      <c r="A2037" s="1" t="s">
        <v>1</v>
      </c>
      <c r="B2037" s="2" t="s">
        <v>160</v>
      </c>
      <c r="C2037" s="1"/>
      <c r="D2037" s="5" t="s">
        <v>464</v>
      </c>
      <c r="E2037" s="3">
        <v>132500</v>
      </c>
      <c r="F2037" s="3" t="s">
        <v>465</v>
      </c>
      <c r="G2037" s="57" t="str">
        <f t="shared" si="31"/>
        <v>-</v>
      </c>
    </row>
    <row r="2038" spans="1:10" x14ac:dyDescent="0.2">
      <c r="A2038" s="1" t="s">
        <v>1</v>
      </c>
      <c r="B2038" s="2" t="s">
        <v>160</v>
      </c>
      <c r="D2038" s="5" t="s">
        <v>464</v>
      </c>
      <c r="E2038" s="3" t="s">
        <v>465</v>
      </c>
      <c r="F2038" s="3">
        <v>107500</v>
      </c>
      <c r="G2038" s="57" t="str">
        <f t="shared" si="31"/>
        <v>-</v>
      </c>
    </row>
    <row r="2039" spans="1:10" x14ac:dyDescent="0.2">
      <c r="A2039" s="1" t="s">
        <v>1</v>
      </c>
      <c r="B2039" s="2" t="s">
        <v>160</v>
      </c>
      <c r="D2039" s="5" t="s">
        <v>464</v>
      </c>
      <c r="E2039" s="3" t="s">
        <v>465</v>
      </c>
      <c r="F2039" s="3">
        <v>132500</v>
      </c>
      <c r="G2039" s="57" t="str">
        <f t="shared" si="31"/>
        <v>-</v>
      </c>
    </row>
    <row r="2040" spans="1:10" ht="25.5" x14ac:dyDescent="0.2">
      <c r="A2040" s="1" t="s">
        <v>44</v>
      </c>
      <c r="B2040" s="2" t="s">
        <v>161</v>
      </c>
      <c r="D2040" s="5" t="s">
        <v>450</v>
      </c>
      <c r="E2040" s="3">
        <v>167534</v>
      </c>
      <c r="F2040" s="3">
        <v>171703</v>
      </c>
      <c r="G2040" s="57">
        <f t="shared" si="31"/>
        <v>2.4884501056501963E-2</v>
      </c>
      <c r="J2040" s="5" t="s">
        <v>4042</v>
      </c>
    </row>
    <row r="2041" spans="1:10" ht="25.5" x14ac:dyDescent="0.2">
      <c r="A2041" s="1" t="s">
        <v>44</v>
      </c>
      <c r="B2041" s="2" t="s">
        <v>161</v>
      </c>
      <c r="D2041" s="5" t="s">
        <v>855</v>
      </c>
      <c r="E2041" s="3">
        <v>109168</v>
      </c>
      <c r="F2041" s="3" t="s">
        <v>465</v>
      </c>
      <c r="G2041" s="57" t="str">
        <f t="shared" si="31"/>
        <v>-</v>
      </c>
      <c r="J2041" s="5" t="s">
        <v>4043</v>
      </c>
    </row>
    <row r="2042" spans="1:10" x14ac:dyDescent="0.2">
      <c r="A2042" s="1" t="s">
        <v>44</v>
      </c>
      <c r="B2042" s="2" t="s">
        <v>161</v>
      </c>
      <c r="D2042" s="5" t="s">
        <v>942</v>
      </c>
      <c r="E2042" s="3">
        <v>114646</v>
      </c>
      <c r="F2042" s="3">
        <v>119032</v>
      </c>
      <c r="G2042" s="57">
        <f t="shared" si="31"/>
        <v>3.8256895138077208E-2</v>
      </c>
      <c r="J2042" s="5" t="s">
        <v>4044</v>
      </c>
    </row>
    <row r="2043" spans="1:10" x14ac:dyDescent="0.2">
      <c r="A2043" s="1" t="s">
        <v>44</v>
      </c>
      <c r="B2043" s="2" t="s">
        <v>161</v>
      </c>
      <c r="D2043" s="5" t="s">
        <v>1585</v>
      </c>
      <c r="E2043" s="3">
        <v>114646</v>
      </c>
      <c r="F2043" s="3">
        <v>119032</v>
      </c>
      <c r="G2043" s="57">
        <f t="shared" si="31"/>
        <v>3.8256895138077208E-2</v>
      </c>
      <c r="J2043" s="5" t="s">
        <v>4044</v>
      </c>
    </row>
    <row r="2044" spans="1:10" x14ac:dyDescent="0.2">
      <c r="A2044" s="1" t="s">
        <v>44</v>
      </c>
      <c r="B2044" s="2" t="s">
        <v>161</v>
      </c>
      <c r="D2044" s="5" t="s">
        <v>740</v>
      </c>
      <c r="E2044" s="3">
        <v>100397</v>
      </c>
      <c r="F2044" s="3">
        <v>100237</v>
      </c>
      <c r="G2044" s="57">
        <f t="shared" si="31"/>
        <v>-1.5936731177226412E-3</v>
      </c>
      <c r="J2044" s="5" t="s">
        <v>4045</v>
      </c>
    </row>
    <row r="2045" spans="1:10" x14ac:dyDescent="0.2">
      <c r="A2045" s="1" t="s">
        <v>44</v>
      </c>
      <c r="B2045" s="2" t="s">
        <v>161</v>
      </c>
      <c r="D2045" s="5" t="s">
        <v>570</v>
      </c>
      <c r="E2045" s="3">
        <v>101569</v>
      </c>
      <c r="F2045" s="3">
        <v>101569</v>
      </c>
      <c r="G2045" s="57">
        <f t="shared" si="31"/>
        <v>0</v>
      </c>
      <c r="J2045" s="5" t="s">
        <v>4046</v>
      </c>
    </row>
    <row r="2046" spans="1:10" x14ac:dyDescent="0.2">
      <c r="A2046" s="1" t="s">
        <v>44</v>
      </c>
      <c r="B2046" s="2" t="s">
        <v>161</v>
      </c>
      <c r="D2046" s="5" t="s">
        <v>464</v>
      </c>
      <c r="E2046" s="3">
        <v>112500</v>
      </c>
      <c r="F2046" s="3" t="s">
        <v>465</v>
      </c>
      <c r="G2046" s="57" t="str">
        <f t="shared" si="31"/>
        <v>-</v>
      </c>
    </row>
    <row r="2047" spans="1:10" x14ac:dyDescent="0.2">
      <c r="A2047" s="1" t="s">
        <v>44</v>
      </c>
      <c r="B2047" s="2" t="s">
        <v>161</v>
      </c>
      <c r="D2047" s="5" t="s">
        <v>464</v>
      </c>
      <c r="E2047" s="3" t="s">
        <v>465</v>
      </c>
      <c r="F2047" s="3">
        <v>137500</v>
      </c>
      <c r="G2047" s="57" t="str">
        <f t="shared" si="31"/>
        <v>-</v>
      </c>
    </row>
    <row r="2048" spans="1:10" x14ac:dyDescent="0.2">
      <c r="A2048" s="1" t="s">
        <v>44</v>
      </c>
      <c r="B2048" s="2" t="s">
        <v>161</v>
      </c>
      <c r="D2048" s="5" t="s">
        <v>464</v>
      </c>
      <c r="E2048" s="3" t="s">
        <v>465</v>
      </c>
      <c r="F2048" s="3">
        <v>142500</v>
      </c>
      <c r="G2048" s="57" t="str">
        <f t="shared" si="31"/>
        <v>-</v>
      </c>
    </row>
    <row r="2049" spans="1:10" x14ac:dyDescent="0.2">
      <c r="A2049" s="1" t="s">
        <v>44</v>
      </c>
      <c r="B2049" s="2" t="s">
        <v>161</v>
      </c>
      <c r="D2049" s="5" t="s">
        <v>464</v>
      </c>
      <c r="E2049" s="3" t="s">
        <v>465</v>
      </c>
      <c r="F2049" s="3">
        <v>142500</v>
      </c>
      <c r="G2049" s="57" t="str">
        <f t="shared" si="31"/>
        <v>-</v>
      </c>
    </row>
    <row r="2050" spans="1:10" ht="25.5" x14ac:dyDescent="0.2">
      <c r="A2050" s="1" t="s">
        <v>20</v>
      </c>
      <c r="B2050" s="2" t="s">
        <v>162</v>
      </c>
      <c r="D2050" s="5" t="s">
        <v>450</v>
      </c>
      <c r="E2050" s="3">
        <v>118391</v>
      </c>
      <c r="F2050" s="3">
        <v>121797</v>
      </c>
      <c r="G2050" s="57">
        <f t="shared" si="31"/>
        <v>2.8769078730646755E-2</v>
      </c>
      <c r="J2050" s="5" t="s">
        <v>4047</v>
      </c>
    </row>
    <row r="2051" spans="1:10" x14ac:dyDescent="0.2">
      <c r="A2051" s="1" t="s">
        <v>20</v>
      </c>
      <c r="B2051" s="2" t="s">
        <v>162</v>
      </c>
      <c r="D2051" s="5" t="s">
        <v>464</v>
      </c>
      <c r="G2051" s="57" t="str">
        <f t="shared" ref="G2051:G2114" si="32">IF(ISERROR((F2051-E2051)/E2051),"-",(F2051-E2051)/E2051)</f>
        <v>-</v>
      </c>
      <c r="H2051" s="19" t="s">
        <v>465</v>
      </c>
      <c r="I2051" s="19">
        <v>97500</v>
      </c>
    </row>
    <row r="2052" spans="1:10" x14ac:dyDescent="0.2">
      <c r="A2052" s="1" t="s">
        <v>20</v>
      </c>
      <c r="B2052" s="2" t="s">
        <v>162</v>
      </c>
      <c r="D2052" s="5" t="s">
        <v>464</v>
      </c>
      <c r="G2052" s="57" t="str">
        <f t="shared" si="32"/>
        <v>-</v>
      </c>
      <c r="H2052" s="19" t="s">
        <v>465</v>
      </c>
      <c r="I2052" s="19">
        <v>97500</v>
      </c>
    </row>
    <row r="2053" spans="1:10" ht="25.5" x14ac:dyDescent="0.2">
      <c r="A2053" s="1" t="s">
        <v>34</v>
      </c>
      <c r="B2053" s="2" t="s">
        <v>163</v>
      </c>
      <c r="D2053" s="5" t="s">
        <v>472</v>
      </c>
      <c r="E2053" s="3">
        <v>103773</v>
      </c>
      <c r="F2053" s="3">
        <v>109441</v>
      </c>
      <c r="G2053" s="57">
        <f t="shared" si="32"/>
        <v>5.4619216944677328E-2</v>
      </c>
      <c r="J2053" s="5" t="s">
        <v>4048</v>
      </c>
    </row>
    <row r="2054" spans="1:10" ht="25.5" x14ac:dyDescent="0.2">
      <c r="A2054" s="1" t="s">
        <v>34</v>
      </c>
      <c r="B2054" s="2" t="s">
        <v>163</v>
      </c>
      <c r="D2054" s="5" t="s">
        <v>473</v>
      </c>
      <c r="E2054" s="3">
        <v>102100</v>
      </c>
      <c r="F2054" s="3">
        <v>107036</v>
      </c>
      <c r="G2054" s="57">
        <f t="shared" si="32"/>
        <v>4.834476003917728E-2</v>
      </c>
      <c r="J2054" s="5" t="s">
        <v>4049</v>
      </c>
    </row>
    <row r="2055" spans="1:10" ht="25.5" x14ac:dyDescent="0.2">
      <c r="A2055" s="1" t="s">
        <v>165</v>
      </c>
      <c r="B2055" s="2" t="s">
        <v>164</v>
      </c>
      <c r="D2055" s="5" t="s">
        <v>450</v>
      </c>
      <c r="E2055" s="3">
        <v>125000</v>
      </c>
      <c r="F2055" s="3">
        <v>122000</v>
      </c>
      <c r="G2055" s="57">
        <f t="shared" si="32"/>
        <v>-2.4E-2</v>
      </c>
      <c r="J2055" s="5" t="s">
        <v>4050</v>
      </c>
    </row>
    <row r="2056" spans="1:10" ht="38.25" x14ac:dyDescent="0.2">
      <c r="A2056" s="1" t="s">
        <v>111</v>
      </c>
      <c r="B2056" s="2" t="s">
        <v>166</v>
      </c>
      <c r="C2056" s="5" t="s">
        <v>1578</v>
      </c>
      <c r="D2056" s="5" t="s">
        <v>450</v>
      </c>
      <c r="E2056" s="3">
        <v>245581</v>
      </c>
      <c r="F2056" s="3">
        <v>252838</v>
      </c>
      <c r="G2056" s="57">
        <f t="shared" si="32"/>
        <v>2.9550331662465745E-2</v>
      </c>
      <c r="J2056" s="5" t="s">
        <v>4051</v>
      </c>
    </row>
    <row r="2057" spans="1:10" ht="25.5" x14ac:dyDescent="0.2">
      <c r="A2057" s="1" t="s">
        <v>111</v>
      </c>
      <c r="B2057" s="2" t="s">
        <v>166</v>
      </c>
      <c r="D2057" s="5" t="s">
        <v>451</v>
      </c>
      <c r="E2057" s="3">
        <v>128347</v>
      </c>
      <c r="F2057" s="3">
        <v>134944</v>
      </c>
      <c r="G2057" s="57">
        <f t="shared" si="32"/>
        <v>5.1399721068665416E-2</v>
      </c>
      <c r="J2057" s="5" t="s">
        <v>4052</v>
      </c>
    </row>
    <row r="2058" spans="1:10" ht="25.5" x14ac:dyDescent="0.2">
      <c r="A2058" s="1" t="s">
        <v>111</v>
      </c>
      <c r="B2058" s="2" t="s">
        <v>166</v>
      </c>
      <c r="D2058" s="5" t="s">
        <v>1579</v>
      </c>
      <c r="E2058" s="3">
        <v>165387</v>
      </c>
      <c r="F2058" s="3">
        <v>172513</v>
      </c>
      <c r="G2058" s="57">
        <f t="shared" si="32"/>
        <v>4.3086820608633086E-2</v>
      </c>
      <c r="J2058" s="5" t="s">
        <v>4053</v>
      </c>
    </row>
    <row r="2059" spans="1:10" ht="25.5" x14ac:dyDescent="0.2">
      <c r="A2059" s="1" t="s">
        <v>111</v>
      </c>
      <c r="B2059" s="2" t="s">
        <v>166</v>
      </c>
      <c r="D2059" s="5" t="s">
        <v>1580</v>
      </c>
      <c r="E2059" s="3">
        <v>128304</v>
      </c>
      <c r="F2059" s="3">
        <v>135060</v>
      </c>
      <c r="G2059" s="57">
        <f t="shared" si="32"/>
        <v>5.2656191545080437E-2</v>
      </c>
      <c r="J2059" s="5" t="s">
        <v>4054</v>
      </c>
    </row>
    <row r="2060" spans="1:10" s="13" customFormat="1" ht="39.75" customHeight="1" x14ac:dyDescent="0.2">
      <c r="A2060" s="1" t="s">
        <v>111</v>
      </c>
      <c r="B2060" s="12" t="s">
        <v>166</v>
      </c>
      <c r="C2060" s="7"/>
      <c r="D2060" s="7" t="s">
        <v>1581</v>
      </c>
      <c r="E2060" s="6">
        <f>15372+1021+2306</f>
        <v>18699</v>
      </c>
      <c r="F2060" s="6">
        <v>115770</v>
      </c>
      <c r="G2060" s="57">
        <f t="shared" si="32"/>
        <v>5.1912401732712983</v>
      </c>
      <c r="H2060" s="21"/>
      <c r="I2060" s="21"/>
      <c r="J2060" s="7" t="s">
        <v>4335</v>
      </c>
    </row>
    <row r="2061" spans="1:10" s="13" customFormat="1" ht="39" customHeight="1" x14ac:dyDescent="0.2">
      <c r="A2061" s="1" t="s">
        <v>111</v>
      </c>
      <c r="B2061" s="12" t="s">
        <v>166</v>
      </c>
      <c r="C2061" s="7"/>
      <c r="D2061" s="7" t="s">
        <v>1582</v>
      </c>
      <c r="E2061" s="6">
        <f>17883+846+2680</f>
        <v>21409</v>
      </c>
      <c r="F2061" s="6">
        <v>135093</v>
      </c>
      <c r="G2061" s="57">
        <f t="shared" si="32"/>
        <v>5.3101032276145546</v>
      </c>
      <c r="H2061" s="21"/>
      <c r="I2061" s="21"/>
      <c r="J2061" s="7" t="s">
        <v>4336</v>
      </c>
    </row>
    <row r="2062" spans="1:10" ht="25.5" x14ac:dyDescent="0.2">
      <c r="A2062" s="1" t="s">
        <v>111</v>
      </c>
      <c r="B2062" s="2" t="s">
        <v>166</v>
      </c>
      <c r="D2062" s="5" t="s">
        <v>1583</v>
      </c>
      <c r="E2062" s="3">
        <v>140469</v>
      </c>
      <c r="F2062" s="3">
        <v>147523</v>
      </c>
      <c r="G2062" s="57">
        <f t="shared" si="32"/>
        <v>5.0217485708590505E-2</v>
      </c>
      <c r="J2062" s="5" t="s">
        <v>4055</v>
      </c>
    </row>
    <row r="2063" spans="1:10" ht="51" x14ac:dyDescent="0.2">
      <c r="A2063" s="1" t="s">
        <v>111</v>
      </c>
      <c r="B2063" s="2" t="s">
        <v>166</v>
      </c>
      <c r="D2063" s="5" t="s">
        <v>1584</v>
      </c>
      <c r="E2063" s="3">
        <v>324881</v>
      </c>
      <c r="F2063" s="3">
        <v>122083</v>
      </c>
      <c r="G2063" s="57">
        <f t="shared" si="32"/>
        <v>-0.62422240758924041</v>
      </c>
      <c r="J2063" s="5" t="s">
        <v>4337</v>
      </c>
    </row>
    <row r="2064" spans="1:10" x14ac:dyDescent="0.2">
      <c r="A2064" s="1" t="s">
        <v>111</v>
      </c>
      <c r="B2064" s="2" t="s">
        <v>166</v>
      </c>
      <c r="D2064" s="5" t="s">
        <v>464</v>
      </c>
      <c r="G2064" s="57" t="str">
        <f t="shared" si="32"/>
        <v>-</v>
      </c>
      <c r="H2064" s="19">
        <v>92500</v>
      </c>
      <c r="I2064" s="19" t="s">
        <v>465</v>
      </c>
    </row>
    <row r="2065" spans="1:10" x14ac:dyDescent="0.2">
      <c r="A2065" s="1" t="s">
        <v>111</v>
      </c>
      <c r="B2065" s="2" t="s">
        <v>166</v>
      </c>
      <c r="D2065" s="5" t="s">
        <v>464</v>
      </c>
      <c r="G2065" s="57" t="str">
        <f t="shared" si="32"/>
        <v>-</v>
      </c>
      <c r="H2065" s="19">
        <v>92500</v>
      </c>
      <c r="I2065" s="19" t="s">
        <v>465</v>
      </c>
    </row>
    <row r="2066" spans="1:10" x14ac:dyDescent="0.2">
      <c r="A2066" s="1" t="s">
        <v>111</v>
      </c>
      <c r="B2066" s="2" t="s">
        <v>166</v>
      </c>
      <c r="C2066" s="1"/>
      <c r="D2066" s="5" t="s">
        <v>464</v>
      </c>
      <c r="G2066" s="57" t="str">
        <f t="shared" si="32"/>
        <v>-</v>
      </c>
      <c r="H2066" s="19">
        <v>97500</v>
      </c>
      <c r="I2066" s="19" t="s">
        <v>465</v>
      </c>
      <c r="J2066" s="1"/>
    </row>
    <row r="2067" spans="1:10" x14ac:dyDescent="0.2">
      <c r="A2067" s="1" t="s">
        <v>111</v>
      </c>
      <c r="B2067" s="2" t="s">
        <v>166</v>
      </c>
      <c r="C2067" s="1"/>
      <c r="D2067" s="5" t="s">
        <v>464</v>
      </c>
      <c r="G2067" s="57" t="str">
        <f t="shared" si="32"/>
        <v>-</v>
      </c>
      <c r="H2067" s="19" t="s">
        <v>465</v>
      </c>
      <c r="I2067" s="19">
        <v>92500</v>
      </c>
      <c r="J2067" s="1"/>
    </row>
    <row r="2068" spans="1:10" x14ac:dyDescent="0.2">
      <c r="A2068" s="1" t="s">
        <v>111</v>
      </c>
      <c r="B2068" s="2" t="s">
        <v>166</v>
      </c>
      <c r="C2068" s="1"/>
      <c r="D2068" s="5" t="s">
        <v>464</v>
      </c>
      <c r="G2068" s="57" t="str">
        <f t="shared" si="32"/>
        <v>-</v>
      </c>
      <c r="H2068" s="19" t="s">
        <v>465</v>
      </c>
      <c r="I2068" s="19">
        <v>92500</v>
      </c>
      <c r="J2068" s="1"/>
    </row>
    <row r="2069" spans="1:10" x14ac:dyDescent="0.2">
      <c r="A2069" s="1" t="s">
        <v>111</v>
      </c>
      <c r="B2069" s="2" t="s">
        <v>166</v>
      </c>
      <c r="C2069" s="1"/>
      <c r="D2069" s="5" t="s">
        <v>464</v>
      </c>
      <c r="G2069" s="57" t="str">
        <f t="shared" si="32"/>
        <v>-</v>
      </c>
      <c r="H2069" s="19" t="s">
        <v>465</v>
      </c>
      <c r="I2069" s="19">
        <v>92500</v>
      </c>
      <c r="J2069" s="1"/>
    </row>
    <row r="2070" spans="1:10" x14ac:dyDescent="0.2">
      <c r="A2070" s="1" t="s">
        <v>111</v>
      </c>
      <c r="B2070" s="2" t="s">
        <v>166</v>
      </c>
      <c r="C2070" s="1"/>
      <c r="D2070" s="5" t="s">
        <v>464</v>
      </c>
      <c r="G2070" s="57" t="str">
        <f t="shared" si="32"/>
        <v>-</v>
      </c>
      <c r="H2070" s="19" t="s">
        <v>465</v>
      </c>
      <c r="I2070" s="19">
        <v>92500</v>
      </c>
      <c r="J2070" s="1"/>
    </row>
    <row r="2071" spans="1:10" x14ac:dyDescent="0.2">
      <c r="A2071" s="1" t="s">
        <v>111</v>
      </c>
      <c r="B2071" s="2" t="s">
        <v>166</v>
      </c>
      <c r="C2071" s="1"/>
      <c r="D2071" s="5" t="s">
        <v>464</v>
      </c>
      <c r="G2071" s="57" t="str">
        <f t="shared" si="32"/>
        <v>-</v>
      </c>
      <c r="H2071" s="19" t="s">
        <v>465</v>
      </c>
      <c r="I2071" s="19">
        <v>92500</v>
      </c>
      <c r="J2071" s="1"/>
    </row>
    <row r="2072" spans="1:10" x14ac:dyDescent="0.2">
      <c r="A2072" s="1" t="s">
        <v>111</v>
      </c>
      <c r="B2072" s="2" t="s">
        <v>166</v>
      </c>
      <c r="C2072" s="1"/>
      <c r="D2072" s="5" t="s">
        <v>464</v>
      </c>
      <c r="G2072" s="57" t="str">
        <f t="shared" si="32"/>
        <v>-</v>
      </c>
      <c r="H2072" s="19" t="s">
        <v>465</v>
      </c>
      <c r="I2072" s="19">
        <v>92500</v>
      </c>
      <c r="J2072" s="1"/>
    </row>
    <row r="2073" spans="1:10" x14ac:dyDescent="0.2">
      <c r="A2073" s="1" t="s">
        <v>111</v>
      </c>
      <c r="B2073" s="2" t="s">
        <v>166</v>
      </c>
      <c r="C2073" s="1"/>
      <c r="D2073" s="5" t="s">
        <v>464</v>
      </c>
      <c r="E2073" s="3">
        <v>102500</v>
      </c>
      <c r="F2073" s="3" t="s">
        <v>465</v>
      </c>
      <c r="G2073" s="57" t="str">
        <f t="shared" si="32"/>
        <v>-</v>
      </c>
      <c r="J2073" s="1"/>
    </row>
    <row r="2074" spans="1:10" x14ac:dyDescent="0.2">
      <c r="A2074" s="1" t="s">
        <v>111</v>
      </c>
      <c r="B2074" s="2" t="s">
        <v>166</v>
      </c>
      <c r="C2074" s="1"/>
      <c r="D2074" s="5" t="s">
        <v>464</v>
      </c>
      <c r="E2074" s="3">
        <v>102500</v>
      </c>
      <c r="F2074" s="3" t="s">
        <v>465</v>
      </c>
      <c r="G2074" s="57" t="str">
        <f t="shared" si="32"/>
        <v>-</v>
      </c>
      <c r="J2074" s="1"/>
    </row>
    <row r="2075" spans="1:10" x14ac:dyDescent="0.2">
      <c r="A2075" s="1" t="s">
        <v>111</v>
      </c>
      <c r="B2075" s="2" t="s">
        <v>166</v>
      </c>
      <c r="C2075" s="1"/>
      <c r="D2075" s="5" t="s">
        <v>464</v>
      </c>
      <c r="E2075" s="3">
        <v>102500</v>
      </c>
      <c r="F2075" s="3" t="s">
        <v>465</v>
      </c>
      <c r="G2075" s="57" t="str">
        <f t="shared" si="32"/>
        <v>-</v>
      </c>
      <c r="J2075" s="1"/>
    </row>
    <row r="2076" spans="1:10" x14ac:dyDescent="0.2">
      <c r="A2076" s="1" t="s">
        <v>111</v>
      </c>
      <c r="B2076" s="2" t="s">
        <v>166</v>
      </c>
      <c r="C2076" s="1"/>
      <c r="D2076" s="5" t="s">
        <v>464</v>
      </c>
      <c r="E2076" s="3">
        <v>117500</v>
      </c>
      <c r="F2076" s="3" t="s">
        <v>465</v>
      </c>
      <c r="G2076" s="57" t="str">
        <f t="shared" si="32"/>
        <v>-</v>
      </c>
      <c r="J2076" s="1"/>
    </row>
    <row r="2077" spans="1:10" x14ac:dyDescent="0.2">
      <c r="A2077" s="1" t="s">
        <v>111</v>
      </c>
      <c r="B2077" s="2" t="s">
        <v>166</v>
      </c>
      <c r="C2077" s="1"/>
      <c r="D2077" s="5" t="s">
        <v>464</v>
      </c>
      <c r="E2077" s="3" t="s">
        <v>465</v>
      </c>
      <c r="F2077" s="3">
        <v>102500</v>
      </c>
      <c r="G2077" s="57" t="str">
        <f t="shared" si="32"/>
        <v>-</v>
      </c>
      <c r="J2077" s="1"/>
    </row>
    <row r="2078" spans="1:10" x14ac:dyDescent="0.2">
      <c r="A2078" s="1" t="s">
        <v>111</v>
      </c>
      <c r="B2078" s="2" t="s">
        <v>166</v>
      </c>
      <c r="C2078" s="1"/>
      <c r="D2078" s="5" t="s">
        <v>464</v>
      </c>
      <c r="E2078" s="3" t="s">
        <v>465</v>
      </c>
      <c r="F2078" s="3">
        <v>102500</v>
      </c>
      <c r="G2078" s="57" t="str">
        <f t="shared" si="32"/>
        <v>-</v>
      </c>
      <c r="J2078" s="1"/>
    </row>
    <row r="2079" spans="1:10" x14ac:dyDescent="0.2">
      <c r="A2079" s="1" t="s">
        <v>111</v>
      </c>
      <c r="B2079" s="2" t="s">
        <v>166</v>
      </c>
      <c r="C2079" s="1"/>
      <c r="D2079" s="5" t="s">
        <v>464</v>
      </c>
      <c r="E2079" s="3" t="s">
        <v>465</v>
      </c>
      <c r="F2079" s="3">
        <v>102500</v>
      </c>
      <c r="G2079" s="57" t="str">
        <f t="shared" si="32"/>
        <v>-</v>
      </c>
      <c r="J2079" s="1"/>
    </row>
    <row r="2080" spans="1:10" x14ac:dyDescent="0.2">
      <c r="A2080" s="1" t="s">
        <v>111</v>
      </c>
      <c r="B2080" s="2" t="s">
        <v>166</v>
      </c>
      <c r="C2080" s="1"/>
      <c r="D2080" s="5" t="s">
        <v>464</v>
      </c>
      <c r="E2080" s="3" t="s">
        <v>465</v>
      </c>
      <c r="F2080" s="3">
        <v>107500</v>
      </c>
      <c r="G2080" s="57" t="str">
        <f t="shared" si="32"/>
        <v>-</v>
      </c>
      <c r="J2080" s="1"/>
    </row>
    <row r="2081" spans="1:10" x14ac:dyDescent="0.2">
      <c r="A2081" s="1" t="s">
        <v>111</v>
      </c>
      <c r="B2081" s="2" t="s">
        <v>166</v>
      </c>
      <c r="C2081" s="1"/>
      <c r="D2081" s="5" t="s">
        <v>464</v>
      </c>
      <c r="E2081" s="3" t="s">
        <v>465</v>
      </c>
      <c r="F2081" s="3">
        <v>107500</v>
      </c>
      <c r="G2081" s="57" t="str">
        <f t="shared" si="32"/>
        <v>-</v>
      </c>
      <c r="J2081" s="1"/>
    </row>
    <row r="2082" spans="1:10" x14ac:dyDescent="0.2">
      <c r="A2082" s="1" t="s">
        <v>111</v>
      </c>
      <c r="B2082" s="2" t="s">
        <v>166</v>
      </c>
      <c r="D2082" s="5" t="s">
        <v>464</v>
      </c>
      <c r="E2082" s="3" t="s">
        <v>465</v>
      </c>
      <c r="F2082" s="3">
        <v>107500</v>
      </c>
      <c r="G2082" s="57" t="str">
        <f t="shared" si="32"/>
        <v>-</v>
      </c>
    </row>
    <row r="2083" spans="1:10" x14ac:dyDescent="0.2">
      <c r="A2083" s="1" t="s">
        <v>111</v>
      </c>
      <c r="B2083" s="2" t="s">
        <v>166</v>
      </c>
      <c r="D2083" s="5" t="s">
        <v>464</v>
      </c>
      <c r="E2083" s="3" t="s">
        <v>465</v>
      </c>
      <c r="F2083" s="3">
        <v>127500</v>
      </c>
      <c r="G2083" s="57" t="str">
        <f t="shared" si="32"/>
        <v>-</v>
      </c>
    </row>
    <row r="2084" spans="1:10" x14ac:dyDescent="0.2">
      <c r="A2084" s="1" t="s">
        <v>111</v>
      </c>
      <c r="B2084" s="2" t="s">
        <v>166</v>
      </c>
      <c r="D2084" s="5" t="s">
        <v>464</v>
      </c>
      <c r="E2084" s="3" t="s">
        <v>465</v>
      </c>
      <c r="F2084" s="3">
        <v>132500</v>
      </c>
      <c r="G2084" s="57" t="str">
        <f t="shared" si="32"/>
        <v>-</v>
      </c>
    </row>
    <row r="2085" spans="1:10" ht="38.25" x14ac:dyDescent="0.2">
      <c r="A2085" s="1" t="s">
        <v>8</v>
      </c>
      <c r="B2085" s="2" t="s">
        <v>167</v>
      </c>
      <c r="D2085" s="5" t="s">
        <v>450</v>
      </c>
      <c r="E2085" s="3">
        <v>116436</v>
      </c>
      <c r="F2085" s="3">
        <v>170466</v>
      </c>
      <c r="G2085" s="57">
        <f t="shared" si="32"/>
        <v>0.46403174275997117</v>
      </c>
      <c r="J2085" s="5" t="s">
        <v>4338</v>
      </c>
    </row>
    <row r="2086" spans="1:10" ht="38.25" x14ac:dyDescent="0.2">
      <c r="A2086" s="1" t="s">
        <v>8</v>
      </c>
      <c r="B2086" s="2" t="s">
        <v>167</v>
      </c>
      <c r="D2086" s="5" t="s">
        <v>455</v>
      </c>
      <c r="E2086" s="3">
        <v>102471</v>
      </c>
      <c r="F2086" s="3">
        <v>104917</v>
      </c>
      <c r="G2086" s="57">
        <f t="shared" si="32"/>
        <v>2.3870168145133746E-2</v>
      </c>
      <c r="J2086" s="5" t="s">
        <v>4640</v>
      </c>
    </row>
    <row r="2087" spans="1:10" ht="25.5" x14ac:dyDescent="0.2">
      <c r="A2087" s="1" t="s">
        <v>1</v>
      </c>
      <c r="B2087" s="2" t="s">
        <v>168</v>
      </c>
      <c r="C2087" s="5" t="s">
        <v>1556</v>
      </c>
      <c r="D2087" s="5" t="s">
        <v>450</v>
      </c>
      <c r="E2087" s="3">
        <f>188652+28783</f>
        <v>217435</v>
      </c>
      <c r="F2087" s="3">
        <f>187181+30238</f>
        <v>217419</v>
      </c>
      <c r="G2087" s="57">
        <f t="shared" si="32"/>
        <v>-7.3585209372916039E-5</v>
      </c>
      <c r="J2087" s="5" t="s">
        <v>4056</v>
      </c>
    </row>
    <row r="2088" spans="1:10" ht="25.5" x14ac:dyDescent="0.2">
      <c r="A2088" s="1" t="s">
        <v>1</v>
      </c>
      <c r="B2088" s="2" t="s">
        <v>168</v>
      </c>
      <c r="C2088" s="5" t="s">
        <v>1557</v>
      </c>
      <c r="D2088" s="5" t="s">
        <v>1558</v>
      </c>
      <c r="E2088" s="3">
        <f>133256+22790</f>
        <v>156046</v>
      </c>
      <c r="F2088" s="3">
        <f>134051+23942</f>
        <v>157993</v>
      </c>
      <c r="G2088" s="57">
        <f t="shared" si="32"/>
        <v>1.2477090088819963E-2</v>
      </c>
      <c r="J2088" s="5" t="s">
        <v>4057</v>
      </c>
    </row>
    <row r="2089" spans="1:10" ht="75.75" customHeight="1" x14ac:dyDescent="0.2">
      <c r="A2089" s="1" t="s">
        <v>1</v>
      </c>
      <c r="B2089" s="2" t="s">
        <v>168</v>
      </c>
      <c r="C2089" s="5" t="s">
        <v>1559</v>
      </c>
      <c r="D2089" s="5" t="s">
        <v>4641</v>
      </c>
      <c r="E2089" s="3">
        <f>145535+22785</f>
        <v>168320</v>
      </c>
      <c r="F2089" s="3">
        <f>251555+199073</f>
        <v>450628</v>
      </c>
      <c r="G2089" s="57">
        <f t="shared" si="32"/>
        <v>1.6772100760456274</v>
      </c>
      <c r="J2089" s="5" t="s">
        <v>4642</v>
      </c>
    </row>
    <row r="2090" spans="1:10" ht="25.5" x14ac:dyDescent="0.2">
      <c r="A2090" s="1" t="s">
        <v>1</v>
      </c>
      <c r="B2090" s="2" t="s">
        <v>168</v>
      </c>
      <c r="C2090" s="5" t="s">
        <v>1560</v>
      </c>
      <c r="D2090" s="5" t="s">
        <v>1561</v>
      </c>
      <c r="E2090" s="3">
        <f>103923+17939</f>
        <v>121862</v>
      </c>
      <c r="F2090" s="3">
        <f>117005+21221</f>
        <v>138226</v>
      </c>
      <c r="G2090" s="57">
        <f t="shared" si="32"/>
        <v>0.13428304147314174</v>
      </c>
      <c r="J2090" s="5" t="s">
        <v>4058</v>
      </c>
    </row>
    <row r="2091" spans="1:10" ht="25.5" x14ac:dyDescent="0.2">
      <c r="A2091" s="1" t="s">
        <v>1</v>
      </c>
      <c r="B2091" s="2" t="s">
        <v>168</v>
      </c>
      <c r="C2091" s="5" t="s">
        <v>1562</v>
      </c>
      <c r="D2091" s="5" t="s">
        <v>1563</v>
      </c>
      <c r="E2091" s="3">
        <f>131997+22785</f>
        <v>154782</v>
      </c>
      <c r="F2091" s="3">
        <f>132051+23942</f>
        <v>155993</v>
      </c>
      <c r="G2091" s="57">
        <f t="shared" si="32"/>
        <v>7.8239071726686569E-3</v>
      </c>
      <c r="J2091" s="5" t="s">
        <v>4059</v>
      </c>
    </row>
    <row r="2092" spans="1:10" ht="25.5" x14ac:dyDescent="0.2">
      <c r="A2092" s="1" t="s">
        <v>1</v>
      </c>
      <c r="B2092" s="2" t="s">
        <v>168</v>
      </c>
      <c r="C2092" s="5" t="s">
        <v>1564</v>
      </c>
      <c r="D2092" s="5" t="s">
        <v>1565</v>
      </c>
      <c r="E2092" s="3">
        <f>120416+20786</f>
        <v>141202</v>
      </c>
      <c r="F2092" s="3">
        <f>125386+22734</f>
        <v>148120</v>
      </c>
      <c r="G2092" s="57">
        <f t="shared" si="32"/>
        <v>4.8993640316709393E-2</v>
      </c>
      <c r="J2092" s="5" t="s">
        <v>4060</v>
      </c>
    </row>
    <row r="2093" spans="1:10" ht="38.25" x14ac:dyDescent="0.2">
      <c r="A2093" s="1" t="s">
        <v>1</v>
      </c>
      <c r="B2093" s="2" t="s">
        <v>168</v>
      </c>
      <c r="C2093" s="5" t="s">
        <v>1566</v>
      </c>
      <c r="D2093" s="5" t="s">
        <v>4061</v>
      </c>
      <c r="E2093" s="3">
        <f>131997+22785</f>
        <v>154782</v>
      </c>
      <c r="F2093" s="3">
        <f>154989+143585</f>
        <v>298574</v>
      </c>
      <c r="G2093" s="57">
        <f t="shared" si="32"/>
        <v>0.92899691178560817</v>
      </c>
      <c r="J2093" s="5" t="s">
        <v>4339</v>
      </c>
    </row>
    <row r="2094" spans="1:10" ht="50.25" customHeight="1" x14ac:dyDescent="0.2">
      <c r="A2094" s="1" t="s">
        <v>1</v>
      </c>
      <c r="B2094" s="2" t="s">
        <v>168</v>
      </c>
      <c r="C2094" s="5" t="s">
        <v>1567</v>
      </c>
      <c r="D2094" s="5" t="s">
        <v>4062</v>
      </c>
      <c r="E2094" s="3">
        <f>95457+16167</f>
        <v>111624</v>
      </c>
      <c r="F2094" s="3">
        <f>154156+215671</f>
        <v>369827</v>
      </c>
      <c r="G2094" s="57">
        <f t="shared" si="32"/>
        <v>2.313149501899233</v>
      </c>
      <c r="J2094" s="5" t="s">
        <v>4341</v>
      </c>
    </row>
    <row r="2095" spans="1:10" ht="25.5" x14ac:dyDescent="0.2">
      <c r="A2095" s="1" t="s">
        <v>1</v>
      </c>
      <c r="B2095" s="2" t="s">
        <v>168</v>
      </c>
      <c r="C2095" s="5" t="s">
        <v>1568</v>
      </c>
      <c r="D2095" s="5" t="s">
        <v>1569</v>
      </c>
      <c r="E2095" s="3">
        <f>85858+14705</f>
        <v>100563</v>
      </c>
      <c r="F2095" s="3">
        <f>86781+15553</f>
        <v>102334</v>
      </c>
      <c r="G2095" s="57">
        <f t="shared" si="32"/>
        <v>1.761085090938019E-2</v>
      </c>
      <c r="J2095" s="5" t="s">
        <v>4063</v>
      </c>
    </row>
    <row r="2096" spans="1:10" ht="38.25" x14ac:dyDescent="0.2">
      <c r="A2096" s="1" t="s">
        <v>1</v>
      </c>
      <c r="B2096" s="2" t="s">
        <v>168</v>
      </c>
      <c r="C2096" s="5" t="s">
        <v>1570</v>
      </c>
      <c r="D2096" s="5" t="s">
        <v>1571</v>
      </c>
      <c r="E2096" s="3">
        <f>72739+12558</f>
        <v>85297</v>
      </c>
      <c r="F2096" s="3">
        <f>125846+14109</f>
        <v>139955</v>
      </c>
      <c r="G2096" s="57">
        <f t="shared" si="32"/>
        <v>0.64079627653962035</v>
      </c>
      <c r="J2096" s="5" t="s">
        <v>4340</v>
      </c>
    </row>
    <row r="2097" spans="1:10" ht="38.25" x14ac:dyDescent="0.2">
      <c r="A2097" s="1" t="s">
        <v>1</v>
      </c>
      <c r="B2097" s="2" t="s">
        <v>168</v>
      </c>
      <c r="C2097" s="5" t="s">
        <v>1572</v>
      </c>
      <c r="D2097" s="5" t="s">
        <v>1573</v>
      </c>
      <c r="E2097" s="3">
        <f>81541+14075</f>
        <v>95616</v>
      </c>
      <c r="F2097" s="3">
        <f>155694+100836</f>
        <v>256530</v>
      </c>
      <c r="G2097" s="57">
        <f t="shared" si="32"/>
        <v>1.6829191767068272</v>
      </c>
      <c r="J2097" s="5" t="s">
        <v>4344</v>
      </c>
    </row>
    <row r="2098" spans="1:10" ht="38.25" x14ac:dyDescent="0.2">
      <c r="A2098" s="1" t="s">
        <v>1</v>
      </c>
      <c r="B2098" s="2" t="s">
        <v>168</v>
      </c>
      <c r="C2098" s="5" t="s">
        <v>1574</v>
      </c>
      <c r="D2098" s="5" t="s">
        <v>1575</v>
      </c>
      <c r="E2098" s="3">
        <f>91049+15718</f>
        <v>106767</v>
      </c>
      <c r="F2098" s="3">
        <f>176703+172897</f>
        <v>349600</v>
      </c>
      <c r="G2098" s="57">
        <f t="shared" si="32"/>
        <v>2.2744199986887335</v>
      </c>
      <c r="J2098" s="5" t="s">
        <v>4342</v>
      </c>
    </row>
    <row r="2099" spans="1:10" ht="38.25" x14ac:dyDescent="0.2">
      <c r="A2099" s="1" t="s">
        <v>1</v>
      </c>
      <c r="B2099" s="2" t="s">
        <v>168</v>
      </c>
      <c r="C2099" s="5" t="s">
        <v>1576</v>
      </c>
      <c r="D2099" s="5" t="s">
        <v>1577</v>
      </c>
      <c r="E2099" s="3">
        <f>78880+13616</f>
        <v>92496</v>
      </c>
      <c r="F2099" s="3">
        <f>153252+222859</f>
        <v>376111</v>
      </c>
      <c r="G2099" s="57">
        <f t="shared" si="32"/>
        <v>3.0662407023006399</v>
      </c>
      <c r="J2099" s="5" t="s">
        <v>4343</v>
      </c>
    </row>
    <row r="2100" spans="1:10" x14ac:dyDescent="0.2">
      <c r="A2100" s="1" t="s">
        <v>1</v>
      </c>
      <c r="B2100" s="2" t="s">
        <v>168</v>
      </c>
      <c r="D2100" s="5" t="s">
        <v>464</v>
      </c>
      <c r="G2100" s="57" t="str">
        <f t="shared" si="32"/>
        <v>-</v>
      </c>
      <c r="H2100" s="19">
        <v>92500</v>
      </c>
      <c r="I2100" s="19" t="s">
        <v>465</v>
      </c>
    </row>
    <row r="2101" spans="1:10" x14ac:dyDescent="0.2">
      <c r="A2101" s="1" t="s">
        <v>1</v>
      </c>
      <c r="B2101" s="2" t="s">
        <v>168</v>
      </c>
      <c r="D2101" s="5" t="s">
        <v>464</v>
      </c>
      <c r="G2101" s="57" t="str">
        <f t="shared" si="32"/>
        <v>-</v>
      </c>
      <c r="H2101" s="19">
        <v>92500</v>
      </c>
      <c r="I2101" s="19" t="s">
        <v>465</v>
      </c>
    </row>
    <row r="2102" spans="1:10" x14ac:dyDescent="0.2">
      <c r="A2102" s="1" t="s">
        <v>1</v>
      </c>
      <c r="B2102" s="2" t="s">
        <v>168</v>
      </c>
      <c r="D2102" s="5" t="s">
        <v>464</v>
      </c>
      <c r="G2102" s="57" t="str">
        <f t="shared" si="32"/>
        <v>-</v>
      </c>
      <c r="H2102" s="19">
        <v>92500</v>
      </c>
      <c r="I2102" s="19" t="s">
        <v>465</v>
      </c>
    </row>
    <row r="2103" spans="1:10" x14ac:dyDescent="0.2">
      <c r="A2103" s="1" t="s">
        <v>1</v>
      </c>
      <c r="B2103" s="2" t="s">
        <v>168</v>
      </c>
      <c r="D2103" s="5" t="s">
        <v>464</v>
      </c>
      <c r="G2103" s="57" t="str">
        <f t="shared" si="32"/>
        <v>-</v>
      </c>
      <c r="H2103" s="19">
        <v>92500</v>
      </c>
      <c r="I2103" s="19" t="s">
        <v>465</v>
      </c>
    </row>
    <row r="2104" spans="1:10" x14ac:dyDescent="0.2">
      <c r="A2104" s="1" t="s">
        <v>1</v>
      </c>
      <c r="B2104" s="2" t="s">
        <v>168</v>
      </c>
      <c r="D2104" s="5" t="s">
        <v>464</v>
      </c>
      <c r="G2104" s="57" t="str">
        <f t="shared" si="32"/>
        <v>-</v>
      </c>
      <c r="H2104" s="19">
        <v>92500</v>
      </c>
      <c r="I2104" s="19" t="s">
        <v>465</v>
      </c>
    </row>
    <row r="2105" spans="1:10" x14ac:dyDescent="0.2">
      <c r="A2105" s="1" t="s">
        <v>1</v>
      </c>
      <c r="B2105" s="2" t="s">
        <v>168</v>
      </c>
      <c r="D2105" s="5" t="s">
        <v>464</v>
      </c>
      <c r="G2105" s="57" t="str">
        <f t="shared" si="32"/>
        <v>-</v>
      </c>
      <c r="H2105" s="19">
        <v>92500</v>
      </c>
      <c r="I2105" s="19" t="s">
        <v>465</v>
      </c>
    </row>
    <row r="2106" spans="1:10" x14ac:dyDescent="0.2">
      <c r="A2106" s="1" t="s">
        <v>1</v>
      </c>
      <c r="B2106" s="2" t="s">
        <v>168</v>
      </c>
      <c r="D2106" s="5" t="s">
        <v>464</v>
      </c>
      <c r="G2106" s="57" t="str">
        <f t="shared" si="32"/>
        <v>-</v>
      </c>
      <c r="H2106" s="19">
        <v>92500</v>
      </c>
      <c r="I2106" s="19" t="s">
        <v>465</v>
      </c>
    </row>
    <row r="2107" spans="1:10" x14ac:dyDescent="0.2">
      <c r="A2107" s="1" t="s">
        <v>1</v>
      </c>
      <c r="B2107" s="2" t="s">
        <v>168</v>
      </c>
      <c r="D2107" s="5" t="s">
        <v>464</v>
      </c>
      <c r="G2107" s="57" t="str">
        <f t="shared" si="32"/>
        <v>-</v>
      </c>
      <c r="H2107" s="19">
        <v>92500</v>
      </c>
      <c r="I2107" s="19" t="s">
        <v>465</v>
      </c>
    </row>
    <row r="2108" spans="1:10" x14ac:dyDescent="0.2">
      <c r="A2108" s="1" t="s">
        <v>1</v>
      </c>
      <c r="B2108" s="2" t="s">
        <v>168</v>
      </c>
      <c r="D2108" s="5" t="s">
        <v>464</v>
      </c>
      <c r="G2108" s="57" t="str">
        <f t="shared" si="32"/>
        <v>-</v>
      </c>
      <c r="H2108" s="19">
        <v>92500</v>
      </c>
      <c r="I2108" s="19" t="s">
        <v>465</v>
      </c>
    </row>
    <row r="2109" spans="1:10" x14ac:dyDescent="0.2">
      <c r="A2109" s="1" t="s">
        <v>1</v>
      </c>
      <c r="B2109" s="2" t="s">
        <v>168</v>
      </c>
      <c r="C2109" s="1"/>
      <c r="D2109" s="5" t="s">
        <v>464</v>
      </c>
      <c r="G2109" s="57" t="str">
        <f t="shared" si="32"/>
        <v>-</v>
      </c>
      <c r="H2109" s="19">
        <v>92500</v>
      </c>
      <c r="I2109" s="19" t="s">
        <v>465</v>
      </c>
    </row>
    <row r="2110" spans="1:10" x14ac:dyDescent="0.2">
      <c r="A2110" s="1" t="s">
        <v>1</v>
      </c>
      <c r="B2110" s="2" t="s">
        <v>168</v>
      </c>
      <c r="C2110" s="1"/>
      <c r="D2110" s="5" t="s">
        <v>464</v>
      </c>
      <c r="G2110" s="57" t="str">
        <f t="shared" si="32"/>
        <v>-</v>
      </c>
      <c r="H2110" s="19">
        <v>97500</v>
      </c>
      <c r="I2110" s="19" t="s">
        <v>465</v>
      </c>
    </row>
    <row r="2111" spans="1:10" x14ac:dyDescent="0.2">
      <c r="A2111" s="1" t="s">
        <v>1</v>
      </c>
      <c r="B2111" s="2" t="s">
        <v>168</v>
      </c>
      <c r="C2111" s="1"/>
      <c r="D2111" s="5" t="s">
        <v>464</v>
      </c>
      <c r="G2111" s="57" t="str">
        <f t="shared" si="32"/>
        <v>-</v>
      </c>
      <c r="H2111" s="19">
        <v>97500</v>
      </c>
      <c r="I2111" s="19" t="s">
        <v>465</v>
      </c>
    </row>
    <row r="2112" spans="1:10" x14ac:dyDescent="0.2">
      <c r="A2112" s="1" t="s">
        <v>1</v>
      </c>
      <c r="B2112" s="2" t="s">
        <v>168</v>
      </c>
      <c r="C2112" s="1"/>
      <c r="D2112" s="5" t="s">
        <v>464</v>
      </c>
      <c r="G2112" s="57" t="str">
        <f t="shared" si="32"/>
        <v>-</v>
      </c>
      <c r="H2112" s="19">
        <v>97500</v>
      </c>
      <c r="I2112" s="19" t="s">
        <v>465</v>
      </c>
    </row>
    <row r="2113" spans="1:9" s="1" customFormat="1" x14ac:dyDescent="0.2">
      <c r="A2113" s="1" t="s">
        <v>1</v>
      </c>
      <c r="B2113" s="2" t="s">
        <v>168</v>
      </c>
      <c r="D2113" s="5" t="s">
        <v>464</v>
      </c>
      <c r="E2113" s="3"/>
      <c r="F2113" s="3"/>
      <c r="G2113" s="57" t="str">
        <f t="shared" si="32"/>
        <v>-</v>
      </c>
      <c r="H2113" s="19">
        <v>97500</v>
      </c>
      <c r="I2113" s="19" t="s">
        <v>465</v>
      </c>
    </row>
    <row r="2114" spans="1:9" s="1" customFormat="1" x14ac:dyDescent="0.2">
      <c r="A2114" s="1" t="s">
        <v>1</v>
      </c>
      <c r="B2114" s="2" t="s">
        <v>168</v>
      </c>
      <c r="D2114" s="5" t="s">
        <v>464</v>
      </c>
      <c r="E2114" s="3"/>
      <c r="F2114" s="3"/>
      <c r="G2114" s="57" t="str">
        <f t="shared" si="32"/>
        <v>-</v>
      </c>
      <c r="H2114" s="19" t="s">
        <v>465</v>
      </c>
      <c r="I2114" s="19">
        <v>92500</v>
      </c>
    </row>
    <row r="2115" spans="1:9" s="1" customFormat="1" x14ac:dyDescent="0.2">
      <c r="A2115" s="1" t="s">
        <v>1</v>
      </c>
      <c r="B2115" s="2" t="s">
        <v>168</v>
      </c>
      <c r="D2115" s="5" t="s">
        <v>464</v>
      </c>
      <c r="E2115" s="3"/>
      <c r="F2115" s="3"/>
      <c r="G2115" s="57" t="str">
        <f t="shared" ref="G2115:G2178" si="33">IF(ISERROR((F2115-E2115)/E2115),"-",(F2115-E2115)/E2115)</f>
        <v>-</v>
      </c>
      <c r="H2115" s="19" t="s">
        <v>465</v>
      </c>
      <c r="I2115" s="19">
        <v>92500</v>
      </c>
    </row>
    <row r="2116" spans="1:9" s="1" customFormat="1" x14ac:dyDescent="0.2">
      <c r="A2116" s="1" t="s">
        <v>1</v>
      </c>
      <c r="B2116" s="2" t="s">
        <v>168</v>
      </c>
      <c r="D2116" s="5" t="s">
        <v>464</v>
      </c>
      <c r="E2116" s="3"/>
      <c r="F2116" s="3"/>
      <c r="G2116" s="57" t="str">
        <f t="shared" si="33"/>
        <v>-</v>
      </c>
      <c r="H2116" s="19" t="s">
        <v>465</v>
      </c>
      <c r="I2116" s="19">
        <v>92500</v>
      </c>
    </row>
    <row r="2117" spans="1:9" s="1" customFormat="1" x14ac:dyDescent="0.2">
      <c r="A2117" s="1" t="s">
        <v>1</v>
      </c>
      <c r="B2117" s="2" t="s">
        <v>168</v>
      </c>
      <c r="D2117" s="5" t="s">
        <v>464</v>
      </c>
      <c r="E2117" s="3"/>
      <c r="F2117" s="3"/>
      <c r="G2117" s="57" t="str">
        <f t="shared" si="33"/>
        <v>-</v>
      </c>
      <c r="H2117" s="19" t="s">
        <v>465</v>
      </c>
      <c r="I2117" s="19">
        <v>92500</v>
      </c>
    </row>
    <row r="2118" spans="1:9" s="1" customFormat="1" x14ac:dyDescent="0.2">
      <c r="A2118" s="1" t="s">
        <v>1</v>
      </c>
      <c r="B2118" s="2" t="s">
        <v>168</v>
      </c>
      <c r="D2118" s="5" t="s">
        <v>464</v>
      </c>
      <c r="E2118" s="3"/>
      <c r="F2118" s="3"/>
      <c r="G2118" s="57" t="str">
        <f t="shared" si="33"/>
        <v>-</v>
      </c>
      <c r="H2118" s="19" t="s">
        <v>465</v>
      </c>
      <c r="I2118" s="19">
        <v>92500</v>
      </c>
    </row>
    <row r="2119" spans="1:9" s="1" customFormat="1" x14ac:dyDescent="0.2">
      <c r="A2119" s="1" t="s">
        <v>1</v>
      </c>
      <c r="B2119" s="2" t="s">
        <v>168</v>
      </c>
      <c r="D2119" s="5" t="s">
        <v>464</v>
      </c>
      <c r="E2119" s="3"/>
      <c r="F2119" s="3"/>
      <c r="G2119" s="57" t="str">
        <f t="shared" si="33"/>
        <v>-</v>
      </c>
      <c r="H2119" s="19" t="s">
        <v>465</v>
      </c>
      <c r="I2119" s="19">
        <v>92500</v>
      </c>
    </row>
    <row r="2120" spans="1:9" s="1" customFormat="1" x14ac:dyDescent="0.2">
      <c r="A2120" s="1" t="s">
        <v>1</v>
      </c>
      <c r="B2120" s="2" t="s">
        <v>168</v>
      </c>
      <c r="D2120" s="5" t="s">
        <v>464</v>
      </c>
      <c r="E2120" s="3"/>
      <c r="F2120" s="3"/>
      <c r="G2120" s="57" t="str">
        <f t="shared" si="33"/>
        <v>-</v>
      </c>
      <c r="H2120" s="19" t="s">
        <v>465</v>
      </c>
      <c r="I2120" s="19">
        <v>97500</v>
      </c>
    </row>
    <row r="2121" spans="1:9" s="1" customFormat="1" x14ac:dyDescent="0.2">
      <c r="A2121" s="1" t="s">
        <v>1</v>
      </c>
      <c r="B2121" s="2" t="s">
        <v>168</v>
      </c>
      <c r="D2121" s="5" t="s">
        <v>464</v>
      </c>
      <c r="E2121" s="3"/>
      <c r="F2121" s="3"/>
      <c r="G2121" s="57" t="str">
        <f t="shared" si="33"/>
        <v>-</v>
      </c>
      <c r="H2121" s="19" t="s">
        <v>465</v>
      </c>
      <c r="I2121" s="19">
        <v>97500</v>
      </c>
    </row>
    <row r="2122" spans="1:9" s="1" customFormat="1" x14ac:dyDescent="0.2">
      <c r="A2122" s="1" t="s">
        <v>1</v>
      </c>
      <c r="B2122" s="2" t="s">
        <v>168</v>
      </c>
      <c r="D2122" s="5" t="s">
        <v>464</v>
      </c>
      <c r="E2122" s="3"/>
      <c r="F2122" s="3"/>
      <c r="G2122" s="57" t="str">
        <f t="shared" si="33"/>
        <v>-</v>
      </c>
      <c r="H2122" s="19" t="s">
        <v>465</v>
      </c>
      <c r="I2122" s="19">
        <v>97500</v>
      </c>
    </row>
    <row r="2123" spans="1:9" s="1" customFormat="1" x14ac:dyDescent="0.2">
      <c r="A2123" s="1" t="s">
        <v>1</v>
      </c>
      <c r="B2123" s="2" t="s">
        <v>168</v>
      </c>
      <c r="D2123" s="5" t="s">
        <v>464</v>
      </c>
      <c r="E2123" s="3"/>
      <c r="F2123" s="3"/>
      <c r="G2123" s="57" t="str">
        <f t="shared" si="33"/>
        <v>-</v>
      </c>
      <c r="H2123" s="19" t="s">
        <v>465</v>
      </c>
      <c r="I2123" s="19">
        <v>97500</v>
      </c>
    </row>
    <row r="2124" spans="1:9" s="1" customFormat="1" x14ac:dyDescent="0.2">
      <c r="A2124" s="1" t="s">
        <v>1</v>
      </c>
      <c r="B2124" s="2" t="s">
        <v>168</v>
      </c>
      <c r="D2124" s="5" t="s">
        <v>464</v>
      </c>
      <c r="E2124" s="3"/>
      <c r="F2124" s="3"/>
      <c r="G2124" s="57" t="str">
        <f t="shared" si="33"/>
        <v>-</v>
      </c>
      <c r="H2124" s="19" t="s">
        <v>465</v>
      </c>
      <c r="I2124" s="19">
        <v>97500</v>
      </c>
    </row>
    <row r="2125" spans="1:9" s="1" customFormat="1" x14ac:dyDescent="0.2">
      <c r="A2125" s="1" t="s">
        <v>1</v>
      </c>
      <c r="B2125" s="2" t="s">
        <v>168</v>
      </c>
      <c r="D2125" s="5" t="s">
        <v>464</v>
      </c>
      <c r="E2125" s="3"/>
      <c r="F2125" s="3"/>
      <c r="G2125" s="57" t="str">
        <f t="shared" si="33"/>
        <v>-</v>
      </c>
      <c r="H2125" s="19" t="s">
        <v>465</v>
      </c>
      <c r="I2125" s="19">
        <v>97500</v>
      </c>
    </row>
    <row r="2126" spans="1:9" s="1" customFormat="1" x14ac:dyDescent="0.2">
      <c r="A2126" s="1" t="s">
        <v>1</v>
      </c>
      <c r="B2126" s="2" t="s">
        <v>168</v>
      </c>
      <c r="D2126" s="5" t="s">
        <v>464</v>
      </c>
      <c r="E2126" s="3"/>
      <c r="F2126" s="3"/>
      <c r="G2126" s="57" t="str">
        <f t="shared" si="33"/>
        <v>-</v>
      </c>
      <c r="H2126" s="19" t="s">
        <v>465</v>
      </c>
      <c r="I2126" s="19">
        <v>97500</v>
      </c>
    </row>
    <row r="2127" spans="1:9" s="1" customFormat="1" x14ac:dyDescent="0.2">
      <c r="A2127" s="1" t="s">
        <v>1</v>
      </c>
      <c r="B2127" s="2" t="s">
        <v>168</v>
      </c>
      <c r="D2127" s="5" t="s">
        <v>464</v>
      </c>
      <c r="E2127" s="3">
        <v>102500</v>
      </c>
      <c r="F2127" s="3" t="s">
        <v>465</v>
      </c>
      <c r="G2127" s="57" t="str">
        <f t="shared" si="33"/>
        <v>-</v>
      </c>
      <c r="H2127" s="19"/>
      <c r="I2127" s="19"/>
    </row>
    <row r="2128" spans="1:9" s="1" customFormat="1" x14ac:dyDescent="0.2">
      <c r="A2128" s="1" t="s">
        <v>1</v>
      </c>
      <c r="B2128" s="2" t="s">
        <v>168</v>
      </c>
      <c r="D2128" s="5" t="s">
        <v>464</v>
      </c>
      <c r="E2128" s="3">
        <v>102500</v>
      </c>
      <c r="F2128" s="3" t="s">
        <v>465</v>
      </c>
      <c r="G2128" s="57" t="str">
        <f t="shared" si="33"/>
        <v>-</v>
      </c>
      <c r="H2128" s="19"/>
      <c r="I2128" s="19"/>
    </row>
    <row r="2129" spans="1:9" s="1" customFormat="1" x14ac:dyDescent="0.2">
      <c r="A2129" s="1" t="s">
        <v>1</v>
      </c>
      <c r="B2129" s="2" t="s">
        <v>168</v>
      </c>
      <c r="D2129" s="5" t="s">
        <v>464</v>
      </c>
      <c r="E2129" s="3">
        <v>102500</v>
      </c>
      <c r="F2129" s="3" t="s">
        <v>465</v>
      </c>
      <c r="G2129" s="57" t="str">
        <f t="shared" si="33"/>
        <v>-</v>
      </c>
      <c r="H2129" s="4"/>
      <c r="I2129" s="4"/>
    </row>
    <row r="2130" spans="1:9" s="1" customFormat="1" x14ac:dyDescent="0.2">
      <c r="A2130" s="1" t="s">
        <v>1</v>
      </c>
      <c r="B2130" s="2" t="s">
        <v>168</v>
      </c>
      <c r="D2130" s="5" t="s">
        <v>464</v>
      </c>
      <c r="E2130" s="3">
        <v>107500</v>
      </c>
      <c r="F2130" s="3" t="s">
        <v>465</v>
      </c>
      <c r="G2130" s="57" t="str">
        <f t="shared" si="33"/>
        <v>-</v>
      </c>
      <c r="H2130" s="4"/>
      <c r="I2130" s="4"/>
    </row>
    <row r="2131" spans="1:9" s="1" customFormat="1" x14ac:dyDescent="0.2">
      <c r="A2131" s="1" t="s">
        <v>1</v>
      </c>
      <c r="B2131" s="2" t="s">
        <v>168</v>
      </c>
      <c r="D2131" s="5" t="s">
        <v>464</v>
      </c>
      <c r="E2131" s="3">
        <v>107500</v>
      </c>
      <c r="F2131" s="3" t="s">
        <v>465</v>
      </c>
      <c r="G2131" s="57" t="str">
        <f t="shared" si="33"/>
        <v>-</v>
      </c>
      <c r="H2131" s="4"/>
      <c r="I2131" s="4"/>
    </row>
    <row r="2132" spans="1:9" s="1" customFormat="1" x14ac:dyDescent="0.2">
      <c r="A2132" s="1" t="s">
        <v>1</v>
      </c>
      <c r="B2132" s="2" t="s">
        <v>168</v>
      </c>
      <c r="D2132" s="5" t="s">
        <v>464</v>
      </c>
      <c r="E2132" s="3">
        <v>112500</v>
      </c>
      <c r="F2132" s="3" t="s">
        <v>465</v>
      </c>
      <c r="G2132" s="57" t="str">
        <f t="shared" si="33"/>
        <v>-</v>
      </c>
      <c r="H2132" s="4"/>
      <c r="I2132" s="4"/>
    </row>
    <row r="2133" spans="1:9" s="1" customFormat="1" x14ac:dyDescent="0.2">
      <c r="A2133" s="1" t="s">
        <v>1</v>
      </c>
      <c r="B2133" s="2" t="s">
        <v>168</v>
      </c>
      <c r="D2133" s="5" t="s">
        <v>464</v>
      </c>
      <c r="E2133" s="3">
        <v>117500</v>
      </c>
      <c r="F2133" s="3" t="s">
        <v>465</v>
      </c>
      <c r="G2133" s="57" t="str">
        <f t="shared" si="33"/>
        <v>-</v>
      </c>
      <c r="H2133" s="4"/>
      <c r="I2133" s="4"/>
    </row>
    <row r="2134" spans="1:9" s="1" customFormat="1" x14ac:dyDescent="0.2">
      <c r="A2134" s="1" t="s">
        <v>1</v>
      </c>
      <c r="B2134" s="2" t="s">
        <v>168</v>
      </c>
      <c r="D2134" s="5" t="s">
        <v>464</v>
      </c>
      <c r="E2134" s="3">
        <v>122500</v>
      </c>
      <c r="F2134" s="3" t="s">
        <v>465</v>
      </c>
      <c r="G2134" s="57" t="str">
        <f t="shared" si="33"/>
        <v>-</v>
      </c>
      <c r="H2134" s="4"/>
      <c r="I2134" s="4"/>
    </row>
    <row r="2135" spans="1:9" s="1" customFormat="1" x14ac:dyDescent="0.2">
      <c r="A2135" s="1" t="s">
        <v>1</v>
      </c>
      <c r="B2135" s="2" t="s">
        <v>168</v>
      </c>
      <c r="D2135" s="5" t="s">
        <v>464</v>
      </c>
      <c r="E2135" s="3">
        <v>122500</v>
      </c>
      <c r="F2135" s="3" t="s">
        <v>465</v>
      </c>
      <c r="G2135" s="57" t="str">
        <f t="shared" si="33"/>
        <v>-</v>
      </c>
      <c r="H2135" s="4"/>
      <c r="I2135" s="4"/>
    </row>
    <row r="2136" spans="1:9" s="1" customFormat="1" x14ac:dyDescent="0.2">
      <c r="A2136" s="1" t="s">
        <v>1</v>
      </c>
      <c r="B2136" s="2" t="s">
        <v>168</v>
      </c>
      <c r="D2136" s="5" t="s">
        <v>464</v>
      </c>
      <c r="E2136" s="3">
        <v>132500</v>
      </c>
      <c r="F2136" s="3" t="s">
        <v>465</v>
      </c>
      <c r="G2136" s="57" t="str">
        <f t="shared" si="33"/>
        <v>-</v>
      </c>
      <c r="H2136" s="4"/>
      <c r="I2136" s="4"/>
    </row>
    <row r="2137" spans="1:9" s="1" customFormat="1" x14ac:dyDescent="0.2">
      <c r="A2137" s="1" t="s">
        <v>1</v>
      </c>
      <c r="B2137" s="2" t="s">
        <v>168</v>
      </c>
      <c r="D2137" s="5" t="s">
        <v>464</v>
      </c>
      <c r="E2137" s="3">
        <v>137500</v>
      </c>
      <c r="F2137" s="3"/>
      <c r="G2137" s="57">
        <f t="shared" si="33"/>
        <v>-1</v>
      </c>
      <c r="H2137" s="4"/>
      <c r="I2137" s="4"/>
    </row>
    <row r="2138" spans="1:9" s="1" customFormat="1" x14ac:dyDescent="0.2">
      <c r="A2138" s="1" t="s">
        <v>1</v>
      </c>
      <c r="B2138" s="2" t="s">
        <v>168</v>
      </c>
      <c r="D2138" s="5" t="s">
        <v>464</v>
      </c>
      <c r="E2138" s="3">
        <v>147500</v>
      </c>
      <c r="F2138" s="3"/>
      <c r="G2138" s="57">
        <f t="shared" si="33"/>
        <v>-1</v>
      </c>
      <c r="H2138" s="4"/>
      <c r="I2138" s="4"/>
    </row>
    <row r="2139" spans="1:9" s="1" customFormat="1" x14ac:dyDescent="0.2">
      <c r="A2139" s="1" t="s">
        <v>1</v>
      </c>
      <c r="B2139" s="2" t="s">
        <v>168</v>
      </c>
      <c r="D2139" s="5" t="s">
        <v>464</v>
      </c>
      <c r="E2139" s="3" t="s">
        <v>465</v>
      </c>
      <c r="F2139" s="3">
        <v>102500</v>
      </c>
      <c r="G2139" s="57" t="str">
        <f t="shared" si="33"/>
        <v>-</v>
      </c>
      <c r="H2139" s="4"/>
      <c r="I2139" s="4"/>
    </row>
    <row r="2140" spans="1:9" s="1" customFormat="1" x14ac:dyDescent="0.2">
      <c r="A2140" s="1" t="s">
        <v>1</v>
      </c>
      <c r="B2140" s="2" t="s">
        <v>168</v>
      </c>
      <c r="D2140" s="5" t="s">
        <v>464</v>
      </c>
      <c r="E2140" s="3" t="s">
        <v>465</v>
      </c>
      <c r="F2140" s="3">
        <v>102500</v>
      </c>
      <c r="G2140" s="57" t="str">
        <f t="shared" si="33"/>
        <v>-</v>
      </c>
      <c r="H2140" s="4"/>
      <c r="I2140" s="4"/>
    </row>
    <row r="2141" spans="1:9" s="1" customFormat="1" x14ac:dyDescent="0.2">
      <c r="A2141" s="1" t="s">
        <v>1</v>
      </c>
      <c r="B2141" s="2" t="s">
        <v>168</v>
      </c>
      <c r="D2141" s="5" t="s">
        <v>464</v>
      </c>
      <c r="E2141" s="3" t="s">
        <v>465</v>
      </c>
      <c r="F2141" s="3">
        <v>102500</v>
      </c>
      <c r="G2141" s="57" t="str">
        <f t="shared" si="33"/>
        <v>-</v>
      </c>
      <c r="H2141" s="4"/>
      <c r="I2141" s="4"/>
    </row>
    <row r="2142" spans="1:9" s="1" customFormat="1" x14ac:dyDescent="0.2">
      <c r="A2142" s="1" t="s">
        <v>1</v>
      </c>
      <c r="B2142" s="2" t="s">
        <v>168</v>
      </c>
      <c r="D2142" s="5" t="s">
        <v>464</v>
      </c>
      <c r="E2142" s="3" t="s">
        <v>465</v>
      </c>
      <c r="F2142" s="3">
        <v>107500</v>
      </c>
      <c r="G2142" s="57" t="str">
        <f t="shared" si="33"/>
        <v>-</v>
      </c>
      <c r="H2142" s="4"/>
      <c r="I2142" s="4"/>
    </row>
    <row r="2143" spans="1:9" s="1" customFormat="1" x14ac:dyDescent="0.2">
      <c r="A2143" s="1" t="s">
        <v>1</v>
      </c>
      <c r="B2143" s="2" t="s">
        <v>168</v>
      </c>
      <c r="D2143" s="5" t="s">
        <v>464</v>
      </c>
      <c r="E2143" s="3" t="s">
        <v>465</v>
      </c>
      <c r="F2143" s="3">
        <v>107500</v>
      </c>
      <c r="G2143" s="57" t="str">
        <f t="shared" si="33"/>
        <v>-</v>
      </c>
      <c r="H2143" s="4"/>
      <c r="I2143" s="4"/>
    </row>
    <row r="2144" spans="1:9" s="1" customFormat="1" x14ac:dyDescent="0.2">
      <c r="A2144" s="1" t="s">
        <v>1</v>
      </c>
      <c r="B2144" s="2" t="s">
        <v>168</v>
      </c>
      <c r="D2144" s="5" t="s">
        <v>464</v>
      </c>
      <c r="E2144" s="3" t="s">
        <v>465</v>
      </c>
      <c r="F2144" s="3">
        <v>107500</v>
      </c>
      <c r="G2144" s="57" t="str">
        <f t="shared" si="33"/>
        <v>-</v>
      </c>
      <c r="H2144" s="4"/>
      <c r="I2144" s="4"/>
    </row>
    <row r="2145" spans="1:10" x14ac:dyDescent="0.2">
      <c r="A2145" s="1" t="s">
        <v>1</v>
      </c>
      <c r="B2145" s="2" t="s">
        <v>168</v>
      </c>
      <c r="C2145" s="1"/>
      <c r="D2145" s="5" t="s">
        <v>464</v>
      </c>
      <c r="E2145" s="3" t="s">
        <v>465</v>
      </c>
      <c r="F2145" s="3">
        <v>107500</v>
      </c>
      <c r="G2145" s="57" t="str">
        <f t="shared" si="33"/>
        <v>-</v>
      </c>
    </row>
    <row r="2146" spans="1:10" x14ac:dyDescent="0.2">
      <c r="A2146" s="1" t="s">
        <v>1</v>
      </c>
      <c r="B2146" s="2" t="s">
        <v>168</v>
      </c>
      <c r="C2146" s="1"/>
      <c r="D2146" s="5" t="s">
        <v>464</v>
      </c>
      <c r="E2146" s="3" t="s">
        <v>465</v>
      </c>
      <c r="F2146" s="3">
        <v>112500</v>
      </c>
      <c r="G2146" s="57" t="str">
        <f t="shared" si="33"/>
        <v>-</v>
      </c>
    </row>
    <row r="2147" spans="1:10" x14ac:dyDescent="0.2">
      <c r="A2147" s="1" t="s">
        <v>1</v>
      </c>
      <c r="B2147" s="2" t="s">
        <v>168</v>
      </c>
      <c r="C2147" s="1"/>
      <c r="D2147" s="5" t="s">
        <v>464</v>
      </c>
      <c r="E2147" s="3" t="s">
        <v>465</v>
      </c>
      <c r="F2147" s="3">
        <v>112500</v>
      </c>
      <c r="G2147" s="57" t="str">
        <f t="shared" si="33"/>
        <v>-</v>
      </c>
    </row>
    <row r="2148" spans="1:10" x14ac:dyDescent="0.2">
      <c r="A2148" s="1" t="s">
        <v>1</v>
      </c>
      <c r="B2148" s="2" t="s">
        <v>168</v>
      </c>
      <c r="C2148" s="1"/>
      <c r="D2148" s="5" t="s">
        <v>464</v>
      </c>
      <c r="E2148" s="3" t="s">
        <v>465</v>
      </c>
      <c r="F2148" s="3">
        <v>112500</v>
      </c>
      <c r="G2148" s="57" t="str">
        <f t="shared" si="33"/>
        <v>-</v>
      </c>
    </row>
    <row r="2149" spans="1:10" x14ac:dyDescent="0.2">
      <c r="A2149" s="1" t="s">
        <v>1</v>
      </c>
      <c r="B2149" s="2" t="s">
        <v>168</v>
      </c>
      <c r="C2149" s="1"/>
      <c r="D2149" s="5" t="s">
        <v>464</v>
      </c>
      <c r="E2149" s="3" t="s">
        <v>465</v>
      </c>
      <c r="F2149" s="3">
        <v>122500</v>
      </c>
      <c r="G2149" s="57" t="str">
        <f t="shared" si="33"/>
        <v>-</v>
      </c>
    </row>
    <row r="2150" spans="1:10" x14ac:dyDescent="0.2">
      <c r="A2150" s="1" t="s">
        <v>1</v>
      </c>
      <c r="B2150" s="2" t="s">
        <v>168</v>
      </c>
      <c r="C2150" s="1"/>
      <c r="D2150" s="5" t="s">
        <v>464</v>
      </c>
      <c r="E2150" s="3" t="s">
        <v>465</v>
      </c>
      <c r="F2150" s="3">
        <v>132500</v>
      </c>
      <c r="G2150" s="57" t="str">
        <f t="shared" si="33"/>
        <v>-</v>
      </c>
    </row>
    <row r="2151" spans="1:10" ht="25.5" x14ac:dyDescent="0.2">
      <c r="A2151" s="1" t="s">
        <v>34</v>
      </c>
      <c r="B2151" s="2" t="s">
        <v>169</v>
      </c>
      <c r="D2151" s="5" t="s">
        <v>1554</v>
      </c>
      <c r="E2151" s="3">
        <v>133237</v>
      </c>
      <c r="F2151" s="3">
        <v>132391</v>
      </c>
      <c r="G2151" s="57">
        <f t="shared" si="33"/>
        <v>-6.3495875770243999E-3</v>
      </c>
      <c r="J2151" s="5" t="s">
        <v>4064</v>
      </c>
    </row>
    <row r="2152" spans="1:10" ht="38.25" x14ac:dyDescent="0.2">
      <c r="A2152" s="1" t="s">
        <v>34</v>
      </c>
      <c r="B2152" s="2" t="s">
        <v>169</v>
      </c>
      <c r="D2152" s="5" t="s">
        <v>852</v>
      </c>
      <c r="E2152" s="3">
        <v>115254</v>
      </c>
      <c r="F2152" s="3" t="s">
        <v>465</v>
      </c>
      <c r="G2152" s="57" t="str">
        <f t="shared" si="33"/>
        <v>-</v>
      </c>
      <c r="J2152" s="5" t="s">
        <v>4065</v>
      </c>
    </row>
    <row r="2153" spans="1:10" x14ac:dyDescent="0.2">
      <c r="A2153" s="1" t="s">
        <v>34</v>
      </c>
      <c r="B2153" s="2" t="s">
        <v>169</v>
      </c>
      <c r="D2153" s="5" t="s">
        <v>464</v>
      </c>
      <c r="E2153" s="3">
        <v>107500</v>
      </c>
      <c r="F2153" s="3" t="s">
        <v>465</v>
      </c>
      <c r="G2153" s="57" t="str">
        <f t="shared" si="33"/>
        <v>-</v>
      </c>
      <c r="J2153" s="5" t="s">
        <v>1555</v>
      </c>
    </row>
    <row r="2154" spans="1:10" x14ac:dyDescent="0.2">
      <c r="A2154" s="1" t="s">
        <v>34</v>
      </c>
      <c r="B2154" s="2" t="s">
        <v>169</v>
      </c>
      <c r="D2154" s="5" t="s">
        <v>464</v>
      </c>
      <c r="E2154" s="3" t="s">
        <v>465</v>
      </c>
      <c r="F2154" s="3">
        <v>107500</v>
      </c>
      <c r="G2154" s="57" t="str">
        <f t="shared" si="33"/>
        <v>-</v>
      </c>
      <c r="J2154" s="5" t="s">
        <v>1555</v>
      </c>
    </row>
    <row r="2155" spans="1:10" ht="25.5" x14ac:dyDescent="0.2">
      <c r="A2155" s="1" t="s">
        <v>34</v>
      </c>
      <c r="B2155" s="2" t="s">
        <v>170</v>
      </c>
      <c r="D2155" s="5" t="s">
        <v>1548</v>
      </c>
      <c r="E2155" s="3">
        <v>104795</v>
      </c>
      <c r="F2155" s="3">
        <v>109400</v>
      </c>
      <c r="G2155" s="57">
        <f t="shared" si="33"/>
        <v>4.3942936208788586E-2</v>
      </c>
      <c r="J2155" s="5" t="s">
        <v>4066</v>
      </c>
    </row>
    <row r="2156" spans="1:10" ht="25.5" x14ac:dyDescent="0.2">
      <c r="A2156" s="1" t="s">
        <v>34</v>
      </c>
      <c r="B2156" s="2" t="s">
        <v>170</v>
      </c>
      <c r="D2156" s="5" t="s">
        <v>451</v>
      </c>
      <c r="E2156" s="3">
        <v>112298</v>
      </c>
      <c r="F2156" s="3">
        <v>116921</v>
      </c>
      <c r="G2156" s="57">
        <f t="shared" si="33"/>
        <v>4.1167251420328059E-2</v>
      </c>
      <c r="J2156" s="5" t="s">
        <v>4067</v>
      </c>
    </row>
    <row r="2157" spans="1:10" ht="25.5" x14ac:dyDescent="0.2">
      <c r="A2157" s="1" t="s">
        <v>34</v>
      </c>
      <c r="B2157" s="2" t="s">
        <v>170</v>
      </c>
      <c r="D2157" s="5" t="s">
        <v>1549</v>
      </c>
      <c r="E2157" s="3">
        <v>145310</v>
      </c>
      <c r="F2157" s="3">
        <v>154715</v>
      </c>
      <c r="G2157" s="57">
        <f t="shared" si="33"/>
        <v>6.4723694171082508E-2</v>
      </c>
      <c r="J2157" s="5" t="s">
        <v>4068</v>
      </c>
    </row>
    <row r="2158" spans="1:10" ht="38.25" x14ac:dyDescent="0.2">
      <c r="A2158" s="1" t="s">
        <v>34</v>
      </c>
      <c r="B2158" s="2" t="s">
        <v>170</v>
      </c>
      <c r="D2158" s="5" t="s">
        <v>1550</v>
      </c>
      <c r="E2158" s="3" t="s">
        <v>465</v>
      </c>
      <c r="F2158" s="3">
        <v>120536</v>
      </c>
      <c r="G2158" s="57" t="str">
        <f t="shared" si="33"/>
        <v>-</v>
      </c>
      <c r="J2158" s="5" t="s">
        <v>4345</v>
      </c>
    </row>
    <row r="2159" spans="1:10" ht="38.25" x14ac:dyDescent="0.2">
      <c r="A2159" s="1" t="s">
        <v>34</v>
      </c>
      <c r="B2159" s="2" t="s">
        <v>170</v>
      </c>
      <c r="D2159" s="5" t="s">
        <v>1551</v>
      </c>
      <c r="E2159" s="3">
        <v>150744</v>
      </c>
      <c r="F2159" s="3">
        <v>189720</v>
      </c>
      <c r="G2159" s="57">
        <f t="shared" si="33"/>
        <v>0.2585575545295335</v>
      </c>
      <c r="J2159" s="5" t="s">
        <v>4069</v>
      </c>
    </row>
    <row r="2160" spans="1:10" ht="25.5" x14ac:dyDescent="0.2">
      <c r="A2160" s="1" t="s">
        <v>34</v>
      </c>
      <c r="B2160" s="2" t="s">
        <v>170</v>
      </c>
      <c r="D2160" s="5" t="s">
        <v>1552</v>
      </c>
      <c r="E2160" s="3">
        <v>152539</v>
      </c>
      <c r="F2160" s="3">
        <v>133592</v>
      </c>
      <c r="G2160" s="57">
        <f t="shared" si="33"/>
        <v>-0.12421085755118363</v>
      </c>
      <c r="J2160" s="5" t="s">
        <v>4346</v>
      </c>
    </row>
    <row r="2161" spans="1:10" ht="25.5" x14ac:dyDescent="0.2">
      <c r="A2161" s="1" t="s">
        <v>34</v>
      </c>
      <c r="B2161" s="2" t="s">
        <v>170</v>
      </c>
      <c r="C2161" s="5" t="s">
        <v>1553</v>
      </c>
      <c r="D2161" s="5" t="s">
        <v>450</v>
      </c>
      <c r="E2161" s="3">
        <v>195561</v>
      </c>
      <c r="F2161" s="3">
        <v>197317</v>
      </c>
      <c r="G2161" s="57">
        <f t="shared" si="33"/>
        <v>8.9792954627967748E-3</v>
      </c>
      <c r="J2161" s="5" t="s">
        <v>4070</v>
      </c>
    </row>
    <row r="2162" spans="1:10" ht="38.25" x14ac:dyDescent="0.2">
      <c r="A2162" s="1" t="s">
        <v>34</v>
      </c>
      <c r="B2162" s="2" t="s">
        <v>170</v>
      </c>
      <c r="D2162" s="5" t="s">
        <v>4071</v>
      </c>
      <c r="E2162" s="3">
        <v>156524</v>
      </c>
      <c r="F2162" s="3">
        <v>87720</v>
      </c>
      <c r="G2162" s="57">
        <f t="shared" si="33"/>
        <v>-0.43957476169788656</v>
      </c>
      <c r="J2162" s="5" t="s">
        <v>4347</v>
      </c>
    </row>
    <row r="2163" spans="1:10" ht="38.25" x14ac:dyDescent="0.2">
      <c r="A2163" s="1" t="s">
        <v>34</v>
      </c>
      <c r="B2163" s="2" t="s">
        <v>170</v>
      </c>
      <c r="D2163" s="5" t="s">
        <v>4072</v>
      </c>
      <c r="E2163" s="3">
        <v>121825</v>
      </c>
      <c r="F2163" s="3">
        <v>148926</v>
      </c>
      <c r="G2163" s="57">
        <f t="shared" si="33"/>
        <v>0.2224584444900472</v>
      </c>
      <c r="J2163" s="5" t="s">
        <v>4348</v>
      </c>
    </row>
    <row r="2164" spans="1:10" x14ac:dyDescent="0.2">
      <c r="A2164" s="1" t="s">
        <v>34</v>
      </c>
      <c r="B2164" s="2" t="s">
        <v>170</v>
      </c>
      <c r="D2164" s="5" t="s">
        <v>464</v>
      </c>
      <c r="G2164" s="57" t="str">
        <f t="shared" si="33"/>
        <v>-</v>
      </c>
      <c r="H2164" s="19">
        <v>92500</v>
      </c>
      <c r="I2164" s="19" t="s">
        <v>465</v>
      </c>
    </row>
    <row r="2165" spans="1:10" x14ac:dyDescent="0.2">
      <c r="A2165" s="1" t="s">
        <v>34</v>
      </c>
      <c r="B2165" s="2" t="s">
        <v>170</v>
      </c>
      <c r="C2165" s="1"/>
      <c r="D2165" s="5" t="s">
        <v>464</v>
      </c>
      <c r="G2165" s="57" t="str">
        <f t="shared" si="33"/>
        <v>-</v>
      </c>
      <c r="H2165" s="19">
        <v>92500</v>
      </c>
      <c r="I2165" s="19" t="s">
        <v>465</v>
      </c>
      <c r="J2165" s="1"/>
    </row>
    <row r="2166" spans="1:10" x14ac:dyDescent="0.2">
      <c r="A2166" s="1" t="s">
        <v>34</v>
      </c>
      <c r="B2166" s="2" t="s">
        <v>170</v>
      </c>
      <c r="C2166" s="1"/>
      <c r="D2166" s="5" t="s">
        <v>464</v>
      </c>
      <c r="G2166" s="57" t="str">
        <f t="shared" si="33"/>
        <v>-</v>
      </c>
      <c r="H2166" s="19">
        <v>97500</v>
      </c>
      <c r="I2166" s="19" t="s">
        <v>465</v>
      </c>
      <c r="J2166" s="1"/>
    </row>
    <row r="2167" spans="1:10" x14ac:dyDescent="0.2">
      <c r="A2167" s="1" t="s">
        <v>34</v>
      </c>
      <c r="B2167" s="2" t="s">
        <v>170</v>
      </c>
      <c r="C2167" s="1"/>
      <c r="D2167" s="5" t="s">
        <v>464</v>
      </c>
      <c r="G2167" s="57" t="str">
        <f t="shared" si="33"/>
        <v>-</v>
      </c>
      <c r="H2167" s="19">
        <v>97500</v>
      </c>
      <c r="I2167" s="19" t="s">
        <v>465</v>
      </c>
      <c r="J2167" s="1"/>
    </row>
    <row r="2168" spans="1:10" x14ac:dyDescent="0.2">
      <c r="A2168" s="1" t="s">
        <v>34</v>
      </c>
      <c r="B2168" s="2" t="s">
        <v>170</v>
      </c>
      <c r="C2168" s="1"/>
      <c r="D2168" s="5" t="s">
        <v>464</v>
      </c>
      <c r="G2168" s="57" t="str">
        <f t="shared" si="33"/>
        <v>-</v>
      </c>
      <c r="H2168" s="19">
        <v>97500</v>
      </c>
      <c r="I2168" s="19" t="s">
        <v>465</v>
      </c>
      <c r="J2168" s="1"/>
    </row>
    <row r="2169" spans="1:10" x14ac:dyDescent="0.2">
      <c r="A2169" s="1" t="s">
        <v>34</v>
      </c>
      <c r="B2169" s="2" t="s">
        <v>170</v>
      </c>
      <c r="C2169" s="1"/>
      <c r="D2169" s="5" t="s">
        <v>464</v>
      </c>
      <c r="G2169" s="57" t="str">
        <f t="shared" si="33"/>
        <v>-</v>
      </c>
      <c r="H2169" s="19">
        <v>97500</v>
      </c>
      <c r="I2169" s="19" t="s">
        <v>465</v>
      </c>
      <c r="J2169" s="1"/>
    </row>
    <row r="2170" spans="1:10" x14ac:dyDescent="0.2">
      <c r="A2170" s="1" t="s">
        <v>34</v>
      </c>
      <c r="B2170" s="2" t="s">
        <v>170</v>
      </c>
      <c r="C2170" s="1"/>
      <c r="D2170" s="5" t="s">
        <v>464</v>
      </c>
      <c r="G2170" s="57" t="str">
        <f t="shared" si="33"/>
        <v>-</v>
      </c>
      <c r="H2170" s="19" t="s">
        <v>465</v>
      </c>
      <c r="I2170" s="19">
        <v>97500</v>
      </c>
      <c r="J2170" s="1"/>
    </row>
    <row r="2171" spans="1:10" x14ac:dyDescent="0.2">
      <c r="A2171" s="1" t="s">
        <v>34</v>
      </c>
      <c r="B2171" s="2" t="s">
        <v>170</v>
      </c>
      <c r="C2171" s="1"/>
      <c r="D2171" s="5" t="s">
        <v>464</v>
      </c>
      <c r="G2171" s="57" t="str">
        <f t="shared" si="33"/>
        <v>-</v>
      </c>
      <c r="H2171" s="19" t="s">
        <v>465</v>
      </c>
      <c r="I2171" s="19">
        <v>97500</v>
      </c>
      <c r="J2171" s="1"/>
    </row>
    <row r="2172" spans="1:10" ht="25.5" x14ac:dyDescent="0.2">
      <c r="A2172" s="1" t="s">
        <v>4</v>
      </c>
      <c r="B2172" s="2" t="s">
        <v>171</v>
      </c>
      <c r="D2172" s="5" t="s">
        <v>450</v>
      </c>
      <c r="E2172" s="3">
        <v>105139</v>
      </c>
      <c r="F2172" s="3">
        <v>105807</v>
      </c>
      <c r="G2172" s="57">
        <f t="shared" si="33"/>
        <v>6.3534939461094364E-3</v>
      </c>
      <c r="J2172" s="5" t="s">
        <v>3599</v>
      </c>
    </row>
    <row r="2173" spans="1:10" ht="51" x14ac:dyDescent="0.2">
      <c r="A2173" s="1" t="s">
        <v>4</v>
      </c>
      <c r="B2173" s="2" t="s">
        <v>171</v>
      </c>
      <c r="D2173" s="5" t="s">
        <v>1547</v>
      </c>
      <c r="E2173" s="3" t="s">
        <v>465</v>
      </c>
      <c r="F2173" s="3">
        <v>110467</v>
      </c>
      <c r="G2173" s="57" t="str">
        <f t="shared" si="33"/>
        <v>-</v>
      </c>
      <c r="J2173" s="5" t="s">
        <v>3598</v>
      </c>
    </row>
    <row r="2174" spans="1:10" ht="25.5" x14ac:dyDescent="0.2">
      <c r="A2174" s="1" t="s">
        <v>4</v>
      </c>
      <c r="B2174" s="2" t="s">
        <v>172</v>
      </c>
      <c r="D2174" s="5" t="s">
        <v>450</v>
      </c>
      <c r="E2174" s="9">
        <v>147962</v>
      </c>
      <c r="F2174" s="9">
        <v>153140</v>
      </c>
      <c r="G2174" s="57">
        <f t="shared" si="33"/>
        <v>3.4995471810329679E-2</v>
      </c>
      <c r="J2174" s="5" t="s">
        <v>3594</v>
      </c>
    </row>
    <row r="2175" spans="1:10" ht="25.5" x14ac:dyDescent="0.2">
      <c r="A2175" s="1" t="s">
        <v>4</v>
      </c>
      <c r="B2175" s="2" t="s">
        <v>172</v>
      </c>
      <c r="D2175" s="5" t="s">
        <v>1542</v>
      </c>
      <c r="E2175" s="9">
        <v>107505</v>
      </c>
      <c r="F2175" s="9">
        <v>111619</v>
      </c>
      <c r="G2175" s="57">
        <f t="shared" si="33"/>
        <v>3.8267987535463469E-2</v>
      </c>
      <c r="J2175" s="5" t="s">
        <v>3595</v>
      </c>
    </row>
    <row r="2176" spans="1:10" ht="25.5" x14ac:dyDescent="0.2">
      <c r="A2176" s="1" t="s">
        <v>4</v>
      </c>
      <c r="B2176" s="2" t="s">
        <v>172</v>
      </c>
      <c r="D2176" s="5" t="s">
        <v>1543</v>
      </c>
      <c r="E2176" s="9">
        <v>107147</v>
      </c>
      <c r="F2176" s="9">
        <v>117841</v>
      </c>
      <c r="G2176" s="57">
        <f t="shared" si="33"/>
        <v>9.9806807470111156E-2</v>
      </c>
      <c r="J2176" s="5" t="s">
        <v>3597</v>
      </c>
    </row>
    <row r="2177" spans="1:10" ht="25.5" x14ac:dyDescent="0.2">
      <c r="A2177" s="1" t="s">
        <v>4</v>
      </c>
      <c r="B2177" s="2" t="s">
        <v>172</v>
      </c>
      <c r="D2177" s="5" t="s">
        <v>1544</v>
      </c>
      <c r="E2177" s="9">
        <v>110740</v>
      </c>
      <c r="F2177" s="9">
        <v>117980</v>
      </c>
      <c r="G2177" s="57">
        <f t="shared" si="33"/>
        <v>6.5378363734874476E-2</v>
      </c>
      <c r="J2177" s="5" t="s">
        <v>3596</v>
      </c>
    </row>
    <row r="2178" spans="1:10" ht="25.5" x14ac:dyDescent="0.2">
      <c r="A2178" s="1" t="s">
        <v>4</v>
      </c>
      <c r="B2178" s="2" t="s">
        <v>172</v>
      </c>
      <c r="D2178" s="5" t="s">
        <v>1545</v>
      </c>
      <c r="E2178" s="9">
        <v>106337</v>
      </c>
      <c r="F2178" s="9">
        <v>116119</v>
      </c>
      <c r="G2178" s="57">
        <f t="shared" si="33"/>
        <v>9.199055831930561E-2</v>
      </c>
      <c r="J2178" s="5" t="s">
        <v>1546</v>
      </c>
    </row>
    <row r="2179" spans="1:10" ht="25.5" x14ac:dyDescent="0.2">
      <c r="A2179" s="1" t="s">
        <v>20</v>
      </c>
      <c r="B2179" s="2" t="s">
        <v>173</v>
      </c>
      <c r="D2179" s="5" t="s">
        <v>470</v>
      </c>
      <c r="E2179" s="9">
        <v>134767</v>
      </c>
      <c r="F2179" s="9">
        <v>137797</v>
      </c>
      <c r="G2179" s="57">
        <f t="shared" ref="G2179:G2242" si="34">IF(ISERROR((F2179-E2179)/E2179),"-",(F2179-E2179)/E2179)</f>
        <v>2.2483248866562288E-2</v>
      </c>
      <c r="J2179" s="5" t="s">
        <v>3592</v>
      </c>
    </row>
    <row r="2180" spans="1:10" ht="25.5" x14ac:dyDescent="0.2">
      <c r="A2180" s="1" t="s">
        <v>20</v>
      </c>
      <c r="B2180" s="2" t="s">
        <v>173</v>
      </c>
      <c r="D2180" s="5" t="s">
        <v>529</v>
      </c>
      <c r="E2180" s="9">
        <v>114846</v>
      </c>
      <c r="F2180" s="9">
        <v>116516</v>
      </c>
      <c r="G2180" s="57">
        <f t="shared" si="34"/>
        <v>1.4541211709593717E-2</v>
      </c>
      <c r="J2180" s="5" t="s">
        <v>3593</v>
      </c>
    </row>
    <row r="2181" spans="1:10" ht="38.25" x14ac:dyDescent="0.2">
      <c r="A2181" s="1" t="s">
        <v>25</v>
      </c>
      <c r="B2181" s="2" t="s">
        <v>174</v>
      </c>
      <c r="C2181" s="5" t="s">
        <v>1519</v>
      </c>
      <c r="D2181" s="5" t="s">
        <v>450</v>
      </c>
      <c r="E2181" s="9">
        <v>236215</v>
      </c>
      <c r="F2181" s="9">
        <v>433157</v>
      </c>
      <c r="G2181" s="57">
        <f t="shared" si="34"/>
        <v>0.83374044832038607</v>
      </c>
      <c r="J2181" s="5" t="s">
        <v>4349</v>
      </c>
    </row>
    <row r="2182" spans="1:10" ht="25.5" x14ac:dyDescent="0.2">
      <c r="A2182" s="1" t="s">
        <v>25</v>
      </c>
      <c r="B2182" s="2" t="s">
        <v>174</v>
      </c>
      <c r="C2182" s="5" t="s">
        <v>1520</v>
      </c>
      <c r="D2182" s="5" t="s">
        <v>1521</v>
      </c>
      <c r="E2182" s="9">
        <v>163701</v>
      </c>
      <c r="F2182" s="9">
        <v>168677</v>
      </c>
      <c r="G2182" s="57">
        <f t="shared" si="34"/>
        <v>3.0396882120451312E-2</v>
      </c>
      <c r="J2182" s="5" t="s">
        <v>3584</v>
      </c>
    </row>
    <row r="2183" spans="1:10" ht="25.5" x14ac:dyDescent="0.2">
      <c r="A2183" s="1" t="s">
        <v>25</v>
      </c>
      <c r="B2183" s="2" t="s">
        <v>174</v>
      </c>
      <c r="C2183" s="5" t="s">
        <v>1522</v>
      </c>
      <c r="D2183" s="5" t="s">
        <v>886</v>
      </c>
      <c r="E2183" s="9">
        <v>154479</v>
      </c>
      <c r="F2183" s="9">
        <v>154029</v>
      </c>
      <c r="G2183" s="57">
        <f t="shared" si="34"/>
        <v>-2.9130173033227818E-3</v>
      </c>
      <c r="J2183" s="5" t="s">
        <v>3585</v>
      </c>
    </row>
    <row r="2184" spans="1:10" ht="25.5" x14ac:dyDescent="0.2">
      <c r="A2184" s="1" t="s">
        <v>25</v>
      </c>
      <c r="B2184" s="2" t="s">
        <v>174</v>
      </c>
      <c r="C2184" s="5" t="s">
        <v>1523</v>
      </c>
      <c r="D2184" s="5" t="s">
        <v>1524</v>
      </c>
      <c r="E2184" s="9">
        <v>85573</v>
      </c>
      <c r="F2184" s="9">
        <v>146696</v>
      </c>
      <c r="G2184" s="57">
        <f t="shared" si="34"/>
        <v>0.71427903661201553</v>
      </c>
      <c r="J2184" s="5" t="s">
        <v>3588</v>
      </c>
    </row>
    <row r="2185" spans="1:10" ht="25.5" x14ac:dyDescent="0.2">
      <c r="A2185" s="1" t="s">
        <v>25</v>
      </c>
      <c r="B2185" s="2" t="s">
        <v>174</v>
      </c>
      <c r="C2185" s="5" t="s">
        <v>1525</v>
      </c>
      <c r="D2185" s="5" t="s">
        <v>1526</v>
      </c>
      <c r="E2185" s="9">
        <v>147124</v>
      </c>
      <c r="F2185" s="9">
        <v>146696</v>
      </c>
      <c r="G2185" s="57">
        <f t="shared" si="34"/>
        <v>-2.9091106821456732E-3</v>
      </c>
      <c r="J2185" s="5" t="s">
        <v>3586</v>
      </c>
    </row>
    <row r="2186" spans="1:10" ht="25.5" x14ac:dyDescent="0.2">
      <c r="A2186" s="1" t="s">
        <v>25</v>
      </c>
      <c r="B2186" s="2" t="s">
        <v>174</v>
      </c>
      <c r="C2186" s="5" t="s">
        <v>1527</v>
      </c>
      <c r="D2186" s="5" t="s">
        <v>1528</v>
      </c>
      <c r="E2186" s="9">
        <v>149113</v>
      </c>
      <c r="F2186" s="9">
        <v>145032</v>
      </c>
      <c r="G2186" s="57">
        <f t="shared" si="34"/>
        <v>-2.7368505764084956E-2</v>
      </c>
      <c r="J2186" s="5" t="s">
        <v>3587</v>
      </c>
    </row>
    <row r="2187" spans="1:10" ht="25.5" x14ac:dyDescent="0.2">
      <c r="A2187" s="1" t="s">
        <v>25</v>
      </c>
      <c r="B2187" s="2" t="s">
        <v>174</v>
      </c>
      <c r="C2187" s="5" t="s">
        <v>1529</v>
      </c>
      <c r="D2187" s="5" t="s">
        <v>1530</v>
      </c>
      <c r="E2187" s="9">
        <v>146946</v>
      </c>
      <c r="F2187" s="9">
        <v>146696</v>
      </c>
      <c r="G2187" s="57">
        <f t="shared" si="34"/>
        <v>-1.7013052413811876E-3</v>
      </c>
      <c r="J2187" s="5" t="s">
        <v>3586</v>
      </c>
    </row>
    <row r="2188" spans="1:10" ht="25.5" x14ac:dyDescent="0.2">
      <c r="A2188" s="1" t="s">
        <v>25</v>
      </c>
      <c r="B2188" s="2" t="s">
        <v>174</v>
      </c>
      <c r="C2188" s="5" t="s">
        <v>1531</v>
      </c>
      <c r="D2188" s="5" t="s">
        <v>1532</v>
      </c>
      <c r="E2188" s="9">
        <v>147076</v>
      </c>
      <c r="F2188" s="9">
        <v>146696</v>
      </c>
      <c r="G2188" s="57">
        <f t="shared" si="34"/>
        <v>-2.5836982240474314E-3</v>
      </c>
      <c r="J2188" s="5" t="s">
        <v>3586</v>
      </c>
    </row>
    <row r="2189" spans="1:10" ht="25.5" x14ac:dyDescent="0.2">
      <c r="A2189" s="1" t="s">
        <v>25</v>
      </c>
      <c r="B2189" s="2" t="s">
        <v>174</v>
      </c>
      <c r="C2189" s="5" t="s">
        <v>1533</v>
      </c>
      <c r="D2189" s="5" t="s">
        <v>1534</v>
      </c>
      <c r="E2189" s="9">
        <v>131216</v>
      </c>
      <c r="F2189" s="9">
        <v>143544</v>
      </c>
      <c r="G2189" s="57">
        <f t="shared" si="34"/>
        <v>9.3951957078405077E-2</v>
      </c>
      <c r="J2189" s="5" t="s">
        <v>3589</v>
      </c>
    </row>
    <row r="2190" spans="1:10" ht="25.5" x14ac:dyDescent="0.2">
      <c r="A2190" s="1" t="s">
        <v>25</v>
      </c>
      <c r="B2190" s="2" t="s">
        <v>174</v>
      </c>
      <c r="C2190" s="5" t="s">
        <v>1535</v>
      </c>
      <c r="D2190" s="5" t="s">
        <v>1536</v>
      </c>
      <c r="E2190" s="9">
        <v>146904</v>
      </c>
      <c r="F2190" s="9">
        <v>146696</v>
      </c>
      <c r="G2190" s="57">
        <f t="shared" si="34"/>
        <v>-1.415890649675979E-3</v>
      </c>
      <c r="J2190" s="5" t="s">
        <v>3586</v>
      </c>
    </row>
    <row r="2191" spans="1:10" ht="25.5" x14ac:dyDescent="0.2">
      <c r="A2191" s="1" t="s">
        <v>25</v>
      </c>
      <c r="B2191" s="2" t="s">
        <v>174</v>
      </c>
      <c r="C2191" s="5" t="s">
        <v>1537</v>
      </c>
      <c r="D2191" s="5" t="s">
        <v>1538</v>
      </c>
      <c r="E2191" s="9">
        <v>123240</v>
      </c>
      <c r="F2191" s="9">
        <v>146696</v>
      </c>
      <c r="G2191" s="57">
        <f t="shared" si="34"/>
        <v>0.19032781564427134</v>
      </c>
      <c r="J2191" s="5" t="s">
        <v>3586</v>
      </c>
    </row>
    <row r="2192" spans="1:10" ht="25.5" x14ac:dyDescent="0.2">
      <c r="A2192" s="1" t="s">
        <v>25</v>
      </c>
      <c r="B2192" s="2" t="s">
        <v>174</v>
      </c>
      <c r="C2192" s="5" t="s">
        <v>1539</v>
      </c>
      <c r="D2192" s="5" t="s">
        <v>1540</v>
      </c>
      <c r="E2192" s="9">
        <v>118249</v>
      </c>
      <c r="F2192" s="9">
        <v>117957</v>
      </c>
      <c r="G2192" s="57">
        <f t="shared" si="34"/>
        <v>-2.4693654914629301E-3</v>
      </c>
      <c r="J2192" s="5" t="s">
        <v>3590</v>
      </c>
    </row>
    <row r="2193" spans="1:10" ht="25.5" x14ac:dyDescent="0.2">
      <c r="A2193" s="1" t="s">
        <v>25</v>
      </c>
      <c r="B2193" s="2" t="s">
        <v>174</v>
      </c>
      <c r="C2193" s="5" t="s">
        <v>1541</v>
      </c>
      <c r="D2193" s="5" t="s">
        <v>4643</v>
      </c>
      <c r="E2193" s="9" t="s">
        <v>465</v>
      </c>
      <c r="F2193" s="9">
        <v>113771</v>
      </c>
      <c r="G2193" s="57" t="str">
        <f t="shared" si="34"/>
        <v>-</v>
      </c>
      <c r="J2193" s="5" t="s">
        <v>3591</v>
      </c>
    </row>
    <row r="2194" spans="1:10" x14ac:dyDescent="0.2">
      <c r="A2194" s="1" t="s">
        <v>25</v>
      </c>
      <c r="B2194" s="2" t="s">
        <v>174</v>
      </c>
      <c r="D2194" s="5" t="s">
        <v>464</v>
      </c>
      <c r="G2194" s="57" t="str">
        <f t="shared" si="34"/>
        <v>-</v>
      </c>
      <c r="H2194" s="19" t="s">
        <v>465</v>
      </c>
      <c r="I2194" s="19">
        <v>92500</v>
      </c>
    </row>
    <row r="2195" spans="1:10" x14ac:dyDescent="0.2">
      <c r="A2195" s="1" t="s">
        <v>25</v>
      </c>
      <c r="B2195" s="2" t="s">
        <v>174</v>
      </c>
      <c r="D2195" s="5" t="s">
        <v>464</v>
      </c>
      <c r="G2195" s="57" t="str">
        <f t="shared" si="34"/>
        <v>-</v>
      </c>
      <c r="H2195" s="19">
        <v>92500</v>
      </c>
      <c r="I2195" s="19" t="s">
        <v>465</v>
      </c>
      <c r="J2195" s="5" t="s">
        <v>539</v>
      </c>
    </row>
    <row r="2196" spans="1:10" x14ac:dyDescent="0.2">
      <c r="A2196" s="1" t="s">
        <v>25</v>
      </c>
      <c r="B2196" s="2" t="s">
        <v>174</v>
      </c>
      <c r="D2196" s="5" t="s">
        <v>464</v>
      </c>
      <c r="G2196" s="57" t="str">
        <f t="shared" si="34"/>
        <v>-</v>
      </c>
      <c r="H2196" s="19" t="s">
        <v>465</v>
      </c>
      <c r="I2196" s="19">
        <v>97500</v>
      </c>
    </row>
    <row r="2197" spans="1:10" x14ac:dyDescent="0.2">
      <c r="A2197" s="1" t="s">
        <v>25</v>
      </c>
      <c r="B2197" s="2" t="s">
        <v>174</v>
      </c>
      <c r="D2197" s="5" t="s">
        <v>464</v>
      </c>
      <c r="G2197" s="57" t="str">
        <f t="shared" si="34"/>
        <v>-</v>
      </c>
      <c r="H2197" s="19">
        <v>97500</v>
      </c>
      <c r="I2197" s="19" t="s">
        <v>465</v>
      </c>
    </row>
    <row r="2198" spans="1:10" x14ac:dyDescent="0.2">
      <c r="A2198" s="1" t="s">
        <v>25</v>
      </c>
      <c r="B2198" s="2" t="s">
        <v>174</v>
      </c>
      <c r="D2198" s="5" t="s">
        <v>464</v>
      </c>
      <c r="E2198" s="3" t="s">
        <v>465</v>
      </c>
      <c r="F2198" s="3">
        <v>102500</v>
      </c>
      <c r="G2198" s="57" t="str">
        <f t="shared" si="34"/>
        <v>-</v>
      </c>
    </row>
    <row r="2199" spans="1:10" x14ac:dyDescent="0.2">
      <c r="A2199" s="1" t="s">
        <v>25</v>
      </c>
      <c r="B2199" s="2" t="s">
        <v>174</v>
      </c>
      <c r="D2199" s="5" t="s">
        <v>464</v>
      </c>
      <c r="E2199" s="3" t="s">
        <v>465</v>
      </c>
      <c r="F2199" s="3">
        <v>102500</v>
      </c>
      <c r="G2199" s="57" t="str">
        <f t="shared" si="34"/>
        <v>-</v>
      </c>
    </row>
    <row r="2200" spans="1:10" x14ac:dyDescent="0.2">
      <c r="A2200" s="1" t="s">
        <v>25</v>
      </c>
      <c r="B2200" s="2" t="s">
        <v>174</v>
      </c>
      <c r="D2200" s="5" t="s">
        <v>464</v>
      </c>
      <c r="E2200" s="3">
        <v>102500</v>
      </c>
      <c r="F2200" s="3" t="s">
        <v>465</v>
      </c>
      <c r="G2200" s="57" t="str">
        <f t="shared" si="34"/>
        <v>-</v>
      </c>
      <c r="J2200" s="5" t="s">
        <v>539</v>
      </c>
    </row>
    <row r="2201" spans="1:10" x14ac:dyDescent="0.2">
      <c r="A2201" s="1" t="s">
        <v>25</v>
      </c>
      <c r="B2201" s="2" t="s">
        <v>174</v>
      </c>
      <c r="D2201" s="5" t="s">
        <v>464</v>
      </c>
      <c r="E2201" s="3">
        <v>107500</v>
      </c>
      <c r="F2201" s="3" t="s">
        <v>465</v>
      </c>
      <c r="G2201" s="57" t="str">
        <f t="shared" si="34"/>
        <v>-</v>
      </c>
    </row>
    <row r="2202" spans="1:10" x14ac:dyDescent="0.2">
      <c r="A2202" s="1" t="s">
        <v>25</v>
      </c>
      <c r="B2202" s="2" t="s">
        <v>174</v>
      </c>
      <c r="D2202" s="5" t="s">
        <v>464</v>
      </c>
      <c r="E2202" s="3">
        <v>107500</v>
      </c>
      <c r="F2202" s="3" t="s">
        <v>465</v>
      </c>
      <c r="G2202" s="57" t="str">
        <f t="shared" si="34"/>
        <v>-</v>
      </c>
      <c r="J2202" s="5" t="s">
        <v>539</v>
      </c>
    </row>
    <row r="2203" spans="1:10" x14ac:dyDescent="0.2">
      <c r="A2203" s="1" t="s">
        <v>25</v>
      </c>
      <c r="B2203" s="2" t="s">
        <v>174</v>
      </c>
      <c r="D2203" s="5" t="s">
        <v>464</v>
      </c>
      <c r="E2203" s="3" t="s">
        <v>465</v>
      </c>
      <c r="F2203" s="3">
        <v>112500</v>
      </c>
      <c r="G2203" s="57" t="str">
        <f t="shared" si="34"/>
        <v>-</v>
      </c>
    </row>
    <row r="2204" spans="1:10" x14ac:dyDescent="0.2">
      <c r="A2204" s="1" t="s">
        <v>25</v>
      </c>
      <c r="B2204" s="2" t="s">
        <v>174</v>
      </c>
      <c r="D2204" s="5" t="s">
        <v>464</v>
      </c>
      <c r="E2204" s="3" t="s">
        <v>465</v>
      </c>
      <c r="F2204" s="3">
        <v>112500</v>
      </c>
      <c r="G2204" s="57" t="str">
        <f t="shared" si="34"/>
        <v>-</v>
      </c>
    </row>
    <row r="2205" spans="1:10" x14ac:dyDescent="0.2">
      <c r="A2205" s="1" t="s">
        <v>25</v>
      </c>
      <c r="B2205" s="2" t="s">
        <v>174</v>
      </c>
      <c r="D2205" s="5" t="s">
        <v>464</v>
      </c>
      <c r="E2205" s="3" t="s">
        <v>465</v>
      </c>
      <c r="F2205" s="3">
        <v>112500</v>
      </c>
      <c r="G2205" s="57" t="str">
        <f t="shared" si="34"/>
        <v>-</v>
      </c>
    </row>
    <row r="2206" spans="1:10" x14ac:dyDescent="0.2">
      <c r="A2206" s="1" t="s">
        <v>25</v>
      </c>
      <c r="B2206" s="2" t="s">
        <v>174</v>
      </c>
      <c r="D2206" s="5" t="s">
        <v>464</v>
      </c>
      <c r="E2206" s="3">
        <v>117500</v>
      </c>
      <c r="F2206" s="3" t="s">
        <v>465</v>
      </c>
      <c r="G2206" s="57" t="str">
        <f t="shared" si="34"/>
        <v>-</v>
      </c>
      <c r="J2206" s="5" t="s">
        <v>539</v>
      </c>
    </row>
    <row r="2207" spans="1:10" x14ac:dyDescent="0.2">
      <c r="A2207" s="1" t="s">
        <v>25</v>
      </c>
      <c r="B2207" s="2" t="s">
        <v>174</v>
      </c>
      <c r="D2207" s="5" t="s">
        <v>464</v>
      </c>
      <c r="E2207" s="3">
        <v>127500</v>
      </c>
      <c r="F2207" s="3" t="s">
        <v>465</v>
      </c>
      <c r="G2207" s="57" t="str">
        <f t="shared" si="34"/>
        <v>-</v>
      </c>
      <c r="J2207" s="5" t="s">
        <v>539</v>
      </c>
    </row>
    <row r="2208" spans="1:10" x14ac:dyDescent="0.2">
      <c r="A2208" s="1" t="s">
        <v>25</v>
      </c>
      <c r="B2208" s="2" t="s">
        <v>174</v>
      </c>
      <c r="D2208" s="5" t="s">
        <v>464</v>
      </c>
      <c r="E2208" s="3">
        <v>132500</v>
      </c>
      <c r="F2208" s="3" t="s">
        <v>465</v>
      </c>
      <c r="G2208" s="57" t="str">
        <f t="shared" si="34"/>
        <v>-</v>
      </c>
      <c r="J2208" s="5" t="s">
        <v>539</v>
      </c>
    </row>
    <row r="2209" spans="1:10" x14ac:dyDescent="0.2">
      <c r="A2209" s="1" t="s">
        <v>25</v>
      </c>
      <c r="B2209" s="2" t="s">
        <v>174</v>
      </c>
      <c r="D2209" s="5" t="s">
        <v>464</v>
      </c>
      <c r="E2209" s="3">
        <v>142500</v>
      </c>
      <c r="F2209" s="3" t="s">
        <v>465</v>
      </c>
      <c r="G2209" s="57" t="str">
        <f t="shared" si="34"/>
        <v>-</v>
      </c>
      <c r="J2209" s="5" t="s">
        <v>539</v>
      </c>
    </row>
    <row r="2210" spans="1:10" x14ac:dyDescent="0.2">
      <c r="A2210" s="1" t="s">
        <v>25</v>
      </c>
      <c r="B2210" s="2" t="s">
        <v>174</v>
      </c>
      <c r="D2210" s="5" t="s">
        <v>464</v>
      </c>
      <c r="E2210" s="3">
        <v>202500</v>
      </c>
      <c r="F2210" s="3" t="s">
        <v>465</v>
      </c>
      <c r="G2210" s="57" t="str">
        <f t="shared" si="34"/>
        <v>-</v>
      </c>
      <c r="J2210" s="5" t="s">
        <v>539</v>
      </c>
    </row>
    <row r="2211" spans="1:10" x14ac:dyDescent="0.2">
      <c r="A2211" s="1" t="s">
        <v>25</v>
      </c>
      <c r="B2211" s="2" t="s">
        <v>175</v>
      </c>
      <c r="C2211" s="5" t="s">
        <v>1509</v>
      </c>
      <c r="D2211" s="5" t="s">
        <v>450</v>
      </c>
      <c r="E2211" s="9">
        <v>225150</v>
      </c>
      <c r="F2211" s="9">
        <v>224816.65</v>
      </c>
      <c r="G2211" s="57">
        <f t="shared" si="34"/>
        <v>-1.4805685098823265E-3</v>
      </c>
      <c r="J2211" s="5" t="s">
        <v>3575</v>
      </c>
    </row>
    <row r="2212" spans="1:10" x14ac:dyDescent="0.2">
      <c r="A2212" s="1" t="s">
        <v>25</v>
      </c>
      <c r="B2212" s="2" t="s">
        <v>175</v>
      </c>
      <c r="C2212" s="5" t="s">
        <v>1510</v>
      </c>
      <c r="D2212" s="5" t="s">
        <v>455</v>
      </c>
      <c r="E2212" s="9">
        <v>196969.97</v>
      </c>
      <c r="F2212" s="9">
        <v>201450</v>
      </c>
      <c r="G2212" s="57">
        <f t="shared" si="34"/>
        <v>2.2744736164604172E-2</v>
      </c>
      <c r="J2212" s="5" t="s">
        <v>3576</v>
      </c>
    </row>
    <row r="2213" spans="1:10" x14ac:dyDescent="0.2">
      <c r="A2213" s="1" t="s">
        <v>25</v>
      </c>
      <c r="B2213" s="2" t="s">
        <v>175</v>
      </c>
      <c r="C2213" s="5" t="s">
        <v>1511</v>
      </c>
      <c r="D2213" s="5" t="s">
        <v>1512</v>
      </c>
      <c r="E2213" s="9">
        <v>171825</v>
      </c>
      <c r="F2213" s="9">
        <v>182687.51</v>
      </c>
      <c r="G2213" s="57">
        <f t="shared" si="34"/>
        <v>6.3218449003346486E-2</v>
      </c>
      <c r="J2213" s="5" t="s">
        <v>3577</v>
      </c>
    </row>
    <row r="2214" spans="1:10" x14ac:dyDescent="0.2">
      <c r="A2214" s="1" t="s">
        <v>25</v>
      </c>
      <c r="B2214" s="2" t="s">
        <v>175</v>
      </c>
      <c r="C2214" s="5" t="s">
        <v>1513</v>
      </c>
      <c r="D2214" s="5" t="s">
        <v>562</v>
      </c>
      <c r="E2214" s="9">
        <v>177750</v>
      </c>
      <c r="F2214" s="9">
        <v>177750</v>
      </c>
      <c r="G2214" s="57">
        <f t="shared" si="34"/>
        <v>0</v>
      </c>
      <c r="J2214" s="5" t="s">
        <v>3578</v>
      </c>
    </row>
    <row r="2215" spans="1:10" x14ac:dyDescent="0.2">
      <c r="A2215" s="1" t="s">
        <v>25</v>
      </c>
      <c r="B2215" s="2" t="s">
        <v>175</v>
      </c>
      <c r="D2215" s="5" t="s">
        <v>507</v>
      </c>
      <c r="E2215" s="9">
        <v>171825</v>
      </c>
      <c r="F2215" s="9">
        <v>171825</v>
      </c>
      <c r="G2215" s="57">
        <f t="shared" si="34"/>
        <v>0</v>
      </c>
      <c r="J2215" s="5" t="s">
        <v>3579</v>
      </c>
    </row>
    <row r="2216" spans="1:10" x14ac:dyDescent="0.2">
      <c r="A2216" s="1" t="s">
        <v>25</v>
      </c>
      <c r="B2216" s="2" t="s">
        <v>175</v>
      </c>
      <c r="D2216" s="5" t="s">
        <v>1514</v>
      </c>
      <c r="E2216" s="9">
        <v>148125</v>
      </c>
      <c r="F2216" s="9">
        <v>148191.67000000001</v>
      </c>
      <c r="G2216" s="57">
        <f t="shared" si="34"/>
        <v>4.5009282700430588E-4</v>
      </c>
      <c r="J2216" s="5" t="s">
        <v>3580</v>
      </c>
    </row>
    <row r="2217" spans="1:10" x14ac:dyDescent="0.2">
      <c r="A2217" s="1" t="s">
        <v>25</v>
      </c>
      <c r="B2217" s="2" t="s">
        <v>175</v>
      </c>
      <c r="D2217" s="5" t="s">
        <v>1515</v>
      </c>
      <c r="E2217" s="9">
        <v>148125</v>
      </c>
      <c r="F2217" s="9">
        <v>148125</v>
      </c>
      <c r="G2217" s="57">
        <f t="shared" si="34"/>
        <v>0</v>
      </c>
      <c r="J2217" s="5" t="s">
        <v>3581</v>
      </c>
    </row>
    <row r="2218" spans="1:10" x14ac:dyDescent="0.2">
      <c r="A2218" s="1" t="s">
        <v>25</v>
      </c>
      <c r="B2218" s="2" t="s">
        <v>175</v>
      </c>
      <c r="D2218" s="5" t="s">
        <v>1516</v>
      </c>
      <c r="E2218" s="9">
        <v>148094.5</v>
      </c>
      <c r="F2218" s="9">
        <v>148125</v>
      </c>
      <c r="G2218" s="57">
        <f t="shared" si="34"/>
        <v>2.0594957949147334E-4</v>
      </c>
      <c r="J2218" s="5" t="s">
        <v>3581</v>
      </c>
    </row>
    <row r="2219" spans="1:10" x14ac:dyDescent="0.2">
      <c r="A2219" s="1" t="s">
        <v>25</v>
      </c>
      <c r="B2219" s="2" t="s">
        <v>175</v>
      </c>
      <c r="D2219" s="5" t="s">
        <v>1517</v>
      </c>
      <c r="E2219" s="9" t="s">
        <v>465</v>
      </c>
      <c r="F2219" s="9">
        <v>138488.95000000001</v>
      </c>
      <c r="G2219" s="57" t="str">
        <f t="shared" si="34"/>
        <v>-</v>
      </c>
      <c r="J2219" s="5" t="s">
        <v>3582</v>
      </c>
    </row>
    <row r="2220" spans="1:10" x14ac:dyDescent="0.2">
      <c r="A2220" s="1" t="s">
        <v>25</v>
      </c>
      <c r="B2220" s="2" t="s">
        <v>175</v>
      </c>
      <c r="D2220" s="5" t="s">
        <v>1518</v>
      </c>
      <c r="E2220" s="9">
        <v>137460</v>
      </c>
      <c r="F2220" s="9">
        <v>137460</v>
      </c>
      <c r="G2220" s="57">
        <f t="shared" si="34"/>
        <v>0</v>
      </c>
      <c r="J2220" s="5" t="s">
        <v>3583</v>
      </c>
    </row>
    <row r="2221" spans="1:10" x14ac:dyDescent="0.2">
      <c r="A2221" s="1" t="s">
        <v>25</v>
      </c>
      <c r="B2221" s="2" t="s">
        <v>175</v>
      </c>
      <c r="D2221" s="5" t="s">
        <v>464</v>
      </c>
      <c r="E2221" s="9"/>
      <c r="F2221" s="9"/>
      <c r="G2221" s="57" t="str">
        <f t="shared" si="34"/>
        <v>-</v>
      </c>
      <c r="H2221" s="19" t="s">
        <v>465</v>
      </c>
      <c r="I2221" s="19">
        <v>92500</v>
      </c>
    </row>
    <row r="2222" spans="1:10" x14ac:dyDescent="0.2">
      <c r="A2222" s="1" t="s">
        <v>25</v>
      </c>
      <c r="B2222" s="2" t="s">
        <v>175</v>
      </c>
      <c r="D2222" s="5" t="s">
        <v>464</v>
      </c>
      <c r="G2222" s="57" t="str">
        <f t="shared" si="34"/>
        <v>-</v>
      </c>
      <c r="H2222" s="19" t="s">
        <v>465</v>
      </c>
      <c r="I2222" s="19">
        <v>92500</v>
      </c>
    </row>
    <row r="2223" spans="1:10" x14ac:dyDescent="0.2">
      <c r="A2223" s="1" t="s">
        <v>25</v>
      </c>
      <c r="B2223" s="2" t="s">
        <v>175</v>
      </c>
      <c r="D2223" s="5" t="s">
        <v>464</v>
      </c>
      <c r="G2223" s="57" t="str">
        <f t="shared" si="34"/>
        <v>-</v>
      </c>
      <c r="H2223" s="19" t="s">
        <v>465</v>
      </c>
      <c r="I2223" s="19">
        <v>92500</v>
      </c>
    </row>
    <row r="2224" spans="1:10" x14ac:dyDescent="0.2">
      <c r="A2224" s="1" t="s">
        <v>25</v>
      </c>
      <c r="B2224" s="2" t="s">
        <v>175</v>
      </c>
      <c r="D2224" s="5" t="s">
        <v>464</v>
      </c>
      <c r="G2224" s="57" t="str">
        <f t="shared" si="34"/>
        <v>-</v>
      </c>
      <c r="H2224" s="19" t="s">
        <v>465</v>
      </c>
      <c r="I2224" s="19">
        <v>92500</v>
      </c>
    </row>
    <row r="2225" spans="1:10" x14ac:dyDescent="0.2">
      <c r="A2225" s="1" t="s">
        <v>25</v>
      </c>
      <c r="B2225" s="2" t="s">
        <v>175</v>
      </c>
      <c r="D2225" s="5" t="s">
        <v>464</v>
      </c>
      <c r="G2225" s="57" t="str">
        <f t="shared" si="34"/>
        <v>-</v>
      </c>
      <c r="H2225" s="19" t="s">
        <v>465</v>
      </c>
      <c r="I2225" s="19">
        <v>92500</v>
      </c>
    </row>
    <row r="2226" spans="1:10" x14ac:dyDescent="0.2">
      <c r="A2226" s="1" t="s">
        <v>25</v>
      </c>
      <c r="B2226" s="2" t="s">
        <v>175</v>
      </c>
      <c r="D2226" s="5" t="s">
        <v>464</v>
      </c>
      <c r="G2226" s="57" t="str">
        <f t="shared" si="34"/>
        <v>-</v>
      </c>
      <c r="H2226" s="19" t="s">
        <v>465</v>
      </c>
      <c r="I2226" s="19">
        <v>92500</v>
      </c>
    </row>
    <row r="2227" spans="1:10" x14ac:dyDescent="0.2">
      <c r="A2227" s="1" t="s">
        <v>25</v>
      </c>
      <c r="B2227" s="2" t="s">
        <v>175</v>
      </c>
      <c r="D2227" s="5" t="s">
        <v>464</v>
      </c>
      <c r="G2227" s="57" t="str">
        <f t="shared" si="34"/>
        <v>-</v>
      </c>
      <c r="H2227" s="19" t="s">
        <v>465</v>
      </c>
      <c r="I2227" s="19">
        <v>92500</v>
      </c>
    </row>
    <row r="2228" spans="1:10" x14ac:dyDescent="0.2">
      <c r="A2228" s="1" t="s">
        <v>25</v>
      </c>
      <c r="B2228" s="2" t="s">
        <v>175</v>
      </c>
      <c r="D2228" s="5" t="s">
        <v>464</v>
      </c>
      <c r="G2228" s="57" t="str">
        <f t="shared" si="34"/>
        <v>-</v>
      </c>
      <c r="H2228" s="19" t="s">
        <v>465</v>
      </c>
      <c r="I2228" s="19">
        <v>92500</v>
      </c>
      <c r="J2228" s="5" t="s">
        <v>1241</v>
      </c>
    </row>
    <row r="2229" spans="1:10" x14ac:dyDescent="0.2">
      <c r="A2229" s="1" t="s">
        <v>25</v>
      </c>
      <c r="B2229" s="2" t="s">
        <v>175</v>
      </c>
      <c r="D2229" s="5" t="s">
        <v>464</v>
      </c>
      <c r="G2229" s="57" t="str">
        <f t="shared" si="34"/>
        <v>-</v>
      </c>
      <c r="H2229" s="19">
        <v>92500</v>
      </c>
      <c r="I2229" s="19" t="s">
        <v>465</v>
      </c>
    </row>
    <row r="2230" spans="1:10" x14ac:dyDescent="0.2">
      <c r="A2230" s="1" t="s">
        <v>25</v>
      </c>
      <c r="B2230" s="2" t="s">
        <v>175</v>
      </c>
      <c r="D2230" s="5" t="s">
        <v>464</v>
      </c>
      <c r="G2230" s="57" t="str">
        <f t="shared" si="34"/>
        <v>-</v>
      </c>
      <c r="H2230" s="19">
        <v>92500</v>
      </c>
      <c r="I2230" s="19" t="s">
        <v>465</v>
      </c>
    </row>
    <row r="2231" spans="1:10" x14ac:dyDescent="0.2">
      <c r="A2231" s="1" t="s">
        <v>25</v>
      </c>
      <c r="B2231" s="2" t="s">
        <v>175</v>
      </c>
      <c r="D2231" s="5" t="s">
        <v>464</v>
      </c>
      <c r="G2231" s="57" t="str">
        <f t="shared" si="34"/>
        <v>-</v>
      </c>
      <c r="H2231" s="19">
        <v>92500</v>
      </c>
      <c r="I2231" s="19" t="s">
        <v>465</v>
      </c>
    </row>
    <row r="2232" spans="1:10" x14ac:dyDescent="0.2">
      <c r="A2232" s="1" t="s">
        <v>25</v>
      </c>
      <c r="B2232" s="2" t="s">
        <v>175</v>
      </c>
      <c r="D2232" s="5" t="s">
        <v>464</v>
      </c>
      <c r="G2232" s="57" t="str">
        <f t="shared" si="34"/>
        <v>-</v>
      </c>
      <c r="H2232" s="19">
        <v>92500</v>
      </c>
      <c r="I2232" s="19" t="s">
        <v>465</v>
      </c>
    </row>
    <row r="2233" spans="1:10" x14ac:dyDescent="0.2">
      <c r="A2233" s="1" t="s">
        <v>25</v>
      </c>
      <c r="B2233" s="2" t="s">
        <v>175</v>
      </c>
      <c r="D2233" s="5" t="s">
        <v>464</v>
      </c>
      <c r="G2233" s="57" t="str">
        <f t="shared" si="34"/>
        <v>-</v>
      </c>
      <c r="H2233" s="19" t="s">
        <v>465</v>
      </c>
      <c r="I2233" s="19">
        <v>97500</v>
      </c>
      <c r="J2233" s="5" t="s">
        <v>1241</v>
      </c>
    </row>
    <row r="2234" spans="1:10" x14ac:dyDescent="0.2">
      <c r="A2234" s="1" t="s">
        <v>25</v>
      </c>
      <c r="B2234" s="2" t="s">
        <v>175</v>
      </c>
      <c r="D2234" s="5" t="s">
        <v>464</v>
      </c>
      <c r="G2234" s="57" t="str">
        <f t="shared" si="34"/>
        <v>-</v>
      </c>
      <c r="H2234" s="19" t="s">
        <v>465</v>
      </c>
      <c r="I2234" s="19">
        <v>97500</v>
      </c>
      <c r="J2234" s="5" t="s">
        <v>1241</v>
      </c>
    </row>
    <row r="2235" spans="1:10" x14ac:dyDescent="0.2">
      <c r="A2235" s="1" t="s">
        <v>25</v>
      </c>
      <c r="B2235" s="2" t="s">
        <v>175</v>
      </c>
      <c r="D2235" s="5" t="s">
        <v>464</v>
      </c>
      <c r="G2235" s="57" t="str">
        <f t="shared" si="34"/>
        <v>-</v>
      </c>
      <c r="H2235" s="19" t="s">
        <v>465</v>
      </c>
      <c r="I2235" s="19">
        <v>97500</v>
      </c>
    </row>
    <row r="2236" spans="1:10" x14ac:dyDescent="0.2">
      <c r="A2236" s="1" t="s">
        <v>25</v>
      </c>
      <c r="B2236" s="2" t="s">
        <v>175</v>
      </c>
      <c r="D2236" s="5" t="s">
        <v>464</v>
      </c>
      <c r="G2236" s="57" t="str">
        <f t="shared" si="34"/>
        <v>-</v>
      </c>
      <c r="H2236" s="19" t="s">
        <v>465</v>
      </c>
      <c r="I2236" s="19">
        <v>97500</v>
      </c>
    </row>
    <row r="2237" spans="1:10" x14ac:dyDescent="0.2">
      <c r="A2237" s="1" t="s">
        <v>25</v>
      </c>
      <c r="B2237" s="2" t="s">
        <v>175</v>
      </c>
      <c r="D2237" s="5" t="s">
        <v>464</v>
      </c>
      <c r="G2237" s="57" t="str">
        <f t="shared" si="34"/>
        <v>-</v>
      </c>
      <c r="H2237" s="19" t="s">
        <v>465</v>
      </c>
      <c r="I2237" s="19">
        <v>97500</v>
      </c>
    </row>
    <row r="2238" spans="1:10" x14ac:dyDescent="0.2">
      <c r="A2238" s="1" t="s">
        <v>25</v>
      </c>
      <c r="B2238" s="2" t="s">
        <v>175</v>
      </c>
      <c r="D2238" s="5" t="s">
        <v>464</v>
      </c>
      <c r="G2238" s="57" t="str">
        <f t="shared" si="34"/>
        <v>-</v>
      </c>
      <c r="H2238" s="19" t="s">
        <v>465</v>
      </c>
      <c r="I2238" s="19">
        <v>97500</v>
      </c>
    </row>
    <row r="2239" spans="1:10" x14ac:dyDescent="0.2">
      <c r="A2239" s="1" t="s">
        <v>25</v>
      </c>
      <c r="B2239" s="2" t="s">
        <v>175</v>
      </c>
      <c r="D2239" s="5" t="s">
        <v>464</v>
      </c>
      <c r="G2239" s="57" t="str">
        <f t="shared" si="34"/>
        <v>-</v>
      </c>
      <c r="H2239" s="19" t="s">
        <v>465</v>
      </c>
      <c r="I2239" s="19">
        <v>97500</v>
      </c>
    </row>
    <row r="2240" spans="1:10" x14ac:dyDescent="0.2">
      <c r="A2240" s="1" t="s">
        <v>25</v>
      </c>
      <c r="B2240" s="2" t="s">
        <v>175</v>
      </c>
      <c r="D2240" s="5" t="s">
        <v>464</v>
      </c>
      <c r="G2240" s="57" t="str">
        <f t="shared" si="34"/>
        <v>-</v>
      </c>
      <c r="H2240" s="19" t="s">
        <v>465</v>
      </c>
      <c r="I2240" s="19">
        <v>97500</v>
      </c>
    </row>
    <row r="2241" spans="1:9" s="1" customFormat="1" x14ac:dyDescent="0.2">
      <c r="A2241" s="1" t="s">
        <v>25</v>
      </c>
      <c r="B2241" s="2" t="s">
        <v>175</v>
      </c>
      <c r="C2241" s="5"/>
      <c r="D2241" s="5" t="s">
        <v>464</v>
      </c>
      <c r="E2241" s="3"/>
      <c r="F2241" s="3"/>
      <c r="G2241" s="57" t="str">
        <f t="shared" si="34"/>
        <v>-</v>
      </c>
      <c r="H2241" s="19" t="s">
        <v>465</v>
      </c>
      <c r="I2241" s="19">
        <v>97500</v>
      </c>
    </row>
    <row r="2242" spans="1:9" s="1" customFormat="1" x14ac:dyDescent="0.2">
      <c r="A2242" s="1" t="s">
        <v>25</v>
      </c>
      <c r="B2242" s="2" t="s">
        <v>175</v>
      </c>
      <c r="C2242" s="5"/>
      <c r="D2242" s="5" t="s">
        <v>464</v>
      </c>
      <c r="E2242" s="3"/>
      <c r="F2242" s="3"/>
      <c r="G2242" s="57" t="str">
        <f t="shared" si="34"/>
        <v>-</v>
      </c>
      <c r="H2242" s="19" t="s">
        <v>465</v>
      </c>
      <c r="I2242" s="19">
        <v>97500</v>
      </c>
    </row>
    <row r="2243" spans="1:9" s="1" customFormat="1" x14ac:dyDescent="0.2">
      <c r="A2243" s="1" t="s">
        <v>25</v>
      </c>
      <c r="B2243" s="2" t="s">
        <v>175</v>
      </c>
      <c r="C2243" s="5"/>
      <c r="D2243" s="5" t="s">
        <v>464</v>
      </c>
      <c r="E2243" s="3"/>
      <c r="F2243" s="3"/>
      <c r="G2243" s="57" t="str">
        <f t="shared" ref="G2243:G2306" si="35">IF(ISERROR((F2243-E2243)/E2243),"-",(F2243-E2243)/E2243)</f>
        <v>-</v>
      </c>
      <c r="H2243" s="19">
        <v>97500</v>
      </c>
      <c r="I2243" s="19" t="s">
        <v>465</v>
      </c>
    </row>
    <row r="2244" spans="1:9" s="1" customFormat="1" x14ac:dyDescent="0.2">
      <c r="A2244" s="1" t="s">
        <v>25</v>
      </c>
      <c r="B2244" s="2" t="s">
        <v>175</v>
      </c>
      <c r="C2244" s="5"/>
      <c r="D2244" s="5" t="s">
        <v>464</v>
      </c>
      <c r="E2244" s="3"/>
      <c r="F2244" s="3"/>
      <c r="G2244" s="57" t="str">
        <f t="shared" si="35"/>
        <v>-</v>
      </c>
      <c r="H2244" s="19">
        <v>97500</v>
      </c>
      <c r="I2244" s="19" t="s">
        <v>465</v>
      </c>
    </row>
    <row r="2245" spans="1:9" s="1" customFormat="1" x14ac:dyDescent="0.2">
      <c r="A2245" s="1" t="s">
        <v>25</v>
      </c>
      <c r="B2245" s="2" t="s">
        <v>175</v>
      </c>
      <c r="C2245" s="5"/>
      <c r="D2245" s="5" t="s">
        <v>464</v>
      </c>
      <c r="E2245" s="3"/>
      <c r="F2245" s="3"/>
      <c r="G2245" s="57" t="str">
        <f t="shared" si="35"/>
        <v>-</v>
      </c>
      <c r="H2245" s="19">
        <v>97500</v>
      </c>
      <c r="I2245" s="19" t="s">
        <v>465</v>
      </c>
    </row>
    <row r="2246" spans="1:9" s="1" customFormat="1" x14ac:dyDescent="0.2">
      <c r="A2246" s="1" t="s">
        <v>25</v>
      </c>
      <c r="B2246" s="2" t="s">
        <v>175</v>
      </c>
      <c r="C2246" s="5"/>
      <c r="D2246" s="5" t="s">
        <v>464</v>
      </c>
      <c r="E2246" s="3"/>
      <c r="F2246" s="3"/>
      <c r="G2246" s="57" t="str">
        <f t="shared" si="35"/>
        <v>-</v>
      </c>
      <c r="H2246" s="19">
        <v>97500</v>
      </c>
      <c r="I2246" s="19" t="s">
        <v>465</v>
      </c>
    </row>
    <row r="2247" spans="1:9" s="1" customFormat="1" x14ac:dyDescent="0.2">
      <c r="A2247" s="1" t="s">
        <v>25</v>
      </c>
      <c r="B2247" s="2" t="s">
        <v>175</v>
      </c>
      <c r="C2247" s="5"/>
      <c r="D2247" s="5" t="s">
        <v>464</v>
      </c>
      <c r="E2247" s="3"/>
      <c r="F2247" s="3"/>
      <c r="G2247" s="57" t="str">
        <f t="shared" si="35"/>
        <v>-</v>
      </c>
      <c r="H2247" s="19">
        <v>97500</v>
      </c>
      <c r="I2247" s="19" t="s">
        <v>465</v>
      </c>
    </row>
    <row r="2248" spans="1:9" s="1" customFormat="1" x14ac:dyDescent="0.2">
      <c r="A2248" s="1" t="s">
        <v>25</v>
      </c>
      <c r="B2248" s="2" t="s">
        <v>175</v>
      </c>
      <c r="C2248" s="5"/>
      <c r="D2248" s="5" t="s">
        <v>464</v>
      </c>
      <c r="E2248" s="3"/>
      <c r="F2248" s="3"/>
      <c r="G2248" s="57" t="str">
        <f t="shared" si="35"/>
        <v>-</v>
      </c>
      <c r="H2248" s="19">
        <v>97500</v>
      </c>
      <c r="I2248" s="19" t="s">
        <v>465</v>
      </c>
    </row>
    <row r="2249" spans="1:9" s="1" customFormat="1" x14ac:dyDescent="0.2">
      <c r="A2249" s="1" t="s">
        <v>25</v>
      </c>
      <c r="B2249" s="2" t="s">
        <v>175</v>
      </c>
      <c r="C2249" s="5"/>
      <c r="D2249" s="5" t="s">
        <v>464</v>
      </c>
      <c r="E2249" s="3"/>
      <c r="F2249" s="3"/>
      <c r="G2249" s="57" t="str">
        <f t="shared" si="35"/>
        <v>-</v>
      </c>
      <c r="H2249" s="19">
        <v>97500</v>
      </c>
      <c r="I2249" s="19" t="s">
        <v>465</v>
      </c>
    </row>
    <row r="2250" spans="1:9" s="1" customFormat="1" x14ac:dyDescent="0.2">
      <c r="A2250" s="1" t="s">
        <v>25</v>
      </c>
      <c r="B2250" s="2" t="s">
        <v>175</v>
      </c>
      <c r="C2250" s="5"/>
      <c r="D2250" s="5" t="s">
        <v>464</v>
      </c>
      <c r="E2250" s="3"/>
      <c r="F2250" s="3"/>
      <c r="G2250" s="57" t="str">
        <f t="shared" si="35"/>
        <v>-</v>
      </c>
      <c r="H2250" s="19">
        <v>97500</v>
      </c>
      <c r="I2250" s="19" t="s">
        <v>465</v>
      </c>
    </row>
    <row r="2251" spans="1:9" s="1" customFormat="1" x14ac:dyDescent="0.2">
      <c r="A2251" s="1" t="s">
        <v>25</v>
      </c>
      <c r="B2251" s="2" t="s">
        <v>175</v>
      </c>
      <c r="C2251" s="5"/>
      <c r="D2251" s="5" t="s">
        <v>464</v>
      </c>
      <c r="E2251" s="3"/>
      <c r="F2251" s="3"/>
      <c r="G2251" s="57" t="str">
        <f t="shared" si="35"/>
        <v>-</v>
      </c>
      <c r="H2251" s="19">
        <v>97500</v>
      </c>
      <c r="I2251" s="19" t="s">
        <v>465</v>
      </c>
    </row>
    <row r="2252" spans="1:9" s="1" customFormat="1" x14ac:dyDescent="0.2">
      <c r="A2252" s="1" t="s">
        <v>25</v>
      </c>
      <c r="B2252" s="2" t="s">
        <v>175</v>
      </c>
      <c r="C2252" s="5"/>
      <c r="D2252" s="5" t="s">
        <v>464</v>
      </c>
      <c r="E2252" s="3"/>
      <c r="F2252" s="3"/>
      <c r="G2252" s="57" t="str">
        <f t="shared" si="35"/>
        <v>-</v>
      </c>
      <c r="H2252" s="19">
        <v>97500</v>
      </c>
      <c r="I2252" s="19" t="s">
        <v>465</v>
      </c>
    </row>
    <row r="2253" spans="1:9" s="1" customFormat="1" x14ac:dyDescent="0.2">
      <c r="A2253" s="1" t="s">
        <v>25</v>
      </c>
      <c r="B2253" s="2" t="s">
        <v>175</v>
      </c>
      <c r="C2253" s="5"/>
      <c r="D2253" s="5" t="s">
        <v>464</v>
      </c>
      <c r="E2253" s="3"/>
      <c r="F2253" s="3"/>
      <c r="G2253" s="57" t="str">
        <f t="shared" si="35"/>
        <v>-</v>
      </c>
      <c r="H2253" s="19">
        <v>97500</v>
      </c>
      <c r="I2253" s="19" t="s">
        <v>465</v>
      </c>
    </row>
    <row r="2254" spans="1:9" s="1" customFormat="1" x14ac:dyDescent="0.2">
      <c r="A2254" s="1" t="s">
        <v>25</v>
      </c>
      <c r="B2254" s="2" t="s">
        <v>175</v>
      </c>
      <c r="C2254" s="5"/>
      <c r="D2254" s="5" t="s">
        <v>464</v>
      </c>
      <c r="E2254" s="3"/>
      <c r="F2254" s="3"/>
      <c r="G2254" s="57" t="str">
        <f t="shared" si="35"/>
        <v>-</v>
      </c>
      <c r="H2254" s="19">
        <v>97500</v>
      </c>
      <c r="I2254" s="19" t="s">
        <v>465</v>
      </c>
    </row>
    <row r="2255" spans="1:9" s="1" customFormat="1" x14ac:dyDescent="0.2">
      <c r="A2255" s="1" t="s">
        <v>25</v>
      </c>
      <c r="B2255" s="2" t="s">
        <v>175</v>
      </c>
      <c r="C2255" s="5"/>
      <c r="D2255" s="5" t="s">
        <v>464</v>
      </c>
      <c r="E2255" s="3"/>
      <c r="F2255" s="3"/>
      <c r="G2255" s="57" t="str">
        <f t="shared" si="35"/>
        <v>-</v>
      </c>
      <c r="H2255" s="19">
        <v>97500</v>
      </c>
      <c r="I2255" s="19" t="s">
        <v>465</v>
      </c>
    </row>
    <row r="2256" spans="1:9" s="1" customFormat="1" x14ac:dyDescent="0.2">
      <c r="A2256" s="1" t="s">
        <v>25</v>
      </c>
      <c r="B2256" s="2" t="s">
        <v>175</v>
      </c>
      <c r="C2256" s="5"/>
      <c r="D2256" s="5" t="s">
        <v>464</v>
      </c>
      <c r="E2256" s="3"/>
      <c r="F2256" s="3"/>
      <c r="G2256" s="57" t="str">
        <f t="shared" si="35"/>
        <v>-</v>
      </c>
      <c r="H2256" s="19">
        <v>97500</v>
      </c>
      <c r="I2256" s="19" t="s">
        <v>465</v>
      </c>
    </row>
    <row r="2257" spans="1:10" x14ac:dyDescent="0.2">
      <c r="A2257" s="1" t="s">
        <v>25</v>
      </c>
      <c r="B2257" s="2" t="s">
        <v>175</v>
      </c>
      <c r="D2257" s="5" t="s">
        <v>464</v>
      </c>
      <c r="E2257" s="3" t="s">
        <v>465</v>
      </c>
      <c r="F2257" s="3">
        <v>102500</v>
      </c>
      <c r="G2257" s="57" t="str">
        <f t="shared" si="35"/>
        <v>-</v>
      </c>
    </row>
    <row r="2258" spans="1:10" x14ac:dyDescent="0.2">
      <c r="A2258" s="1" t="s">
        <v>25</v>
      </c>
      <c r="B2258" s="2" t="s">
        <v>175</v>
      </c>
      <c r="D2258" s="5" t="s">
        <v>464</v>
      </c>
      <c r="E2258" s="3" t="s">
        <v>465</v>
      </c>
      <c r="F2258" s="3">
        <v>102500</v>
      </c>
      <c r="G2258" s="57" t="str">
        <f t="shared" si="35"/>
        <v>-</v>
      </c>
    </row>
    <row r="2259" spans="1:10" x14ac:dyDescent="0.2">
      <c r="A2259" s="1" t="s">
        <v>25</v>
      </c>
      <c r="B2259" s="2" t="s">
        <v>175</v>
      </c>
      <c r="D2259" s="5" t="s">
        <v>464</v>
      </c>
      <c r="E2259" s="3" t="s">
        <v>465</v>
      </c>
      <c r="F2259" s="3">
        <v>102500</v>
      </c>
      <c r="G2259" s="57" t="str">
        <f t="shared" si="35"/>
        <v>-</v>
      </c>
    </row>
    <row r="2260" spans="1:10" x14ac:dyDescent="0.2">
      <c r="A2260" s="1" t="s">
        <v>25</v>
      </c>
      <c r="B2260" s="2" t="s">
        <v>175</v>
      </c>
      <c r="D2260" s="5" t="s">
        <v>464</v>
      </c>
      <c r="E2260" s="3">
        <v>102500</v>
      </c>
      <c r="F2260" s="3" t="s">
        <v>465</v>
      </c>
      <c r="G2260" s="57" t="str">
        <f t="shared" si="35"/>
        <v>-</v>
      </c>
    </row>
    <row r="2261" spans="1:10" x14ac:dyDescent="0.2">
      <c r="A2261" s="1" t="s">
        <v>25</v>
      </c>
      <c r="B2261" s="2" t="s">
        <v>175</v>
      </c>
      <c r="D2261" s="5" t="s">
        <v>464</v>
      </c>
      <c r="E2261" s="3">
        <v>102500</v>
      </c>
      <c r="F2261" s="3" t="s">
        <v>465</v>
      </c>
      <c r="G2261" s="57" t="str">
        <f t="shared" si="35"/>
        <v>-</v>
      </c>
    </row>
    <row r="2262" spans="1:10" x14ac:dyDescent="0.2">
      <c r="A2262" s="1" t="s">
        <v>25</v>
      </c>
      <c r="B2262" s="2" t="s">
        <v>175</v>
      </c>
      <c r="D2262" s="5" t="s">
        <v>464</v>
      </c>
      <c r="E2262" s="3">
        <v>102500</v>
      </c>
      <c r="F2262" s="3" t="s">
        <v>465</v>
      </c>
      <c r="G2262" s="57" t="str">
        <f t="shared" si="35"/>
        <v>-</v>
      </c>
    </row>
    <row r="2263" spans="1:10" x14ac:dyDescent="0.2">
      <c r="A2263" s="1" t="s">
        <v>25</v>
      </c>
      <c r="B2263" s="2" t="s">
        <v>175</v>
      </c>
      <c r="D2263" s="5" t="s">
        <v>464</v>
      </c>
      <c r="E2263" s="3">
        <v>102500</v>
      </c>
      <c r="F2263" s="3" t="s">
        <v>465</v>
      </c>
      <c r="G2263" s="57" t="str">
        <f t="shared" si="35"/>
        <v>-</v>
      </c>
    </row>
    <row r="2264" spans="1:10" x14ac:dyDescent="0.2">
      <c r="A2264" s="1" t="s">
        <v>25</v>
      </c>
      <c r="B2264" s="2" t="s">
        <v>175</v>
      </c>
      <c r="D2264" s="5" t="s">
        <v>464</v>
      </c>
      <c r="E2264" s="3">
        <v>102500</v>
      </c>
      <c r="F2264" s="3" t="s">
        <v>465</v>
      </c>
      <c r="G2264" s="57" t="str">
        <f t="shared" si="35"/>
        <v>-</v>
      </c>
    </row>
    <row r="2265" spans="1:10" x14ac:dyDescent="0.2">
      <c r="A2265" s="1" t="s">
        <v>25</v>
      </c>
      <c r="B2265" s="2" t="s">
        <v>175</v>
      </c>
      <c r="D2265" s="5" t="s">
        <v>464</v>
      </c>
      <c r="E2265" s="3">
        <v>102500</v>
      </c>
      <c r="F2265" s="3" t="s">
        <v>465</v>
      </c>
      <c r="G2265" s="57" t="str">
        <f t="shared" si="35"/>
        <v>-</v>
      </c>
    </row>
    <row r="2266" spans="1:10" x14ac:dyDescent="0.2">
      <c r="A2266" s="1" t="s">
        <v>25</v>
      </c>
      <c r="B2266" s="2" t="s">
        <v>175</v>
      </c>
      <c r="D2266" s="5" t="s">
        <v>464</v>
      </c>
      <c r="E2266" s="3" t="s">
        <v>465</v>
      </c>
      <c r="F2266" s="3">
        <v>107500</v>
      </c>
      <c r="G2266" s="57" t="str">
        <f t="shared" si="35"/>
        <v>-</v>
      </c>
      <c r="J2266" s="5" t="s">
        <v>1241</v>
      </c>
    </row>
    <row r="2267" spans="1:10" x14ac:dyDescent="0.2">
      <c r="A2267" s="1" t="s">
        <v>25</v>
      </c>
      <c r="B2267" s="2" t="s">
        <v>175</v>
      </c>
      <c r="D2267" s="5" t="s">
        <v>464</v>
      </c>
      <c r="E2267" s="3" t="s">
        <v>465</v>
      </c>
      <c r="F2267" s="3">
        <v>107500</v>
      </c>
      <c r="G2267" s="57" t="str">
        <f t="shared" si="35"/>
        <v>-</v>
      </c>
    </row>
    <row r="2268" spans="1:10" x14ac:dyDescent="0.2">
      <c r="A2268" s="1" t="s">
        <v>25</v>
      </c>
      <c r="B2268" s="2" t="s">
        <v>175</v>
      </c>
      <c r="D2268" s="5" t="s">
        <v>464</v>
      </c>
      <c r="E2268" s="3" t="s">
        <v>465</v>
      </c>
      <c r="F2268" s="3">
        <v>107500</v>
      </c>
      <c r="G2268" s="57" t="str">
        <f t="shared" si="35"/>
        <v>-</v>
      </c>
    </row>
    <row r="2269" spans="1:10" x14ac:dyDescent="0.2">
      <c r="A2269" s="1" t="s">
        <v>25</v>
      </c>
      <c r="B2269" s="2" t="s">
        <v>175</v>
      </c>
      <c r="D2269" s="5" t="s">
        <v>464</v>
      </c>
      <c r="E2269" s="3" t="s">
        <v>465</v>
      </c>
      <c r="F2269" s="3">
        <v>107500</v>
      </c>
      <c r="G2269" s="57" t="str">
        <f t="shared" si="35"/>
        <v>-</v>
      </c>
    </row>
    <row r="2270" spans="1:10" x14ac:dyDescent="0.2">
      <c r="A2270" s="1" t="s">
        <v>25</v>
      </c>
      <c r="B2270" s="2" t="s">
        <v>175</v>
      </c>
      <c r="D2270" s="5" t="s">
        <v>464</v>
      </c>
      <c r="E2270" s="3" t="s">
        <v>465</v>
      </c>
      <c r="F2270" s="3">
        <v>107500</v>
      </c>
      <c r="G2270" s="57" t="str">
        <f t="shared" si="35"/>
        <v>-</v>
      </c>
    </row>
    <row r="2271" spans="1:10" x14ac:dyDescent="0.2">
      <c r="A2271" s="1" t="s">
        <v>25</v>
      </c>
      <c r="B2271" s="2" t="s">
        <v>175</v>
      </c>
      <c r="D2271" s="5" t="s">
        <v>464</v>
      </c>
      <c r="E2271" s="3">
        <v>107500</v>
      </c>
      <c r="F2271" s="3" t="s">
        <v>465</v>
      </c>
      <c r="G2271" s="57" t="str">
        <f t="shared" si="35"/>
        <v>-</v>
      </c>
    </row>
    <row r="2272" spans="1:10" x14ac:dyDescent="0.2">
      <c r="A2272" s="1" t="s">
        <v>25</v>
      </c>
      <c r="B2272" s="2" t="s">
        <v>175</v>
      </c>
      <c r="D2272" s="5" t="s">
        <v>464</v>
      </c>
      <c r="E2272" s="3" t="s">
        <v>465</v>
      </c>
      <c r="F2272" s="3">
        <v>112500</v>
      </c>
      <c r="G2272" s="57" t="str">
        <f t="shared" si="35"/>
        <v>-</v>
      </c>
    </row>
    <row r="2273" spans="1:10" x14ac:dyDescent="0.2">
      <c r="A2273" s="1" t="s">
        <v>25</v>
      </c>
      <c r="B2273" s="2" t="s">
        <v>175</v>
      </c>
      <c r="D2273" s="5" t="s">
        <v>464</v>
      </c>
      <c r="E2273" s="3" t="s">
        <v>465</v>
      </c>
      <c r="F2273" s="3">
        <v>117500</v>
      </c>
      <c r="G2273" s="57" t="str">
        <f t="shared" si="35"/>
        <v>-</v>
      </c>
    </row>
    <row r="2274" spans="1:10" x14ac:dyDescent="0.2">
      <c r="A2274" s="1" t="s">
        <v>25</v>
      </c>
      <c r="B2274" s="2" t="s">
        <v>175</v>
      </c>
      <c r="D2274" s="5" t="s">
        <v>464</v>
      </c>
      <c r="E2274" s="3">
        <v>117500</v>
      </c>
      <c r="F2274" s="3" t="s">
        <v>465</v>
      </c>
      <c r="G2274" s="57" t="str">
        <f t="shared" si="35"/>
        <v>-</v>
      </c>
    </row>
    <row r="2275" spans="1:10" x14ac:dyDescent="0.2">
      <c r="A2275" s="1" t="s">
        <v>25</v>
      </c>
      <c r="B2275" s="2" t="s">
        <v>175</v>
      </c>
      <c r="D2275" s="5" t="s">
        <v>464</v>
      </c>
      <c r="E2275" s="3">
        <v>117500</v>
      </c>
      <c r="F2275" s="3" t="s">
        <v>465</v>
      </c>
      <c r="G2275" s="57" t="str">
        <f t="shared" si="35"/>
        <v>-</v>
      </c>
    </row>
    <row r="2276" spans="1:10" x14ac:dyDescent="0.2">
      <c r="A2276" s="1" t="s">
        <v>25</v>
      </c>
      <c r="B2276" s="2" t="s">
        <v>175</v>
      </c>
      <c r="D2276" s="5" t="s">
        <v>464</v>
      </c>
      <c r="E2276" s="3">
        <v>117500</v>
      </c>
      <c r="F2276" s="3" t="s">
        <v>465</v>
      </c>
      <c r="G2276" s="57" t="str">
        <f t="shared" si="35"/>
        <v>-</v>
      </c>
    </row>
    <row r="2277" spans="1:10" x14ac:dyDescent="0.2">
      <c r="A2277" s="1" t="s">
        <v>25</v>
      </c>
      <c r="B2277" s="2" t="s">
        <v>175</v>
      </c>
      <c r="D2277" s="5" t="s">
        <v>464</v>
      </c>
      <c r="E2277" s="3">
        <v>117500</v>
      </c>
      <c r="F2277" s="3" t="s">
        <v>465</v>
      </c>
      <c r="G2277" s="57" t="str">
        <f t="shared" si="35"/>
        <v>-</v>
      </c>
    </row>
    <row r="2278" spans="1:10" x14ac:dyDescent="0.2">
      <c r="A2278" s="1" t="s">
        <v>25</v>
      </c>
      <c r="B2278" s="2" t="s">
        <v>175</v>
      </c>
      <c r="D2278" s="5" t="s">
        <v>464</v>
      </c>
      <c r="E2278" s="3" t="s">
        <v>465</v>
      </c>
      <c r="F2278" s="3">
        <v>122500</v>
      </c>
      <c r="G2278" s="57" t="str">
        <f t="shared" si="35"/>
        <v>-</v>
      </c>
      <c r="J2278" s="5" t="s">
        <v>1241</v>
      </c>
    </row>
    <row r="2279" spans="1:10" x14ac:dyDescent="0.2">
      <c r="A2279" s="1" t="s">
        <v>25</v>
      </c>
      <c r="B2279" s="2" t="s">
        <v>175</v>
      </c>
      <c r="D2279" s="5" t="s">
        <v>464</v>
      </c>
      <c r="E2279" s="3" t="s">
        <v>465</v>
      </c>
      <c r="F2279" s="3">
        <v>122500</v>
      </c>
      <c r="G2279" s="57" t="str">
        <f t="shared" si="35"/>
        <v>-</v>
      </c>
    </row>
    <row r="2280" spans="1:10" x14ac:dyDescent="0.2">
      <c r="A2280" s="1" t="s">
        <v>25</v>
      </c>
      <c r="B2280" s="2" t="s">
        <v>175</v>
      </c>
      <c r="D2280" s="5" t="s">
        <v>464</v>
      </c>
      <c r="E2280" s="3">
        <v>122500</v>
      </c>
      <c r="F2280" s="3" t="s">
        <v>465</v>
      </c>
      <c r="G2280" s="57" t="str">
        <f t="shared" si="35"/>
        <v>-</v>
      </c>
    </row>
    <row r="2281" spans="1:10" x14ac:dyDescent="0.2">
      <c r="A2281" s="1" t="s">
        <v>25</v>
      </c>
      <c r="B2281" s="2" t="s">
        <v>175</v>
      </c>
      <c r="D2281" s="5" t="s">
        <v>464</v>
      </c>
      <c r="E2281" s="3" t="s">
        <v>465</v>
      </c>
      <c r="F2281" s="3">
        <v>127500</v>
      </c>
      <c r="G2281" s="57" t="str">
        <f t="shared" si="35"/>
        <v>-</v>
      </c>
    </row>
    <row r="2282" spans="1:10" x14ac:dyDescent="0.2">
      <c r="A2282" s="1" t="s">
        <v>25</v>
      </c>
      <c r="B2282" s="2" t="s">
        <v>175</v>
      </c>
      <c r="D2282" s="5" t="s">
        <v>464</v>
      </c>
      <c r="E2282" s="3">
        <v>132500</v>
      </c>
      <c r="F2282" s="3" t="s">
        <v>465</v>
      </c>
      <c r="G2282" s="57" t="str">
        <f t="shared" si="35"/>
        <v>-</v>
      </c>
    </row>
    <row r="2283" spans="1:10" x14ac:dyDescent="0.2">
      <c r="A2283" s="1" t="s">
        <v>25</v>
      </c>
      <c r="B2283" s="2" t="s">
        <v>175</v>
      </c>
      <c r="D2283" s="5" t="s">
        <v>464</v>
      </c>
      <c r="E2283" s="3">
        <v>132500</v>
      </c>
      <c r="F2283" s="3" t="s">
        <v>465</v>
      </c>
      <c r="G2283" s="57" t="str">
        <f t="shared" si="35"/>
        <v>-</v>
      </c>
    </row>
    <row r="2284" spans="1:10" x14ac:dyDescent="0.2">
      <c r="A2284" s="1" t="s">
        <v>25</v>
      </c>
      <c r="B2284" s="2" t="s">
        <v>175</v>
      </c>
      <c r="D2284" s="5" t="s">
        <v>464</v>
      </c>
      <c r="E2284" s="3" t="s">
        <v>465</v>
      </c>
      <c r="F2284" s="3">
        <v>137500</v>
      </c>
      <c r="G2284" s="57" t="str">
        <f t="shared" si="35"/>
        <v>-</v>
      </c>
    </row>
    <row r="2285" spans="1:10" x14ac:dyDescent="0.2">
      <c r="A2285" s="1" t="s">
        <v>25</v>
      </c>
      <c r="B2285" s="2" t="s">
        <v>175</v>
      </c>
      <c r="D2285" s="5" t="s">
        <v>464</v>
      </c>
      <c r="E2285" s="3" t="s">
        <v>465</v>
      </c>
      <c r="F2285" s="3">
        <v>147500</v>
      </c>
      <c r="G2285" s="57" t="str">
        <f t="shared" si="35"/>
        <v>-</v>
      </c>
    </row>
    <row r="2286" spans="1:10" ht="38.25" x14ac:dyDescent="0.2">
      <c r="A2286" s="1" t="s">
        <v>4</v>
      </c>
      <c r="B2286" s="2" t="s">
        <v>176</v>
      </c>
      <c r="D2286" s="5" t="s">
        <v>450</v>
      </c>
      <c r="E2286" s="9">
        <v>150345</v>
      </c>
      <c r="F2286" s="9">
        <v>150646</v>
      </c>
      <c r="G2286" s="57">
        <f t="shared" si="35"/>
        <v>2.0020619242409124E-3</v>
      </c>
      <c r="J2286" s="5" t="s">
        <v>4644</v>
      </c>
    </row>
    <row r="2287" spans="1:10" ht="38.25" x14ac:dyDescent="0.2">
      <c r="A2287" s="1" t="s">
        <v>4</v>
      </c>
      <c r="B2287" s="2" t="s">
        <v>176</v>
      </c>
      <c r="D2287" s="5" t="s">
        <v>504</v>
      </c>
      <c r="E2287" s="9">
        <v>115406</v>
      </c>
      <c r="F2287" s="9">
        <v>113632</v>
      </c>
      <c r="G2287" s="57">
        <f t="shared" si="35"/>
        <v>-1.5371817756442472E-2</v>
      </c>
      <c r="J2287" s="5" t="s">
        <v>4645</v>
      </c>
    </row>
    <row r="2288" spans="1:10" ht="38.25" x14ac:dyDescent="0.2">
      <c r="A2288" s="1" t="s">
        <v>4</v>
      </c>
      <c r="B2288" s="2" t="s">
        <v>176</v>
      </c>
      <c r="D2288" s="5" t="s">
        <v>504</v>
      </c>
      <c r="E2288" s="9">
        <v>110104</v>
      </c>
      <c r="F2288" s="9">
        <v>111794</v>
      </c>
      <c r="G2288" s="57">
        <f t="shared" si="35"/>
        <v>1.5349124464142992E-2</v>
      </c>
      <c r="J2288" s="5" t="s">
        <v>4646</v>
      </c>
    </row>
    <row r="2289" spans="1:10" ht="38.25" x14ac:dyDescent="0.2">
      <c r="A2289" s="1" t="s">
        <v>4</v>
      </c>
      <c r="B2289" s="2" t="s">
        <v>176</v>
      </c>
      <c r="D2289" s="5" t="s">
        <v>504</v>
      </c>
      <c r="E2289" s="9">
        <v>103488</v>
      </c>
      <c r="F2289" s="9">
        <v>106672</v>
      </c>
      <c r="G2289" s="57">
        <f t="shared" si="35"/>
        <v>3.0766852195423623E-2</v>
      </c>
      <c r="J2289" s="5" t="s">
        <v>4647</v>
      </c>
    </row>
    <row r="2290" spans="1:10" ht="51" x14ac:dyDescent="0.2">
      <c r="A2290" s="1" t="s">
        <v>4</v>
      </c>
      <c r="B2290" s="2" t="s">
        <v>176</v>
      </c>
      <c r="D2290" s="5" t="s">
        <v>1508</v>
      </c>
      <c r="E2290" s="9">
        <v>109399</v>
      </c>
      <c r="F2290" s="9">
        <v>100806</v>
      </c>
      <c r="G2290" s="57">
        <f t="shared" si="35"/>
        <v>-7.8547335898865617E-2</v>
      </c>
      <c r="J2290" s="5" t="s">
        <v>4648</v>
      </c>
    </row>
    <row r="2291" spans="1:10" ht="25.5" x14ac:dyDescent="0.2">
      <c r="A2291" s="1" t="s">
        <v>44</v>
      </c>
      <c r="B2291" s="2" t="s">
        <v>177</v>
      </c>
      <c r="D2291" s="5" t="s">
        <v>450</v>
      </c>
      <c r="E2291" s="9">
        <v>131425</v>
      </c>
      <c r="F2291" s="9">
        <v>131862</v>
      </c>
      <c r="G2291" s="57">
        <f t="shared" si="35"/>
        <v>3.325090355716188E-3</v>
      </c>
      <c r="J2291" s="5" t="s">
        <v>3574</v>
      </c>
    </row>
    <row r="2292" spans="1:10" ht="25.5" x14ac:dyDescent="0.2">
      <c r="A2292" s="1" t="s">
        <v>44</v>
      </c>
      <c r="B2292" s="2" t="s">
        <v>177</v>
      </c>
      <c r="D2292" s="5" t="s">
        <v>468</v>
      </c>
      <c r="E2292" s="9">
        <v>100948</v>
      </c>
      <c r="F2292" s="9">
        <v>100952</v>
      </c>
      <c r="G2292" s="57">
        <f t="shared" si="35"/>
        <v>3.9624361057177956E-5</v>
      </c>
      <c r="J2292" s="5" t="s">
        <v>3571</v>
      </c>
    </row>
    <row r="2293" spans="1:10" ht="25.5" x14ac:dyDescent="0.2">
      <c r="A2293" s="1" t="s">
        <v>44</v>
      </c>
      <c r="B2293" s="2" t="s">
        <v>177</v>
      </c>
      <c r="D2293" s="5" t="s">
        <v>468</v>
      </c>
      <c r="E2293" s="9">
        <v>100715</v>
      </c>
      <c r="F2293" s="9">
        <v>100735</v>
      </c>
      <c r="G2293" s="57">
        <f t="shared" si="35"/>
        <v>1.985801519138162E-4</v>
      </c>
      <c r="J2293" s="5" t="s">
        <v>3572</v>
      </c>
    </row>
    <row r="2294" spans="1:10" x14ac:dyDescent="0.2">
      <c r="A2294" s="1" t="s">
        <v>44</v>
      </c>
      <c r="B2294" s="2" t="s">
        <v>177</v>
      </c>
      <c r="D2294" s="5" t="s">
        <v>468</v>
      </c>
      <c r="E2294" s="9">
        <v>100493</v>
      </c>
      <c r="F2294" s="9">
        <v>100493</v>
      </c>
      <c r="G2294" s="57">
        <f t="shared" si="35"/>
        <v>0</v>
      </c>
      <c r="J2294" s="5" t="s">
        <v>3573</v>
      </c>
    </row>
    <row r="2295" spans="1:10" x14ac:dyDescent="0.2">
      <c r="A2295" s="1" t="s">
        <v>44</v>
      </c>
      <c r="B2295" s="2" t="s">
        <v>177</v>
      </c>
      <c r="D2295" s="5" t="s">
        <v>464</v>
      </c>
      <c r="E2295" s="9">
        <v>112500</v>
      </c>
      <c r="F2295" s="9" t="s">
        <v>465</v>
      </c>
      <c r="G2295" s="57" t="str">
        <f t="shared" si="35"/>
        <v>-</v>
      </c>
    </row>
    <row r="2296" spans="1:10" ht="38.25" x14ac:dyDescent="0.2">
      <c r="A2296" s="1" t="s">
        <v>25</v>
      </c>
      <c r="B2296" s="2" t="s">
        <v>178</v>
      </c>
      <c r="C2296" s="5" t="s">
        <v>1502</v>
      </c>
      <c r="D2296" s="5" t="s">
        <v>450</v>
      </c>
      <c r="E2296" s="9">
        <v>202805</v>
      </c>
      <c r="F2296" s="9">
        <v>203376</v>
      </c>
      <c r="G2296" s="57">
        <f t="shared" si="35"/>
        <v>2.815512438056261E-3</v>
      </c>
      <c r="J2296" s="5" t="s">
        <v>3569</v>
      </c>
    </row>
    <row r="2297" spans="1:10" ht="38.25" x14ac:dyDescent="0.2">
      <c r="A2297" s="1" t="s">
        <v>25</v>
      </c>
      <c r="B2297" s="2" t="s">
        <v>178</v>
      </c>
      <c r="C2297" s="5" t="s">
        <v>1503</v>
      </c>
      <c r="D2297" s="5" t="s">
        <v>1504</v>
      </c>
      <c r="E2297" s="9" t="s">
        <v>465</v>
      </c>
      <c r="F2297" s="9">
        <v>187111</v>
      </c>
      <c r="G2297" s="57" t="str">
        <f t="shared" si="35"/>
        <v>-</v>
      </c>
      <c r="J2297" s="5" t="s">
        <v>3570</v>
      </c>
    </row>
    <row r="2298" spans="1:10" ht="38.25" x14ac:dyDescent="0.2">
      <c r="A2298" s="1" t="s">
        <v>25</v>
      </c>
      <c r="B2298" s="2" t="s">
        <v>178</v>
      </c>
      <c r="D2298" s="5" t="s">
        <v>3562</v>
      </c>
      <c r="E2298" s="9">
        <v>147017</v>
      </c>
      <c r="F2298" s="9">
        <v>157580</v>
      </c>
      <c r="G2298" s="57">
        <f t="shared" si="35"/>
        <v>7.1848833808335094E-2</v>
      </c>
      <c r="J2298" s="5" t="s">
        <v>3561</v>
      </c>
    </row>
    <row r="2299" spans="1:10" x14ac:dyDescent="0.2">
      <c r="A2299" s="1" t="s">
        <v>25</v>
      </c>
      <c r="B2299" s="2" t="s">
        <v>178</v>
      </c>
      <c r="D2299" s="5" t="s">
        <v>3563</v>
      </c>
      <c r="E2299" s="9">
        <v>116317</v>
      </c>
      <c r="F2299" s="9" t="s">
        <v>465</v>
      </c>
      <c r="G2299" s="57" t="str">
        <f t="shared" si="35"/>
        <v>-</v>
      </c>
    </row>
    <row r="2300" spans="1:10" ht="25.5" x14ac:dyDescent="0.2">
      <c r="A2300" s="1" t="s">
        <v>25</v>
      </c>
      <c r="B2300" s="2" t="s">
        <v>178</v>
      </c>
      <c r="D2300" s="5" t="s">
        <v>1505</v>
      </c>
      <c r="E2300" s="9">
        <v>145555</v>
      </c>
      <c r="F2300" s="9">
        <v>147275</v>
      </c>
      <c r="G2300" s="57">
        <f t="shared" si="35"/>
        <v>1.1816838995568686E-2</v>
      </c>
      <c r="J2300" s="5" t="s">
        <v>3564</v>
      </c>
    </row>
    <row r="2301" spans="1:10" ht="25.5" x14ac:dyDescent="0.2">
      <c r="A2301" s="1" t="s">
        <v>25</v>
      </c>
      <c r="B2301" s="2" t="s">
        <v>178</v>
      </c>
      <c r="D2301" s="5" t="s">
        <v>1504</v>
      </c>
      <c r="E2301" s="9">
        <v>145555</v>
      </c>
      <c r="F2301" s="9" t="s">
        <v>465</v>
      </c>
      <c r="G2301" s="57" t="str">
        <f t="shared" si="35"/>
        <v>-</v>
      </c>
    </row>
    <row r="2302" spans="1:10" ht="25.5" x14ac:dyDescent="0.2">
      <c r="A2302" s="1" t="s">
        <v>25</v>
      </c>
      <c r="B2302" s="2" t="s">
        <v>178</v>
      </c>
      <c r="D2302" s="5" t="s">
        <v>1506</v>
      </c>
      <c r="E2302" s="9">
        <v>165589</v>
      </c>
      <c r="F2302" s="9">
        <v>165589</v>
      </c>
      <c r="G2302" s="57">
        <f t="shared" si="35"/>
        <v>0</v>
      </c>
      <c r="J2302" s="5" t="s">
        <v>3565</v>
      </c>
    </row>
    <row r="2303" spans="1:10" ht="25.5" x14ac:dyDescent="0.2">
      <c r="A2303" s="1" t="s">
        <v>25</v>
      </c>
      <c r="B2303" s="2" t="s">
        <v>178</v>
      </c>
      <c r="D2303" s="5" t="s">
        <v>1507</v>
      </c>
      <c r="E2303" s="9">
        <v>107047</v>
      </c>
      <c r="F2303" s="9">
        <v>108838</v>
      </c>
      <c r="G2303" s="57">
        <f t="shared" si="35"/>
        <v>1.6730968639943201E-2</v>
      </c>
      <c r="J2303" s="5" t="s">
        <v>3566</v>
      </c>
    </row>
    <row r="2304" spans="1:10" ht="25.5" x14ac:dyDescent="0.2">
      <c r="A2304" s="1" t="s">
        <v>25</v>
      </c>
      <c r="B2304" s="2" t="s">
        <v>178</v>
      </c>
      <c r="D2304" s="5" t="s">
        <v>3567</v>
      </c>
      <c r="E2304" s="9">
        <v>106603</v>
      </c>
      <c r="F2304" s="9" t="s">
        <v>465</v>
      </c>
      <c r="G2304" s="57" t="str">
        <f t="shared" si="35"/>
        <v>-</v>
      </c>
      <c r="J2304" s="5" t="s">
        <v>3568</v>
      </c>
    </row>
    <row r="2305" spans="1:9" s="1" customFormat="1" x14ac:dyDescent="0.2">
      <c r="A2305" s="1" t="s">
        <v>25</v>
      </c>
      <c r="B2305" s="2" t="s">
        <v>178</v>
      </c>
      <c r="C2305" s="5"/>
      <c r="D2305" s="5" t="s">
        <v>464</v>
      </c>
      <c r="E2305" s="3"/>
      <c r="F2305" s="3"/>
      <c r="G2305" s="57" t="str">
        <f t="shared" si="35"/>
        <v>-</v>
      </c>
      <c r="H2305" s="19" t="s">
        <v>465</v>
      </c>
      <c r="I2305" s="19">
        <v>92500</v>
      </c>
    </row>
    <row r="2306" spans="1:9" s="1" customFormat="1" x14ac:dyDescent="0.2">
      <c r="A2306" s="1" t="s">
        <v>25</v>
      </c>
      <c r="B2306" s="2" t="s">
        <v>178</v>
      </c>
      <c r="C2306" s="5"/>
      <c r="D2306" s="5" t="s">
        <v>464</v>
      </c>
      <c r="E2306" s="3"/>
      <c r="F2306" s="3"/>
      <c r="G2306" s="57" t="str">
        <f t="shared" si="35"/>
        <v>-</v>
      </c>
      <c r="H2306" s="19" t="s">
        <v>465</v>
      </c>
      <c r="I2306" s="19">
        <v>92500</v>
      </c>
    </row>
    <row r="2307" spans="1:9" s="1" customFormat="1" x14ac:dyDescent="0.2">
      <c r="A2307" s="1" t="s">
        <v>25</v>
      </c>
      <c r="B2307" s="2" t="s">
        <v>178</v>
      </c>
      <c r="C2307" s="5"/>
      <c r="D2307" s="5" t="s">
        <v>464</v>
      </c>
      <c r="E2307" s="3"/>
      <c r="F2307" s="3"/>
      <c r="G2307" s="57" t="str">
        <f t="shared" ref="G2307:G2370" si="36">IF(ISERROR((F2307-E2307)/E2307),"-",(F2307-E2307)/E2307)</f>
        <v>-</v>
      </c>
      <c r="H2307" s="19" t="s">
        <v>465</v>
      </c>
      <c r="I2307" s="19">
        <v>92500</v>
      </c>
    </row>
    <row r="2308" spans="1:9" s="1" customFormat="1" x14ac:dyDescent="0.2">
      <c r="A2308" s="1" t="s">
        <v>25</v>
      </c>
      <c r="B2308" s="2" t="s">
        <v>178</v>
      </c>
      <c r="C2308" s="5"/>
      <c r="D2308" s="5" t="s">
        <v>464</v>
      </c>
      <c r="E2308" s="3"/>
      <c r="F2308" s="3"/>
      <c r="G2308" s="57" t="str">
        <f t="shared" si="36"/>
        <v>-</v>
      </c>
      <c r="H2308" s="19" t="s">
        <v>465</v>
      </c>
      <c r="I2308" s="19">
        <v>92500</v>
      </c>
    </row>
    <row r="2309" spans="1:9" s="1" customFormat="1" x14ac:dyDescent="0.2">
      <c r="A2309" s="1" t="s">
        <v>25</v>
      </c>
      <c r="B2309" s="2" t="s">
        <v>178</v>
      </c>
      <c r="C2309" s="5"/>
      <c r="D2309" s="5" t="s">
        <v>464</v>
      </c>
      <c r="E2309" s="3"/>
      <c r="F2309" s="3"/>
      <c r="G2309" s="57" t="str">
        <f t="shared" si="36"/>
        <v>-</v>
      </c>
      <c r="H2309" s="19" t="s">
        <v>465</v>
      </c>
      <c r="I2309" s="19">
        <v>92500</v>
      </c>
    </row>
    <row r="2310" spans="1:9" s="1" customFormat="1" x14ac:dyDescent="0.2">
      <c r="A2310" s="1" t="s">
        <v>25</v>
      </c>
      <c r="B2310" s="2" t="s">
        <v>178</v>
      </c>
      <c r="C2310" s="5"/>
      <c r="D2310" s="5" t="s">
        <v>464</v>
      </c>
      <c r="E2310" s="3"/>
      <c r="F2310" s="3"/>
      <c r="G2310" s="57" t="str">
        <f t="shared" si="36"/>
        <v>-</v>
      </c>
      <c r="H2310" s="19" t="s">
        <v>465</v>
      </c>
      <c r="I2310" s="19">
        <v>92500</v>
      </c>
    </row>
    <row r="2311" spans="1:9" s="1" customFormat="1" x14ac:dyDescent="0.2">
      <c r="A2311" s="1" t="s">
        <v>25</v>
      </c>
      <c r="B2311" s="2" t="s">
        <v>178</v>
      </c>
      <c r="C2311" s="5"/>
      <c r="D2311" s="5" t="s">
        <v>464</v>
      </c>
      <c r="E2311" s="3"/>
      <c r="F2311" s="3"/>
      <c r="G2311" s="57" t="str">
        <f t="shared" si="36"/>
        <v>-</v>
      </c>
      <c r="H2311" s="19" t="s">
        <v>465</v>
      </c>
      <c r="I2311" s="19">
        <v>92500</v>
      </c>
    </row>
    <row r="2312" spans="1:9" s="1" customFormat="1" x14ac:dyDescent="0.2">
      <c r="A2312" s="1" t="s">
        <v>25</v>
      </c>
      <c r="B2312" s="2" t="s">
        <v>178</v>
      </c>
      <c r="C2312" s="5"/>
      <c r="D2312" s="5" t="s">
        <v>464</v>
      </c>
      <c r="E2312" s="3"/>
      <c r="F2312" s="3"/>
      <c r="G2312" s="57" t="str">
        <f t="shared" si="36"/>
        <v>-</v>
      </c>
      <c r="H2312" s="19" t="s">
        <v>465</v>
      </c>
      <c r="I2312" s="19">
        <v>92500</v>
      </c>
    </row>
    <row r="2313" spans="1:9" s="1" customFormat="1" x14ac:dyDescent="0.2">
      <c r="A2313" s="1" t="s">
        <v>25</v>
      </c>
      <c r="B2313" s="2" t="s">
        <v>178</v>
      </c>
      <c r="C2313" s="5"/>
      <c r="D2313" s="5" t="s">
        <v>464</v>
      </c>
      <c r="E2313" s="3"/>
      <c r="F2313" s="3"/>
      <c r="G2313" s="57" t="str">
        <f t="shared" si="36"/>
        <v>-</v>
      </c>
      <c r="H2313" s="19" t="s">
        <v>465</v>
      </c>
      <c r="I2313" s="19">
        <v>92500</v>
      </c>
    </row>
    <row r="2314" spans="1:9" s="1" customFormat="1" x14ac:dyDescent="0.2">
      <c r="A2314" s="1" t="s">
        <v>25</v>
      </c>
      <c r="B2314" s="2" t="s">
        <v>178</v>
      </c>
      <c r="C2314" s="5"/>
      <c r="D2314" s="5" t="s">
        <v>464</v>
      </c>
      <c r="E2314" s="3"/>
      <c r="F2314" s="3"/>
      <c r="G2314" s="57" t="str">
        <f t="shared" si="36"/>
        <v>-</v>
      </c>
      <c r="H2314" s="19" t="s">
        <v>465</v>
      </c>
      <c r="I2314" s="19">
        <v>92500</v>
      </c>
    </row>
    <row r="2315" spans="1:9" s="1" customFormat="1" x14ac:dyDescent="0.2">
      <c r="A2315" s="1" t="s">
        <v>25</v>
      </c>
      <c r="B2315" s="2" t="s">
        <v>178</v>
      </c>
      <c r="C2315" s="5"/>
      <c r="D2315" s="5" t="s">
        <v>464</v>
      </c>
      <c r="E2315" s="3"/>
      <c r="F2315" s="3"/>
      <c r="G2315" s="57" t="str">
        <f t="shared" si="36"/>
        <v>-</v>
      </c>
      <c r="H2315" s="19" t="s">
        <v>465</v>
      </c>
      <c r="I2315" s="19">
        <v>92500</v>
      </c>
    </row>
    <row r="2316" spans="1:9" s="1" customFormat="1" x14ac:dyDescent="0.2">
      <c r="A2316" s="1" t="s">
        <v>25</v>
      </c>
      <c r="B2316" s="2" t="s">
        <v>178</v>
      </c>
      <c r="C2316" s="5"/>
      <c r="D2316" s="5" t="s">
        <v>464</v>
      </c>
      <c r="E2316" s="3"/>
      <c r="F2316" s="3"/>
      <c r="G2316" s="57" t="str">
        <f t="shared" si="36"/>
        <v>-</v>
      </c>
      <c r="H2316" s="19" t="s">
        <v>465</v>
      </c>
      <c r="I2316" s="19">
        <v>92500</v>
      </c>
    </row>
    <row r="2317" spans="1:9" s="1" customFormat="1" x14ac:dyDescent="0.2">
      <c r="A2317" s="1" t="s">
        <v>25</v>
      </c>
      <c r="B2317" s="2" t="s">
        <v>178</v>
      </c>
      <c r="C2317" s="5"/>
      <c r="D2317" s="5" t="s">
        <v>464</v>
      </c>
      <c r="E2317" s="3"/>
      <c r="F2317" s="3"/>
      <c r="G2317" s="57" t="str">
        <f t="shared" si="36"/>
        <v>-</v>
      </c>
      <c r="H2317" s="19">
        <v>92500</v>
      </c>
      <c r="I2317" s="19" t="s">
        <v>465</v>
      </c>
    </row>
    <row r="2318" spans="1:9" s="1" customFormat="1" x14ac:dyDescent="0.2">
      <c r="A2318" s="1" t="s">
        <v>25</v>
      </c>
      <c r="B2318" s="2" t="s">
        <v>178</v>
      </c>
      <c r="C2318" s="5"/>
      <c r="D2318" s="5" t="s">
        <v>464</v>
      </c>
      <c r="E2318" s="3"/>
      <c r="F2318" s="3"/>
      <c r="G2318" s="57" t="str">
        <f t="shared" si="36"/>
        <v>-</v>
      </c>
      <c r="H2318" s="19">
        <v>92500</v>
      </c>
      <c r="I2318" s="19" t="s">
        <v>465</v>
      </c>
    </row>
    <row r="2319" spans="1:9" s="1" customFormat="1" x14ac:dyDescent="0.2">
      <c r="A2319" s="1" t="s">
        <v>25</v>
      </c>
      <c r="B2319" s="2" t="s">
        <v>178</v>
      </c>
      <c r="C2319" s="5"/>
      <c r="D2319" s="5" t="s">
        <v>464</v>
      </c>
      <c r="E2319" s="3"/>
      <c r="F2319" s="3"/>
      <c r="G2319" s="57" t="str">
        <f t="shared" si="36"/>
        <v>-</v>
      </c>
      <c r="H2319" s="19">
        <v>92500</v>
      </c>
      <c r="I2319" s="19" t="s">
        <v>465</v>
      </c>
    </row>
    <row r="2320" spans="1:9" s="1" customFormat="1" x14ac:dyDescent="0.2">
      <c r="A2320" s="1" t="s">
        <v>25</v>
      </c>
      <c r="B2320" s="2" t="s">
        <v>178</v>
      </c>
      <c r="C2320" s="5"/>
      <c r="D2320" s="5" t="s">
        <v>464</v>
      </c>
      <c r="E2320" s="3"/>
      <c r="F2320" s="3"/>
      <c r="G2320" s="57" t="str">
        <f t="shared" si="36"/>
        <v>-</v>
      </c>
      <c r="H2320" s="19">
        <v>92500</v>
      </c>
      <c r="I2320" s="19" t="s">
        <v>465</v>
      </c>
    </row>
    <row r="2321" spans="1:9" s="1" customFormat="1" x14ac:dyDescent="0.2">
      <c r="A2321" s="1" t="s">
        <v>25</v>
      </c>
      <c r="B2321" s="2" t="s">
        <v>178</v>
      </c>
      <c r="C2321" s="5"/>
      <c r="D2321" s="5" t="s">
        <v>464</v>
      </c>
      <c r="E2321" s="3"/>
      <c r="F2321" s="3"/>
      <c r="G2321" s="57" t="str">
        <f t="shared" si="36"/>
        <v>-</v>
      </c>
      <c r="H2321" s="19">
        <v>92500</v>
      </c>
      <c r="I2321" s="19" t="s">
        <v>465</v>
      </c>
    </row>
    <row r="2322" spans="1:9" s="1" customFormat="1" x14ac:dyDescent="0.2">
      <c r="A2322" s="1" t="s">
        <v>25</v>
      </c>
      <c r="B2322" s="2" t="s">
        <v>178</v>
      </c>
      <c r="C2322" s="5"/>
      <c r="D2322" s="5" t="s">
        <v>464</v>
      </c>
      <c r="E2322" s="3"/>
      <c r="F2322" s="3"/>
      <c r="G2322" s="57" t="str">
        <f t="shared" si="36"/>
        <v>-</v>
      </c>
      <c r="H2322" s="19" t="s">
        <v>465</v>
      </c>
      <c r="I2322" s="19">
        <v>97500</v>
      </c>
    </row>
    <row r="2323" spans="1:9" s="1" customFormat="1" x14ac:dyDescent="0.2">
      <c r="A2323" s="1" t="s">
        <v>25</v>
      </c>
      <c r="B2323" s="2" t="s">
        <v>178</v>
      </c>
      <c r="C2323" s="5"/>
      <c r="D2323" s="5" t="s">
        <v>464</v>
      </c>
      <c r="E2323" s="3"/>
      <c r="F2323" s="3"/>
      <c r="G2323" s="57" t="str">
        <f t="shared" si="36"/>
        <v>-</v>
      </c>
      <c r="H2323" s="19" t="s">
        <v>465</v>
      </c>
      <c r="I2323" s="19">
        <v>97500</v>
      </c>
    </row>
    <row r="2324" spans="1:9" s="1" customFormat="1" x14ac:dyDescent="0.2">
      <c r="A2324" s="1" t="s">
        <v>25</v>
      </c>
      <c r="B2324" s="2" t="s">
        <v>178</v>
      </c>
      <c r="C2324" s="5"/>
      <c r="D2324" s="5" t="s">
        <v>464</v>
      </c>
      <c r="E2324" s="3"/>
      <c r="F2324" s="3"/>
      <c r="G2324" s="57" t="str">
        <f t="shared" si="36"/>
        <v>-</v>
      </c>
      <c r="H2324" s="19" t="s">
        <v>465</v>
      </c>
      <c r="I2324" s="19">
        <v>97500</v>
      </c>
    </row>
    <row r="2325" spans="1:9" s="1" customFormat="1" x14ac:dyDescent="0.2">
      <c r="A2325" s="1" t="s">
        <v>25</v>
      </c>
      <c r="B2325" s="2" t="s">
        <v>178</v>
      </c>
      <c r="C2325" s="5"/>
      <c r="D2325" s="5" t="s">
        <v>464</v>
      </c>
      <c r="E2325" s="3"/>
      <c r="F2325" s="3"/>
      <c r="G2325" s="57" t="str">
        <f t="shared" si="36"/>
        <v>-</v>
      </c>
      <c r="H2325" s="19" t="s">
        <v>465</v>
      </c>
      <c r="I2325" s="19">
        <v>97500</v>
      </c>
    </row>
    <row r="2326" spans="1:9" s="1" customFormat="1" x14ac:dyDescent="0.2">
      <c r="A2326" s="1" t="s">
        <v>25</v>
      </c>
      <c r="B2326" s="2" t="s">
        <v>178</v>
      </c>
      <c r="C2326" s="5"/>
      <c r="D2326" s="5" t="s">
        <v>464</v>
      </c>
      <c r="E2326" s="3"/>
      <c r="F2326" s="3"/>
      <c r="G2326" s="57" t="str">
        <f t="shared" si="36"/>
        <v>-</v>
      </c>
      <c r="H2326" s="19" t="s">
        <v>465</v>
      </c>
      <c r="I2326" s="19">
        <v>97500</v>
      </c>
    </row>
    <row r="2327" spans="1:9" s="1" customFormat="1" x14ac:dyDescent="0.2">
      <c r="A2327" s="1" t="s">
        <v>25</v>
      </c>
      <c r="B2327" s="2" t="s">
        <v>178</v>
      </c>
      <c r="C2327" s="5"/>
      <c r="D2327" s="5" t="s">
        <v>464</v>
      </c>
      <c r="E2327" s="3"/>
      <c r="F2327" s="3"/>
      <c r="G2327" s="57" t="str">
        <f t="shared" si="36"/>
        <v>-</v>
      </c>
      <c r="H2327" s="19" t="s">
        <v>465</v>
      </c>
      <c r="I2327" s="19">
        <v>97500</v>
      </c>
    </row>
    <row r="2328" spans="1:9" s="1" customFormat="1" x14ac:dyDescent="0.2">
      <c r="A2328" s="1" t="s">
        <v>25</v>
      </c>
      <c r="B2328" s="2" t="s">
        <v>178</v>
      </c>
      <c r="C2328" s="5"/>
      <c r="D2328" s="5" t="s">
        <v>464</v>
      </c>
      <c r="E2328" s="3"/>
      <c r="F2328" s="3"/>
      <c r="G2328" s="57" t="str">
        <f t="shared" si="36"/>
        <v>-</v>
      </c>
      <c r="H2328" s="19">
        <v>97500</v>
      </c>
      <c r="I2328" s="19" t="s">
        <v>465</v>
      </c>
    </row>
    <row r="2329" spans="1:9" s="1" customFormat="1" x14ac:dyDescent="0.2">
      <c r="A2329" s="1" t="s">
        <v>25</v>
      </c>
      <c r="B2329" s="2" t="s">
        <v>178</v>
      </c>
      <c r="C2329" s="5"/>
      <c r="D2329" s="5" t="s">
        <v>464</v>
      </c>
      <c r="E2329" s="3"/>
      <c r="F2329" s="3"/>
      <c r="G2329" s="57" t="str">
        <f t="shared" si="36"/>
        <v>-</v>
      </c>
      <c r="H2329" s="19">
        <v>97500</v>
      </c>
      <c r="I2329" s="19" t="s">
        <v>465</v>
      </c>
    </row>
    <row r="2330" spans="1:9" s="1" customFormat="1" x14ac:dyDescent="0.2">
      <c r="A2330" s="1" t="s">
        <v>25</v>
      </c>
      <c r="B2330" s="2" t="s">
        <v>178</v>
      </c>
      <c r="C2330" s="5"/>
      <c r="D2330" s="5" t="s">
        <v>464</v>
      </c>
      <c r="E2330" s="3"/>
      <c r="F2330" s="3"/>
      <c r="G2330" s="57" t="str">
        <f t="shared" si="36"/>
        <v>-</v>
      </c>
      <c r="H2330" s="19">
        <v>97500</v>
      </c>
      <c r="I2330" s="19" t="s">
        <v>465</v>
      </c>
    </row>
    <row r="2331" spans="1:9" s="1" customFormat="1" x14ac:dyDescent="0.2">
      <c r="A2331" s="1" t="s">
        <v>25</v>
      </c>
      <c r="B2331" s="2" t="s">
        <v>178</v>
      </c>
      <c r="C2331" s="5"/>
      <c r="D2331" s="5" t="s">
        <v>464</v>
      </c>
      <c r="E2331" s="3"/>
      <c r="F2331" s="3"/>
      <c r="G2331" s="57" t="str">
        <f t="shared" si="36"/>
        <v>-</v>
      </c>
      <c r="H2331" s="19">
        <v>97500</v>
      </c>
      <c r="I2331" s="19" t="s">
        <v>465</v>
      </c>
    </row>
    <row r="2332" spans="1:9" s="1" customFormat="1" x14ac:dyDescent="0.2">
      <c r="A2332" s="1" t="s">
        <v>25</v>
      </c>
      <c r="B2332" s="2" t="s">
        <v>178</v>
      </c>
      <c r="C2332" s="5"/>
      <c r="D2332" s="5" t="s">
        <v>464</v>
      </c>
      <c r="E2332" s="3" t="s">
        <v>465</v>
      </c>
      <c r="F2332" s="3">
        <v>102500</v>
      </c>
      <c r="G2332" s="57" t="str">
        <f t="shared" si="36"/>
        <v>-</v>
      </c>
      <c r="H2332" s="19"/>
      <c r="I2332" s="19"/>
    </row>
    <row r="2333" spans="1:9" s="1" customFormat="1" x14ac:dyDescent="0.2">
      <c r="A2333" s="1" t="s">
        <v>25</v>
      </c>
      <c r="B2333" s="2" t="s">
        <v>178</v>
      </c>
      <c r="C2333" s="5"/>
      <c r="D2333" s="5" t="s">
        <v>464</v>
      </c>
      <c r="E2333" s="3" t="s">
        <v>465</v>
      </c>
      <c r="F2333" s="3">
        <v>102500</v>
      </c>
      <c r="G2333" s="57" t="str">
        <f t="shared" si="36"/>
        <v>-</v>
      </c>
      <c r="H2333" s="19"/>
      <c r="I2333" s="19"/>
    </row>
    <row r="2334" spans="1:9" s="1" customFormat="1" x14ac:dyDescent="0.2">
      <c r="A2334" s="1" t="s">
        <v>25</v>
      </c>
      <c r="B2334" s="2" t="s">
        <v>178</v>
      </c>
      <c r="C2334" s="5"/>
      <c r="D2334" s="5" t="s">
        <v>464</v>
      </c>
      <c r="E2334" s="3" t="s">
        <v>465</v>
      </c>
      <c r="F2334" s="3">
        <v>102500</v>
      </c>
      <c r="G2334" s="57" t="str">
        <f t="shared" si="36"/>
        <v>-</v>
      </c>
      <c r="H2334" s="19"/>
      <c r="I2334" s="19"/>
    </row>
    <row r="2335" spans="1:9" s="1" customFormat="1" x14ac:dyDescent="0.2">
      <c r="A2335" s="1" t="s">
        <v>25</v>
      </c>
      <c r="B2335" s="2" t="s">
        <v>178</v>
      </c>
      <c r="C2335" s="5"/>
      <c r="D2335" s="5" t="s">
        <v>464</v>
      </c>
      <c r="E2335" s="3">
        <v>102500</v>
      </c>
      <c r="F2335" s="3" t="s">
        <v>465</v>
      </c>
      <c r="G2335" s="57" t="str">
        <f t="shared" si="36"/>
        <v>-</v>
      </c>
      <c r="H2335" s="19"/>
      <c r="I2335" s="19"/>
    </row>
    <row r="2336" spans="1:9" s="1" customFormat="1" x14ac:dyDescent="0.2">
      <c r="A2336" s="1" t="s">
        <v>25</v>
      </c>
      <c r="B2336" s="2" t="s">
        <v>178</v>
      </c>
      <c r="C2336" s="5"/>
      <c r="D2336" s="5" t="s">
        <v>464</v>
      </c>
      <c r="E2336" s="3">
        <v>102500</v>
      </c>
      <c r="F2336" s="3" t="s">
        <v>465</v>
      </c>
      <c r="G2336" s="57" t="str">
        <f t="shared" si="36"/>
        <v>-</v>
      </c>
      <c r="H2336" s="19"/>
      <c r="I2336" s="19"/>
    </row>
    <row r="2337" spans="1:10" x14ac:dyDescent="0.2">
      <c r="A2337" s="1" t="s">
        <v>25</v>
      </c>
      <c r="B2337" s="2" t="s">
        <v>178</v>
      </c>
      <c r="D2337" s="5" t="s">
        <v>464</v>
      </c>
      <c r="E2337" s="3" t="s">
        <v>465</v>
      </c>
      <c r="F2337" s="3">
        <v>107500</v>
      </c>
      <c r="G2337" s="57" t="str">
        <f t="shared" si="36"/>
        <v>-</v>
      </c>
    </row>
    <row r="2338" spans="1:10" x14ac:dyDescent="0.2">
      <c r="A2338" s="1" t="s">
        <v>25</v>
      </c>
      <c r="B2338" s="2" t="s">
        <v>178</v>
      </c>
      <c r="D2338" s="5" t="s">
        <v>464</v>
      </c>
      <c r="E2338" s="3" t="s">
        <v>465</v>
      </c>
      <c r="F2338" s="3">
        <v>107500</v>
      </c>
      <c r="G2338" s="57" t="str">
        <f t="shared" si="36"/>
        <v>-</v>
      </c>
    </row>
    <row r="2339" spans="1:10" x14ac:dyDescent="0.2">
      <c r="A2339" s="1" t="s">
        <v>25</v>
      </c>
      <c r="B2339" s="2" t="s">
        <v>178</v>
      </c>
      <c r="D2339" s="5" t="s">
        <v>464</v>
      </c>
      <c r="E2339" s="3" t="s">
        <v>465</v>
      </c>
      <c r="F2339" s="3">
        <v>107500</v>
      </c>
      <c r="G2339" s="57" t="str">
        <f t="shared" si="36"/>
        <v>-</v>
      </c>
    </row>
    <row r="2340" spans="1:10" x14ac:dyDescent="0.2">
      <c r="A2340" s="1" t="s">
        <v>25</v>
      </c>
      <c r="B2340" s="2" t="s">
        <v>178</v>
      </c>
      <c r="D2340" s="5" t="s">
        <v>464</v>
      </c>
      <c r="E2340" s="3" t="s">
        <v>465</v>
      </c>
      <c r="F2340" s="3">
        <v>107500</v>
      </c>
      <c r="G2340" s="57" t="str">
        <f t="shared" si="36"/>
        <v>-</v>
      </c>
    </row>
    <row r="2341" spans="1:10" x14ac:dyDescent="0.2">
      <c r="A2341" s="1" t="s">
        <v>25</v>
      </c>
      <c r="B2341" s="2" t="s">
        <v>178</v>
      </c>
      <c r="D2341" s="5" t="s">
        <v>464</v>
      </c>
      <c r="E2341" s="3" t="s">
        <v>465</v>
      </c>
      <c r="F2341" s="3">
        <v>112500</v>
      </c>
      <c r="G2341" s="57" t="str">
        <f t="shared" si="36"/>
        <v>-</v>
      </c>
    </row>
    <row r="2342" spans="1:10" x14ac:dyDescent="0.2">
      <c r="A2342" s="1" t="s">
        <v>25</v>
      </c>
      <c r="B2342" s="2" t="s">
        <v>178</v>
      </c>
      <c r="D2342" s="5" t="s">
        <v>464</v>
      </c>
      <c r="E2342" s="3">
        <v>132500</v>
      </c>
      <c r="F2342" s="3" t="s">
        <v>465</v>
      </c>
      <c r="G2342" s="57" t="str">
        <f t="shared" si="36"/>
        <v>-</v>
      </c>
    </row>
    <row r="2343" spans="1:10" x14ac:dyDescent="0.2">
      <c r="A2343" s="1" t="s">
        <v>25</v>
      </c>
      <c r="B2343" s="2" t="s">
        <v>178</v>
      </c>
      <c r="D2343" s="5" t="s">
        <v>464</v>
      </c>
      <c r="E2343" s="3" t="s">
        <v>465</v>
      </c>
      <c r="F2343" s="3">
        <v>137500</v>
      </c>
      <c r="G2343" s="57" t="str">
        <f t="shared" si="36"/>
        <v>-</v>
      </c>
    </row>
    <row r="2344" spans="1:10" x14ac:dyDescent="0.2">
      <c r="A2344" s="1" t="s">
        <v>25</v>
      </c>
      <c r="B2344" s="2" t="s">
        <v>178</v>
      </c>
      <c r="D2344" s="5" t="s">
        <v>464</v>
      </c>
      <c r="E2344" s="3">
        <v>137500</v>
      </c>
      <c r="F2344" s="3" t="s">
        <v>465</v>
      </c>
      <c r="G2344" s="57" t="str">
        <f t="shared" si="36"/>
        <v>-</v>
      </c>
    </row>
    <row r="2345" spans="1:10" x14ac:dyDescent="0.2">
      <c r="A2345" s="1" t="s">
        <v>25</v>
      </c>
      <c r="B2345" s="2" t="s">
        <v>178</v>
      </c>
      <c r="D2345" s="5" t="s">
        <v>464</v>
      </c>
      <c r="E2345" s="3" t="s">
        <v>465</v>
      </c>
      <c r="F2345" s="3">
        <v>147500</v>
      </c>
      <c r="G2345" s="57" t="str">
        <f t="shared" si="36"/>
        <v>-</v>
      </c>
    </row>
    <row r="2346" spans="1:10" x14ac:dyDescent="0.2">
      <c r="A2346" s="1" t="s">
        <v>25</v>
      </c>
      <c r="B2346" s="2" t="s">
        <v>178</v>
      </c>
      <c r="D2346" s="5" t="s">
        <v>464</v>
      </c>
      <c r="E2346" s="3" t="s">
        <v>465</v>
      </c>
      <c r="F2346" s="3">
        <v>152500</v>
      </c>
      <c r="G2346" s="57" t="str">
        <f t="shared" si="36"/>
        <v>-</v>
      </c>
    </row>
    <row r="2347" spans="1:10" x14ac:dyDescent="0.2">
      <c r="A2347" s="1" t="s">
        <v>25</v>
      </c>
      <c r="B2347" s="2" t="s">
        <v>178</v>
      </c>
      <c r="D2347" s="5" t="s">
        <v>464</v>
      </c>
      <c r="E2347" s="3" t="s">
        <v>465</v>
      </c>
      <c r="F2347" s="3">
        <v>162500</v>
      </c>
      <c r="G2347" s="57" t="str">
        <f t="shared" si="36"/>
        <v>-</v>
      </c>
    </row>
    <row r="2348" spans="1:10" x14ac:dyDescent="0.2">
      <c r="A2348" s="1" t="s">
        <v>25</v>
      </c>
      <c r="B2348" s="2" t="s">
        <v>178</v>
      </c>
      <c r="D2348" s="5" t="s">
        <v>464</v>
      </c>
      <c r="E2348" s="3">
        <v>172500</v>
      </c>
      <c r="F2348" s="3" t="s">
        <v>465</v>
      </c>
      <c r="G2348" s="57" t="str">
        <f t="shared" si="36"/>
        <v>-</v>
      </c>
    </row>
    <row r="2349" spans="1:10" x14ac:dyDescent="0.2">
      <c r="A2349" s="1" t="s">
        <v>25</v>
      </c>
      <c r="B2349" s="2" t="s">
        <v>178</v>
      </c>
      <c r="D2349" s="5" t="s">
        <v>464</v>
      </c>
      <c r="E2349" s="3" t="s">
        <v>465</v>
      </c>
      <c r="F2349" s="3">
        <v>207500</v>
      </c>
      <c r="G2349" s="57" t="str">
        <f t="shared" si="36"/>
        <v>-</v>
      </c>
    </row>
    <row r="2350" spans="1:10" ht="119.25" customHeight="1" x14ac:dyDescent="0.2">
      <c r="A2350" s="1" t="s">
        <v>6</v>
      </c>
      <c r="B2350" s="2" t="s">
        <v>179</v>
      </c>
      <c r="C2350" s="5" t="s">
        <v>1489</v>
      </c>
      <c r="D2350" s="5" t="s">
        <v>450</v>
      </c>
      <c r="E2350" s="9">
        <v>194700</v>
      </c>
      <c r="F2350" s="9">
        <v>194700</v>
      </c>
      <c r="G2350" s="57">
        <f t="shared" si="36"/>
        <v>0</v>
      </c>
      <c r="J2350" s="5" t="s">
        <v>3551</v>
      </c>
    </row>
    <row r="2351" spans="1:10" ht="25.5" x14ac:dyDescent="0.2">
      <c r="A2351" s="1" t="s">
        <v>6</v>
      </c>
      <c r="B2351" s="2" t="s">
        <v>179</v>
      </c>
      <c r="D2351" s="5" t="s">
        <v>1490</v>
      </c>
      <c r="E2351" s="9">
        <v>128100</v>
      </c>
      <c r="F2351" s="9">
        <v>129400</v>
      </c>
      <c r="G2351" s="57">
        <f t="shared" si="36"/>
        <v>1.0148321623731461E-2</v>
      </c>
      <c r="J2351" s="5" t="s">
        <v>4649</v>
      </c>
    </row>
    <row r="2352" spans="1:10" ht="25.5" x14ac:dyDescent="0.2">
      <c r="A2352" s="1" t="s">
        <v>6</v>
      </c>
      <c r="B2352" s="2" t="s">
        <v>179</v>
      </c>
      <c r="D2352" s="5" t="s">
        <v>1491</v>
      </c>
      <c r="E2352" s="9">
        <v>126300</v>
      </c>
      <c r="F2352" s="9">
        <v>123300</v>
      </c>
      <c r="G2352" s="57">
        <f t="shared" si="36"/>
        <v>-2.3752969121140142E-2</v>
      </c>
      <c r="J2352" s="5" t="s">
        <v>3552</v>
      </c>
    </row>
    <row r="2353" spans="1:10" ht="38.25" x14ac:dyDescent="0.2">
      <c r="A2353" s="1" t="s">
        <v>6</v>
      </c>
      <c r="B2353" s="2" t="s">
        <v>179</v>
      </c>
      <c r="D2353" s="5" t="s">
        <v>1492</v>
      </c>
      <c r="E2353" s="9">
        <v>131200</v>
      </c>
      <c r="F2353" s="9">
        <v>131200</v>
      </c>
      <c r="G2353" s="57">
        <f t="shared" si="36"/>
        <v>0</v>
      </c>
      <c r="J2353" s="5" t="s">
        <v>3553</v>
      </c>
    </row>
    <row r="2354" spans="1:10" ht="25.5" x14ac:dyDescent="0.2">
      <c r="A2354" s="1" t="s">
        <v>6</v>
      </c>
      <c r="B2354" s="2" t="s">
        <v>179</v>
      </c>
      <c r="D2354" s="5" t="s">
        <v>1493</v>
      </c>
      <c r="E2354" s="9">
        <v>127200</v>
      </c>
      <c r="F2354" s="9">
        <v>128700</v>
      </c>
      <c r="G2354" s="57">
        <f t="shared" si="36"/>
        <v>1.179245283018868E-2</v>
      </c>
      <c r="J2354" s="5" t="s">
        <v>3554</v>
      </c>
    </row>
    <row r="2355" spans="1:10" ht="25.5" x14ac:dyDescent="0.2">
      <c r="A2355" s="1" t="s">
        <v>6</v>
      </c>
      <c r="B2355" s="2" t="s">
        <v>179</v>
      </c>
      <c r="D2355" s="5" t="s">
        <v>1494</v>
      </c>
      <c r="E2355" s="9">
        <v>98500</v>
      </c>
      <c r="F2355" s="9">
        <v>103500</v>
      </c>
      <c r="G2355" s="57">
        <f t="shared" si="36"/>
        <v>5.0761421319796954E-2</v>
      </c>
      <c r="J2355" s="5" t="s">
        <v>3555</v>
      </c>
    </row>
    <row r="2356" spans="1:10" ht="25.5" x14ac:dyDescent="0.2">
      <c r="A2356" s="1" t="s">
        <v>6</v>
      </c>
      <c r="B2356" s="2" t="s">
        <v>179</v>
      </c>
      <c r="D2356" s="5" t="s">
        <v>1495</v>
      </c>
      <c r="E2356" s="9">
        <v>99200</v>
      </c>
      <c r="F2356" s="9">
        <v>101000</v>
      </c>
      <c r="G2356" s="57">
        <f t="shared" si="36"/>
        <v>1.8145161290322582E-2</v>
      </c>
      <c r="J2356" s="5" t="s">
        <v>3556</v>
      </c>
    </row>
    <row r="2357" spans="1:10" ht="25.5" x14ac:dyDescent="0.2">
      <c r="A2357" s="1" t="s">
        <v>6</v>
      </c>
      <c r="B2357" s="2" t="s">
        <v>179</v>
      </c>
      <c r="D2357" s="5" t="s">
        <v>1496</v>
      </c>
      <c r="E2357" s="9">
        <v>98500</v>
      </c>
      <c r="F2357" s="9">
        <v>101000</v>
      </c>
      <c r="G2357" s="57">
        <f t="shared" si="36"/>
        <v>2.5380710659898477E-2</v>
      </c>
      <c r="J2357" s="5" t="s">
        <v>3557</v>
      </c>
    </row>
    <row r="2358" spans="1:10" ht="38.25" x14ac:dyDescent="0.2">
      <c r="A2358" s="1" t="s">
        <v>6</v>
      </c>
      <c r="B2358" s="2" t="s">
        <v>179</v>
      </c>
      <c r="D2358" s="5" t="s">
        <v>1497</v>
      </c>
      <c r="E2358" s="9">
        <v>104400</v>
      </c>
      <c r="F2358" s="9">
        <v>106600</v>
      </c>
      <c r="G2358" s="57">
        <f t="shared" si="36"/>
        <v>2.1072796934865901E-2</v>
      </c>
      <c r="J2358" s="5" t="s">
        <v>3558</v>
      </c>
    </row>
    <row r="2359" spans="1:10" ht="25.5" x14ac:dyDescent="0.2">
      <c r="A2359" s="1" t="s">
        <v>6</v>
      </c>
      <c r="B2359" s="2" t="s">
        <v>179</v>
      </c>
      <c r="D2359" s="5" t="s">
        <v>1498</v>
      </c>
      <c r="E2359" s="9">
        <v>103500</v>
      </c>
      <c r="F2359" s="9">
        <v>103500</v>
      </c>
      <c r="G2359" s="57">
        <f t="shared" si="36"/>
        <v>0</v>
      </c>
      <c r="J2359" s="5" t="s">
        <v>3559</v>
      </c>
    </row>
    <row r="2360" spans="1:10" ht="25.5" x14ac:dyDescent="0.2">
      <c r="A2360" s="1" t="s">
        <v>6</v>
      </c>
      <c r="B2360" s="2" t="s">
        <v>179</v>
      </c>
      <c r="D2360" s="5" t="s">
        <v>1499</v>
      </c>
      <c r="E2360" s="9">
        <v>98500</v>
      </c>
      <c r="F2360" s="9">
        <v>101000</v>
      </c>
      <c r="G2360" s="57">
        <f t="shared" si="36"/>
        <v>2.5380710659898477E-2</v>
      </c>
      <c r="J2360" s="5" t="s">
        <v>3556</v>
      </c>
    </row>
    <row r="2361" spans="1:10" ht="25.5" x14ac:dyDescent="0.2">
      <c r="A2361" s="1" t="s">
        <v>6</v>
      </c>
      <c r="B2361" s="2" t="s">
        <v>179</v>
      </c>
      <c r="D2361" s="5" t="s">
        <v>1500</v>
      </c>
      <c r="E2361" s="9">
        <v>100200</v>
      </c>
      <c r="F2361" s="9">
        <v>100400</v>
      </c>
      <c r="G2361" s="57">
        <f t="shared" si="36"/>
        <v>1.996007984031936E-3</v>
      </c>
      <c r="J2361" s="5" t="s">
        <v>3560</v>
      </c>
    </row>
    <row r="2362" spans="1:10" ht="25.5" x14ac:dyDescent="0.2">
      <c r="A2362" s="1" t="s">
        <v>6</v>
      </c>
      <c r="B2362" s="2" t="s">
        <v>179</v>
      </c>
      <c r="D2362" s="5" t="s">
        <v>1501</v>
      </c>
      <c r="E2362" s="9">
        <v>98500</v>
      </c>
      <c r="F2362" s="9">
        <v>101000</v>
      </c>
      <c r="G2362" s="57">
        <f t="shared" si="36"/>
        <v>2.5380710659898477E-2</v>
      </c>
      <c r="J2362" s="5" t="s">
        <v>3557</v>
      </c>
    </row>
    <row r="2363" spans="1:10" x14ac:dyDescent="0.2">
      <c r="A2363" s="1" t="s">
        <v>6</v>
      </c>
      <c r="B2363" s="2" t="s">
        <v>179</v>
      </c>
      <c r="D2363" s="5" t="s">
        <v>464</v>
      </c>
      <c r="G2363" s="57" t="str">
        <f t="shared" si="36"/>
        <v>-</v>
      </c>
      <c r="H2363" s="19" t="s">
        <v>465</v>
      </c>
      <c r="I2363" s="19">
        <v>92500</v>
      </c>
    </row>
    <row r="2364" spans="1:10" x14ac:dyDescent="0.2">
      <c r="A2364" s="1" t="s">
        <v>6</v>
      </c>
      <c r="B2364" s="2" t="s">
        <v>179</v>
      </c>
      <c r="D2364" s="5" t="s">
        <v>464</v>
      </c>
      <c r="G2364" s="57" t="str">
        <f t="shared" si="36"/>
        <v>-</v>
      </c>
      <c r="H2364" s="19" t="s">
        <v>465</v>
      </c>
      <c r="I2364" s="19">
        <v>92500</v>
      </c>
    </row>
    <row r="2365" spans="1:10" x14ac:dyDescent="0.2">
      <c r="A2365" s="1" t="s">
        <v>6</v>
      </c>
      <c r="B2365" s="2" t="s">
        <v>179</v>
      </c>
      <c r="D2365" s="5" t="s">
        <v>464</v>
      </c>
      <c r="E2365" s="3">
        <v>142500</v>
      </c>
      <c r="F2365" s="3" t="s">
        <v>465</v>
      </c>
      <c r="G2365" s="57" t="str">
        <f t="shared" si="36"/>
        <v>-</v>
      </c>
    </row>
    <row r="2366" spans="1:10" ht="25.5" x14ac:dyDescent="0.2">
      <c r="A2366" s="1" t="s">
        <v>28</v>
      </c>
      <c r="B2366" s="2" t="s">
        <v>180</v>
      </c>
      <c r="D2366" s="5" t="s">
        <v>450</v>
      </c>
      <c r="E2366" s="3">
        <v>151299</v>
      </c>
      <c r="F2366" s="3">
        <v>149428</v>
      </c>
      <c r="G2366" s="57">
        <f t="shared" si="36"/>
        <v>-1.2366241680381232E-2</v>
      </c>
      <c r="J2366" s="5" t="s">
        <v>3550</v>
      </c>
    </row>
    <row r="2367" spans="1:10" ht="25.5" x14ac:dyDescent="0.2">
      <c r="A2367" s="1" t="s">
        <v>28</v>
      </c>
      <c r="B2367" s="2" t="s">
        <v>180</v>
      </c>
      <c r="D2367" s="5" t="s">
        <v>455</v>
      </c>
      <c r="E2367" s="3">
        <v>106293</v>
      </c>
      <c r="F2367" s="3">
        <v>104436</v>
      </c>
      <c r="G2367" s="57">
        <f t="shared" si="36"/>
        <v>-1.7470576613699867E-2</v>
      </c>
      <c r="J2367" s="5" t="s">
        <v>4650</v>
      </c>
    </row>
    <row r="2368" spans="1:10" ht="63.75" x14ac:dyDescent="0.2">
      <c r="A2368" s="1" t="s">
        <v>25</v>
      </c>
      <c r="B2368" s="2" t="s">
        <v>181</v>
      </c>
      <c r="C2368" s="5" t="s">
        <v>1476</v>
      </c>
      <c r="D2368" s="5" t="s">
        <v>450</v>
      </c>
      <c r="E2368" s="9">
        <v>270474</v>
      </c>
      <c r="F2368" s="9">
        <v>281666</v>
      </c>
      <c r="G2368" s="57">
        <f t="shared" si="36"/>
        <v>4.1379208352743703E-2</v>
      </c>
      <c r="J2368" s="5" t="s">
        <v>3540</v>
      </c>
    </row>
    <row r="2369" spans="1:10" ht="25.5" x14ac:dyDescent="0.2">
      <c r="A2369" s="1" t="s">
        <v>25</v>
      </c>
      <c r="B2369" s="2" t="s">
        <v>181</v>
      </c>
      <c r="C2369" s="5" t="s">
        <v>1477</v>
      </c>
      <c r="D2369" s="5" t="s">
        <v>1478</v>
      </c>
      <c r="E2369" s="9">
        <v>203806</v>
      </c>
      <c r="F2369" s="9">
        <v>206133</v>
      </c>
      <c r="G2369" s="57">
        <f t="shared" si="36"/>
        <v>1.1417720773676927E-2</v>
      </c>
      <c r="J2369" s="5" t="s">
        <v>3541</v>
      </c>
    </row>
    <row r="2370" spans="1:10" ht="25.5" x14ac:dyDescent="0.2">
      <c r="A2370" s="1" t="s">
        <v>25</v>
      </c>
      <c r="B2370" s="2" t="s">
        <v>181</v>
      </c>
      <c r="C2370" s="5" t="s">
        <v>1479</v>
      </c>
      <c r="D2370" s="5" t="s">
        <v>1480</v>
      </c>
      <c r="E2370" s="9">
        <v>193612</v>
      </c>
      <c r="F2370" s="9">
        <v>195865</v>
      </c>
      <c r="G2370" s="57">
        <f t="shared" si="36"/>
        <v>1.1636675412681033E-2</v>
      </c>
      <c r="J2370" s="5" t="s">
        <v>3542</v>
      </c>
    </row>
    <row r="2371" spans="1:10" ht="25.5" x14ac:dyDescent="0.2">
      <c r="A2371" s="1" t="s">
        <v>25</v>
      </c>
      <c r="B2371" s="2" t="s">
        <v>181</v>
      </c>
      <c r="C2371" s="5" t="s">
        <v>1481</v>
      </c>
      <c r="D2371" s="5" t="s">
        <v>855</v>
      </c>
      <c r="E2371" s="9">
        <v>198298</v>
      </c>
      <c r="F2371" s="9">
        <v>180777</v>
      </c>
      <c r="G2371" s="57">
        <f t="shared" ref="G2371:G2434" si="37">IF(ISERROR((F2371-E2371)/E2371),"-",(F2371-E2371)/E2371)</f>
        <v>-8.8356917366791396E-2</v>
      </c>
      <c r="J2371" s="5" t="s">
        <v>3543</v>
      </c>
    </row>
    <row r="2372" spans="1:10" ht="25.5" x14ac:dyDescent="0.2">
      <c r="A2372" s="1" t="s">
        <v>25</v>
      </c>
      <c r="B2372" s="2" t="s">
        <v>181</v>
      </c>
      <c r="C2372" s="5" t="s">
        <v>1482</v>
      </c>
      <c r="D2372" s="5" t="s">
        <v>562</v>
      </c>
      <c r="E2372" s="9">
        <v>192192</v>
      </c>
      <c r="F2372" s="9">
        <v>198367</v>
      </c>
      <c r="G2372" s="57">
        <f t="shared" si="37"/>
        <v>3.2129329004329008E-2</v>
      </c>
      <c r="J2372" s="5" t="s">
        <v>3544</v>
      </c>
    </row>
    <row r="2373" spans="1:10" ht="25.5" x14ac:dyDescent="0.2">
      <c r="A2373" s="1" t="s">
        <v>25</v>
      </c>
      <c r="B2373" s="2" t="s">
        <v>181</v>
      </c>
      <c r="C2373" s="5" t="s">
        <v>1483</v>
      </c>
      <c r="D2373" s="5" t="s">
        <v>1484</v>
      </c>
      <c r="E2373" s="9">
        <v>185153</v>
      </c>
      <c r="F2373" s="9">
        <v>166802</v>
      </c>
      <c r="G2373" s="57">
        <f t="shared" si="37"/>
        <v>-9.9112625774359586E-2</v>
      </c>
      <c r="J2373" s="5" t="s">
        <v>3545</v>
      </c>
    </row>
    <row r="2374" spans="1:10" ht="76.5" x14ac:dyDescent="0.2">
      <c r="A2374" s="1" t="s">
        <v>25</v>
      </c>
      <c r="B2374" s="2" t="s">
        <v>181</v>
      </c>
      <c r="C2374" s="5" t="s">
        <v>1485</v>
      </c>
      <c r="D2374" s="5" t="s">
        <v>3547</v>
      </c>
      <c r="E2374" s="9">
        <v>142586</v>
      </c>
      <c r="F2374" s="9">
        <v>149420</v>
      </c>
      <c r="G2374" s="57">
        <f t="shared" si="37"/>
        <v>4.7928969183510306E-2</v>
      </c>
      <c r="J2374" s="5" t="s">
        <v>3546</v>
      </c>
    </row>
    <row r="2375" spans="1:10" ht="38.25" x14ac:dyDescent="0.2">
      <c r="A2375" s="1" t="s">
        <v>25</v>
      </c>
      <c r="B2375" s="2" t="s">
        <v>181</v>
      </c>
      <c r="C2375" s="5" t="s">
        <v>1486</v>
      </c>
      <c r="D2375" s="5" t="s">
        <v>1487</v>
      </c>
      <c r="E2375" s="9" t="s">
        <v>465</v>
      </c>
      <c r="F2375" s="9">
        <v>182400</v>
      </c>
      <c r="G2375" s="57" t="str">
        <f t="shared" si="37"/>
        <v>-</v>
      </c>
      <c r="J2375" s="5" t="s">
        <v>3548</v>
      </c>
    </row>
    <row r="2376" spans="1:10" ht="25.5" x14ac:dyDescent="0.2">
      <c r="A2376" s="1" t="s">
        <v>25</v>
      </c>
      <c r="B2376" s="2" t="s">
        <v>181</v>
      </c>
      <c r="D2376" s="5" t="s">
        <v>464</v>
      </c>
      <c r="G2376" s="57" t="str">
        <f t="shared" si="37"/>
        <v>-</v>
      </c>
      <c r="H2376" s="19">
        <v>92500</v>
      </c>
      <c r="I2376" s="19" t="s">
        <v>465</v>
      </c>
      <c r="J2376" s="5" t="s">
        <v>3549</v>
      </c>
    </row>
    <row r="2377" spans="1:10" x14ac:dyDescent="0.2">
      <c r="A2377" s="1" t="s">
        <v>25</v>
      </c>
      <c r="B2377" s="2" t="s">
        <v>181</v>
      </c>
      <c r="D2377" s="5" t="s">
        <v>464</v>
      </c>
      <c r="G2377" s="57" t="str">
        <f t="shared" si="37"/>
        <v>-</v>
      </c>
      <c r="H2377" s="19">
        <v>92500</v>
      </c>
      <c r="I2377" s="19" t="s">
        <v>465</v>
      </c>
    </row>
    <row r="2378" spans="1:10" x14ac:dyDescent="0.2">
      <c r="A2378" s="1" t="s">
        <v>25</v>
      </c>
      <c r="B2378" s="2" t="s">
        <v>181</v>
      </c>
      <c r="D2378" s="5" t="s">
        <v>464</v>
      </c>
      <c r="G2378" s="57" t="str">
        <f t="shared" si="37"/>
        <v>-</v>
      </c>
      <c r="H2378" s="19">
        <v>92500</v>
      </c>
      <c r="I2378" s="19" t="s">
        <v>465</v>
      </c>
    </row>
    <row r="2379" spans="1:10" x14ac:dyDescent="0.2">
      <c r="A2379" s="1" t="s">
        <v>25</v>
      </c>
      <c r="B2379" s="2" t="s">
        <v>181</v>
      </c>
      <c r="D2379" s="5" t="s">
        <v>464</v>
      </c>
      <c r="G2379" s="57" t="str">
        <f t="shared" si="37"/>
        <v>-</v>
      </c>
      <c r="H2379" s="19">
        <v>92500</v>
      </c>
      <c r="I2379" s="19" t="s">
        <v>465</v>
      </c>
    </row>
    <row r="2380" spans="1:10" x14ac:dyDescent="0.2">
      <c r="A2380" s="1" t="s">
        <v>25</v>
      </c>
      <c r="B2380" s="2" t="s">
        <v>181</v>
      </c>
      <c r="D2380" s="5" t="s">
        <v>464</v>
      </c>
      <c r="G2380" s="57" t="str">
        <f t="shared" si="37"/>
        <v>-</v>
      </c>
      <c r="H2380" s="19">
        <v>92500</v>
      </c>
      <c r="I2380" s="19" t="s">
        <v>465</v>
      </c>
    </row>
    <row r="2381" spans="1:10" x14ac:dyDescent="0.2">
      <c r="A2381" s="1" t="s">
        <v>25</v>
      </c>
      <c r="B2381" s="2" t="s">
        <v>181</v>
      </c>
      <c r="D2381" s="5" t="s">
        <v>464</v>
      </c>
      <c r="G2381" s="57" t="str">
        <f t="shared" si="37"/>
        <v>-</v>
      </c>
      <c r="H2381" s="19">
        <v>92500</v>
      </c>
      <c r="I2381" s="19" t="s">
        <v>465</v>
      </c>
    </row>
    <row r="2382" spans="1:10" x14ac:dyDescent="0.2">
      <c r="A2382" s="1" t="s">
        <v>25</v>
      </c>
      <c r="B2382" s="2" t="s">
        <v>181</v>
      </c>
      <c r="D2382" s="5" t="s">
        <v>464</v>
      </c>
      <c r="G2382" s="57" t="str">
        <f t="shared" si="37"/>
        <v>-</v>
      </c>
      <c r="H2382" s="19">
        <v>92500</v>
      </c>
      <c r="I2382" s="19" t="s">
        <v>465</v>
      </c>
    </row>
    <row r="2383" spans="1:10" x14ac:dyDescent="0.2">
      <c r="A2383" s="1" t="s">
        <v>25</v>
      </c>
      <c r="B2383" s="2" t="s">
        <v>181</v>
      </c>
      <c r="D2383" s="5" t="s">
        <v>464</v>
      </c>
      <c r="G2383" s="57" t="str">
        <f t="shared" si="37"/>
        <v>-</v>
      </c>
      <c r="H2383" s="19">
        <v>92500</v>
      </c>
      <c r="I2383" s="19" t="s">
        <v>465</v>
      </c>
    </row>
    <row r="2384" spans="1:10" x14ac:dyDescent="0.2">
      <c r="A2384" s="1" t="s">
        <v>25</v>
      </c>
      <c r="B2384" s="2" t="s">
        <v>181</v>
      </c>
      <c r="D2384" s="5" t="s">
        <v>464</v>
      </c>
      <c r="G2384" s="57" t="str">
        <f t="shared" si="37"/>
        <v>-</v>
      </c>
      <c r="H2384" s="19">
        <v>92500</v>
      </c>
      <c r="I2384" s="19" t="s">
        <v>465</v>
      </c>
    </row>
    <row r="2385" spans="1:10" x14ac:dyDescent="0.2">
      <c r="A2385" s="1" t="s">
        <v>25</v>
      </c>
      <c r="B2385" s="2" t="s">
        <v>181</v>
      </c>
      <c r="D2385" s="5" t="s">
        <v>464</v>
      </c>
      <c r="G2385" s="57" t="str">
        <f t="shared" si="37"/>
        <v>-</v>
      </c>
      <c r="H2385" s="19">
        <v>92500</v>
      </c>
      <c r="I2385" s="19" t="s">
        <v>465</v>
      </c>
      <c r="J2385" s="5" t="s">
        <v>1488</v>
      </c>
    </row>
    <row r="2386" spans="1:10" x14ac:dyDescent="0.2">
      <c r="A2386" s="1" t="s">
        <v>25</v>
      </c>
      <c r="B2386" s="2" t="s">
        <v>181</v>
      </c>
      <c r="D2386" s="5" t="s">
        <v>464</v>
      </c>
      <c r="G2386" s="57" t="str">
        <f t="shared" si="37"/>
        <v>-</v>
      </c>
      <c r="H2386" s="19" t="s">
        <v>465</v>
      </c>
      <c r="I2386" s="19">
        <v>92500</v>
      </c>
      <c r="J2386" s="5" t="s">
        <v>1488</v>
      </c>
    </row>
    <row r="2387" spans="1:10" x14ac:dyDescent="0.2">
      <c r="A2387" s="1" t="s">
        <v>25</v>
      </c>
      <c r="B2387" s="2" t="s">
        <v>181</v>
      </c>
      <c r="D2387" s="5" t="s">
        <v>464</v>
      </c>
      <c r="G2387" s="57" t="str">
        <f t="shared" si="37"/>
        <v>-</v>
      </c>
      <c r="H2387" s="19" t="s">
        <v>465</v>
      </c>
      <c r="I2387" s="19">
        <v>92500</v>
      </c>
      <c r="J2387" s="5" t="s">
        <v>1488</v>
      </c>
    </row>
    <row r="2388" spans="1:10" x14ac:dyDescent="0.2">
      <c r="A2388" s="1" t="s">
        <v>25</v>
      </c>
      <c r="B2388" s="2" t="s">
        <v>181</v>
      </c>
      <c r="D2388" s="5" t="s">
        <v>464</v>
      </c>
      <c r="G2388" s="57" t="str">
        <f t="shared" si="37"/>
        <v>-</v>
      </c>
      <c r="H2388" s="19" t="s">
        <v>465</v>
      </c>
      <c r="I2388" s="19">
        <v>92500</v>
      </c>
    </row>
    <row r="2389" spans="1:10" x14ac:dyDescent="0.2">
      <c r="A2389" s="1" t="s">
        <v>25</v>
      </c>
      <c r="B2389" s="2" t="s">
        <v>181</v>
      </c>
      <c r="D2389" s="5" t="s">
        <v>464</v>
      </c>
      <c r="G2389" s="57" t="str">
        <f t="shared" si="37"/>
        <v>-</v>
      </c>
      <c r="H2389" s="19" t="s">
        <v>465</v>
      </c>
      <c r="I2389" s="19">
        <v>92500</v>
      </c>
    </row>
    <row r="2390" spans="1:10" x14ac:dyDescent="0.2">
      <c r="A2390" s="1" t="s">
        <v>25</v>
      </c>
      <c r="B2390" s="2" t="s">
        <v>181</v>
      </c>
      <c r="D2390" s="5" t="s">
        <v>464</v>
      </c>
      <c r="G2390" s="57" t="str">
        <f t="shared" si="37"/>
        <v>-</v>
      </c>
      <c r="H2390" s="19" t="s">
        <v>465</v>
      </c>
      <c r="I2390" s="19">
        <v>92500</v>
      </c>
    </row>
    <row r="2391" spans="1:10" x14ac:dyDescent="0.2">
      <c r="A2391" s="1" t="s">
        <v>25</v>
      </c>
      <c r="B2391" s="2" t="s">
        <v>181</v>
      </c>
      <c r="D2391" s="5" t="s">
        <v>464</v>
      </c>
      <c r="G2391" s="57" t="str">
        <f t="shared" si="37"/>
        <v>-</v>
      </c>
      <c r="H2391" s="19" t="s">
        <v>465</v>
      </c>
      <c r="I2391" s="19">
        <v>92500</v>
      </c>
    </row>
    <row r="2392" spans="1:10" x14ac:dyDescent="0.2">
      <c r="A2392" s="1" t="s">
        <v>25</v>
      </c>
      <c r="B2392" s="2" t="s">
        <v>181</v>
      </c>
      <c r="D2392" s="5" t="s">
        <v>464</v>
      </c>
      <c r="G2392" s="57" t="str">
        <f t="shared" si="37"/>
        <v>-</v>
      </c>
      <c r="H2392" s="19" t="s">
        <v>465</v>
      </c>
      <c r="I2392" s="19">
        <v>92500</v>
      </c>
    </row>
    <row r="2393" spans="1:10" x14ac:dyDescent="0.2">
      <c r="A2393" s="1" t="s">
        <v>25</v>
      </c>
      <c r="B2393" s="2" t="s">
        <v>181</v>
      </c>
      <c r="D2393" s="5" t="s">
        <v>464</v>
      </c>
      <c r="G2393" s="57" t="str">
        <f t="shared" si="37"/>
        <v>-</v>
      </c>
      <c r="H2393" s="19" t="s">
        <v>465</v>
      </c>
      <c r="I2393" s="19">
        <v>92500</v>
      </c>
    </row>
    <row r="2394" spans="1:10" x14ac:dyDescent="0.2">
      <c r="A2394" s="1" t="s">
        <v>25</v>
      </c>
      <c r="B2394" s="2" t="s">
        <v>181</v>
      </c>
      <c r="D2394" s="5" t="s">
        <v>464</v>
      </c>
      <c r="G2394" s="57" t="str">
        <f t="shared" si="37"/>
        <v>-</v>
      </c>
      <c r="H2394" s="19">
        <v>97500</v>
      </c>
      <c r="I2394" s="19" t="s">
        <v>465</v>
      </c>
    </row>
    <row r="2395" spans="1:10" x14ac:dyDescent="0.2">
      <c r="A2395" s="1" t="s">
        <v>25</v>
      </c>
      <c r="B2395" s="2" t="s">
        <v>181</v>
      </c>
      <c r="D2395" s="5" t="s">
        <v>464</v>
      </c>
      <c r="G2395" s="57" t="str">
        <f t="shared" si="37"/>
        <v>-</v>
      </c>
      <c r="H2395" s="19">
        <v>97500</v>
      </c>
      <c r="I2395" s="19" t="s">
        <v>465</v>
      </c>
    </row>
    <row r="2396" spans="1:10" x14ac:dyDescent="0.2">
      <c r="A2396" s="1" t="s">
        <v>25</v>
      </c>
      <c r="B2396" s="2" t="s">
        <v>181</v>
      </c>
      <c r="D2396" s="5" t="s">
        <v>464</v>
      </c>
      <c r="G2396" s="57" t="str">
        <f t="shared" si="37"/>
        <v>-</v>
      </c>
      <c r="H2396" s="19">
        <v>97500</v>
      </c>
      <c r="I2396" s="19" t="s">
        <v>465</v>
      </c>
    </row>
    <row r="2397" spans="1:10" x14ac:dyDescent="0.2">
      <c r="A2397" s="1" t="s">
        <v>25</v>
      </c>
      <c r="B2397" s="2" t="s">
        <v>181</v>
      </c>
      <c r="D2397" s="5" t="s">
        <v>464</v>
      </c>
      <c r="G2397" s="57" t="str">
        <f t="shared" si="37"/>
        <v>-</v>
      </c>
      <c r="H2397" s="19">
        <v>97500</v>
      </c>
      <c r="I2397" s="19" t="s">
        <v>465</v>
      </c>
    </row>
    <row r="2398" spans="1:10" x14ac:dyDescent="0.2">
      <c r="A2398" s="1" t="s">
        <v>25</v>
      </c>
      <c r="B2398" s="2" t="s">
        <v>181</v>
      </c>
      <c r="D2398" s="5" t="s">
        <v>464</v>
      </c>
      <c r="G2398" s="57" t="str">
        <f t="shared" si="37"/>
        <v>-</v>
      </c>
      <c r="H2398" s="19">
        <v>97500</v>
      </c>
      <c r="I2398" s="19" t="s">
        <v>465</v>
      </c>
    </row>
    <row r="2399" spans="1:10" x14ac:dyDescent="0.2">
      <c r="A2399" s="1" t="s">
        <v>25</v>
      </c>
      <c r="B2399" s="2" t="s">
        <v>181</v>
      </c>
      <c r="D2399" s="5" t="s">
        <v>464</v>
      </c>
      <c r="G2399" s="57" t="str">
        <f t="shared" si="37"/>
        <v>-</v>
      </c>
      <c r="H2399" s="19">
        <v>97500</v>
      </c>
      <c r="I2399" s="19" t="s">
        <v>465</v>
      </c>
    </row>
    <row r="2400" spans="1:10" x14ac:dyDescent="0.2">
      <c r="A2400" s="1" t="s">
        <v>25</v>
      </c>
      <c r="B2400" s="2" t="s">
        <v>181</v>
      </c>
      <c r="D2400" s="5" t="s">
        <v>464</v>
      </c>
      <c r="G2400" s="57" t="str">
        <f t="shared" si="37"/>
        <v>-</v>
      </c>
      <c r="H2400" s="19" t="s">
        <v>465</v>
      </c>
      <c r="I2400" s="19">
        <v>97500</v>
      </c>
      <c r="J2400" s="5" t="s">
        <v>1488</v>
      </c>
    </row>
    <row r="2401" spans="1:10" x14ac:dyDescent="0.2">
      <c r="A2401" s="1" t="s">
        <v>25</v>
      </c>
      <c r="B2401" s="2" t="s">
        <v>181</v>
      </c>
      <c r="D2401" s="5" t="s">
        <v>464</v>
      </c>
      <c r="G2401" s="57" t="str">
        <f t="shared" si="37"/>
        <v>-</v>
      </c>
      <c r="H2401" s="19" t="s">
        <v>465</v>
      </c>
      <c r="I2401" s="19">
        <v>97500</v>
      </c>
    </row>
    <row r="2402" spans="1:10" x14ac:dyDescent="0.2">
      <c r="A2402" s="1" t="s">
        <v>25</v>
      </c>
      <c r="B2402" s="2" t="s">
        <v>181</v>
      </c>
      <c r="D2402" s="5" t="s">
        <v>464</v>
      </c>
      <c r="G2402" s="57" t="str">
        <f t="shared" si="37"/>
        <v>-</v>
      </c>
      <c r="H2402" s="19" t="s">
        <v>465</v>
      </c>
      <c r="I2402" s="19">
        <v>97500</v>
      </c>
    </row>
    <row r="2403" spans="1:10" x14ac:dyDescent="0.2">
      <c r="A2403" s="1" t="s">
        <v>25</v>
      </c>
      <c r="B2403" s="2" t="s">
        <v>181</v>
      </c>
      <c r="D2403" s="5" t="s">
        <v>464</v>
      </c>
      <c r="G2403" s="57" t="str">
        <f t="shared" si="37"/>
        <v>-</v>
      </c>
      <c r="H2403" s="19" t="s">
        <v>465</v>
      </c>
      <c r="I2403" s="19">
        <v>97500</v>
      </c>
    </row>
    <row r="2404" spans="1:10" x14ac:dyDescent="0.2">
      <c r="A2404" s="1" t="s">
        <v>25</v>
      </c>
      <c r="B2404" s="2" t="s">
        <v>181</v>
      </c>
      <c r="D2404" s="5" t="s">
        <v>464</v>
      </c>
      <c r="G2404" s="57" t="str">
        <f t="shared" si="37"/>
        <v>-</v>
      </c>
      <c r="H2404" s="19" t="s">
        <v>465</v>
      </c>
      <c r="I2404" s="19">
        <v>97500</v>
      </c>
    </row>
    <row r="2405" spans="1:10" x14ac:dyDescent="0.2">
      <c r="A2405" s="1" t="s">
        <v>25</v>
      </c>
      <c r="B2405" s="2" t="s">
        <v>181</v>
      </c>
      <c r="D2405" s="5" t="s">
        <v>464</v>
      </c>
      <c r="G2405" s="57" t="str">
        <f t="shared" si="37"/>
        <v>-</v>
      </c>
      <c r="H2405" s="19" t="s">
        <v>465</v>
      </c>
      <c r="I2405" s="19">
        <v>97500</v>
      </c>
    </row>
    <row r="2406" spans="1:10" x14ac:dyDescent="0.2">
      <c r="A2406" s="1" t="s">
        <v>25</v>
      </c>
      <c r="B2406" s="2" t="s">
        <v>181</v>
      </c>
      <c r="D2406" s="5" t="s">
        <v>464</v>
      </c>
      <c r="G2406" s="57" t="str">
        <f t="shared" si="37"/>
        <v>-</v>
      </c>
      <c r="H2406" s="19" t="s">
        <v>465</v>
      </c>
      <c r="I2406" s="19">
        <v>97500</v>
      </c>
    </row>
    <row r="2407" spans="1:10" x14ac:dyDescent="0.2">
      <c r="A2407" s="1" t="s">
        <v>25</v>
      </c>
      <c r="B2407" s="2" t="s">
        <v>181</v>
      </c>
      <c r="D2407" s="5" t="s">
        <v>464</v>
      </c>
      <c r="G2407" s="57" t="str">
        <f t="shared" si="37"/>
        <v>-</v>
      </c>
      <c r="H2407" s="19" t="s">
        <v>465</v>
      </c>
      <c r="I2407" s="19">
        <v>97500</v>
      </c>
    </row>
    <row r="2408" spans="1:10" x14ac:dyDescent="0.2">
      <c r="A2408" s="1" t="s">
        <v>25</v>
      </c>
      <c r="B2408" s="2" t="s">
        <v>181</v>
      </c>
      <c r="D2408" s="5" t="s">
        <v>464</v>
      </c>
      <c r="G2408" s="57" t="str">
        <f t="shared" si="37"/>
        <v>-</v>
      </c>
      <c r="H2408" s="19" t="s">
        <v>465</v>
      </c>
      <c r="I2408" s="19">
        <v>97500</v>
      </c>
    </row>
    <row r="2409" spans="1:10" x14ac:dyDescent="0.2">
      <c r="A2409" s="1" t="s">
        <v>25</v>
      </c>
      <c r="B2409" s="2" t="s">
        <v>181</v>
      </c>
      <c r="D2409" s="5" t="s">
        <v>464</v>
      </c>
      <c r="E2409" s="3" t="s">
        <v>465</v>
      </c>
      <c r="F2409" s="3">
        <v>102500</v>
      </c>
      <c r="G2409" s="57" t="str">
        <f t="shared" si="37"/>
        <v>-</v>
      </c>
    </row>
    <row r="2410" spans="1:10" x14ac:dyDescent="0.2">
      <c r="A2410" s="1" t="s">
        <v>25</v>
      </c>
      <c r="B2410" s="2" t="s">
        <v>181</v>
      </c>
      <c r="D2410" s="5" t="s">
        <v>464</v>
      </c>
      <c r="E2410" s="3" t="s">
        <v>465</v>
      </c>
      <c r="F2410" s="3">
        <v>102500</v>
      </c>
      <c r="G2410" s="57" t="str">
        <f t="shared" si="37"/>
        <v>-</v>
      </c>
    </row>
    <row r="2411" spans="1:10" x14ac:dyDescent="0.2">
      <c r="A2411" s="1" t="s">
        <v>25</v>
      </c>
      <c r="B2411" s="2" t="s">
        <v>181</v>
      </c>
      <c r="D2411" s="5" t="s">
        <v>464</v>
      </c>
      <c r="E2411" s="3" t="s">
        <v>465</v>
      </c>
      <c r="F2411" s="3">
        <v>102500</v>
      </c>
      <c r="G2411" s="57" t="str">
        <f t="shared" si="37"/>
        <v>-</v>
      </c>
    </row>
    <row r="2412" spans="1:10" x14ac:dyDescent="0.2">
      <c r="A2412" s="1" t="s">
        <v>25</v>
      </c>
      <c r="B2412" s="2" t="s">
        <v>181</v>
      </c>
      <c r="D2412" s="5" t="s">
        <v>464</v>
      </c>
      <c r="E2412" s="3" t="s">
        <v>465</v>
      </c>
      <c r="F2412" s="3">
        <v>102500</v>
      </c>
      <c r="G2412" s="57" t="str">
        <f t="shared" si="37"/>
        <v>-</v>
      </c>
    </row>
    <row r="2413" spans="1:10" x14ac:dyDescent="0.2">
      <c r="A2413" s="1" t="s">
        <v>25</v>
      </c>
      <c r="B2413" s="2" t="s">
        <v>181</v>
      </c>
      <c r="D2413" s="5" t="s">
        <v>464</v>
      </c>
      <c r="E2413" s="3" t="s">
        <v>465</v>
      </c>
      <c r="F2413" s="3">
        <v>102500</v>
      </c>
      <c r="G2413" s="57" t="str">
        <f t="shared" si="37"/>
        <v>-</v>
      </c>
    </row>
    <row r="2414" spans="1:10" x14ac:dyDescent="0.2">
      <c r="A2414" s="1" t="s">
        <v>25</v>
      </c>
      <c r="B2414" s="2" t="s">
        <v>181</v>
      </c>
      <c r="D2414" s="5" t="s">
        <v>464</v>
      </c>
      <c r="E2414" s="3" t="s">
        <v>465</v>
      </c>
      <c r="F2414" s="3">
        <v>102500</v>
      </c>
      <c r="G2414" s="57" t="str">
        <f t="shared" si="37"/>
        <v>-</v>
      </c>
    </row>
    <row r="2415" spans="1:10" x14ac:dyDescent="0.2">
      <c r="A2415" s="1" t="s">
        <v>25</v>
      </c>
      <c r="B2415" s="2" t="s">
        <v>181</v>
      </c>
      <c r="D2415" s="5" t="s">
        <v>464</v>
      </c>
      <c r="E2415" s="3">
        <v>102500</v>
      </c>
      <c r="F2415" s="3" t="s">
        <v>465</v>
      </c>
      <c r="G2415" s="57" t="str">
        <f t="shared" si="37"/>
        <v>-</v>
      </c>
      <c r="J2415" s="5" t="s">
        <v>1488</v>
      </c>
    </row>
    <row r="2416" spans="1:10" x14ac:dyDescent="0.2">
      <c r="A2416" s="1" t="s">
        <v>25</v>
      </c>
      <c r="B2416" s="2" t="s">
        <v>181</v>
      </c>
      <c r="D2416" s="5" t="s">
        <v>464</v>
      </c>
      <c r="E2416" s="3">
        <v>102500</v>
      </c>
      <c r="F2416" s="3" t="s">
        <v>465</v>
      </c>
      <c r="G2416" s="57" t="str">
        <f t="shared" si="37"/>
        <v>-</v>
      </c>
    </row>
    <row r="2417" spans="1:10" x14ac:dyDescent="0.2">
      <c r="A2417" s="1" t="s">
        <v>25</v>
      </c>
      <c r="B2417" s="2" t="s">
        <v>181</v>
      </c>
      <c r="D2417" s="5" t="s">
        <v>464</v>
      </c>
      <c r="E2417" s="3">
        <v>102500</v>
      </c>
      <c r="F2417" s="3" t="s">
        <v>465</v>
      </c>
      <c r="G2417" s="57" t="str">
        <f t="shared" si="37"/>
        <v>-</v>
      </c>
    </row>
    <row r="2418" spans="1:10" x14ac:dyDescent="0.2">
      <c r="A2418" s="1" t="s">
        <v>25</v>
      </c>
      <c r="B2418" s="2" t="s">
        <v>181</v>
      </c>
      <c r="D2418" s="5" t="s">
        <v>464</v>
      </c>
      <c r="E2418" s="3">
        <v>102500</v>
      </c>
      <c r="F2418" s="3" t="s">
        <v>465</v>
      </c>
      <c r="G2418" s="57" t="str">
        <f t="shared" si="37"/>
        <v>-</v>
      </c>
    </row>
    <row r="2419" spans="1:10" x14ac:dyDescent="0.2">
      <c r="A2419" s="1" t="s">
        <v>25</v>
      </c>
      <c r="B2419" s="2" t="s">
        <v>181</v>
      </c>
      <c r="D2419" s="5" t="s">
        <v>464</v>
      </c>
      <c r="E2419" s="3">
        <v>102500</v>
      </c>
      <c r="F2419" s="3" t="s">
        <v>465</v>
      </c>
      <c r="G2419" s="57" t="str">
        <f t="shared" si="37"/>
        <v>-</v>
      </c>
    </row>
    <row r="2420" spans="1:10" x14ac:dyDescent="0.2">
      <c r="A2420" s="1" t="s">
        <v>25</v>
      </c>
      <c r="B2420" s="2" t="s">
        <v>181</v>
      </c>
      <c r="D2420" s="5" t="s">
        <v>464</v>
      </c>
      <c r="E2420" s="3">
        <v>102500</v>
      </c>
      <c r="F2420" s="3" t="s">
        <v>465</v>
      </c>
      <c r="G2420" s="57" t="str">
        <f t="shared" si="37"/>
        <v>-</v>
      </c>
    </row>
    <row r="2421" spans="1:10" x14ac:dyDescent="0.2">
      <c r="A2421" s="1" t="s">
        <v>25</v>
      </c>
      <c r="B2421" s="2" t="s">
        <v>181</v>
      </c>
      <c r="D2421" s="5" t="s">
        <v>464</v>
      </c>
      <c r="E2421" s="3">
        <v>102500</v>
      </c>
      <c r="F2421" s="3" t="s">
        <v>465</v>
      </c>
      <c r="G2421" s="57" t="str">
        <f t="shared" si="37"/>
        <v>-</v>
      </c>
    </row>
    <row r="2422" spans="1:10" x14ac:dyDescent="0.2">
      <c r="A2422" s="1" t="s">
        <v>25</v>
      </c>
      <c r="B2422" s="2" t="s">
        <v>181</v>
      </c>
      <c r="D2422" s="5" t="s">
        <v>464</v>
      </c>
      <c r="E2422" s="3" t="s">
        <v>465</v>
      </c>
      <c r="F2422" s="3">
        <v>107500</v>
      </c>
      <c r="G2422" s="57" t="str">
        <f t="shared" si="37"/>
        <v>-</v>
      </c>
    </row>
    <row r="2423" spans="1:10" x14ac:dyDescent="0.2">
      <c r="A2423" s="1" t="s">
        <v>25</v>
      </c>
      <c r="B2423" s="2" t="s">
        <v>181</v>
      </c>
      <c r="D2423" s="5" t="s">
        <v>464</v>
      </c>
      <c r="E2423" s="3" t="s">
        <v>465</v>
      </c>
      <c r="F2423" s="3">
        <v>107500</v>
      </c>
      <c r="G2423" s="57" t="str">
        <f t="shared" si="37"/>
        <v>-</v>
      </c>
    </row>
    <row r="2424" spans="1:10" x14ac:dyDescent="0.2">
      <c r="A2424" s="1" t="s">
        <v>25</v>
      </c>
      <c r="B2424" s="2" t="s">
        <v>181</v>
      </c>
      <c r="D2424" s="5" t="s">
        <v>464</v>
      </c>
      <c r="E2424" s="3" t="s">
        <v>465</v>
      </c>
      <c r="F2424" s="3">
        <v>107500</v>
      </c>
      <c r="G2424" s="57" t="str">
        <f t="shared" si="37"/>
        <v>-</v>
      </c>
    </row>
    <row r="2425" spans="1:10" x14ac:dyDescent="0.2">
      <c r="A2425" s="1" t="s">
        <v>25</v>
      </c>
      <c r="B2425" s="2" t="s">
        <v>181</v>
      </c>
      <c r="D2425" s="5" t="s">
        <v>464</v>
      </c>
      <c r="E2425" s="3">
        <v>107500</v>
      </c>
      <c r="F2425" s="3" t="s">
        <v>465</v>
      </c>
      <c r="G2425" s="57" t="str">
        <f t="shared" si="37"/>
        <v>-</v>
      </c>
    </row>
    <row r="2426" spans="1:10" x14ac:dyDescent="0.2">
      <c r="A2426" s="1" t="s">
        <v>25</v>
      </c>
      <c r="B2426" s="2" t="s">
        <v>181</v>
      </c>
      <c r="D2426" s="5" t="s">
        <v>464</v>
      </c>
      <c r="E2426" s="3">
        <v>107500</v>
      </c>
      <c r="F2426" s="3" t="s">
        <v>465</v>
      </c>
      <c r="G2426" s="57" t="str">
        <f t="shared" si="37"/>
        <v>-</v>
      </c>
    </row>
    <row r="2427" spans="1:10" x14ac:dyDescent="0.2">
      <c r="A2427" s="1" t="s">
        <v>25</v>
      </c>
      <c r="B2427" s="2" t="s">
        <v>181</v>
      </c>
      <c r="D2427" s="5" t="s">
        <v>464</v>
      </c>
      <c r="E2427" s="3">
        <v>107500</v>
      </c>
      <c r="F2427" s="3" t="s">
        <v>465</v>
      </c>
      <c r="G2427" s="57" t="str">
        <f t="shared" si="37"/>
        <v>-</v>
      </c>
    </row>
    <row r="2428" spans="1:10" x14ac:dyDescent="0.2">
      <c r="A2428" s="1" t="s">
        <v>25</v>
      </c>
      <c r="B2428" s="2" t="s">
        <v>181</v>
      </c>
      <c r="D2428" s="5" t="s">
        <v>464</v>
      </c>
      <c r="E2428" s="3">
        <v>107500</v>
      </c>
      <c r="F2428" s="3" t="s">
        <v>465</v>
      </c>
      <c r="G2428" s="57" t="str">
        <f t="shared" si="37"/>
        <v>-</v>
      </c>
    </row>
    <row r="2429" spans="1:10" x14ac:dyDescent="0.2">
      <c r="A2429" s="1" t="s">
        <v>25</v>
      </c>
      <c r="B2429" s="2" t="s">
        <v>181</v>
      </c>
      <c r="D2429" s="5" t="s">
        <v>464</v>
      </c>
      <c r="E2429" s="3" t="s">
        <v>465</v>
      </c>
      <c r="F2429" s="3">
        <v>112500</v>
      </c>
      <c r="G2429" s="57" t="str">
        <f t="shared" si="37"/>
        <v>-</v>
      </c>
      <c r="J2429" s="5" t="s">
        <v>1488</v>
      </c>
    </row>
    <row r="2430" spans="1:10" x14ac:dyDescent="0.2">
      <c r="A2430" s="1" t="s">
        <v>25</v>
      </c>
      <c r="B2430" s="2" t="s">
        <v>181</v>
      </c>
      <c r="D2430" s="5" t="s">
        <v>464</v>
      </c>
      <c r="E2430" s="3" t="s">
        <v>465</v>
      </c>
      <c r="F2430" s="3">
        <v>112500</v>
      </c>
      <c r="G2430" s="57" t="str">
        <f t="shared" si="37"/>
        <v>-</v>
      </c>
    </row>
    <row r="2431" spans="1:10" x14ac:dyDescent="0.2">
      <c r="A2431" s="1" t="s">
        <v>25</v>
      </c>
      <c r="B2431" s="2" t="s">
        <v>181</v>
      </c>
      <c r="D2431" s="5" t="s">
        <v>464</v>
      </c>
      <c r="E2431" s="3" t="s">
        <v>465</v>
      </c>
      <c r="F2431" s="3">
        <v>127500</v>
      </c>
      <c r="G2431" s="57" t="str">
        <f t="shared" si="37"/>
        <v>-</v>
      </c>
    </row>
    <row r="2432" spans="1:10" x14ac:dyDescent="0.2">
      <c r="A2432" s="1" t="s">
        <v>25</v>
      </c>
      <c r="B2432" s="2" t="s">
        <v>181</v>
      </c>
      <c r="D2432" s="5" t="s">
        <v>464</v>
      </c>
      <c r="E2432" s="3" t="s">
        <v>465</v>
      </c>
      <c r="F2432" s="3">
        <v>132500</v>
      </c>
      <c r="G2432" s="57" t="str">
        <f t="shared" si="37"/>
        <v>-</v>
      </c>
    </row>
    <row r="2433" spans="1:10" x14ac:dyDescent="0.2">
      <c r="A2433" s="1" t="s">
        <v>25</v>
      </c>
      <c r="B2433" s="2" t="s">
        <v>181</v>
      </c>
      <c r="D2433" s="5" t="s">
        <v>464</v>
      </c>
      <c r="E2433" s="3">
        <v>132500</v>
      </c>
      <c r="F2433" s="3" t="s">
        <v>465</v>
      </c>
      <c r="G2433" s="57" t="str">
        <f t="shared" si="37"/>
        <v>-</v>
      </c>
      <c r="J2433" s="5" t="s">
        <v>1488</v>
      </c>
    </row>
    <row r="2434" spans="1:10" x14ac:dyDescent="0.2">
      <c r="A2434" s="1" t="s">
        <v>25</v>
      </c>
      <c r="B2434" s="2" t="s">
        <v>181</v>
      </c>
      <c r="D2434" s="5" t="s">
        <v>464</v>
      </c>
      <c r="E2434" s="3" t="s">
        <v>465</v>
      </c>
      <c r="F2434" s="3">
        <v>137500</v>
      </c>
      <c r="G2434" s="57" t="str">
        <f t="shared" si="37"/>
        <v>-</v>
      </c>
    </row>
    <row r="2435" spans="1:10" x14ac:dyDescent="0.2">
      <c r="A2435" s="1" t="s">
        <v>25</v>
      </c>
      <c r="B2435" s="2" t="s">
        <v>181</v>
      </c>
      <c r="D2435" s="5" t="s">
        <v>464</v>
      </c>
      <c r="E2435" s="3">
        <v>137500</v>
      </c>
      <c r="F2435" s="3" t="s">
        <v>465</v>
      </c>
      <c r="G2435" s="57" t="str">
        <f t="shared" ref="G2435:G2498" si="38">IF(ISERROR((F2435-E2435)/E2435),"-",(F2435-E2435)/E2435)</f>
        <v>-</v>
      </c>
    </row>
    <row r="2436" spans="1:10" x14ac:dyDescent="0.2">
      <c r="A2436" s="1" t="s">
        <v>25</v>
      </c>
      <c r="B2436" s="2" t="s">
        <v>181</v>
      </c>
      <c r="D2436" s="5" t="s">
        <v>464</v>
      </c>
      <c r="E2436" s="3">
        <v>137500</v>
      </c>
      <c r="F2436" s="3" t="s">
        <v>465</v>
      </c>
      <c r="G2436" s="57" t="str">
        <f t="shared" si="38"/>
        <v>-</v>
      </c>
    </row>
    <row r="2437" spans="1:10" ht="25.5" x14ac:dyDescent="0.2">
      <c r="A2437" s="1" t="s">
        <v>4</v>
      </c>
      <c r="B2437" s="2" t="s">
        <v>182</v>
      </c>
      <c r="C2437" s="5" t="s">
        <v>1467</v>
      </c>
      <c r="D2437" s="5" t="s">
        <v>450</v>
      </c>
      <c r="E2437" s="9">
        <v>246648</v>
      </c>
      <c r="F2437" s="9">
        <v>246980</v>
      </c>
      <c r="G2437" s="57">
        <f t="shared" si="38"/>
        <v>1.3460478090233856E-3</v>
      </c>
      <c r="J2437" s="5" t="s">
        <v>3529</v>
      </c>
    </row>
    <row r="2438" spans="1:10" ht="25.5" x14ac:dyDescent="0.2">
      <c r="A2438" s="1" t="s">
        <v>4</v>
      </c>
      <c r="B2438" s="2" t="s">
        <v>182</v>
      </c>
      <c r="C2438" s="5" t="s">
        <v>1468</v>
      </c>
      <c r="D2438" s="5" t="s">
        <v>1469</v>
      </c>
      <c r="E2438" s="9">
        <v>193541</v>
      </c>
      <c r="F2438" s="9">
        <v>201759</v>
      </c>
      <c r="G2438" s="57">
        <f t="shared" si="38"/>
        <v>4.2461287272464232E-2</v>
      </c>
      <c r="J2438" s="5" t="s">
        <v>3530</v>
      </c>
    </row>
    <row r="2439" spans="1:10" ht="25.5" x14ac:dyDescent="0.2">
      <c r="A2439" s="1" t="s">
        <v>4</v>
      </c>
      <c r="B2439" s="2" t="s">
        <v>182</v>
      </c>
      <c r="C2439" s="5" t="s">
        <v>1470</v>
      </c>
      <c r="D2439" s="5" t="s">
        <v>1471</v>
      </c>
      <c r="E2439" s="9" t="s">
        <v>465</v>
      </c>
      <c r="F2439" s="9">
        <v>115130</v>
      </c>
      <c r="G2439" s="57" t="str">
        <f t="shared" si="38"/>
        <v>-</v>
      </c>
      <c r="J2439" s="5" t="s">
        <v>3531</v>
      </c>
    </row>
    <row r="2440" spans="1:10" ht="25.5" x14ac:dyDescent="0.2">
      <c r="A2440" s="1" t="s">
        <v>4</v>
      </c>
      <c r="B2440" s="2" t="s">
        <v>182</v>
      </c>
      <c r="C2440" s="5" t="s">
        <v>3532</v>
      </c>
      <c r="D2440" s="5" t="s">
        <v>1471</v>
      </c>
      <c r="E2440" s="9">
        <v>187409</v>
      </c>
      <c r="F2440" s="9">
        <v>39369</v>
      </c>
      <c r="G2440" s="57">
        <f t="shared" si="38"/>
        <v>-0.78993004604901584</v>
      </c>
      <c r="J2440" s="5" t="s">
        <v>3533</v>
      </c>
    </row>
    <row r="2441" spans="1:10" ht="38.25" x14ac:dyDescent="0.2">
      <c r="A2441" s="1" t="s">
        <v>4</v>
      </c>
      <c r="B2441" s="2" t="s">
        <v>182</v>
      </c>
      <c r="D2441" s="5" t="s">
        <v>942</v>
      </c>
      <c r="E2441" s="9">
        <v>166124</v>
      </c>
      <c r="F2441" s="9">
        <v>165401</v>
      </c>
      <c r="G2441" s="57">
        <f t="shared" si="38"/>
        <v>-4.3521706676940119E-3</v>
      </c>
      <c r="J2441" s="5" t="s">
        <v>3534</v>
      </c>
    </row>
    <row r="2442" spans="1:10" ht="51" x14ac:dyDescent="0.2">
      <c r="A2442" s="1" t="s">
        <v>4</v>
      </c>
      <c r="B2442" s="2" t="s">
        <v>182</v>
      </c>
      <c r="D2442" s="5" t="s">
        <v>1472</v>
      </c>
      <c r="E2442" s="9">
        <v>101832</v>
      </c>
      <c r="F2442" s="9">
        <v>253040</v>
      </c>
      <c r="G2442" s="57">
        <f t="shared" si="38"/>
        <v>1.4848770524000314</v>
      </c>
      <c r="J2442" s="5" t="s">
        <v>3535</v>
      </c>
    </row>
    <row r="2443" spans="1:10" ht="25.5" x14ac:dyDescent="0.2">
      <c r="A2443" s="1" t="s">
        <v>4</v>
      </c>
      <c r="B2443" s="2" t="s">
        <v>182</v>
      </c>
      <c r="D2443" s="5" t="s">
        <v>1473</v>
      </c>
      <c r="E2443" s="9">
        <v>165590</v>
      </c>
      <c r="F2443" s="9">
        <v>165401</v>
      </c>
      <c r="G2443" s="57">
        <f t="shared" si="38"/>
        <v>-1.1413732713328099E-3</v>
      </c>
      <c r="J2443" s="5" t="s">
        <v>3536</v>
      </c>
    </row>
    <row r="2444" spans="1:10" ht="25.5" x14ac:dyDescent="0.2">
      <c r="A2444" s="1" t="s">
        <v>4</v>
      </c>
      <c r="B2444" s="2" t="s">
        <v>182</v>
      </c>
      <c r="D2444" s="5" t="s">
        <v>658</v>
      </c>
      <c r="E2444" s="9">
        <v>161668</v>
      </c>
      <c r="F2444" s="9">
        <v>160727</v>
      </c>
      <c r="G2444" s="57">
        <f t="shared" si="38"/>
        <v>-5.8205705519954474E-3</v>
      </c>
      <c r="J2444" s="5" t="s">
        <v>3537</v>
      </c>
    </row>
    <row r="2445" spans="1:10" ht="38.25" x14ac:dyDescent="0.2">
      <c r="A2445" s="1" t="s">
        <v>4</v>
      </c>
      <c r="B2445" s="2" t="s">
        <v>182</v>
      </c>
      <c r="D2445" s="5" t="s">
        <v>1474</v>
      </c>
      <c r="E2445" s="9">
        <v>148113</v>
      </c>
      <c r="F2445" s="9">
        <v>215051</v>
      </c>
      <c r="G2445" s="57">
        <f t="shared" si="38"/>
        <v>0.45193872246190409</v>
      </c>
      <c r="J2445" s="5" t="s">
        <v>3538</v>
      </c>
    </row>
    <row r="2446" spans="1:10" ht="25.5" x14ac:dyDescent="0.2">
      <c r="A2446" s="1" t="s">
        <v>4</v>
      </c>
      <c r="B2446" s="2" t="s">
        <v>182</v>
      </c>
      <c r="D2446" s="5" t="s">
        <v>949</v>
      </c>
      <c r="E2446" s="9">
        <v>149307</v>
      </c>
      <c r="F2446" s="9">
        <v>148319</v>
      </c>
      <c r="G2446" s="57">
        <f t="shared" si="38"/>
        <v>-6.6172383076480001E-3</v>
      </c>
      <c r="J2446" s="5" t="s">
        <v>3539</v>
      </c>
    </row>
    <row r="2447" spans="1:10" x14ac:dyDescent="0.2">
      <c r="A2447" s="1" t="s">
        <v>4</v>
      </c>
      <c r="B2447" s="2" t="s">
        <v>182</v>
      </c>
      <c r="D2447" s="5" t="s">
        <v>464</v>
      </c>
      <c r="G2447" s="57" t="str">
        <f t="shared" si="38"/>
        <v>-</v>
      </c>
      <c r="H2447" s="19" t="s">
        <v>465</v>
      </c>
      <c r="I2447" s="19">
        <v>92500</v>
      </c>
    </row>
    <row r="2448" spans="1:10" x14ac:dyDescent="0.2">
      <c r="A2448" s="1" t="s">
        <v>4</v>
      </c>
      <c r="B2448" s="2" t="s">
        <v>182</v>
      </c>
      <c r="D2448" s="5" t="s">
        <v>464</v>
      </c>
      <c r="G2448" s="57" t="str">
        <f t="shared" si="38"/>
        <v>-</v>
      </c>
      <c r="H2448" s="19" t="s">
        <v>465</v>
      </c>
      <c r="I2448" s="19">
        <v>92500</v>
      </c>
    </row>
    <row r="2449" spans="1:10" x14ac:dyDescent="0.2">
      <c r="A2449" s="1" t="s">
        <v>4</v>
      </c>
      <c r="B2449" s="2" t="s">
        <v>182</v>
      </c>
      <c r="D2449" s="5" t="s">
        <v>464</v>
      </c>
      <c r="G2449" s="57" t="str">
        <f t="shared" si="38"/>
        <v>-</v>
      </c>
      <c r="H2449" s="19" t="s">
        <v>465</v>
      </c>
      <c r="I2449" s="19">
        <v>92500</v>
      </c>
    </row>
    <row r="2450" spans="1:10" x14ac:dyDescent="0.2">
      <c r="A2450" s="1" t="s">
        <v>4</v>
      </c>
      <c r="B2450" s="2" t="s">
        <v>182</v>
      </c>
      <c r="D2450" s="5" t="s">
        <v>464</v>
      </c>
      <c r="G2450" s="57" t="str">
        <f t="shared" si="38"/>
        <v>-</v>
      </c>
      <c r="H2450" s="19" t="s">
        <v>465</v>
      </c>
      <c r="I2450" s="19">
        <v>92500</v>
      </c>
      <c r="J2450" s="5" t="s">
        <v>1475</v>
      </c>
    </row>
    <row r="2451" spans="1:10" x14ac:dyDescent="0.2">
      <c r="A2451" s="1" t="s">
        <v>4</v>
      </c>
      <c r="B2451" s="2" t="s">
        <v>182</v>
      </c>
      <c r="D2451" s="5" t="s">
        <v>464</v>
      </c>
      <c r="G2451" s="57" t="str">
        <f t="shared" si="38"/>
        <v>-</v>
      </c>
      <c r="H2451" s="19" t="s">
        <v>465</v>
      </c>
      <c r="I2451" s="19">
        <v>92500</v>
      </c>
      <c r="J2451" s="5" t="s">
        <v>1475</v>
      </c>
    </row>
    <row r="2452" spans="1:10" x14ac:dyDescent="0.2">
      <c r="A2452" s="1" t="s">
        <v>4</v>
      </c>
      <c r="B2452" s="2" t="s">
        <v>182</v>
      </c>
      <c r="D2452" s="5" t="s">
        <v>464</v>
      </c>
      <c r="G2452" s="57" t="str">
        <f t="shared" si="38"/>
        <v>-</v>
      </c>
      <c r="H2452" s="19" t="s">
        <v>465</v>
      </c>
      <c r="I2452" s="19">
        <v>92500</v>
      </c>
      <c r="J2452" s="5" t="s">
        <v>1475</v>
      </c>
    </row>
    <row r="2453" spans="1:10" x14ac:dyDescent="0.2">
      <c r="A2453" s="1" t="s">
        <v>4</v>
      </c>
      <c r="B2453" s="2" t="s">
        <v>182</v>
      </c>
      <c r="D2453" s="5" t="s">
        <v>464</v>
      </c>
      <c r="G2453" s="57" t="str">
        <f t="shared" si="38"/>
        <v>-</v>
      </c>
      <c r="H2453" s="19" t="s">
        <v>465</v>
      </c>
      <c r="I2453" s="19">
        <v>92500</v>
      </c>
      <c r="J2453" s="5" t="s">
        <v>1475</v>
      </c>
    </row>
    <row r="2454" spans="1:10" x14ac:dyDescent="0.2">
      <c r="A2454" s="1" t="s">
        <v>4</v>
      </c>
      <c r="B2454" s="2" t="s">
        <v>182</v>
      </c>
      <c r="D2454" s="5" t="s">
        <v>464</v>
      </c>
      <c r="G2454" s="57" t="str">
        <f t="shared" si="38"/>
        <v>-</v>
      </c>
      <c r="H2454" s="19" t="s">
        <v>465</v>
      </c>
      <c r="I2454" s="19">
        <v>92500</v>
      </c>
      <c r="J2454" s="5" t="s">
        <v>1475</v>
      </c>
    </row>
    <row r="2455" spans="1:10" x14ac:dyDescent="0.2">
      <c r="A2455" s="1" t="s">
        <v>4</v>
      </c>
      <c r="B2455" s="2" t="s">
        <v>182</v>
      </c>
      <c r="D2455" s="5" t="s">
        <v>464</v>
      </c>
      <c r="G2455" s="57" t="str">
        <f t="shared" si="38"/>
        <v>-</v>
      </c>
      <c r="H2455" s="19" t="s">
        <v>465</v>
      </c>
      <c r="I2455" s="19">
        <v>92500</v>
      </c>
      <c r="J2455" s="5" t="s">
        <v>1475</v>
      </c>
    </row>
    <row r="2456" spans="1:10" x14ac:dyDescent="0.2">
      <c r="A2456" s="1" t="s">
        <v>4</v>
      </c>
      <c r="B2456" s="2" t="s">
        <v>182</v>
      </c>
      <c r="D2456" s="5" t="s">
        <v>464</v>
      </c>
      <c r="G2456" s="57" t="str">
        <f t="shared" si="38"/>
        <v>-</v>
      </c>
      <c r="H2456" s="19" t="s">
        <v>465</v>
      </c>
      <c r="I2456" s="19">
        <v>92500</v>
      </c>
      <c r="J2456" s="5" t="s">
        <v>1475</v>
      </c>
    </row>
    <row r="2457" spans="1:10" x14ac:dyDescent="0.2">
      <c r="A2457" s="1" t="s">
        <v>4</v>
      </c>
      <c r="B2457" s="2" t="s">
        <v>182</v>
      </c>
      <c r="D2457" s="5" t="s">
        <v>464</v>
      </c>
      <c r="G2457" s="57" t="str">
        <f t="shared" si="38"/>
        <v>-</v>
      </c>
      <c r="H2457" s="19" t="s">
        <v>465</v>
      </c>
      <c r="I2457" s="19">
        <v>92500</v>
      </c>
      <c r="J2457" s="5" t="s">
        <v>1475</v>
      </c>
    </row>
    <row r="2458" spans="1:10" x14ac:dyDescent="0.2">
      <c r="A2458" s="1" t="s">
        <v>4</v>
      </c>
      <c r="B2458" s="2" t="s">
        <v>182</v>
      </c>
      <c r="D2458" s="5" t="s">
        <v>464</v>
      </c>
      <c r="G2458" s="57" t="str">
        <f t="shared" si="38"/>
        <v>-</v>
      </c>
      <c r="H2458" s="19" t="s">
        <v>465</v>
      </c>
      <c r="I2458" s="19">
        <v>92500</v>
      </c>
      <c r="J2458" s="5" t="s">
        <v>1475</v>
      </c>
    </row>
    <row r="2459" spans="1:10" x14ac:dyDescent="0.2">
      <c r="A2459" s="1" t="s">
        <v>4</v>
      </c>
      <c r="B2459" s="2" t="s">
        <v>182</v>
      </c>
      <c r="D2459" s="5" t="s">
        <v>464</v>
      </c>
      <c r="G2459" s="57" t="str">
        <f t="shared" si="38"/>
        <v>-</v>
      </c>
      <c r="H2459" s="19" t="s">
        <v>465</v>
      </c>
      <c r="I2459" s="19">
        <v>92500</v>
      </c>
      <c r="J2459" s="5" t="s">
        <v>1475</v>
      </c>
    </row>
    <row r="2460" spans="1:10" x14ac:dyDescent="0.2">
      <c r="A2460" s="1" t="s">
        <v>4</v>
      </c>
      <c r="B2460" s="2" t="s">
        <v>182</v>
      </c>
      <c r="D2460" s="5" t="s">
        <v>464</v>
      </c>
      <c r="G2460" s="57" t="str">
        <f t="shared" si="38"/>
        <v>-</v>
      </c>
      <c r="H2460" s="19" t="s">
        <v>465</v>
      </c>
      <c r="I2460" s="19">
        <v>92500</v>
      </c>
      <c r="J2460" s="5" t="s">
        <v>1475</v>
      </c>
    </row>
    <row r="2461" spans="1:10" x14ac:dyDescent="0.2">
      <c r="A2461" s="1" t="s">
        <v>4</v>
      </c>
      <c r="B2461" s="2" t="s">
        <v>182</v>
      </c>
      <c r="D2461" s="5" t="s">
        <v>464</v>
      </c>
      <c r="G2461" s="57" t="str">
        <f t="shared" si="38"/>
        <v>-</v>
      </c>
      <c r="H2461" s="19" t="s">
        <v>465</v>
      </c>
      <c r="I2461" s="19">
        <v>92500</v>
      </c>
      <c r="J2461" s="5" t="s">
        <v>1475</v>
      </c>
    </row>
    <row r="2462" spans="1:10" x14ac:dyDescent="0.2">
      <c r="A2462" s="1" t="s">
        <v>4</v>
      </c>
      <c r="B2462" s="2" t="s">
        <v>182</v>
      </c>
      <c r="D2462" s="5" t="s">
        <v>464</v>
      </c>
      <c r="G2462" s="57" t="str">
        <f t="shared" si="38"/>
        <v>-</v>
      </c>
      <c r="H2462" s="19" t="s">
        <v>465</v>
      </c>
      <c r="I2462" s="19">
        <v>92500</v>
      </c>
      <c r="J2462" s="5" t="s">
        <v>1475</v>
      </c>
    </row>
    <row r="2463" spans="1:10" x14ac:dyDescent="0.2">
      <c r="A2463" s="1" t="s">
        <v>4</v>
      </c>
      <c r="B2463" s="2" t="s">
        <v>182</v>
      </c>
      <c r="D2463" s="5" t="s">
        <v>464</v>
      </c>
      <c r="G2463" s="57" t="str">
        <f t="shared" si="38"/>
        <v>-</v>
      </c>
      <c r="H2463" s="19" t="s">
        <v>465</v>
      </c>
      <c r="I2463" s="19">
        <v>92500</v>
      </c>
      <c r="J2463" s="5" t="s">
        <v>1475</v>
      </c>
    </row>
    <row r="2464" spans="1:10" x14ac:dyDescent="0.2">
      <c r="A2464" s="1" t="s">
        <v>4</v>
      </c>
      <c r="B2464" s="2" t="s">
        <v>182</v>
      </c>
      <c r="D2464" s="5" t="s">
        <v>464</v>
      </c>
      <c r="G2464" s="57" t="str">
        <f t="shared" si="38"/>
        <v>-</v>
      </c>
      <c r="H2464" s="19" t="s">
        <v>465</v>
      </c>
      <c r="I2464" s="19">
        <v>92500</v>
      </c>
      <c r="J2464" s="5" t="s">
        <v>1475</v>
      </c>
    </row>
    <row r="2465" spans="1:10" x14ac:dyDescent="0.2">
      <c r="A2465" s="1" t="s">
        <v>4</v>
      </c>
      <c r="B2465" s="2" t="s">
        <v>182</v>
      </c>
      <c r="D2465" s="5" t="s">
        <v>464</v>
      </c>
      <c r="G2465" s="57" t="str">
        <f t="shared" si="38"/>
        <v>-</v>
      </c>
      <c r="H2465" s="19">
        <v>92500</v>
      </c>
      <c r="I2465" s="19" t="s">
        <v>465</v>
      </c>
    </row>
    <row r="2466" spans="1:10" x14ac:dyDescent="0.2">
      <c r="A2466" s="1" t="s">
        <v>4</v>
      </c>
      <c r="B2466" s="2" t="s">
        <v>182</v>
      </c>
      <c r="D2466" s="5" t="s">
        <v>464</v>
      </c>
      <c r="G2466" s="57" t="str">
        <f t="shared" si="38"/>
        <v>-</v>
      </c>
      <c r="H2466" s="19">
        <v>92500</v>
      </c>
      <c r="I2466" s="19" t="s">
        <v>465</v>
      </c>
    </row>
    <row r="2467" spans="1:10" x14ac:dyDescent="0.2">
      <c r="A2467" s="1" t="s">
        <v>4</v>
      </c>
      <c r="B2467" s="2" t="s">
        <v>182</v>
      </c>
      <c r="D2467" s="5" t="s">
        <v>464</v>
      </c>
      <c r="G2467" s="57" t="str">
        <f t="shared" si="38"/>
        <v>-</v>
      </c>
      <c r="H2467" s="19">
        <v>92500</v>
      </c>
      <c r="I2467" s="19" t="s">
        <v>465</v>
      </c>
    </row>
    <row r="2468" spans="1:10" x14ac:dyDescent="0.2">
      <c r="A2468" s="1" t="s">
        <v>4</v>
      </c>
      <c r="B2468" s="2" t="s">
        <v>182</v>
      </c>
      <c r="D2468" s="5" t="s">
        <v>464</v>
      </c>
      <c r="G2468" s="57" t="str">
        <f t="shared" si="38"/>
        <v>-</v>
      </c>
      <c r="H2468" s="19" t="s">
        <v>465</v>
      </c>
      <c r="I2468" s="19">
        <v>97500</v>
      </c>
    </row>
    <row r="2469" spans="1:10" x14ac:dyDescent="0.2">
      <c r="A2469" s="1" t="s">
        <v>4</v>
      </c>
      <c r="B2469" s="2" t="s">
        <v>182</v>
      </c>
      <c r="D2469" s="5" t="s">
        <v>464</v>
      </c>
      <c r="G2469" s="57" t="str">
        <f t="shared" si="38"/>
        <v>-</v>
      </c>
      <c r="H2469" s="19" t="s">
        <v>465</v>
      </c>
      <c r="I2469" s="19">
        <v>97500</v>
      </c>
    </row>
    <row r="2470" spans="1:10" x14ac:dyDescent="0.2">
      <c r="A2470" s="1" t="s">
        <v>4</v>
      </c>
      <c r="B2470" s="2" t="s">
        <v>182</v>
      </c>
      <c r="D2470" s="5" t="s">
        <v>464</v>
      </c>
      <c r="G2470" s="57" t="str">
        <f t="shared" si="38"/>
        <v>-</v>
      </c>
      <c r="H2470" s="19" t="s">
        <v>465</v>
      </c>
      <c r="I2470" s="19">
        <v>97500</v>
      </c>
    </row>
    <row r="2471" spans="1:10" x14ac:dyDescent="0.2">
      <c r="A2471" s="1" t="s">
        <v>4</v>
      </c>
      <c r="B2471" s="2" t="s">
        <v>182</v>
      </c>
      <c r="D2471" s="5" t="s">
        <v>464</v>
      </c>
      <c r="G2471" s="57" t="str">
        <f t="shared" si="38"/>
        <v>-</v>
      </c>
      <c r="H2471" s="19" t="s">
        <v>465</v>
      </c>
      <c r="I2471" s="19">
        <v>97500</v>
      </c>
      <c r="J2471" s="5" t="s">
        <v>1475</v>
      </c>
    </row>
    <row r="2472" spans="1:10" x14ac:dyDescent="0.2">
      <c r="A2472" s="1" t="s">
        <v>4</v>
      </c>
      <c r="B2472" s="2" t="s">
        <v>182</v>
      </c>
      <c r="D2472" s="5" t="s">
        <v>464</v>
      </c>
      <c r="G2472" s="57" t="str">
        <f t="shared" si="38"/>
        <v>-</v>
      </c>
      <c r="H2472" s="19" t="s">
        <v>465</v>
      </c>
      <c r="I2472" s="19">
        <v>97500</v>
      </c>
      <c r="J2472" s="5" t="s">
        <v>1475</v>
      </c>
    </row>
    <row r="2473" spans="1:10" x14ac:dyDescent="0.2">
      <c r="A2473" s="1" t="s">
        <v>4</v>
      </c>
      <c r="B2473" s="2" t="s">
        <v>182</v>
      </c>
      <c r="D2473" s="5" t="s">
        <v>464</v>
      </c>
      <c r="G2473" s="57" t="str">
        <f t="shared" si="38"/>
        <v>-</v>
      </c>
      <c r="H2473" s="19" t="s">
        <v>465</v>
      </c>
      <c r="I2473" s="19">
        <v>97500</v>
      </c>
      <c r="J2473" s="5" t="s">
        <v>1475</v>
      </c>
    </row>
    <row r="2474" spans="1:10" x14ac:dyDescent="0.2">
      <c r="A2474" s="1" t="s">
        <v>4</v>
      </c>
      <c r="B2474" s="2" t="s">
        <v>182</v>
      </c>
      <c r="D2474" s="5" t="s">
        <v>464</v>
      </c>
      <c r="G2474" s="57" t="str">
        <f t="shared" si="38"/>
        <v>-</v>
      </c>
      <c r="H2474" s="19" t="s">
        <v>465</v>
      </c>
      <c r="I2474" s="19">
        <v>97500</v>
      </c>
      <c r="J2474" s="5" t="s">
        <v>1475</v>
      </c>
    </row>
    <row r="2475" spans="1:10" x14ac:dyDescent="0.2">
      <c r="A2475" s="1" t="s">
        <v>4</v>
      </c>
      <c r="B2475" s="2" t="s">
        <v>182</v>
      </c>
      <c r="D2475" s="5" t="s">
        <v>464</v>
      </c>
      <c r="G2475" s="57" t="str">
        <f t="shared" si="38"/>
        <v>-</v>
      </c>
      <c r="H2475" s="19" t="s">
        <v>465</v>
      </c>
      <c r="I2475" s="19">
        <v>97500</v>
      </c>
      <c r="J2475" s="5" t="s">
        <v>1475</v>
      </c>
    </row>
    <row r="2476" spans="1:10" x14ac:dyDescent="0.2">
      <c r="A2476" s="1" t="s">
        <v>4</v>
      </c>
      <c r="B2476" s="2" t="s">
        <v>182</v>
      </c>
      <c r="D2476" s="5" t="s">
        <v>464</v>
      </c>
      <c r="G2476" s="57" t="str">
        <f t="shared" si="38"/>
        <v>-</v>
      </c>
      <c r="H2476" s="19" t="s">
        <v>465</v>
      </c>
      <c r="I2476" s="19">
        <v>97500</v>
      </c>
      <c r="J2476" s="5" t="s">
        <v>1475</v>
      </c>
    </row>
    <row r="2477" spans="1:10" x14ac:dyDescent="0.2">
      <c r="A2477" s="1" t="s">
        <v>4</v>
      </c>
      <c r="B2477" s="2" t="s">
        <v>182</v>
      </c>
      <c r="D2477" s="5" t="s">
        <v>464</v>
      </c>
      <c r="G2477" s="57" t="str">
        <f t="shared" si="38"/>
        <v>-</v>
      </c>
      <c r="H2477" s="19" t="s">
        <v>465</v>
      </c>
      <c r="I2477" s="19">
        <v>97500</v>
      </c>
      <c r="J2477" s="5" t="s">
        <v>1475</v>
      </c>
    </row>
    <row r="2478" spans="1:10" x14ac:dyDescent="0.2">
      <c r="A2478" s="1" t="s">
        <v>4</v>
      </c>
      <c r="B2478" s="2" t="s">
        <v>182</v>
      </c>
      <c r="D2478" s="5" t="s">
        <v>464</v>
      </c>
      <c r="G2478" s="57" t="str">
        <f t="shared" si="38"/>
        <v>-</v>
      </c>
      <c r="H2478" s="19">
        <v>97500</v>
      </c>
      <c r="I2478" s="19" t="s">
        <v>465</v>
      </c>
    </row>
    <row r="2479" spans="1:10" x14ac:dyDescent="0.2">
      <c r="A2479" s="1" t="s">
        <v>4</v>
      </c>
      <c r="B2479" s="2" t="s">
        <v>182</v>
      </c>
      <c r="D2479" s="5" t="s">
        <v>464</v>
      </c>
      <c r="G2479" s="57" t="str">
        <f t="shared" si="38"/>
        <v>-</v>
      </c>
      <c r="H2479" s="19">
        <v>97500</v>
      </c>
      <c r="I2479" s="19" t="s">
        <v>465</v>
      </c>
    </row>
    <row r="2480" spans="1:10" x14ac:dyDescent="0.2">
      <c r="A2480" s="1" t="s">
        <v>4</v>
      </c>
      <c r="B2480" s="2" t="s">
        <v>182</v>
      </c>
      <c r="D2480" s="5" t="s">
        <v>464</v>
      </c>
      <c r="G2480" s="57" t="str">
        <f t="shared" si="38"/>
        <v>-</v>
      </c>
      <c r="H2480" s="19">
        <v>97500</v>
      </c>
      <c r="I2480" s="19" t="s">
        <v>465</v>
      </c>
    </row>
    <row r="2481" spans="1:10" x14ac:dyDescent="0.2">
      <c r="A2481" s="1" t="s">
        <v>4</v>
      </c>
      <c r="B2481" s="2" t="s">
        <v>182</v>
      </c>
      <c r="D2481" s="5" t="s">
        <v>464</v>
      </c>
      <c r="G2481" s="57" t="str">
        <f t="shared" si="38"/>
        <v>-</v>
      </c>
      <c r="H2481" s="19">
        <v>97500</v>
      </c>
      <c r="I2481" s="19" t="s">
        <v>465</v>
      </c>
    </row>
    <row r="2482" spans="1:10" x14ac:dyDescent="0.2">
      <c r="A2482" s="1" t="s">
        <v>4</v>
      </c>
      <c r="B2482" s="2" t="s">
        <v>182</v>
      </c>
      <c r="D2482" s="5" t="s">
        <v>464</v>
      </c>
      <c r="G2482" s="57" t="str">
        <f t="shared" si="38"/>
        <v>-</v>
      </c>
      <c r="H2482" s="19">
        <v>97500</v>
      </c>
      <c r="I2482" s="19" t="s">
        <v>465</v>
      </c>
    </row>
    <row r="2483" spans="1:10" x14ac:dyDescent="0.2">
      <c r="A2483" s="1" t="s">
        <v>4</v>
      </c>
      <c r="B2483" s="2" t="s">
        <v>182</v>
      </c>
      <c r="D2483" s="5" t="s">
        <v>464</v>
      </c>
      <c r="G2483" s="57" t="str">
        <f t="shared" si="38"/>
        <v>-</v>
      </c>
      <c r="H2483" s="19">
        <v>97500</v>
      </c>
      <c r="I2483" s="19" t="s">
        <v>465</v>
      </c>
    </row>
    <row r="2484" spans="1:10" x14ac:dyDescent="0.2">
      <c r="A2484" s="1" t="s">
        <v>4</v>
      </c>
      <c r="B2484" s="2" t="s">
        <v>182</v>
      </c>
      <c r="D2484" s="5" t="s">
        <v>464</v>
      </c>
      <c r="E2484" s="3" t="s">
        <v>465</v>
      </c>
      <c r="F2484" s="3">
        <v>102500</v>
      </c>
      <c r="G2484" s="57" t="str">
        <f t="shared" si="38"/>
        <v>-</v>
      </c>
      <c r="J2484" s="5" t="s">
        <v>1475</v>
      </c>
    </row>
    <row r="2485" spans="1:10" x14ac:dyDescent="0.2">
      <c r="A2485" s="1" t="s">
        <v>4</v>
      </c>
      <c r="B2485" s="2" t="s">
        <v>182</v>
      </c>
      <c r="D2485" s="5" t="s">
        <v>464</v>
      </c>
      <c r="E2485" s="3" t="s">
        <v>465</v>
      </c>
      <c r="F2485" s="3">
        <v>102500</v>
      </c>
      <c r="G2485" s="57" t="str">
        <f t="shared" si="38"/>
        <v>-</v>
      </c>
      <c r="J2485" s="5" t="s">
        <v>1475</v>
      </c>
    </row>
    <row r="2486" spans="1:10" x14ac:dyDescent="0.2">
      <c r="A2486" s="1" t="s">
        <v>4</v>
      </c>
      <c r="B2486" s="2" t="s">
        <v>182</v>
      </c>
      <c r="D2486" s="5" t="s">
        <v>464</v>
      </c>
      <c r="E2486" s="3" t="s">
        <v>465</v>
      </c>
      <c r="F2486" s="3">
        <v>102500</v>
      </c>
      <c r="G2486" s="57" t="str">
        <f t="shared" si="38"/>
        <v>-</v>
      </c>
      <c r="J2486" s="5" t="s">
        <v>1475</v>
      </c>
    </row>
    <row r="2487" spans="1:10" x14ac:dyDescent="0.2">
      <c r="A2487" s="1" t="s">
        <v>4</v>
      </c>
      <c r="B2487" s="2" t="s">
        <v>182</v>
      </c>
      <c r="D2487" s="5" t="s">
        <v>464</v>
      </c>
      <c r="E2487" s="3" t="s">
        <v>465</v>
      </c>
      <c r="F2487" s="3">
        <v>102500</v>
      </c>
      <c r="G2487" s="57" t="str">
        <f t="shared" si="38"/>
        <v>-</v>
      </c>
      <c r="J2487" s="5" t="s">
        <v>1475</v>
      </c>
    </row>
    <row r="2488" spans="1:10" x14ac:dyDescent="0.2">
      <c r="A2488" s="1" t="s">
        <v>4</v>
      </c>
      <c r="B2488" s="2" t="s">
        <v>182</v>
      </c>
      <c r="D2488" s="5" t="s">
        <v>464</v>
      </c>
      <c r="E2488" s="3" t="s">
        <v>465</v>
      </c>
      <c r="F2488" s="3">
        <v>102500</v>
      </c>
      <c r="G2488" s="57" t="str">
        <f t="shared" si="38"/>
        <v>-</v>
      </c>
      <c r="J2488" s="5" t="s">
        <v>1475</v>
      </c>
    </row>
    <row r="2489" spans="1:10" x14ac:dyDescent="0.2">
      <c r="A2489" s="1" t="s">
        <v>4</v>
      </c>
      <c r="B2489" s="2" t="s">
        <v>182</v>
      </c>
      <c r="D2489" s="5" t="s">
        <v>464</v>
      </c>
      <c r="E2489" s="3" t="s">
        <v>465</v>
      </c>
      <c r="F2489" s="3">
        <v>102500</v>
      </c>
      <c r="G2489" s="57" t="str">
        <f t="shared" si="38"/>
        <v>-</v>
      </c>
      <c r="J2489" s="5" t="s">
        <v>1475</v>
      </c>
    </row>
    <row r="2490" spans="1:10" x14ac:dyDescent="0.2">
      <c r="A2490" s="1" t="s">
        <v>4</v>
      </c>
      <c r="B2490" s="2" t="s">
        <v>182</v>
      </c>
      <c r="D2490" s="5" t="s">
        <v>464</v>
      </c>
      <c r="E2490" s="3" t="s">
        <v>465</v>
      </c>
      <c r="F2490" s="3">
        <v>102500</v>
      </c>
      <c r="G2490" s="57" t="str">
        <f t="shared" si="38"/>
        <v>-</v>
      </c>
    </row>
    <row r="2491" spans="1:10" x14ac:dyDescent="0.2">
      <c r="A2491" s="1" t="s">
        <v>4</v>
      </c>
      <c r="B2491" s="2" t="s">
        <v>182</v>
      </c>
      <c r="D2491" s="5" t="s">
        <v>464</v>
      </c>
      <c r="E2491" s="3" t="s">
        <v>465</v>
      </c>
      <c r="F2491" s="3">
        <v>102500</v>
      </c>
      <c r="G2491" s="57" t="str">
        <f t="shared" si="38"/>
        <v>-</v>
      </c>
    </row>
    <row r="2492" spans="1:10" x14ac:dyDescent="0.2">
      <c r="A2492" s="1" t="s">
        <v>4</v>
      </c>
      <c r="B2492" s="2" t="s">
        <v>182</v>
      </c>
      <c r="D2492" s="5" t="s">
        <v>464</v>
      </c>
      <c r="E2492" s="3" t="s">
        <v>465</v>
      </c>
      <c r="F2492" s="3">
        <v>102500</v>
      </c>
      <c r="G2492" s="57" t="str">
        <f t="shared" si="38"/>
        <v>-</v>
      </c>
    </row>
    <row r="2493" spans="1:10" x14ac:dyDescent="0.2">
      <c r="A2493" s="1" t="s">
        <v>4</v>
      </c>
      <c r="B2493" s="2" t="s">
        <v>182</v>
      </c>
      <c r="D2493" s="5" t="s">
        <v>464</v>
      </c>
      <c r="E2493" s="3">
        <v>102500</v>
      </c>
      <c r="F2493" s="3" t="s">
        <v>465</v>
      </c>
      <c r="G2493" s="57" t="str">
        <f t="shared" si="38"/>
        <v>-</v>
      </c>
    </row>
    <row r="2494" spans="1:10" x14ac:dyDescent="0.2">
      <c r="A2494" s="1" t="s">
        <v>4</v>
      </c>
      <c r="B2494" s="2" t="s">
        <v>182</v>
      </c>
      <c r="D2494" s="5" t="s">
        <v>464</v>
      </c>
      <c r="E2494" s="3">
        <v>102500</v>
      </c>
      <c r="F2494" s="3" t="s">
        <v>465</v>
      </c>
      <c r="G2494" s="57" t="str">
        <f t="shared" si="38"/>
        <v>-</v>
      </c>
    </row>
    <row r="2495" spans="1:10" x14ac:dyDescent="0.2">
      <c r="A2495" s="1" t="s">
        <v>4</v>
      </c>
      <c r="B2495" s="2" t="s">
        <v>182</v>
      </c>
      <c r="D2495" s="5" t="s">
        <v>464</v>
      </c>
      <c r="E2495" s="3" t="s">
        <v>465</v>
      </c>
      <c r="F2495" s="3">
        <v>107500</v>
      </c>
      <c r="G2495" s="57" t="str">
        <f t="shared" si="38"/>
        <v>-</v>
      </c>
      <c r="J2495" s="5" t="s">
        <v>1475</v>
      </c>
    </row>
    <row r="2496" spans="1:10" x14ac:dyDescent="0.2">
      <c r="A2496" s="1" t="s">
        <v>4</v>
      </c>
      <c r="B2496" s="2" t="s">
        <v>182</v>
      </c>
      <c r="D2496" s="5" t="s">
        <v>464</v>
      </c>
      <c r="E2496" s="3" t="s">
        <v>465</v>
      </c>
      <c r="F2496" s="3">
        <v>107500</v>
      </c>
      <c r="G2496" s="57" t="str">
        <f t="shared" si="38"/>
        <v>-</v>
      </c>
      <c r="J2496" s="5" t="s">
        <v>1475</v>
      </c>
    </row>
    <row r="2497" spans="1:10" x14ac:dyDescent="0.2">
      <c r="A2497" s="1" t="s">
        <v>4</v>
      </c>
      <c r="B2497" s="2" t="s">
        <v>182</v>
      </c>
      <c r="D2497" s="5" t="s">
        <v>464</v>
      </c>
      <c r="E2497" s="3" t="s">
        <v>465</v>
      </c>
      <c r="F2497" s="3">
        <v>107500</v>
      </c>
      <c r="G2497" s="57" t="str">
        <f t="shared" si="38"/>
        <v>-</v>
      </c>
    </row>
    <row r="2498" spans="1:10" x14ac:dyDescent="0.2">
      <c r="A2498" s="1" t="s">
        <v>4</v>
      </c>
      <c r="B2498" s="2" t="s">
        <v>182</v>
      </c>
      <c r="D2498" s="5" t="s">
        <v>464</v>
      </c>
      <c r="E2498" s="3" t="s">
        <v>465</v>
      </c>
      <c r="F2498" s="3">
        <v>107500</v>
      </c>
      <c r="G2498" s="57" t="str">
        <f t="shared" si="38"/>
        <v>-</v>
      </c>
    </row>
    <row r="2499" spans="1:10" x14ac:dyDescent="0.2">
      <c r="A2499" s="1" t="s">
        <v>4</v>
      </c>
      <c r="B2499" s="2" t="s">
        <v>182</v>
      </c>
      <c r="D2499" s="5" t="s">
        <v>464</v>
      </c>
      <c r="E2499" s="3" t="s">
        <v>465</v>
      </c>
      <c r="F2499" s="3">
        <v>107500</v>
      </c>
      <c r="G2499" s="57" t="str">
        <f t="shared" ref="G2499:G2562" si="39">IF(ISERROR((F2499-E2499)/E2499),"-",(F2499-E2499)/E2499)</f>
        <v>-</v>
      </c>
    </row>
    <row r="2500" spans="1:10" x14ac:dyDescent="0.2">
      <c r="A2500" s="1" t="s">
        <v>4</v>
      </c>
      <c r="B2500" s="2" t="s">
        <v>182</v>
      </c>
      <c r="D2500" s="5" t="s">
        <v>464</v>
      </c>
      <c r="E2500" s="3">
        <v>107500</v>
      </c>
      <c r="F2500" s="3" t="s">
        <v>465</v>
      </c>
      <c r="G2500" s="57" t="str">
        <f t="shared" si="39"/>
        <v>-</v>
      </c>
    </row>
    <row r="2501" spans="1:10" x14ac:dyDescent="0.2">
      <c r="A2501" s="1" t="s">
        <v>4</v>
      </c>
      <c r="B2501" s="2" t="s">
        <v>182</v>
      </c>
      <c r="D2501" s="5" t="s">
        <v>464</v>
      </c>
      <c r="E2501" s="3">
        <v>107500</v>
      </c>
      <c r="F2501" s="3" t="s">
        <v>465</v>
      </c>
      <c r="G2501" s="57" t="str">
        <f t="shared" si="39"/>
        <v>-</v>
      </c>
    </row>
    <row r="2502" spans="1:10" x14ac:dyDescent="0.2">
      <c r="A2502" s="1" t="s">
        <v>4</v>
      </c>
      <c r="B2502" s="2" t="s">
        <v>182</v>
      </c>
      <c r="D2502" s="5" t="s">
        <v>464</v>
      </c>
      <c r="E2502" s="3" t="s">
        <v>465</v>
      </c>
      <c r="F2502" s="3">
        <v>112500</v>
      </c>
      <c r="G2502" s="57" t="str">
        <f t="shared" si="39"/>
        <v>-</v>
      </c>
      <c r="J2502" s="5" t="s">
        <v>1475</v>
      </c>
    </row>
    <row r="2503" spans="1:10" x14ac:dyDescent="0.2">
      <c r="A2503" s="1" t="s">
        <v>4</v>
      </c>
      <c r="B2503" s="2" t="s">
        <v>182</v>
      </c>
      <c r="D2503" s="5" t="s">
        <v>464</v>
      </c>
      <c r="E2503" s="3" t="s">
        <v>465</v>
      </c>
      <c r="F2503" s="3">
        <v>112500</v>
      </c>
      <c r="G2503" s="57" t="str">
        <f t="shared" si="39"/>
        <v>-</v>
      </c>
      <c r="J2503" s="5" t="s">
        <v>1475</v>
      </c>
    </row>
    <row r="2504" spans="1:10" x14ac:dyDescent="0.2">
      <c r="A2504" s="1" t="s">
        <v>4</v>
      </c>
      <c r="B2504" s="2" t="s">
        <v>182</v>
      </c>
      <c r="D2504" s="5" t="s">
        <v>464</v>
      </c>
      <c r="E2504" s="3" t="s">
        <v>465</v>
      </c>
      <c r="F2504" s="3">
        <v>112500</v>
      </c>
      <c r="G2504" s="57" t="str">
        <f t="shared" si="39"/>
        <v>-</v>
      </c>
      <c r="J2504" s="5" t="s">
        <v>1475</v>
      </c>
    </row>
    <row r="2505" spans="1:10" x14ac:dyDescent="0.2">
      <c r="A2505" s="1" t="s">
        <v>4</v>
      </c>
      <c r="B2505" s="2" t="s">
        <v>182</v>
      </c>
      <c r="D2505" s="5" t="s">
        <v>464</v>
      </c>
      <c r="E2505" s="3">
        <v>112500</v>
      </c>
      <c r="F2505" s="3" t="s">
        <v>465</v>
      </c>
      <c r="G2505" s="57" t="str">
        <f t="shared" si="39"/>
        <v>-</v>
      </c>
    </row>
    <row r="2506" spans="1:10" x14ac:dyDescent="0.2">
      <c r="A2506" s="1" t="s">
        <v>4</v>
      </c>
      <c r="B2506" s="2" t="s">
        <v>182</v>
      </c>
      <c r="D2506" s="5" t="s">
        <v>464</v>
      </c>
      <c r="E2506" s="3" t="s">
        <v>465</v>
      </c>
      <c r="F2506" s="3">
        <v>117500</v>
      </c>
      <c r="G2506" s="57" t="str">
        <f t="shared" si="39"/>
        <v>-</v>
      </c>
      <c r="J2506" s="5" t="s">
        <v>1475</v>
      </c>
    </row>
    <row r="2507" spans="1:10" x14ac:dyDescent="0.2">
      <c r="A2507" s="1" t="s">
        <v>4</v>
      </c>
      <c r="B2507" s="2" t="s">
        <v>182</v>
      </c>
      <c r="D2507" s="5" t="s">
        <v>464</v>
      </c>
      <c r="E2507" s="3" t="s">
        <v>465</v>
      </c>
      <c r="F2507" s="3">
        <v>122500</v>
      </c>
      <c r="G2507" s="57" t="str">
        <f t="shared" si="39"/>
        <v>-</v>
      </c>
      <c r="J2507" s="5" t="s">
        <v>1475</v>
      </c>
    </row>
    <row r="2508" spans="1:10" x14ac:dyDescent="0.2">
      <c r="A2508" s="1" t="s">
        <v>4</v>
      </c>
      <c r="B2508" s="2" t="s">
        <v>182</v>
      </c>
      <c r="D2508" s="5" t="s">
        <v>464</v>
      </c>
      <c r="E2508" s="3" t="s">
        <v>465</v>
      </c>
      <c r="F2508" s="3">
        <v>122500</v>
      </c>
      <c r="G2508" s="57" t="str">
        <f t="shared" si="39"/>
        <v>-</v>
      </c>
    </row>
    <row r="2509" spans="1:10" x14ac:dyDescent="0.2">
      <c r="A2509" s="1" t="s">
        <v>4</v>
      </c>
      <c r="B2509" s="2" t="s">
        <v>182</v>
      </c>
      <c r="D2509" s="5" t="s">
        <v>464</v>
      </c>
      <c r="E2509" s="3">
        <v>122500</v>
      </c>
      <c r="F2509" s="3" t="s">
        <v>465</v>
      </c>
      <c r="G2509" s="57" t="str">
        <f t="shared" si="39"/>
        <v>-</v>
      </c>
    </row>
    <row r="2510" spans="1:10" x14ac:dyDescent="0.2">
      <c r="A2510" s="1" t="s">
        <v>4</v>
      </c>
      <c r="B2510" s="2" t="s">
        <v>182</v>
      </c>
      <c r="D2510" s="5" t="s">
        <v>464</v>
      </c>
      <c r="E2510" s="3" t="s">
        <v>465</v>
      </c>
      <c r="F2510" s="3">
        <v>127500</v>
      </c>
      <c r="G2510" s="57" t="str">
        <f t="shared" si="39"/>
        <v>-</v>
      </c>
      <c r="J2510" s="5" t="s">
        <v>1475</v>
      </c>
    </row>
    <row r="2511" spans="1:10" x14ac:dyDescent="0.2">
      <c r="A2511" s="1" t="s">
        <v>4</v>
      </c>
      <c r="B2511" s="2" t="s">
        <v>182</v>
      </c>
      <c r="D2511" s="5" t="s">
        <v>464</v>
      </c>
      <c r="E2511" s="3" t="s">
        <v>465</v>
      </c>
      <c r="F2511" s="3">
        <v>132500</v>
      </c>
      <c r="G2511" s="57" t="str">
        <f t="shared" si="39"/>
        <v>-</v>
      </c>
      <c r="J2511" s="5" t="s">
        <v>1475</v>
      </c>
    </row>
    <row r="2512" spans="1:10" x14ac:dyDescent="0.2">
      <c r="A2512" s="1" t="s">
        <v>4</v>
      </c>
      <c r="B2512" s="2" t="s">
        <v>182</v>
      </c>
      <c r="D2512" s="5" t="s">
        <v>464</v>
      </c>
      <c r="E2512" s="3" t="s">
        <v>465</v>
      </c>
      <c r="F2512" s="3">
        <v>132500</v>
      </c>
      <c r="G2512" s="57" t="str">
        <f t="shared" si="39"/>
        <v>-</v>
      </c>
      <c r="J2512" s="5" t="s">
        <v>1475</v>
      </c>
    </row>
    <row r="2513" spans="1:10" x14ac:dyDescent="0.2">
      <c r="A2513" s="1" t="s">
        <v>4</v>
      </c>
      <c r="B2513" s="2" t="s">
        <v>182</v>
      </c>
      <c r="D2513" s="5" t="s">
        <v>464</v>
      </c>
      <c r="E2513" s="3" t="s">
        <v>465</v>
      </c>
      <c r="F2513" s="3">
        <v>137500</v>
      </c>
      <c r="G2513" s="57" t="str">
        <f t="shared" si="39"/>
        <v>-</v>
      </c>
      <c r="J2513" s="5" t="s">
        <v>1475</v>
      </c>
    </row>
    <row r="2514" spans="1:10" x14ac:dyDescent="0.2">
      <c r="A2514" s="1" t="s">
        <v>4</v>
      </c>
      <c r="B2514" s="2" t="s">
        <v>182</v>
      </c>
      <c r="D2514" s="5" t="s">
        <v>464</v>
      </c>
      <c r="E2514" s="3" t="s">
        <v>465</v>
      </c>
      <c r="F2514" s="3">
        <v>142500</v>
      </c>
      <c r="G2514" s="57" t="str">
        <f t="shared" si="39"/>
        <v>-</v>
      </c>
      <c r="J2514" s="5" t="s">
        <v>1475</v>
      </c>
    </row>
    <row r="2515" spans="1:10" x14ac:dyDescent="0.2">
      <c r="A2515" s="1" t="s">
        <v>4</v>
      </c>
      <c r="B2515" s="2" t="s">
        <v>182</v>
      </c>
      <c r="D2515" s="5" t="s">
        <v>464</v>
      </c>
      <c r="E2515" s="3" t="s">
        <v>465</v>
      </c>
      <c r="F2515" s="3">
        <v>142500</v>
      </c>
      <c r="G2515" s="57" t="str">
        <f t="shared" si="39"/>
        <v>-</v>
      </c>
      <c r="J2515" s="5" t="s">
        <v>1475</v>
      </c>
    </row>
    <row r="2516" spans="1:10" x14ac:dyDescent="0.2">
      <c r="A2516" s="1" t="s">
        <v>4</v>
      </c>
      <c r="B2516" s="2" t="s">
        <v>182</v>
      </c>
      <c r="D2516" s="5" t="s">
        <v>464</v>
      </c>
      <c r="E2516" s="3" t="s">
        <v>465</v>
      </c>
      <c r="F2516" s="3">
        <v>142500</v>
      </c>
      <c r="G2516" s="57" t="str">
        <f t="shared" si="39"/>
        <v>-</v>
      </c>
      <c r="J2516" s="5" t="s">
        <v>1475</v>
      </c>
    </row>
    <row r="2517" spans="1:10" x14ac:dyDescent="0.2">
      <c r="A2517" s="1" t="s">
        <v>4</v>
      </c>
      <c r="B2517" s="2" t="s">
        <v>182</v>
      </c>
      <c r="D2517" s="5" t="s">
        <v>464</v>
      </c>
      <c r="E2517" s="3" t="s">
        <v>465</v>
      </c>
      <c r="F2517" s="3">
        <v>147500</v>
      </c>
      <c r="G2517" s="57" t="str">
        <f t="shared" si="39"/>
        <v>-</v>
      </c>
      <c r="J2517" s="5" t="s">
        <v>1475</v>
      </c>
    </row>
    <row r="2518" spans="1:10" x14ac:dyDescent="0.2">
      <c r="A2518" s="1" t="s">
        <v>4</v>
      </c>
      <c r="B2518" s="2" t="s">
        <v>182</v>
      </c>
      <c r="D2518" s="5" t="s">
        <v>464</v>
      </c>
      <c r="E2518" s="3" t="s">
        <v>465</v>
      </c>
      <c r="F2518" s="3">
        <v>147500</v>
      </c>
      <c r="G2518" s="57" t="str">
        <f t="shared" si="39"/>
        <v>-</v>
      </c>
      <c r="J2518" s="5" t="s">
        <v>1475</v>
      </c>
    </row>
    <row r="2519" spans="1:10" ht="25.5" x14ac:dyDescent="0.2">
      <c r="A2519" s="1" t="s">
        <v>8</v>
      </c>
      <c r="B2519" s="2" t="s">
        <v>183</v>
      </c>
      <c r="D2519" s="5" t="s">
        <v>450</v>
      </c>
      <c r="E2519" s="3">
        <v>107378</v>
      </c>
      <c r="F2519" s="3">
        <v>119792</v>
      </c>
      <c r="G2519" s="57">
        <f t="shared" si="39"/>
        <v>0.11561027398536013</v>
      </c>
      <c r="J2519" s="5" t="s">
        <v>3528</v>
      </c>
    </row>
    <row r="2520" spans="1:10" ht="25.5" x14ac:dyDescent="0.2">
      <c r="A2520" s="1" t="s">
        <v>25</v>
      </c>
      <c r="B2520" s="2" t="s">
        <v>184</v>
      </c>
      <c r="C2520" s="5" t="s">
        <v>1462</v>
      </c>
      <c r="D2520" s="5" t="s">
        <v>764</v>
      </c>
      <c r="E2520" s="9">
        <v>282670</v>
      </c>
      <c r="F2520" s="9">
        <v>245800</v>
      </c>
      <c r="G2520" s="57">
        <f t="shared" si="39"/>
        <v>-0.13043478260869565</v>
      </c>
      <c r="J2520" s="5" t="s">
        <v>2232</v>
      </c>
    </row>
    <row r="2521" spans="1:10" ht="25.5" x14ac:dyDescent="0.2">
      <c r="A2521" s="1" t="s">
        <v>25</v>
      </c>
      <c r="B2521" s="2" t="s">
        <v>184</v>
      </c>
      <c r="C2521" s="5" t="s">
        <v>1463</v>
      </c>
      <c r="D2521" s="5" t="s">
        <v>450</v>
      </c>
      <c r="E2521" s="9">
        <v>19355</v>
      </c>
      <c r="F2521" s="9">
        <v>236263</v>
      </c>
      <c r="G2521" s="57">
        <f t="shared" si="39"/>
        <v>11.20681994316714</v>
      </c>
      <c r="J2521" s="5" t="s">
        <v>2233</v>
      </c>
    </row>
    <row r="2522" spans="1:10" ht="25.5" x14ac:dyDescent="0.2">
      <c r="A2522" s="1" t="s">
        <v>25</v>
      </c>
      <c r="B2522" s="2" t="s">
        <v>184</v>
      </c>
      <c r="D2522" s="5" t="s">
        <v>1464</v>
      </c>
      <c r="E2522" s="9">
        <v>177497</v>
      </c>
      <c r="F2522" s="9">
        <v>170159</v>
      </c>
      <c r="G2522" s="57">
        <f t="shared" si="39"/>
        <v>-4.1341543800740295E-2</v>
      </c>
      <c r="J2522" s="5" t="s">
        <v>3523</v>
      </c>
    </row>
    <row r="2523" spans="1:10" ht="25.5" x14ac:dyDescent="0.2">
      <c r="A2523" s="1" t="s">
        <v>25</v>
      </c>
      <c r="B2523" s="2" t="s">
        <v>184</v>
      </c>
      <c r="D2523" s="5" t="s">
        <v>854</v>
      </c>
      <c r="E2523" s="9">
        <v>173502</v>
      </c>
      <c r="F2523" s="9">
        <v>173505</v>
      </c>
      <c r="G2523" s="57">
        <f t="shared" si="39"/>
        <v>1.7290866964069578E-5</v>
      </c>
      <c r="J2523" s="5" t="s">
        <v>3524</v>
      </c>
    </row>
    <row r="2524" spans="1:10" ht="25.5" x14ac:dyDescent="0.2">
      <c r="A2524" s="1" t="s">
        <v>25</v>
      </c>
      <c r="B2524" s="2" t="s">
        <v>184</v>
      </c>
      <c r="D2524" s="5" t="s">
        <v>1465</v>
      </c>
      <c r="E2524" s="9">
        <v>171402</v>
      </c>
      <c r="F2524" s="9">
        <v>167035</v>
      </c>
      <c r="G2524" s="57">
        <f t="shared" si="39"/>
        <v>-2.5478115774611731E-2</v>
      </c>
      <c r="J2524" s="5" t="s">
        <v>3525</v>
      </c>
    </row>
    <row r="2525" spans="1:10" x14ac:dyDescent="0.2">
      <c r="A2525" s="1" t="s">
        <v>25</v>
      </c>
      <c r="B2525" s="2" t="s">
        <v>184</v>
      </c>
      <c r="D2525" s="5" t="s">
        <v>611</v>
      </c>
      <c r="E2525" s="9">
        <v>147830</v>
      </c>
      <c r="F2525" s="9" t="s">
        <v>465</v>
      </c>
      <c r="G2525" s="57" t="str">
        <f t="shared" si="39"/>
        <v>-</v>
      </c>
    </row>
    <row r="2526" spans="1:10" ht="25.5" x14ac:dyDescent="0.2">
      <c r="A2526" s="1" t="s">
        <v>25</v>
      </c>
      <c r="B2526" s="2" t="s">
        <v>184</v>
      </c>
      <c r="D2526" s="5" t="s">
        <v>1466</v>
      </c>
      <c r="E2526" s="9">
        <v>130312</v>
      </c>
      <c r="F2526" s="9">
        <v>129846</v>
      </c>
      <c r="G2526" s="57">
        <f t="shared" si="39"/>
        <v>-3.5760329056418443E-3</v>
      </c>
      <c r="J2526" s="5" t="s">
        <v>3526</v>
      </c>
    </row>
    <row r="2527" spans="1:10" ht="25.5" x14ac:dyDescent="0.2">
      <c r="A2527" s="1" t="s">
        <v>25</v>
      </c>
      <c r="B2527" s="2" t="s">
        <v>184</v>
      </c>
      <c r="D2527" s="5" t="s">
        <v>520</v>
      </c>
      <c r="E2527" s="9">
        <v>123816</v>
      </c>
      <c r="F2527" s="9">
        <v>113774</v>
      </c>
      <c r="G2527" s="57">
        <f t="shared" si="39"/>
        <v>-8.110421916392066E-2</v>
      </c>
      <c r="J2527" s="5" t="s">
        <v>3527</v>
      </c>
    </row>
    <row r="2528" spans="1:10" x14ac:dyDescent="0.2">
      <c r="A2528" s="1" t="s">
        <v>25</v>
      </c>
      <c r="B2528" s="2" t="s">
        <v>184</v>
      </c>
      <c r="D2528" s="5" t="s">
        <v>464</v>
      </c>
      <c r="G2528" s="57" t="str">
        <f t="shared" si="39"/>
        <v>-</v>
      </c>
      <c r="H2528" s="19" t="s">
        <v>465</v>
      </c>
      <c r="I2528" s="19">
        <v>92500</v>
      </c>
    </row>
    <row r="2529" spans="1:10" x14ac:dyDescent="0.2">
      <c r="A2529" s="1" t="s">
        <v>25</v>
      </c>
      <c r="B2529" s="2" t="s">
        <v>184</v>
      </c>
      <c r="D2529" s="5" t="s">
        <v>464</v>
      </c>
      <c r="G2529" s="57" t="str">
        <f t="shared" si="39"/>
        <v>-</v>
      </c>
      <c r="H2529" s="19" t="s">
        <v>465</v>
      </c>
      <c r="I2529" s="19">
        <v>92500</v>
      </c>
    </row>
    <row r="2530" spans="1:10" x14ac:dyDescent="0.2">
      <c r="A2530" s="1" t="s">
        <v>25</v>
      </c>
      <c r="B2530" s="2" t="s">
        <v>184</v>
      </c>
      <c r="D2530" s="5" t="s">
        <v>464</v>
      </c>
      <c r="G2530" s="57" t="str">
        <f t="shared" si="39"/>
        <v>-</v>
      </c>
      <c r="H2530" s="19" t="s">
        <v>465</v>
      </c>
      <c r="I2530" s="19">
        <v>92500</v>
      </c>
    </row>
    <row r="2531" spans="1:10" x14ac:dyDescent="0.2">
      <c r="A2531" s="1" t="s">
        <v>25</v>
      </c>
      <c r="B2531" s="2" t="s">
        <v>184</v>
      </c>
      <c r="D2531" s="5" t="s">
        <v>464</v>
      </c>
      <c r="G2531" s="57" t="str">
        <f t="shared" si="39"/>
        <v>-</v>
      </c>
      <c r="H2531" s="19" t="s">
        <v>465</v>
      </c>
      <c r="I2531" s="19">
        <v>92500</v>
      </c>
    </row>
    <row r="2532" spans="1:10" x14ac:dyDescent="0.2">
      <c r="A2532" s="1" t="s">
        <v>25</v>
      </c>
      <c r="B2532" s="2" t="s">
        <v>184</v>
      </c>
      <c r="D2532" s="5" t="s">
        <v>464</v>
      </c>
      <c r="G2532" s="57" t="str">
        <f t="shared" si="39"/>
        <v>-</v>
      </c>
      <c r="H2532" s="19" t="s">
        <v>465</v>
      </c>
      <c r="I2532" s="19">
        <v>92500</v>
      </c>
    </row>
    <row r="2533" spans="1:10" x14ac:dyDescent="0.2">
      <c r="A2533" s="1" t="s">
        <v>25</v>
      </c>
      <c r="B2533" s="2" t="s">
        <v>184</v>
      </c>
      <c r="D2533" s="5" t="s">
        <v>464</v>
      </c>
      <c r="G2533" s="57" t="str">
        <f t="shared" si="39"/>
        <v>-</v>
      </c>
      <c r="H2533" s="19" t="s">
        <v>465</v>
      </c>
      <c r="I2533" s="19">
        <v>97500</v>
      </c>
    </row>
    <row r="2534" spans="1:10" x14ac:dyDescent="0.2">
      <c r="A2534" s="1" t="s">
        <v>25</v>
      </c>
      <c r="B2534" s="2" t="s">
        <v>184</v>
      </c>
      <c r="D2534" s="5" t="s">
        <v>464</v>
      </c>
      <c r="G2534" s="57" t="str">
        <f t="shared" si="39"/>
        <v>-</v>
      </c>
      <c r="H2534" s="19" t="s">
        <v>465</v>
      </c>
      <c r="I2534" s="19">
        <v>97500</v>
      </c>
    </row>
    <row r="2535" spans="1:10" x14ac:dyDescent="0.2">
      <c r="A2535" s="1" t="s">
        <v>25</v>
      </c>
      <c r="B2535" s="2" t="s">
        <v>184</v>
      </c>
      <c r="D2535" s="5" t="s">
        <v>464</v>
      </c>
      <c r="E2535" s="3" t="s">
        <v>465</v>
      </c>
      <c r="F2535" s="3">
        <v>102500</v>
      </c>
      <c r="G2535" s="57" t="str">
        <f t="shared" si="39"/>
        <v>-</v>
      </c>
    </row>
    <row r="2536" spans="1:10" x14ac:dyDescent="0.2">
      <c r="A2536" s="1" t="s">
        <v>25</v>
      </c>
      <c r="B2536" s="2" t="s">
        <v>184</v>
      </c>
      <c r="D2536" s="5" t="s">
        <v>464</v>
      </c>
      <c r="E2536" s="3" t="s">
        <v>465</v>
      </c>
      <c r="F2536" s="3">
        <v>102500</v>
      </c>
      <c r="G2536" s="57" t="str">
        <f t="shared" si="39"/>
        <v>-</v>
      </c>
    </row>
    <row r="2537" spans="1:10" x14ac:dyDescent="0.2">
      <c r="A2537" s="1" t="s">
        <v>25</v>
      </c>
      <c r="B2537" s="2" t="s">
        <v>184</v>
      </c>
      <c r="D2537" s="5" t="s">
        <v>464</v>
      </c>
      <c r="E2537" s="3" t="s">
        <v>465</v>
      </c>
      <c r="F2537" s="3">
        <v>127500</v>
      </c>
      <c r="G2537" s="57" t="str">
        <f t="shared" si="39"/>
        <v>-</v>
      </c>
    </row>
    <row r="2538" spans="1:10" x14ac:dyDescent="0.2">
      <c r="A2538" s="1" t="s">
        <v>25</v>
      </c>
      <c r="B2538" s="2" t="s">
        <v>184</v>
      </c>
      <c r="D2538" s="5" t="s">
        <v>464</v>
      </c>
      <c r="G2538" s="57" t="str">
        <f t="shared" si="39"/>
        <v>-</v>
      </c>
      <c r="H2538" s="19">
        <v>92500</v>
      </c>
      <c r="I2538" s="19" t="s">
        <v>465</v>
      </c>
      <c r="J2538" s="5" t="s">
        <v>4350</v>
      </c>
    </row>
    <row r="2539" spans="1:10" x14ac:dyDescent="0.2">
      <c r="A2539" s="1" t="s">
        <v>25</v>
      </c>
      <c r="B2539" s="2" t="s">
        <v>184</v>
      </c>
      <c r="D2539" s="5" t="s">
        <v>464</v>
      </c>
      <c r="G2539" s="57" t="str">
        <f t="shared" si="39"/>
        <v>-</v>
      </c>
      <c r="H2539" s="19">
        <v>92500</v>
      </c>
      <c r="I2539" s="19" t="s">
        <v>465</v>
      </c>
      <c r="J2539" s="5" t="s">
        <v>4350</v>
      </c>
    </row>
    <row r="2540" spans="1:10" x14ac:dyDescent="0.2">
      <c r="A2540" s="1" t="s">
        <v>25</v>
      </c>
      <c r="B2540" s="2" t="s">
        <v>184</v>
      </c>
      <c r="D2540" s="5" t="s">
        <v>464</v>
      </c>
      <c r="G2540" s="57" t="str">
        <f t="shared" si="39"/>
        <v>-</v>
      </c>
      <c r="H2540" s="19">
        <v>92500</v>
      </c>
      <c r="I2540" s="19" t="s">
        <v>465</v>
      </c>
      <c r="J2540" s="5" t="s">
        <v>4350</v>
      </c>
    </row>
    <row r="2541" spans="1:10" x14ac:dyDescent="0.2">
      <c r="A2541" s="1" t="s">
        <v>25</v>
      </c>
      <c r="B2541" s="2" t="s">
        <v>184</v>
      </c>
      <c r="D2541" s="5" t="s">
        <v>464</v>
      </c>
      <c r="G2541" s="57" t="str">
        <f t="shared" si="39"/>
        <v>-</v>
      </c>
      <c r="H2541" s="19">
        <v>92500</v>
      </c>
      <c r="I2541" s="19" t="s">
        <v>465</v>
      </c>
      <c r="J2541" s="5" t="s">
        <v>4350</v>
      </c>
    </row>
    <row r="2542" spans="1:10" x14ac:dyDescent="0.2">
      <c r="A2542" s="1" t="s">
        <v>25</v>
      </c>
      <c r="B2542" s="2" t="s">
        <v>184</v>
      </c>
      <c r="D2542" s="5" t="s">
        <v>464</v>
      </c>
      <c r="G2542" s="57" t="str">
        <f t="shared" si="39"/>
        <v>-</v>
      </c>
      <c r="H2542" s="19">
        <v>97500</v>
      </c>
      <c r="I2542" s="19" t="s">
        <v>465</v>
      </c>
      <c r="J2542" s="5" t="s">
        <v>4350</v>
      </c>
    </row>
    <row r="2543" spans="1:10" x14ac:dyDescent="0.2">
      <c r="A2543" s="1" t="s">
        <v>25</v>
      </c>
      <c r="B2543" s="2" t="s">
        <v>184</v>
      </c>
      <c r="D2543" s="5" t="s">
        <v>464</v>
      </c>
      <c r="G2543" s="57" t="str">
        <f t="shared" si="39"/>
        <v>-</v>
      </c>
      <c r="H2543" s="19">
        <v>97500</v>
      </c>
      <c r="I2543" s="19" t="s">
        <v>465</v>
      </c>
      <c r="J2543" s="5" t="s">
        <v>4350</v>
      </c>
    </row>
    <row r="2544" spans="1:10" x14ac:dyDescent="0.2">
      <c r="A2544" s="1" t="s">
        <v>25</v>
      </c>
      <c r="B2544" s="2" t="s">
        <v>184</v>
      </c>
      <c r="D2544" s="5" t="s">
        <v>464</v>
      </c>
      <c r="G2544" s="57" t="str">
        <f t="shared" si="39"/>
        <v>-</v>
      </c>
      <c r="H2544" s="19">
        <v>97500</v>
      </c>
      <c r="I2544" s="19" t="s">
        <v>465</v>
      </c>
      <c r="J2544" s="5" t="s">
        <v>4350</v>
      </c>
    </row>
    <row r="2545" spans="1:10" x14ac:dyDescent="0.2">
      <c r="A2545" s="1" t="s">
        <v>25</v>
      </c>
      <c r="B2545" s="2" t="s">
        <v>184</v>
      </c>
      <c r="D2545" s="5" t="s">
        <v>464</v>
      </c>
      <c r="E2545" s="3">
        <v>102500</v>
      </c>
      <c r="F2545" s="3" t="s">
        <v>465</v>
      </c>
      <c r="G2545" s="57" t="str">
        <f t="shared" si="39"/>
        <v>-</v>
      </c>
      <c r="J2545" s="5" t="s">
        <v>4350</v>
      </c>
    </row>
    <row r="2546" spans="1:10" x14ac:dyDescent="0.2">
      <c r="A2546" s="1" t="s">
        <v>25</v>
      </c>
      <c r="B2546" s="2" t="s">
        <v>184</v>
      </c>
      <c r="D2546" s="5" t="s">
        <v>464</v>
      </c>
      <c r="E2546" s="3">
        <v>112500</v>
      </c>
      <c r="F2546" s="3" t="s">
        <v>465</v>
      </c>
      <c r="G2546" s="57" t="str">
        <f t="shared" si="39"/>
        <v>-</v>
      </c>
      <c r="J2546" s="5" t="s">
        <v>4350</v>
      </c>
    </row>
    <row r="2547" spans="1:10" x14ac:dyDescent="0.2">
      <c r="A2547" s="1" t="s">
        <v>25</v>
      </c>
      <c r="B2547" s="2" t="s">
        <v>184</v>
      </c>
      <c r="D2547" s="5" t="s">
        <v>464</v>
      </c>
      <c r="E2547" s="3">
        <v>112500</v>
      </c>
      <c r="F2547" s="3" t="s">
        <v>465</v>
      </c>
      <c r="G2547" s="57" t="str">
        <f t="shared" si="39"/>
        <v>-</v>
      </c>
      <c r="J2547" s="5" t="s">
        <v>4350</v>
      </c>
    </row>
    <row r="2548" spans="1:10" x14ac:dyDescent="0.2">
      <c r="A2548" s="1" t="s">
        <v>25</v>
      </c>
      <c r="B2548" s="2" t="s">
        <v>184</v>
      </c>
      <c r="D2548" s="5" t="s">
        <v>464</v>
      </c>
      <c r="E2548" s="3">
        <v>122500</v>
      </c>
      <c r="F2548" s="3" t="s">
        <v>465</v>
      </c>
      <c r="G2548" s="57" t="str">
        <f t="shared" si="39"/>
        <v>-</v>
      </c>
      <c r="J2548" s="5" t="s">
        <v>4350</v>
      </c>
    </row>
    <row r="2549" spans="1:10" x14ac:dyDescent="0.2">
      <c r="A2549" s="1" t="s">
        <v>25</v>
      </c>
      <c r="B2549" s="2" t="s">
        <v>184</v>
      </c>
      <c r="D2549" s="5" t="s">
        <v>464</v>
      </c>
      <c r="E2549" s="3">
        <v>127500</v>
      </c>
      <c r="F2549" s="3" t="s">
        <v>465</v>
      </c>
      <c r="G2549" s="57" t="str">
        <f t="shared" si="39"/>
        <v>-</v>
      </c>
      <c r="J2549" s="5" t="s">
        <v>4350</v>
      </c>
    </row>
    <row r="2550" spans="1:10" ht="25.5" x14ac:dyDescent="0.2">
      <c r="A2550" s="1" t="s">
        <v>20</v>
      </c>
      <c r="B2550" s="2" t="s">
        <v>185</v>
      </c>
      <c r="D2550" s="5" t="s">
        <v>450</v>
      </c>
      <c r="E2550" s="9">
        <v>138992</v>
      </c>
      <c r="F2550" s="9">
        <v>155306</v>
      </c>
      <c r="G2550" s="57">
        <f t="shared" si="39"/>
        <v>0.11737366179348452</v>
      </c>
      <c r="J2550" s="5" t="s">
        <v>3521</v>
      </c>
    </row>
    <row r="2551" spans="1:10" ht="25.5" x14ac:dyDescent="0.2">
      <c r="A2551" s="1" t="s">
        <v>20</v>
      </c>
      <c r="B2551" s="2" t="s">
        <v>185</v>
      </c>
      <c r="D2551" s="5" t="s">
        <v>504</v>
      </c>
      <c r="E2551" s="9" t="s">
        <v>465</v>
      </c>
      <c r="F2551" s="9">
        <v>113552</v>
      </c>
      <c r="G2551" s="57" t="str">
        <f t="shared" si="39"/>
        <v>-</v>
      </c>
      <c r="J2551" s="5" t="s">
        <v>3522</v>
      </c>
    </row>
    <row r="2552" spans="1:10" ht="25.5" x14ac:dyDescent="0.2">
      <c r="A2552" s="1" t="s">
        <v>20</v>
      </c>
      <c r="B2552" s="2" t="s">
        <v>185</v>
      </c>
      <c r="D2552" s="5" t="s">
        <v>504</v>
      </c>
      <c r="E2552" s="9" t="s">
        <v>465</v>
      </c>
      <c r="F2552" s="9">
        <v>113552</v>
      </c>
      <c r="G2552" s="57" t="str">
        <f t="shared" si="39"/>
        <v>-</v>
      </c>
      <c r="J2552" s="5" t="s">
        <v>3522</v>
      </c>
    </row>
    <row r="2553" spans="1:10" x14ac:dyDescent="0.2">
      <c r="A2553" s="1" t="s">
        <v>20</v>
      </c>
      <c r="B2553" s="2" t="s">
        <v>185</v>
      </c>
      <c r="D2553" s="5" t="s">
        <v>504</v>
      </c>
      <c r="E2553" s="9">
        <v>108065</v>
      </c>
      <c r="F2553" s="9" t="s">
        <v>465</v>
      </c>
      <c r="G2553" s="57" t="str">
        <f t="shared" si="39"/>
        <v>-</v>
      </c>
    </row>
    <row r="2554" spans="1:10" x14ac:dyDescent="0.2">
      <c r="A2554" s="1" t="s">
        <v>20</v>
      </c>
      <c r="B2554" s="2" t="s">
        <v>185</v>
      </c>
      <c r="D2554" s="5" t="s">
        <v>504</v>
      </c>
      <c r="E2554" s="9">
        <v>108062</v>
      </c>
      <c r="F2554" s="9" t="s">
        <v>465</v>
      </c>
      <c r="G2554" s="57" t="str">
        <f t="shared" si="39"/>
        <v>-</v>
      </c>
    </row>
    <row r="2555" spans="1:10" ht="25.5" x14ac:dyDescent="0.2">
      <c r="A2555" s="1" t="s">
        <v>28</v>
      </c>
      <c r="B2555" s="2" t="s">
        <v>186</v>
      </c>
      <c r="D2555" s="5" t="s">
        <v>450</v>
      </c>
      <c r="E2555" s="9">
        <v>143333</v>
      </c>
      <c r="F2555" s="9">
        <v>142009</v>
      </c>
      <c r="G2555" s="57">
        <f t="shared" si="39"/>
        <v>-9.2372307842576371E-3</v>
      </c>
      <c r="J2555" s="5" t="s">
        <v>3515</v>
      </c>
    </row>
    <row r="2556" spans="1:10" ht="25.5" x14ac:dyDescent="0.2">
      <c r="A2556" s="1" t="s">
        <v>28</v>
      </c>
      <c r="B2556" s="2" t="s">
        <v>186</v>
      </c>
      <c r="D2556" s="5" t="s">
        <v>463</v>
      </c>
      <c r="E2556" s="9">
        <v>107071</v>
      </c>
      <c r="F2556" s="9">
        <v>108413</v>
      </c>
      <c r="G2556" s="57">
        <f t="shared" si="39"/>
        <v>1.2533739294486836E-2</v>
      </c>
      <c r="J2556" s="5" t="s">
        <v>3516</v>
      </c>
    </row>
    <row r="2557" spans="1:10" ht="25.5" x14ac:dyDescent="0.2">
      <c r="A2557" s="1" t="s">
        <v>28</v>
      </c>
      <c r="B2557" s="2" t="s">
        <v>186</v>
      </c>
      <c r="D2557" s="5" t="s">
        <v>855</v>
      </c>
      <c r="E2557" s="9">
        <v>106468</v>
      </c>
      <c r="F2557" s="9">
        <v>102672</v>
      </c>
      <c r="G2557" s="57">
        <f t="shared" si="39"/>
        <v>-3.5653905398805273E-2</v>
      </c>
      <c r="J2557" s="5" t="s">
        <v>3517</v>
      </c>
    </row>
    <row r="2558" spans="1:10" ht="25.5" x14ac:dyDescent="0.2">
      <c r="A2558" s="1" t="s">
        <v>28</v>
      </c>
      <c r="B2558" s="2" t="s">
        <v>186</v>
      </c>
      <c r="D2558" s="5" t="s">
        <v>2600</v>
      </c>
      <c r="E2558" s="9">
        <v>101913</v>
      </c>
      <c r="F2558" s="9">
        <v>102782</v>
      </c>
      <c r="G2558" s="57">
        <f t="shared" si="39"/>
        <v>8.5268807708535708E-3</v>
      </c>
      <c r="J2558" s="5" t="s">
        <v>3518</v>
      </c>
    </row>
    <row r="2559" spans="1:10" ht="51" x14ac:dyDescent="0.2">
      <c r="A2559" s="1" t="s">
        <v>28</v>
      </c>
      <c r="B2559" s="2" t="s">
        <v>186</v>
      </c>
      <c r="D2559" s="5" t="s">
        <v>3519</v>
      </c>
      <c r="E2559" s="9">
        <v>115372</v>
      </c>
      <c r="F2559" s="9">
        <v>19624</v>
      </c>
      <c r="G2559" s="57">
        <f t="shared" si="39"/>
        <v>-0.82990673646985402</v>
      </c>
      <c r="J2559" s="5" t="s">
        <v>3520</v>
      </c>
    </row>
    <row r="2560" spans="1:10" ht="25.5" x14ac:dyDescent="0.2">
      <c r="A2560" s="1" t="s">
        <v>25</v>
      </c>
      <c r="B2560" s="2" t="s">
        <v>187</v>
      </c>
      <c r="C2560" s="5" t="s">
        <v>1456</v>
      </c>
      <c r="D2560" s="5" t="s">
        <v>450</v>
      </c>
      <c r="E2560" s="9">
        <v>219504</v>
      </c>
      <c r="F2560" s="9">
        <v>230822</v>
      </c>
      <c r="G2560" s="57">
        <f t="shared" si="39"/>
        <v>5.1561702748013701E-2</v>
      </c>
      <c r="J2560" s="5" t="s">
        <v>3506</v>
      </c>
    </row>
    <row r="2561" spans="1:10" ht="25.5" x14ac:dyDescent="0.2">
      <c r="A2561" s="1" t="s">
        <v>25</v>
      </c>
      <c r="B2561" s="2" t="s">
        <v>187</v>
      </c>
      <c r="D2561" s="5" t="s">
        <v>1457</v>
      </c>
      <c r="E2561" s="9">
        <v>167814</v>
      </c>
      <c r="F2561" s="9">
        <v>168712</v>
      </c>
      <c r="G2561" s="57">
        <f t="shared" si="39"/>
        <v>5.3511625966844245E-3</v>
      </c>
      <c r="J2561" s="5" t="s">
        <v>3507</v>
      </c>
    </row>
    <row r="2562" spans="1:10" ht="38.25" x14ac:dyDescent="0.2">
      <c r="A2562" s="1" t="s">
        <v>25</v>
      </c>
      <c r="B2562" s="2" t="s">
        <v>187</v>
      </c>
      <c r="D2562" s="5" t="s">
        <v>1458</v>
      </c>
      <c r="E2562" s="9">
        <v>145884</v>
      </c>
      <c r="F2562" s="9">
        <v>165790</v>
      </c>
      <c r="G2562" s="57">
        <f t="shared" si="39"/>
        <v>0.13645087878040085</v>
      </c>
      <c r="J2562" s="5" t="s">
        <v>3508</v>
      </c>
    </row>
    <row r="2563" spans="1:10" ht="25.5" x14ac:dyDescent="0.2">
      <c r="A2563" s="1" t="s">
        <v>25</v>
      </c>
      <c r="B2563" s="2" t="s">
        <v>187</v>
      </c>
      <c r="D2563" s="5" t="s">
        <v>1459</v>
      </c>
      <c r="E2563" s="9">
        <v>151756</v>
      </c>
      <c r="F2563" s="9">
        <v>164480</v>
      </c>
      <c r="G2563" s="57">
        <f t="shared" ref="G2563:G2626" si="40">IF(ISERROR((F2563-E2563)/E2563),"-",(F2563-E2563)/E2563)</f>
        <v>8.3845119797569784E-2</v>
      </c>
      <c r="J2563" s="5" t="s">
        <v>3513</v>
      </c>
    </row>
    <row r="2564" spans="1:10" ht="25.5" x14ac:dyDescent="0.2">
      <c r="A2564" s="1" t="s">
        <v>25</v>
      </c>
      <c r="B2564" s="2" t="s">
        <v>187</v>
      </c>
      <c r="D2564" s="5" t="s">
        <v>1460</v>
      </c>
      <c r="E2564" s="9">
        <v>158262</v>
      </c>
      <c r="F2564" s="9">
        <v>161086</v>
      </c>
      <c r="G2564" s="57">
        <f t="shared" si="40"/>
        <v>1.7843828588037559E-2</v>
      </c>
      <c r="J2564" s="5" t="s">
        <v>3509</v>
      </c>
    </row>
    <row r="2565" spans="1:10" ht="25.5" x14ac:dyDescent="0.2">
      <c r="A2565" s="1" t="s">
        <v>25</v>
      </c>
      <c r="B2565" s="2" t="s">
        <v>187</v>
      </c>
      <c r="D2565" s="5" t="s">
        <v>2720</v>
      </c>
      <c r="E2565" s="9">
        <v>165569</v>
      </c>
      <c r="F2565" s="9">
        <v>156637</v>
      </c>
      <c r="G2565" s="57">
        <f t="shared" si="40"/>
        <v>-5.3947296897366055E-2</v>
      </c>
      <c r="J2565" s="5" t="s">
        <v>3510</v>
      </c>
    </row>
    <row r="2566" spans="1:10" ht="25.5" x14ac:dyDescent="0.2">
      <c r="A2566" s="1" t="s">
        <v>25</v>
      </c>
      <c r="B2566" s="2" t="s">
        <v>187</v>
      </c>
      <c r="D2566" s="5" t="s">
        <v>1461</v>
      </c>
      <c r="E2566" s="9">
        <v>158178</v>
      </c>
      <c r="F2566" s="9">
        <v>155373</v>
      </c>
      <c r="G2566" s="57">
        <f t="shared" si="40"/>
        <v>-1.773318666312635E-2</v>
      </c>
      <c r="J2566" s="5" t="s">
        <v>3511</v>
      </c>
    </row>
    <row r="2567" spans="1:10" ht="25.5" x14ac:dyDescent="0.2">
      <c r="A2567" s="1" t="s">
        <v>25</v>
      </c>
      <c r="B2567" s="2" t="s">
        <v>187</v>
      </c>
      <c r="D2567" s="5" t="s">
        <v>451</v>
      </c>
      <c r="E2567" s="9">
        <v>127112</v>
      </c>
      <c r="F2567" s="9">
        <v>131350</v>
      </c>
      <c r="G2567" s="57">
        <f t="shared" si="40"/>
        <v>3.3340675939329094E-2</v>
      </c>
      <c r="J2567" s="5" t="s">
        <v>3512</v>
      </c>
    </row>
    <row r="2568" spans="1:10" ht="25.5" x14ac:dyDescent="0.2">
      <c r="A2568" s="1" t="s">
        <v>25</v>
      </c>
      <c r="B2568" s="2" t="s">
        <v>187</v>
      </c>
      <c r="D2568" s="5" t="s">
        <v>464</v>
      </c>
      <c r="G2568" s="57" t="str">
        <f t="shared" si="40"/>
        <v>-</v>
      </c>
      <c r="H2568" s="19">
        <v>92500</v>
      </c>
      <c r="I2568" s="19" t="s">
        <v>465</v>
      </c>
      <c r="J2568" s="5" t="s">
        <v>3514</v>
      </c>
    </row>
    <row r="2569" spans="1:10" x14ac:dyDescent="0.2">
      <c r="A2569" s="1" t="s">
        <v>25</v>
      </c>
      <c r="B2569" s="2" t="s">
        <v>187</v>
      </c>
      <c r="D2569" s="5" t="s">
        <v>464</v>
      </c>
      <c r="G2569" s="57" t="str">
        <f t="shared" si="40"/>
        <v>-</v>
      </c>
      <c r="H2569" s="19">
        <v>92500</v>
      </c>
      <c r="I2569" s="19" t="s">
        <v>465</v>
      </c>
    </row>
    <row r="2570" spans="1:10" x14ac:dyDescent="0.2">
      <c r="A2570" s="1" t="s">
        <v>25</v>
      </c>
      <c r="B2570" s="2" t="s">
        <v>187</v>
      </c>
      <c r="D2570" s="5" t="s">
        <v>464</v>
      </c>
      <c r="G2570" s="57" t="str">
        <f t="shared" si="40"/>
        <v>-</v>
      </c>
      <c r="H2570" s="19">
        <v>92500</v>
      </c>
      <c r="I2570" s="19" t="s">
        <v>465</v>
      </c>
    </row>
    <row r="2571" spans="1:10" x14ac:dyDescent="0.2">
      <c r="A2571" s="1" t="s">
        <v>25</v>
      </c>
      <c r="B2571" s="2" t="s">
        <v>187</v>
      </c>
      <c r="D2571" s="5" t="s">
        <v>464</v>
      </c>
      <c r="G2571" s="57" t="str">
        <f t="shared" si="40"/>
        <v>-</v>
      </c>
      <c r="H2571" s="19">
        <v>92500</v>
      </c>
      <c r="I2571" s="19" t="s">
        <v>465</v>
      </c>
    </row>
    <row r="2572" spans="1:10" x14ac:dyDescent="0.2">
      <c r="A2572" s="1" t="s">
        <v>25</v>
      </c>
      <c r="B2572" s="2" t="s">
        <v>187</v>
      </c>
      <c r="D2572" s="5" t="s">
        <v>464</v>
      </c>
      <c r="G2572" s="57" t="str">
        <f t="shared" si="40"/>
        <v>-</v>
      </c>
      <c r="H2572" s="19">
        <v>92500</v>
      </c>
      <c r="I2572" s="19" t="s">
        <v>465</v>
      </c>
    </row>
    <row r="2573" spans="1:10" x14ac:dyDescent="0.2">
      <c r="A2573" s="1" t="s">
        <v>25</v>
      </c>
      <c r="B2573" s="2" t="s">
        <v>187</v>
      </c>
      <c r="D2573" s="5" t="s">
        <v>464</v>
      </c>
      <c r="G2573" s="57" t="str">
        <f t="shared" si="40"/>
        <v>-</v>
      </c>
      <c r="H2573" s="19">
        <v>92500</v>
      </c>
      <c r="I2573" s="19" t="s">
        <v>465</v>
      </c>
    </row>
    <row r="2574" spans="1:10" x14ac:dyDescent="0.2">
      <c r="A2574" s="1" t="s">
        <v>25</v>
      </c>
      <c r="B2574" s="2" t="s">
        <v>187</v>
      </c>
      <c r="D2574" s="5" t="s">
        <v>464</v>
      </c>
      <c r="G2574" s="57" t="str">
        <f t="shared" si="40"/>
        <v>-</v>
      </c>
      <c r="H2574" s="19">
        <v>92500</v>
      </c>
      <c r="I2574" s="19" t="s">
        <v>465</v>
      </c>
    </row>
    <row r="2575" spans="1:10" x14ac:dyDescent="0.2">
      <c r="A2575" s="1" t="s">
        <v>25</v>
      </c>
      <c r="B2575" s="2" t="s">
        <v>187</v>
      </c>
      <c r="D2575" s="5" t="s">
        <v>464</v>
      </c>
      <c r="G2575" s="57" t="str">
        <f t="shared" si="40"/>
        <v>-</v>
      </c>
      <c r="H2575" s="19" t="s">
        <v>465</v>
      </c>
      <c r="I2575" s="19">
        <v>92500</v>
      </c>
    </row>
    <row r="2576" spans="1:10" x14ac:dyDescent="0.2">
      <c r="A2576" s="1" t="s">
        <v>25</v>
      </c>
      <c r="B2576" s="2" t="s">
        <v>187</v>
      </c>
      <c r="D2576" s="5" t="s">
        <v>464</v>
      </c>
      <c r="G2576" s="57" t="str">
        <f t="shared" si="40"/>
        <v>-</v>
      </c>
      <c r="H2576" s="19" t="s">
        <v>465</v>
      </c>
      <c r="I2576" s="19">
        <v>92500</v>
      </c>
    </row>
    <row r="2577" spans="1:9" s="1" customFormat="1" x14ac:dyDescent="0.2">
      <c r="A2577" s="1" t="s">
        <v>25</v>
      </c>
      <c r="B2577" s="2" t="s">
        <v>187</v>
      </c>
      <c r="C2577" s="5"/>
      <c r="D2577" s="5" t="s">
        <v>464</v>
      </c>
      <c r="E2577" s="3"/>
      <c r="F2577" s="3"/>
      <c r="G2577" s="57" t="str">
        <f t="shared" si="40"/>
        <v>-</v>
      </c>
      <c r="H2577" s="19" t="s">
        <v>465</v>
      </c>
      <c r="I2577" s="19">
        <v>92500</v>
      </c>
    </row>
    <row r="2578" spans="1:9" s="1" customFormat="1" x14ac:dyDescent="0.2">
      <c r="A2578" s="1" t="s">
        <v>25</v>
      </c>
      <c r="B2578" s="2" t="s">
        <v>187</v>
      </c>
      <c r="C2578" s="5"/>
      <c r="D2578" s="5" t="s">
        <v>464</v>
      </c>
      <c r="E2578" s="3"/>
      <c r="F2578" s="3"/>
      <c r="G2578" s="57" t="str">
        <f t="shared" si="40"/>
        <v>-</v>
      </c>
      <c r="H2578" s="19" t="s">
        <v>465</v>
      </c>
      <c r="I2578" s="19">
        <v>92500</v>
      </c>
    </row>
    <row r="2579" spans="1:9" s="1" customFormat="1" x14ac:dyDescent="0.2">
      <c r="A2579" s="1" t="s">
        <v>25</v>
      </c>
      <c r="B2579" s="2" t="s">
        <v>187</v>
      </c>
      <c r="C2579" s="5"/>
      <c r="D2579" s="5" t="s">
        <v>464</v>
      </c>
      <c r="E2579" s="3"/>
      <c r="F2579" s="3"/>
      <c r="G2579" s="57" t="str">
        <f t="shared" si="40"/>
        <v>-</v>
      </c>
      <c r="H2579" s="19" t="s">
        <v>465</v>
      </c>
      <c r="I2579" s="19">
        <v>92500</v>
      </c>
    </row>
    <row r="2580" spans="1:9" s="1" customFormat="1" x14ac:dyDescent="0.2">
      <c r="A2580" s="1" t="s">
        <v>25</v>
      </c>
      <c r="B2580" s="2" t="s">
        <v>187</v>
      </c>
      <c r="C2580" s="5"/>
      <c r="D2580" s="5" t="s">
        <v>464</v>
      </c>
      <c r="E2580" s="3"/>
      <c r="F2580" s="3"/>
      <c r="G2580" s="57" t="str">
        <f t="shared" si="40"/>
        <v>-</v>
      </c>
      <c r="H2580" s="19" t="s">
        <v>465</v>
      </c>
      <c r="I2580" s="19">
        <v>92500</v>
      </c>
    </row>
    <row r="2581" spans="1:9" s="1" customFormat="1" x14ac:dyDescent="0.2">
      <c r="A2581" s="1" t="s">
        <v>25</v>
      </c>
      <c r="B2581" s="2" t="s">
        <v>187</v>
      </c>
      <c r="C2581" s="5"/>
      <c r="D2581" s="5" t="s">
        <v>464</v>
      </c>
      <c r="E2581" s="3"/>
      <c r="F2581" s="3"/>
      <c r="G2581" s="57" t="str">
        <f t="shared" si="40"/>
        <v>-</v>
      </c>
      <c r="H2581" s="19" t="s">
        <v>465</v>
      </c>
      <c r="I2581" s="19">
        <v>92500</v>
      </c>
    </row>
    <row r="2582" spans="1:9" s="1" customFormat="1" x14ac:dyDescent="0.2">
      <c r="A2582" s="1" t="s">
        <v>25</v>
      </c>
      <c r="B2582" s="2" t="s">
        <v>187</v>
      </c>
      <c r="C2582" s="5"/>
      <c r="D2582" s="5" t="s">
        <v>464</v>
      </c>
      <c r="E2582" s="3"/>
      <c r="F2582" s="3"/>
      <c r="G2582" s="57" t="str">
        <f t="shared" si="40"/>
        <v>-</v>
      </c>
      <c r="H2582" s="19">
        <v>97500</v>
      </c>
      <c r="I2582" s="19" t="s">
        <v>465</v>
      </c>
    </row>
    <row r="2583" spans="1:9" s="1" customFormat="1" x14ac:dyDescent="0.2">
      <c r="A2583" s="1" t="s">
        <v>25</v>
      </c>
      <c r="B2583" s="2" t="s">
        <v>187</v>
      </c>
      <c r="C2583" s="5"/>
      <c r="D2583" s="5" t="s">
        <v>464</v>
      </c>
      <c r="E2583" s="3"/>
      <c r="F2583" s="3"/>
      <c r="G2583" s="57" t="str">
        <f t="shared" si="40"/>
        <v>-</v>
      </c>
      <c r="H2583" s="19">
        <v>97500</v>
      </c>
      <c r="I2583" s="19" t="s">
        <v>465</v>
      </c>
    </row>
    <row r="2584" spans="1:9" s="1" customFormat="1" x14ac:dyDescent="0.2">
      <c r="A2584" s="1" t="s">
        <v>25</v>
      </c>
      <c r="B2584" s="2" t="s">
        <v>187</v>
      </c>
      <c r="C2584" s="5"/>
      <c r="D2584" s="5" t="s">
        <v>464</v>
      </c>
      <c r="E2584" s="3"/>
      <c r="F2584" s="3"/>
      <c r="G2584" s="57" t="str">
        <f t="shared" si="40"/>
        <v>-</v>
      </c>
      <c r="H2584" s="19">
        <v>97500</v>
      </c>
      <c r="I2584" s="19" t="s">
        <v>465</v>
      </c>
    </row>
    <row r="2585" spans="1:9" s="1" customFormat="1" x14ac:dyDescent="0.2">
      <c r="A2585" s="1" t="s">
        <v>25</v>
      </c>
      <c r="B2585" s="2" t="s">
        <v>187</v>
      </c>
      <c r="C2585" s="5"/>
      <c r="D2585" s="5" t="s">
        <v>464</v>
      </c>
      <c r="E2585" s="3"/>
      <c r="F2585" s="3"/>
      <c r="G2585" s="57" t="str">
        <f t="shared" si="40"/>
        <v>-</v>
      </c>
      <c r="H2585" s="19">
        <v>97500</v>
      </c>
      <c r="I2585" s="19" t="s">
        <v>465</v>
      </c>
    </row>
    <row r="2586" spans="1:9" s="1" customFormat="1" x14ac:dyDescent="0.2">
      <c r="A2586" s="1" t="s">
        <v>25</v>
      </c>
      <c r="B2586" s="2" t="s">
        <v>187</v>
      </c>
      <c r="C2586" s="5"/>
      <c r="D2586" s="5" t="s">
        <v>464</v>
      </c>
      <c r="E2586" s="3"/>
      <c r="F2586" s="3"/>
      <c r="G2586" s="57" t="str">
        <f t="shared" si="40"/>
        <v>-</v>
      </c>
      <c r="H2586" s="19">
        <v>97500</v>
      </c>
      <c r="I2586" s="19" t="s">
        <v>465</v>
      </c>
    </row>
    <row r="2587" spans="1:9" s="1" customFormat="1" x14ac:dyDescent="0.2">
      <c r="A2587" s="1" t="s">
        <v>25</v>
      </c>
      <c r="B2587" s="2" t="s">
        <v>187</v>
      </c>
      <c r="C2587" s="5"/>
      <c r="D2587" s="5" t="s">
        <v>464</v>
      </c>
      <c r="E2587" s="3"/>
      <c r="F2587" s="3"/>
      <c r="G2587" s="57" t="str">
        <f t="shared" si="40"/>
        <v>-</v>
      </c>
      <c r="H2587" s="19">
        <v>97500</v>
      </c>
      <c r="I2587" s="19" t="s">
        <v>465</v>
      </c>
    </row>
    <row r="2588" spans="1:9" s="1" customFormat="1" x14ac:dyDescent="0.2">
      <c r="A2588" s="1" t="s">
        <v>25</v>
      </c>
      <c r="B2588" s="2" t="s">
        <v>187</v>
      </c>
      <c r="C2588" s="5"/>
      <c r="D2588" s="5" t="s">
        <v>464</v>
      </c>
      <c r="E2588" s="3"/>
      <c r="F2588" s="3"/>
      <c r="G2588" s="57" t="str">
        <f t="shared" si="40"/>
        <v>-</v>
      </c>
      <c r="H2588" s="19" t="s">
        <v>465</v>
      </c>
      <c r="I2588" s="19">
        <v>97500</v>
      </c>
    </row>
    <row r="2589" spans="1:9" s="1" customFormat="1" x14ac:dyDescent="0.2">
      <c r="A2589" s="1" t="s">
        <v>25</v>
      </c>
      <c r="B2589" s="2" t="s">
        <v>187</v>
      </c>
      <c r="C2589" s="5"/>
      <c r="D2589" s="5" t="s">
        <v>464</v>
      </c>
      <c r="E2589" s="3"/>
      <c r="F2589" s="3"/>
      <c r="G2589" s="57" t="str">
        <f t="shared" si="40"/>
        <v>-</v>
      </c>
      <c r="H2589" s="19" t="s">
        <v>465</v>
      </c>
      <c r="I2589" s="19">
        <v>97500</v>
      </c>
    </row>
    <row r="2590" spans="1:9" s="1" customFormat="1" x14ac:dyDescent="0.2">
      <c r="A2590" s="1" t="s">
        <v>25</v>
      </c>
      <c r="B2590" s="2" t="s">
        <v>187</v>
      </c>
      <c r="C2590" s="5"/>
      <c r="D2590" s="5" t="s">
        <v>464</v>
      </c>
      <c r="E2590" s="3"/>
      <c r="F2590" s="3"/>
      <c r="G2590" s="57" t="str">
        <f t="shared" si="40"/>
        <v>-</v>
      </c>
      <c r="H2590" s="19" t="s">
        <v>465</v>
      </c>
      <c r="I2590" s="19">
        <v>97500</v>
      </c>
    </row>
    <row r="2591" spans="1:9" s="1" customFormat="1" x14ac:dyDescent="0.2">
      <c r="A2591" s="1" t="s">
        <v>25</v>
      </c>
      <c r="B2591" s="2" t="s">
        <v>187</v>
      </c>
      <c r="C2591" s="5"/>
      <c r="D2591" s="5" t="s">
        <v>464</v>
      </c>
      <c r="E2591" s="3"/>
      <c r="F2591" s="3"/>
      <c r="G2591" s="57" t="str">
        <f t="shared" si="40"/>
        <v>-</v>
      </c>
      <c r="H2591" s="19" t="s">
        <v>465</v>
      </c>
      <c r="I2591" s="19">
        <v>97500</v>
      </c>
    </row>
    <row r="2592" spans="1:9" s="1" customFormat="1" x14ac:dyDescent="0.2">
      <c r="A2592" s="1" t="s">
        <v>25</v>
      </c>
      <c r="B2592" s="2" t="s">
        <v>187</v>
      </c>
      <c r="C2592" s="5"/>
      <c r="D2592" s="5" t="s">
        <v>464</v>
      </c>
      <c r="E2592" s="3"/>
      <c r="F2592" s="3"/>
      <c r="G2592" s="57" t="str">
        <f t="shared" si="40"/>
        <v>-</v>
      </c>
      <c r="H2592" s="19" t="s">
        <v>465</v>
      </c>
      <c r="I2592" s="19">
        <v>97500</v>
      </c>
    </row>
    <row r="2593" spans="1:9" s="1" customFormat="1" x14ac:dyDescent="0.2">
      <c r="A2593" s="1" t="s">
        <v>25</v>
      </c>
      <c r="B2593" s="2" t="s">
        <v>187</v>
      </c>
      <c r="C2593" s="5"/>
      <c r="D2593" s="5" t="s">
        <v>464</v>
      </c>
      <c r="E2593" s="3"/>
      <c r="F2593" s="3"/>
      <c r="G2593" s="57" t="str">
        <f t="shared" si="40"/>
        <v>-</v>
      </c>
      <c r="H2593" s="19" t="s">
        <v>465</v>
      </c>
      <c r="I2593" s="19">
        <v>97500</v>
      </c>
    </row>
    <row r="2594" spans="1:9" s="1" customFormat="1" x14ac:dyDescent="0.2">
      <c r="A2594" s="1" t="s">
        <v>25</v>
      </c>
      <c r="B2594" s="2" t="s">
        <v>187</v>
      </c>
      <c r="C2594" s="5"/>
      <c r="D2594" s="5" t="s">
        <v>464</v>
      </c>
      <c r="E2594" s="3">
        <v>102500</v>
      </c>
      <c r="F2594" s="3" t="s">
        <v>465</v>
      </c>
      <c r="G2594" s="57" t="str">
        <f t="shared" si="40"/>
        <v>-</v>
      </c>
      <c r="H2594" s="19"/>
      <c r="I2594" s="19"/>
    </row>
    <row r="2595" spans="1:9" s="1" customFormat="1" x14ac:dyDescent="0.2">
      <c r="A2595" s="1" t="s">
        <v>25</v>
      </c>
      <c r="B2595" s="2" t="s">
        <v>187</v>
      </c>
      <c r="C2595" s="5"/>
      <c r="D2595" s="5" t="s">
        <v>464</v>
      </c>
      <c r="E2595" s="3" t="s">
        <v>465</v>
      </c>
      <c r="F2595" s="3">
        <v>102500</v>
      </c>
      <c r="G2595" s="57" t="str">
        <f t="shared" si="40"/>
        <v>-</v>
      </c>
      <c r="H2595" s="19"/>
      <c r="I2595" s="19"/>
    </row>
    <row r="2596" spans="1:9" s="1" customFormat="1" x14ac:dyDescent="0.2">
      <c r="A2596" s="1" t="s">
        <v>25</v>
      </c>
      <c r="B2596" s="2" t="s">
        <v>187</v>
      </c>
      <c r="C2596" s="5"/>
      <c r="D2596" s="5" t="s">
        <v>464</v>
      </c>
      <c r="E2596" s="3" t="s">
        <v>465</v>
      </c>
      <c r="F2596" s="3">
        <v>102500</v>
      </c>
      <c r="G2596" s="57" t="str">
        <f t="shared" si="40"/>
        <v>-</v>
      </c>
      <c r="H2596" s="19"/>
      <c r="I2596" s="19"/>
    </row>
    <row r="2597" spans="1:9" s="1" customFormat="1" x14ac:dyDescent="0.2">
      <c r="A2597" s="1" t="s">
        <v>25</v>
      </c>
      <c r="B2597" s="2" t="s">
        <v>187</v>
      </c>
      <c r="C2597" s="5"/>
      <c r="D2597" s="5" t="s">
        <v>464</v>
      </c>
      <c r="E2597" s="3">
        <v>107500</v>
      </c>
      <c r="F2597" s="3" t="s">
        <v>465</v>
      </c>
      <c r="G2597" s="57" t="str">
        <f t="shared" si="40"/>
        <v>-</v>
      </c>
      <c r="H2597" s="19"/>
      <c r="I2597" s="19"/>
    </row>
    <row r="2598" spans="1:9" s="1" customFormat="1" x14ac:dyDescent="0.2">
      <c r="A2598" s="1" t="s">
        <v>25</v>
      </c>
      <c r="B2598" s="2" t="s">
        <v>187</v>
      </c>
      <c r="C2598" s="5"/>
      <c r="D2598" s="5" t="s">
        <v>464</v>
      </c>
      <c r="E2598" s="3">
        <v>107500</v>
      </c>
      <c r="F2598" s="3" t="s">
        <v>465</v>
      </c>
      <c r="G2598" s="57" t="str">
        <f t="shared" si="40"/>
        <v>-</v>
      </c>
      <c r="H2598" s="19"/>
      <c r="I2598" s="19"/>
    </row>
    <row r="2599" spans="1:9" s="1" customFormat="1" x14ac:dyDescent="0.2">
      <c r="A2599" s="1" t="s">
        <v>25</v>
      </c>
      <c r="B2599" s="2" t="s">
        <v>187</v>
      </c>
      <c r="C2599" s="5"/>
      <c r="D2599" s="5" t="s">
        <v>464</v>
      </c>
      <c r="E2599" s="3">
        <v>107500</v>
      </c>
      <c r="F2599" s="3" t="s">
        <v>465</v>
      </c>
      <c r="G2599" s="57" t="str">
        <f t="shared" si="40"/>
        <v>-</v>
      </c>
      <c r="H2599" s="19"/>
      <c r="I2599" s="19"/>
    </row>
    <row r="2600" spans="1:9" s="1" customFormat="1" x14ac:dyDescent="0.2">
      <c r="A2600" s="1" t="s">
        <v>25</v>
      </c>
      <c r="B2600" s="2" t="s">
        <v>187</v>
      </c>
      <c r="C2600" s="5"/>
      <c r="D2600" s="5" t="s">
        <v>464</v>
      </c>
      <c r="E2600" s="3" t="s">
        <v>465</v>
      </c>
      <c r="F2600" s="3">
        <v>107500</v>
      </c>
      <c r="G2600" s="57" t="str">
        <f t="shared" si="40"/>
        <v>-</v>
      </c>
      <c r="H2600" s="19"/>
      <c r="I2600" s="19"/>
    </row>
    <row r="2601" spans="1:9" s="1" customFormat="1" x14ac:dyDescent="0.2">
      <c r="A2601" s="1" t="s">
        <v>25</v>
      </c>
      <c r="B2601" s="2" t="s">
        <v>187</v>
      </c>
      <c r="C2601" s="5"/>
      <c r="D2601" s="5" t="s">
        <v>464</v>
      </c>
      <c r="E2601" s="3">
        <v>112500</v>
      </c>
      <c r="F2601" s="3" t="s">
        <v>465</v>
      </c>
      <c r="G2601" s="57" t="str">
        <f t="shared" si="40"/>
        <v>-</v>
      </c>
      <c r="H2601" s="19"/>
      <c r="I2601" s="19"/>
    </row>
    <row r="2602" spans="1:9" s="1" customFormat="1" x14ac:dyDescent="0.2">
      <c r="A2602" s="1" t="s">
        <v>25</v>
      </c>
      <c r="B2602" s="2" t="s">
        <v>187</v>
      </c>
      <c r="C2602" s="5"/>
      <c r="D2602" s="5" t="s">
        <v>464</v>
      </c>
      <c r="E2602" s="3">
        <v>112500</v>
      </c>
      <c r="F2602" s="3" t="s">
        <v>465</v>
      </c>
      <c r="G2602" s="57" t="str">
        <f t="shared" si="40"/>
        <v>-</v>
      </c>
      <c r="H2602" s="19"/>
      <c r="I2602" s="19"/>
    </row>
    <row r="2603" spans="1:9" s="1" customFormat="1" x14ac:dyDescent="0.2">
      <c r="A2603" s="1" t="s">
        <v>25</v>
      </c>
      <c r="B2603" s="2" t="s">
        <v>187</v>
      </c>
      <c r="C2603" s="5"/>
      <c r="D2603" s="5" t="s">
        <v>464</v>
      </c>
      <c r="E2603" s="3" t="s">
        <v>465</v>
      </c>
      <c r="F2603" s="3">
        <v>112500</v>
      </c>
      <c r="G2603" s="57" t="str">
        <f t="shared" si="40"/>
        <v>-</v>
      </c>
      <c r="H2603" s="19"/>
      <c r="I2603" s="19"/>
    </row>
    <row r="2604" spans="1:9" s="1" customFormat="1" x14ac:dyDescent="0.2">
      <c r="A2604" s="1" t="s">
        <v>25</v>
      </c>
      <c r="B2604" s="2" t="s">
        <v>187</v>
      </c>
      <c r="C2604" s="5"/>
      <c r="D2604" s="5" t="s">
        <v>464</v>
      </c>
      <c r="E2604" s="3" t="s">
        <v>465</v>
      </c>
      <c r="F2604" s="3">
        <v>112500</v>
      </c>
      <c r="G2604" s="57" t="str">
        <f t="shared" si="40"/>
        <v>-</v>
      </c>
      <c r="H2604" s="19"/>
      <c r="I2604" s="19"/>
    </row>
    <row r="2605" spans="1:9" s="1" customFormat="1" x14ac:dyDescent="0.2">
      <c r="A2605" s="1" t="s">
        <v>25</v>
      </c>
      <c r="B2605" s="2" t="s">
        <v>187</v>
      </c>
      <c r="C2605" s="5"/>
      <c r="D2605" s="5" t="s">
        <v>464</v>
      </c>
      <c r="E2605" s="3">
        <v>117500</v>
      </c>
      <c r="F2605" s="3" t="s">
        <v>465</v>
      </c>
      <c r="G2605" s="57" t="str">
        <f t="shared" si="40"/>
        <v>-</v>
      </c>
      <c r="H2605" s="19"/>
      <c r="I2605" s="19"/>
    </row>
    <row r="2606" spans="1:9" s="1" customFormat="1" x14ac:dyDescent="0.2">
      <c r="A2606" s="1" t="s">
        <v>25</v>
      </c>
      <c r="B2606" s="2" t="s">
        <v>187</v>
      </c>
      <c r="C2606" s="5"/>
      <c r="D2606" s="5" t="s">
        <v>464</v>
      </c>
      <c r="E2606" s="3">
        <v>132500</v>
      </c>
      <c r="F2606" s="3" t="s">
        <v>465</v>
      </c>
      <c r="G2606" s="57" t="str">
        <f t="shared" si="40"/>
        <v>-</v>
      </c>
      <c r="H2606" s="19"/>
      <c r="I2606" s="19"/>
    </row>
    <row r="2607" spans="1:9" s="1" customFormat="1" x14ac:dyDescent="0.2">
      <c r="A2607" s="1" t="s">
        <v>25</v>
      </c>
      <c r="B2607" s="2" t="s">
        <v>187</v>
      </c>
      <c r="C2607" s="5"/>
      <c r="D2607" s="5" t="s">
        <v>464</v>
      </c>
      <c r="E2607" s="3" t="s">
        <v>465</v>
      </c>
      <c r="F2607" s="3">
        <v>142500</v>
      </c>
      <c r="G2607" s="57" t="str">
        <f t="shared" si="40"/>
        <v>-</v>
      </c>
      <c r="H2607" s="19"/>
      <c r="I2607" s="19"/>
    </row>
    <row r="2608" spans="1:9" s="1" customFormat="1" x14ac:dyDescent="0.2">
      <c r="A2608" s="1" t="s">
        <v>25</v>
      </c>
      <c r="B2608" s="2" t="s">
        <v>187</v>
      </c>
      <c r="C2608" s="5"/>
      <c r="D2608" s="5" t="s">
        <v>464</v>
      </c>
      <c r="E2608" s="3" t="s">
        <v>465</v>
      </c>
      <c r="F2608" s="3">
        <v>197500</v>
      </c>
      <c r="G2608" s="57" t="str">
        <f t="shared" si="40"/>
        <v>-</v>
      </c>
      <c r="H2608" s="19"/>
      <c r="I2608" s="19"/>
    </row>
    <row r="2609" spans="1:10" ht="25.5" x14ac:dyDescent="0.2">
      <c r="A2609" s="1" t="s">
        <v>4</v>
      </c>
      <c r="B2609" s="2" t="s">
        <v>188</v>
      </c>
      <c r="D2609" s="5" t="s">
        <v>450</v>
      </c>
      <c r="E2609" s="3">
        <v>121662</v>
      </c>
      <c r="F2609" s="3">
        <v>122456</v>
      </c>
      <c r="G2609" s="57">
        <f t="shared" si="40"/>
        <v>6.5262777202413245E-3</v>
      </c>
      <c r="J2609" s="5" t="s">
        <v>3505</v>
      </c>
    </row>
    <row r="2610" spans="1:10" ht="25.5" x14ac:dyDescent="0.2">
      <c r="A2610" s="1" t="s">
        <v>111</v>
      </c>
      <c r="B2610" s="2" t="s">
        <v>189</v>
      </c>
      <c r="C2610" s="5" t="s">
        <v>1452</v>
      </c>
      <c r="D2610" s="5" t="s">
        <v>450</v>
      </c>
      <c r="E2610" s="9">
        <v>183565</v>
      </c>
      <c r="F2610" s="9">
        <v>196934</v>
      </c>
      <c r="G2610" s="57">
        <f t="shared" si="40"/>
        <v>7.2829787813581015E-2</v>
      </c>
      <c r="J2610" s="5" t="s">
        <v>3501</v>
      </c>
    </row>
    <row r="2611" spans="1:10" ht="51" x14ac:dyDescent="0.2">
      <c r="A2611" s="1" t="s">
        <v>111</v>
      </c>
      <c r="B2611" s="2" t="s">
        <v>189</v>
      </c>
      <c r="D2611" s="5" t="s">
        <v>1453</v>
      </c>
      <c r="E2611" s="9">
        <v>81648</v>
      </c>
      <c r="F2611" s="9">
        <v>143670</v>
      </c>
      <c r="G2611" s="57">
        <f t="shared" si="40"/>
        <v>0.75962669018224571</v>
      </c>
      <c r="J2611" s="5" t="s">
        <v>3503</v>
      </c>
    </row>
    <row r="2612" spans="1:10" ht="51" x14ac:dyDescent="0.2">
      <c r="A2612" s="1" t="s">
        <v>111</v>
      </c>
      <c r="B2612" s="2" t="s">
        <v>189</v>
      </c>
      <c r="D2612" s="5" t="s">
        <v>1454</v>
      </c>
      <c r="E2612" s="9">
        <v>81648</v>
      </c>
      <c r="F2612" s="9">
        <v>143670</v>
      </c>
      <c r="G2612" s="57">
        <f t="shared" si="40"/>
        <v>0.75962669018224571</v>
      </c>
      <c r="J2612" s="5" t="s">
        <v>3503</v>
      </c>
    </row>
    <row r="2613" spans="1:10" ht="25.5" x14ac:dyDescent="0.2">
      <c r="A2613" s="1" t="s">
        <v>111</v>
      </c>
      <c r="B2613" s="2" t="s">
        <v>189</v>
      </c>
      <c r="D2613" s="5" t="s">
        <v>1455</v>
      </c>
      <c r="E2613" s="9">
        <v>97787</v>
      </c>
      <c r="F2613" s="9">
        <v>100220</v>
      </c>
      <c r="G2613" s="57">
        <f t="shared" si="40"/>
        <v>2.4880607851759436E-2</v>
      </c>
      <c r="J2613" s="5" t="s">
        <v>3502</v>
      </c>
    </row>
    <row r="2614" spans="1:10" x14ac:dyDescent="0.2">
      <c r="A2614" s="1" t="s">
        <v>111</v>
      </c>
      <c r="B2614" s="2" t="s">
        <v>189</v>
      </c>
      <c r="D2614" s="5" t="s">
        <v>3504</v>
      </c>
      <c r="E2614" s="9">
        <v>151268</v>
      </c>
      <c r="F2614" s="9" t="s">
        <v>465</v>
      </c>
      <c r="G2614" s="57" t="str">
        <f t="shared" si="40"/>
        <v>-</v>
      </c>
      <c r="J2614" s="5" t="s">
        <v>2356</v>
      </c>
    </row>
    <row r="2615" spans="1:10" x14ac:dyDescent="0.2">
      <c r="A2615" s="1" t="s">
        <v>111</v>
      </c>
      <c r="B2615" s="2" t="s">
        <v>189</v>
      </c>
      <c r="D2615" s="5" t="s">
        <v>487</v>
      </c>
      <c r="E2615" s="9">
        <v>138719</v>
      </c>
      <c r="F2615" s="9" t="s">
        <v>465</v>
      </c>
      <c r="G2615" s="57" t="str">
        <f t="shared" si="40"/>
        <v>-</v>
      </c>
      <c r="J2615" s="5" t="s">
        <v>2356</v>
      </c>
    </row>
    <row r="2616" spans="1:10" x14ac:dyDescent="0.2">
      <c r="A2616" s="1" t="s">
        <v>111</v>
      </c>
      <c r="B2616" s="2" t="s">
        <v>189</v>
      </c>
      <c r="D2616" s="5" t="s">
        <v>464</v>
      </c>
      <c r="G2616" s="57" t="str">
        <f t="shared" si="40"/>
        <v>-</v>
      </c>
      <c r="H2616" s="19">
        <v>97500</v>
      </c>
      <c r="I2616" s="19" t="s">
        <v>465</v>
      </c>
      <c r="J2616" s="5" t="s">
        <v>539</v>
      </c>
    </row>
    <row r="2617" spans="1:10" x14ac:dyDescent="0.2">
      <c r="A2617" s="1" t="s">
        <v>111</v>
      </c>
      <c r="B2617" s="2" t="s">
        <v>189</v>
      </c>
      <c r="D2617" s="5" t="s">
        <v>464</v>
      </c>
      <c r="G2617" s="57" t="str">
        <f t="shared" si="40"/>
        <v>-</v>
      </c>
      <c r="H2617" s="19">
        <v>97500</v>
      </c>
      <c r="I2617" s="19" t="s">
        <v>465</v>
      </c>
      <c r="J2617" s="5" t="s">
        <v>539</v>
      </c>
    </row>
    <row r="2618" spans="1:10" x14ac:dyDescent="0.2">
      <c r="A2618" s="1" t="s">
        <v>111</v>
      </c>
      <c r="B2618" s="2" t="s">
        <v>189</v>
      </c>
      <c r="D2618" s="5" t="s">
        <v>464</v>
      </c>
      <c r="E2618" s="3" t="s">
        <v>465</v>
      </c>
      <c r="F2618" s="3">
        <v>107500</v>
      </c>
      <c r="G2618" s="57" t="str">
        <f t="shared" si="40"/>
        <v>-</v>
      </c>
      <c r="J2618" s="5" t="s">
        <v>539</v>
      </c>
    </row>
    <row r="2619" spans="1:10" x14ac:dyDescent="0.2">
      <c r="A2619" s="1" t="s">
        <v>111</v>
      </c>
      <c r="B2619" s="2" t="s">
        <v>189</v>
      </c>
      <c r="D2619" s="5" t="s">
        <v>464</v>
      </c>
      <c r="E2619" s="3" t="s">
        <v>465</v>
      </c>
      <c r="F2619" s="3">
        <v>107500</v>
      </c>
      <c r="G2619" s="57" t="str">
        <f t="shared" si="40"/>
        <v>-</v>
      </c>
      <c r="J2619" s="5" t="s">
        <v>539</v>
      </c>
    </row>
    <row r="2620" spans="1:10" x14ac:dyDescent="0.2">
      <c r="A2620" s="1" t="s">
        <v>111</v>
      </c>
      <c r="B2620" s="2" t="s">
        <v>189</v>
      </c>
      <c r="D2620" s="5" t="s">
        <v>464</v>
      </c>
      <c r="E2620" s="3">
        <v>112500</v>
      </c>
      <c r="F2620" s="3" t="s">
        <v>465</v>
      </c>
      <c r="G2620" s="57" t="str">
        <f t="shared" si="40"/>
        <v>-</v>
      </c>
      <c r="J2620" s="5" t="s">
        <v>539</v>
      </c>
    </row>
    <row r="2621" spans="1:10" ht="38.25" x14ac:dyDescent="0.2">
      <c r="A2621" s="1" t="s">
        <v>4</v>
      </c>
      <c r="B2621" s="2" t="s">
        <v>190</v>
      </c>
      <c r="D2621" s="5" t="s">
        <v>450</v>
      </c>
      <c r="E2621" s="3">
        <v>132097</v>
      </c>
      <c r="F2621" s="3">
        <v>131402</v>
      </c>
      <c r="G2621" s="57">
        <f t="shared" si="40"/>
        <v>-5.2612852676442315E-3</v>
      </c>
      <c r="J2621" s="5" t="s">
        <v>3500</v>
      </c>
    </row>
    <row r="2622" spans="1:10" ht="52.5" customHeight="1" x14ac:dyDescent="0.2">
      <c r="A2622" s="1" t="s">
        <v>4</v>
      </c>
      <c r="B2622" s="2" t="s">
        <v>191</v>
      </c>
      <c r="D2622" s="5" t="s">
        <v>3494</v>
      </c>
      <c r="E2622" s="9">
        <v>131704</v>
      </c>
      <c r="F2622" s="9">
        <v>148875</v>
      </c>
      <c r="G2622" s="57">
        <f t="shared" si="40"/>
        <v>0.13037569094332746</v>
      </c>
      <c r="J2622" s="5" t="s">
        <v>3495</v>
      </c>
    </row>
    <row r="2623" spans="1:10" ht="38.25" x14ac:dyDescent="0.2">
      <c r="A2623" s="1" t="s">
        <v>4</v>
      </c>
      <c r="B2623" s="2" t="s">
        <v>191</v>
      </c>
      <c r="D2623" s="5" t="s">
        <v>1447</v>
      </c>
      <c r="E2623" s="9">
        <v>96478</v>
      </c>
      <c r="F2623" s="9">
        <v>271992</v>
      </c>
      <c r="G2623" s="57">
        <f t="shared" si="40"/>
        <v>1.8192126702460665</v>
      </c>
      <c r="J2623" s="5" t="s">
        <v>3496</v>
      </c>
    </row>
    <row r="2624" spans="1:10" ht="38.25" x14ac:dyDescent="0.2">
      <c r="A2624" s="1" t="s">
        <v>4</v>
      </c>
      <c r="B2624" s="2" t="s">
        <v>191</v>
      </c>
      <c r="D2624" s="5" t="s">
        <v>1448</v>
      </c>
      <c r="E2624" s="9">
        <v>97214</v>
      </c>
      <c r="F2624" s="9">
        <v>197188</v>
      </c>
      <c r="G2624" s="57">
        <f t="shared" si="40"/>
        <v>1.0283909724936737</v>
      </c>
      <c r="J2624" s="5" t="s">
        <v>3497</v>
      </c>
    </row>
    <row r="2625" spans="1:10" ht="38.25" x14ac:dyDescent="0.2">
      <c r="A2625" s="1" t="s">
        <v>4</v>
      </c>
      <c r="B2625" s="2" t="s">
        <v>191</v>
      </c>
      <c r="D2625" s="5" t="s">
        <v>1449</v>
      </c>
      <c r="E2625" s="9">
        <v>84961</v>
      </c>
      <c r="F2625" s="9">
        <v>237122</v>
      </c>
      <c r="G2625" s="57">
        <f t="shared" si="40"/>
        <v>1.7909511422888149</v>
      </c>
      <c r="J2625" s="5" t="s">
        <v>3498</v>
      </c>
    </row>
    <row r="2626" spans="1:10" ht="38.25" x14ac:dyDescent="0.2">
      <c r="A2626" s="1" t="s">
        <v>4</v>
      </c>
      <c r="B2626" s="2" t="s">
        <v>191</v>
      </c>
      <c r="D2626" s="5" t="s">
        <v>1450</v>
      </c>
      <c r="E2626" s="9">
        <v>78865</v>
      </c>
      <c r="F2626" s="9">
        <v>118976</v>
      </c>
      <c r="G2626" s="57">
        <f t="shared" si="40"/>
        <v>0.50860330945286247</v>
      </c>
      <c r="J2626" s="5" t="s">
        <v>3499</v>
      </c>
    </row>
    <row r="2627" spans="1:10" ht="38.25" x14ac:dyDescent="0.2">
      <c r="A2627" s="1" t="s">
        <v>4</v>
      </c>
      <c r="B2627" s="2" t="s">
        <v>191</v>
      </c>
      <c r="D2627" s="5" t="s">
        <v>1451</v>
      </c>
      <c r="E2627" s="9">
        <v>78349</v>
      </c>
      <c r="F2627" s="9">
        <v>140910</v>
      </c>
      <c r="G2627" s="57">
        <f t="shared" ref="G2627:G2690" si="41">IF(ISERROR((F2627-E2627)/E2627),"-",(F2627-E2627)/E2627)</f>
        <v>0.79849136555667588</v>
      </c>
      <c r="J2627" s="5" t="s">
        <v>4651</v>
      </c>
    </row>
    <row r="2628" spans="1:10" ht="25.5" x14ac:dyDescent="0.2">
      <c r="A2628" s="1" t="s">
        <v>25</v>
      </c>
      <c r="B2628" s="2" t="s">
        <v>192</v>
      </c>
      <c r="C2628" s="5" t="s">
        <v>1442</v>
      </c>
      <c r="D2628" s="5" t="s">
        <v>450</v>
      </c>
      <c r="E2628" s="9">
        <v>200215</v>
      </c>
      <c r="F2628" s="9">
        <v>208326</v>
      </c>
      <c r="G2628" s="57">
        <f t="shared" si="41"/>
        <v>4.0511450191044629E-2</v>
      </c>
      <c r="J2628" s="5" t="s">
        <v>3490</v>
      </c>
    </row>
    <row r="2629" spans="1:10" x14ac:dyDescent="0.2">
      <c r="A2629" s="1" t="s">
        <v>25</v>
      </c>
      <c r="B2629" s="2" t="s">
        <v>192</v>
      </c>
      <c r="D2629" s="5" t="s">
        <v>1443</v>
      </c>
      <c r="E2629" s="9">
        <v>167620</v>
      </c>
      <c r="F2629" s="9">
        <v>167620</v>
      </c>
      <c r="G2629" s="57">
        <f t="shared" si="41"/>
        <v>0</v>
      </c>
      <c r="J2629" s="5" t="s">
        <v>3491</v>
      </c>
    </row>
    <row r="2630" spans="1:10" x14ac:dyDescent="0.2">
      <c r="A2630" s="1" t="s">
        <v>25</v>
      </c>
      <c r="B2630" s="2" t="s">
        <v>192</v>
      </c>
      <c r="D2630" s="5" t="s">
        <v>1444</v>
      </c>
      <c r="E2630" s="9">
        <v>161824</v>
      </c>
      <c r="F2630" s="9">
        <v>150280</v>
      </c>
      <c r="G2630" s="57">
        <f t="shared" si="41"/>
        <v>-7.1336760925449869E-2</v>
      </c>
      <c r="J2630" s="5" t="s">
        <v>3492</v>
      </c>
    </row>
    <row r="2631" spans="1:10" ht="25.5" x14ac:dyDescent="0.2">
      <c r="A2631" s="1" t="s">
        <v>25</v>
      </c>
      <c r="B2631" s="2" t="s">
        <v>192</v>
      </c>
      <c r="D2631" s="5" t="s">
        <v>1445</v>
      </c>
      <c r="E2631" s="9">
        <v>85472</v>
      </c>
      <c r="F2631" s="9">
        <v>150280</v>
      </c>
      <c r="G2631" s="57">
        <f t="shared" si="41"/>
        <v>0.7582366154998128</v>
      </c>
      <c r="J2631" s="5" t="s">
        <v>4351</v>
      </c>
    </row>
    <row r="2632" spans="1:10" ht="25.5" x14ac:dyDescent="0.2">
      <c r="A2632" s="1" t="s">
        <v>25</v>
      </c>
      <c r="B2632" s="2" t="s">
        <v>192</v>
      </c>
      <c r="D2632" s="5" t="s">
        <v>1446</v>
      </c>
      <c r="E2632" s="9">
        <v>125374</v>
      </c>
      <c r="F2632" s="9">
        <v>121380</v>
      </c>
      <c r="G2632" s="57">
        <f t="shared" si="41"/>
        <v>-3.1856684799081152E-2</v>
      </c>
      <c r="J2632" s="5" t="s">
        <v>3493</v>
      </c>
    </row>
    <row r="2633" spans="1:10" x14ac:dyDescent="0.2">
      <c r="A2633" s="1" t="s">
        <v>25</v>
      </c>
      <c r="B2633" s="2" t="s">
        <v>192</v>
      </c>
      <c r="D2633" s="5" t="s">
        <v>464</v>
      </c>
      <c r="G2633" s="57" t="str">
        <f t="shared" si="41"/>
        <v>-</v>
      </c>
      <c r="H2633" s="19">
        <v>92500</v>
      </c>
      <c r="I2633" s="19" t="s">
        <v>465</v>
      </c>
    </row>
    <row r="2634" spans="1:10" x14ac:dyDescent="0.2">
      <c r="A2634" s="1" t="s">
        <v>25</v>
      </c>
      <c r="B2634" s="2" t="s">
        <v>192</v>
      </c>
      <c r="D2634" s="5" t="s">
        <v>464</v>
      </c>
      <c r="G2634" s="57" t="str">
        <f t="shared" si="41"/>
        <v>-</v>
      </c>
      <c r="H2634" s="19">
        <v>92500</v>
      </c>
      <c r="I2634" s="19" t="s">
        <v>465</v>
      </c>
    </row>
    <row r="2635" spans="1:10" x14ac:dyDescent="0.2">
      <c r="A2635" s="1" t="s">
        <v>25</v>
      </c>
      <c r="B2635" s="2" t="s">
        <v>192</v>
      </c>
      <c r="D2635" s="5" t="s">
        <v>464</v>
      </c>
      <c r="G2635" s="57" t="str">
        <f t="shared" si="41"/>
        <v>-</v>
      </c>
      <c r="H2635" s="19">
        <v>92500</v>
      </c>
      <c r="I2635" s="19" t="s">
        <v>465</v>
      </c>
    </row>
    <row r="2636" spans="1:10" x14ac:dyDescent="0.2">
      <c r="A2636" s="1" t="s">
        <v>25</v>
      </c>
      <c r="B2636" s="2" t="s">
        <v>192</v>
      </c>
      <c r="D2636" s="5" t="s">
        <v>464</v>
      </c>
      <c r="G2636" s="57" t="str">
        <f t="shared" si="41"/>
        <v>-</v>
      </c>
      <c r="H2636" s="19">
        <v>92500</v>
      </c>
      <c r="I2636" s="19" t="s">
        <v>465</v>
      </c>
    </row>
    <row r="2637" spans="1:10" x14ac:dyDescent="0.2">
      <c r="A2637" s="1" t="s">
        <v>25</v>
      </c>
      <c r="B2637" s="2" t="s">
        <v>192</v>
      </c>
      <c r="D2637" s="5" t="s">
        <v>464</v>
      </c>
      <c r="G2637" s="57" t="str">
        <f t="shared" si="41"/>
        <v>-</v>
      </c>
      <c r="H2637" s="19">
        <v>92500</v>
      </c>
      <c r="I2637" s="19" t="s">
        <v>465</v>
      </c>
    </row>
    <row r="2638" spans="1:10" x14ac:dyDescent="0.2">
      <c r="A2638" s="1" t="s">
        <v>25</v>
      </c>
      <c r="B2638" s="2" t="s">
        <v>192</v>
      </c>
      <c r="D2638" s="5" t="s">
        <v>464</v>
      </c>
      <c r="G2638" s="57" t="str">
        <f t="shared" si="41"/>
        <v>-</v>
      </c>
      <c r="H2638" s="19" t="s">
        <v>465</v>
      </c>
      <c r="I2638" s="19">
        <v>92500</v>
      </c>
    </row>
    <row r="2639" spans="1:10" x14ac:dyDescent="0.2">
      <c r="A2639" s="1" t="s">
        <v>25</v>
      </c>
      <c r="B2639" s="2" t="s">
        <v>192</v>
      </c>
      <c r="D2639" s="5" t="s">
        <v>464</v>
      </c>
      <c r="G2639" s="57" t="str">
        <f t="shared" si="41"/>
        <v>-</v>
      </c>
      <c r="H2639" s="19" t="s">
        <v>465</v>
      </c>
      <c r="I2639" s="19">
        <v>92500</v>
      </c>
    </row>
    <row r="2640" spans="1:10" x14ac:dyDescent="0.2">
      <c r="A2640" s="1" t="s">
        <v>25</v>
      </c>
      <c r="B2640" s="2" t="s">
        <v>192</v>
      </c>
      <c r="D2640" s="5" t="s">
        <v>464</v>
      </c>
      <c r="G2640" s="57" t="str">
        <f t="shared" si="41"/>
        <v>-</v>
      </c>
      <c r="H2640" s="19" t="s">
        <v>465</v>
      </c>
      <c r="I2640" s="19">
        <v>92500</v>
      </c>
    </row>
    <row r="2641" spans="1:10" x14ac:dyDescent="0.2">
      <c r="A2641" s="1" t="s">
        <v>25</v>
      </c>
      <c r="B2641" s="2" t="s">
        <v>192</v>
      </c>
      <c r="D2641" s="5" t="s">
        <v>464</v>
      </c>
      <c r="G2641" s="57" t="str">
        <f t="shared" si="41"/>
        <v>-</v>
      </c>
      <c r="H2641" s="19" t="s">
        <v>465</v>
      </c>
      <c r="I2641" s="19">
        <v>92500</v>
      </c>
    </row>
    <row r="2642" spans="1:10" x14ac:dyDescent="0.2">
      <c r="A2642" s="1" t="s">
        <v>25</v>
      </c>
      <c r="B2642" s="2" t="s">
        <v>192</v>
      </c>
      <c r="D2642" s="5" t="s">
        <v>464</v>
      </c>
      <c r="G2642" s="57" t="str">
        <f t="shared" si="41"/>
        <v>-</v>
      </c>
      <c r="H2642" s="19">
        <v>97500</v>
      </c>
      <c r="I2642" s="19" t="s">
        <v>465</v>
      </c>
    </row>
    <row r="2643" spans="1:10" x14ac:dyDescent="0.2">
      <c r="A2643" s="1" t="s">
        <v>25</v>
      </c>
      <c r="B2643" s="2" t="s">
        <v>192</v>
      </c>
      <c r="D2643" s="5" t="s">
        <v>464</v>
      </c>
      <c r="G2643" s="57" t="str">
        <f t="shared" si="41"/>
        <v>-</v>
      </c>
      <c r="H2643" s="19">
        <v>97500</v>
      </c>
      <c r="I2643" s="19" t="s">
        <v>465</v>
      </c>
    </row>
    <row r="2644" spans="1:10" x14ac:dyDescent="0.2">
      <c r="A2644" s="1" t="s">
        <v>25</v>
      </c>
      <c r="B2644" s="2" t="s">
        <v>192</v>
      </c>
      <c r="D2644" s="5" t="s">
        <v>464</v>
      </c>
      <c r="G2644" s="57" t="str">
        <f t="shared" si="41"/>
        <v>-</v>
      </c>
      <c r="H2644" s="19" t="s">
        <v>465</v>
      </c>
      <c r="I2644" s="19">
        <v>97500</v>
      </c>
    </row>
    <row r="2645" spans="1:10" x14ac:dyDescent="0.2">
      <c r="A2645" s="1" t="s">
        <v>25</v>
      </c>
      <c r="B2645" s="2" t="s">
        <v>192</v>
      </c>
      <c r="D2645" s="5" t="s">
        <v>464</v>
      </c>
      <c r="G2645" s="57" t="str">
        <f t="shared" si="41"/>
        <v>-</v>
      </c>
      <c r="H2645" s="19" t="s">
        <v>465</v>
      </c>
      <c r="I2645" s="19">
        <v>97500</v>
      </c>
    </row>
    <row r="2646" spans="1:10" x14ac:dyDescent="0.2">
      <c r="A2646" s="1" t="s">
        <v>25</v>
      </c>
      <c r="B2646" s="2" t="s">
        <v>192</v>
      </c>
      <c r="D2646" s="5" t="s">
        <v>464</v>
      </c>
      <c r="G2646" s="57" t="str">
        <f t="shared" si="41"/>
        <v>-</v>
      </c>
      <c r="H2646" s="19" t="s">
        <v>465</v>
      </c>
      <c r="I2646" s="19">
        <v>97500</v>
      </c>
    </row>
    <row r="2647" spans="1:10" x14ac:dyDescent="0.2">
      <c r="A2647" s="1" t="s">
        <v>25</v>
      </c>
      <c r="B2647" s="2" t="s">
        <v>192</v>
      </c>
      <c r="D2647" s="5" t="s">
        <v>464</v>
      </c>
      <c r="E2647" s="3">
        <v>102500</v>
      </c>
      <c r="F2647" s="3" t="s">
        <v>465</v>
      </c>
      <c r="G2647" s="57" t="str">
        <f t="shared" si="41"/>
        <v>-</v>
      </c>
    </row>
    <row r="2648" spans="1:10" x14ac:dyDescent="0.2">
      <c r="A2648" s="1" t="s">
        <v>25</v>
      </c>
      <c r="B2648" s="2" t="s">
        <v>192</v>
      </c>
      <c r="D2648" s="5" t="s">
        <v>464</v>
      </c>
      <c r="E2648" s="3" t="s">
        <v>465</v>
      </c>
      <c r="F2648" s="3">
        <v>102500</v>
      </c>
      <c r="G2648" s="57" t="str">
        <f t="shared" si="41"/>
        <v>-</v>
      </c>
    </row>
    <row r="2649" spans="1:10" x14ac:dyDescent="0.2">
      <c r="A2649" s="1" t="s">
        <v>25</v>
      </c>
      <c r="B2649" s="2" t="s">
        <v>192</v>
      </c>
      <c r="D2649" s="5" t="s">
        <v>464</v>
      </c>
      <c r="E2649" s="3" t="s">
        <v>465</v>
      </c>
      <c r="F2649" s="3">
        <v>102500</v>
      </c>
      <c r="G2649" s="57" t="str">
        <f t="shared" si="41"/>
        <v>-</v>
      </c>
    </row>
    <row r="2650" spans="1:10" x14ac:dyDescent="0.2">
      <c r="A2650" s="1" t="s">
        <v>25</v>
      </c>
      <c r="B2650" s="2" t="s">
        <v>192</v>
      </c>
      <c r="D2650" s="5" t="s">
        <v>464</v>
      </c>
      <c r="E2650" s="3">
        <v>107500</v>
      </c>
      <c r="F2650" s="3" t="s">
        <v>465</v>
      </c>
      <c r="G2650" s="57" t="str">
        <f t="shared" si="41"/>
        <v>-</v>
      </c>
    </row>
    <row r="2651" spans="1:10" x14ac:dyDescent="0.2">
      <c r="A2651" s="1" t="s">
        <v>25</v>
      </c>
      <c r="B2651" s="2" t="s">
        <v>192</v>
      </c>
      <c r="D2651" s="5" t="s">
        <v>464</v>
      </c>
      <c r="E2651" s="3" t="s">
        <v>465</v>
      </c>
      <c r="F2651" s="3">
        <v>107500</v>
      </c>
      <c r="G2651" s="57" t="str">
        <f t="shared" si="41"/>
        <v>-</v>
      </c>
    </row>
    <row r="2652" spans="1:10" x14ac:dyDescent="0.2">
      <c r="A2652" s="1" t="s">
        <v>25</v>
      </c>
      <c r="B2652" s="2" t="s">
        <v>192</v>
      </c>
      <c r="D2652" s="5" t="s">
        <v>464</v>
      </c>
      <c r="E2652" s="3" t="s">
        <v>465</v>
      </c>
      <c r="F2652" s="3">
        <v>112500</v>
      </c>
      <c r="G2652" s="57" t="str">
        <f t="shared" si="41"/>
        <v>-</v>
      </c>
    </row>
    <row r="2653" spans="1:10" x14ac:dyDescent="0.2">
      <c r="A2653" s="1" t="s">
        <v>25</v>
      </c>
      <c r="B2653" s="2" t="s">
        <v>192</v>
      </c>
      <c r="D2653" s="5" t="s">
        <v>464</v>
      </c>
      <c r="E2653" s="3" t="s">
        <v>465</v>
      </c>
      <c r="F2653" s="3">
        <v>117500</v>
      </c>
      <c r="G2653" s="57" t="str">
        <f t="shared" si="41"/>
        <v>-</v>
      </c>
    </row>
    <row r="2654" spans="1:10" ht="25.5" x14ac:dyDescent="0.2">
      <c r="A2654" s="1" t="s">
        <v>39</v>
      </c>
      <c r="B2654" s="2" t="s">
        <v>193</v>
      </c>
      <c r="C2654" s="5" t="s">
        <v>1441</v>
      </c>
      <c r="D2654" s="5" t="s">
        <v>450</v>
      </c>
      <c r="E2654" s="9">
        <v>219734</v>
      </c>
      <c r="F2654" s="9">
        <v>221203</v>
      </c>
      <c r="G2654" s="57">
        <f t="shared" si="41"/>
        <v>6.6853559303521534E-3</v>
      </c>
      <c r="J2654" s="5" t="s">
        <v>3482</v>
      </c>
    </row>
    <row r="2655" spans="1:10" ht="25.5" x14ac:dyDescent="0.2">
      <c r="A2655" s="1" t="s">
        <v>39</v>
      </c>
      <c r="B2655" s="2" t="s">
        <v>193</v>
      </c>
      <c r="D2655" s="5" t="s">
        <v>455</v>
      </c>
      <c r="E2655" s="9" t="s">
        <v>465</v>
      </c>
      <c r="F2655" s="9">
        <v>151736</v>
      </c>
      <c r="G2655" s="57" t="str">
        <f t="shared" si="41"/>
        <v>-</v>
      </c>
      <c r="J2655" s="5" t="s">
        <v>3485</v>
      </c>
    </row>
    <row r="2656" spans="1:10" x14ac:dyDescent="0.2">
      <c r="A2656" s="1" t="s">
        <v>39</v>
      </c>
      <c r="B2656" s="2" t="s">
        <v>193</v>
      </c>
      <c r="D2656" s="5" t="s">
        <v>942</v>
      </c>
      <c r="E2656" s="9">
        <v>250127</v>
      </c>
      <c r="F2656" s="9" t="s">
        <v>465</v>
      </c>
      <c r="G2656" s="57" t="str">
        <f t="shared" si="41"/>
        <v>-</v>
      </c>
      <c r="J2656" s="5" t="s">
        <v>3486</v>
      </c>
    </row>
    <row r="2657" spans="1:10" ht="25.5" x14ac:dyDescent="0.2">
      <c r="A2657" s="1" t="s">
        <v>39</v>
      </c>
      <c r="B2657" s="2" t="s">
        <v>193</v>
      </c>
      <c r="D2657" s="5" t="s">
        <v>562</v>
      </c>
      <c r="E2657" s="9">
        <v>147036</v>
      </c>
      <c r="F2657" s="9">
        <v>22506</v>
      </c>
      <c r="G2657" s="57">
        <f t="shared" si="41"/>
        <v>-0.84693544438096791</v>
      </c>
      <c r="J2657" s="5" t="s">
        <v>3487</v>
      </c>
    </row>
    <row r="2658" spans="1:10" ht="25.5" x14ac:dyDescent="0.2">
      <c r="A2658" s="1" t="s">
        <v>39</v>
      </c>
      <c r="B2658" s="2" t="s">
        <v>193</v>
      </c>
      <c r="D2658" s="5" t="s">
        <v>4352</v>
      </c>
      <c r="E2658" s="9">
        <v>130784</v>
      </c>
      <c r="F2658" s="9">
        <v>131836</v>
      </c>
      <c r="G2658" s="57">
        <f t="shared" si="41"/>
        <v>8.0437974064105702E-3</v>
      </c>
      <c r="J2658" s="5" t="s">
        <v>3483</v>
      </c>
    </row>
    <row r="2659" spans="1:10" ht="25.5" x14ac:dyDescent="0.2">
      <c r="A2659" s="1" t="s">
        <v>39</v>
      </c>
      <c r="B2659" s="2" t="s">
        <v>193</v>
      </c>
      <c r="D2659" s="5" t="s">
        <v>463</v>
      </c>
      <c r="E2659" s="9">
        <v>131491</v>
      </c>
      <c r="F2659" s="9">
        <v>127006</v>
      </c>
      <c r="G2659" s="57">
        <f t="shared" si="41"/>
        <v>-3.410879832079762E-2</v>
      </c>
      <c r="J2659" s="5" t="s">
        <v>3484</v>
      </c>
    </row>
    <row r="2660" spans="1:10" x14ac:dyDescent="0.2">
      <c r="A2660" s="1" t="s">
        <v>39</v>
      </c>
      <c r="B2660" s="2" t="s">
        <v>193</v>
      </c>
      <c r="D2660" s="5" t="s">
        <v>3488</v>
      </c>
      <c r="E2660" s="3">
        <v>223820</v>
      </c>
      <c r="F2660" s="3" t="s">
        <v>465</v>
      </c>
      <c r="G2660" s="57" t="str">
        <f t="shared" si="41"/>
        <v>-</v>
      </c>
      <c r="J2660" s="5" t="s">
        <v>3489</v>
      </c>
    </row>
    <row r="2661" spans="1:10" x14ac:dyDescent="0.2">
      <c r="A2661" s="1" t="s">
        <v>39</v>
      </c>
      <c r="B2661" s="2" t="s">
        <v>193</v>
      </c>
      <c r="D2661" s="5" t="s">
        <v>464</v>
      </c>
      <c r="G2661" s="57" t="str">
        <f t="shared" si="41"/>
        <v>-</v>
      </c>
      <c r="H2661" s="19">
        <v>97500</v>
      </c>
      <c r="I2661" s="19" t="s">
        <v>465</v>
      </c>
    </row>
    <row r="2662" spans="1:10" x14ac:dyDescent="0.2">
      <c r="A2662" s="1" t="s">
        <v>39</v>
      </c>
      <c r="B2662" s="2" t="s">
        <v>193</v>
      </c>
      <c r="D2662" s="5" t="s">
        <v>464</v>
      </c>
      <c r="G2662" s="57" t="str">
        <f t="shared" si="41"/>
        <v>-</v>
      </c>
      <c r="H2662" s="19" t="s">
        <v>465</v>
      </c>
      <c r="I2662" s="19">
        <v>97500</v>
      </c>
    </row>
    <row r="2663" spans="1:10" x14ac:dyDescent="0.2">
      <c r="A2663" s="1" t="s">
        <v>39</v>
      </c>
      <c r="B2663" s="2" t="s">
        <v>193</v>
      </c>
      <c r="D2663" s="5" t="s">
        <v>464</v>
      </c>
      <c r="E2663" s="3" t="s">
        <v>465</v>
      </c>
      <c r="F2663" s="3">
        <v>112500</v>
      </c>
      <c r="G2663" s="57" t="str">
        <f t="shared" si="41"/>
        <v>-</v>
      </c>
    </row>
    <row r="2664" spans="1:10" ht="25.5" x14ac:dyDescent="0.2">
      <c r="A2664" s="1" t="s">
        <v>20</v>
      </c>
      <c r="B2664" s="2" t="s">
        <v>194</v>
      </c>
      <c r="C2664" s="5" t="s">
        <v>1424</v>
      </c>
      <c r="D2664" s="5" t="s">
        <v>450</v>
      </c>
      <c r="E2664" s="9">
        <v>251190</v>
      </c>
      <c r="F2664" s="9">
        <v>250118</v>
      </c>
      <c r="G2664" s="57">
        <f t="shared" si="41"/>
        <v>-4.2676858155181333E-3</v>
      </c>
      <c r="J2664" s="5" t="s">
        <v>3468</v>
      </c>
    </row>
    <row r="2665" spans="1:10" ht="25.5" x14ac:dyDescent="0.2">
      <c r="A2665" s="1" t="s">
        <v>20</v>
      </c>
      <c r="B2665" s="2" t="s">
        <v>194</v>
      </c>
      <c r="C2665" s="5" t="s">
        <v>1425</v>
      </c>
      <c r="D2665" s="5" t="s">
        <v>1426</v>
      </c>
      <c r="E2665" s="9">
        <v>202191</v>
      </c>
      <c r="F2665" s="9">
        <v>202443</v>
      </c>
      <c r="G2665" s="57">
        <f t="shared" si="41"/>
        <v>1.2463462765404988E-3</v>
      </c>
      <c r="J2665" s="5" t="s">
        <v>3469</v>
      </c>
    </row>
    <row r="2666" spans="1:10" x14ac:dyDescent="0.2">
      <c r="A2666" s="1" t="s">
        <v>20</v>
      </c>
      <c r="B2666" s="2" t="s">
        <v>194</v>
      </c>
      <c r="C2666" s="5" t="s">
        <v>1427</v>
      </c>
      <c r="D2666" s="5" t="s">
        <v>1428</v>
      </c>
      <c r="E2666" s="9">
        <v>192305</v>
      </c>
      <c r="F2666" s="9">
        <v>192305</v>
      </c>
      <c r="G2666" s="57">
        <f t="shared" si="41"/>
        <v>0</v>
      </c>
      <c r="J2666" s="5" t="s">
        <v>3470</v>
      </c>
    </row>
    <row r="2667" spans="1:10" ht="51" x14ac:dyDescent="0.2">
      <c r="A2667" s="1" t="s">
        <v>20</v>
      </c>
      <c r="B2667" s="2" t="s">
        <v>194</v>
      </c>
      <c r="C2667" s="5" t="s">
        <v>1429</v>
      </c>
      <c r="D2667" s="5" t="s">
        <v>1430</v>
      </c>
      <c r="E2667" s="9">
        <v>123165</v>
      </c>
      <c r="F2667" s="9">
        <v>181086</v>
      </c>
      <c r="G2667" s="57">
        <f t="shared" si="41"/>
        <v>0.47027158689562781</v>
      </c>
      <c r="J2667" s="5" t="s">
        <v>3473</v>
      </c>
    </row>
    <row r="2668" spans="1:10" ht="38.25" x14ac:dyDescent="0.2">
      <c r="A2668" s="1" t="s">
        <v>20</v>
      </c>
      <c r="B2668" s="2" t="s">
        <v>194</v>
      </c>
      <c r="C2668" s="5" t="s">
        <v>3472</v>
      </c>
      <c r="D2668" s="5" t="s">
        <v>3471</v>
      </c>
      <c r="E2668" s="9">
        <v>111998</v>
      </c>
      <c r="F2668" s="9" t="s">
        <v>465</v>
      </c>
      <c r="G2668" s="57" t="str">
        <f t="shared" si="41"/>
        <v>-</v>
      </c>
      <c r="J2668" s="5" t="s">
        <v>4354</v>
      </c>
    </row>
    <row r="2669" spans="1:10" ht="25.5" x14ac:dyDescent="0.2">
      <c r="A2669" s="1" t="s">
        <v>20</v>
      </c>
      <c r="B2669" s="2" t="s">
        <v>194</v>
      </c>
      <c r="C2669" s="5" t="s">
        <v>1431</v>
      </c>
      <c r="D2669" s="5" t="s">
        <v>1432</v>
      </c>
      <c r="E2669" s="9">
        <v>166787</v>
      </c>
      <c r="F2669" s="9">
        <v>165760</v>
      </c>
      <c r="G2669" s="57">
        <f t="shared" si="41"/>
        <v>-6.1575542458345072E-3</v>
      </c>
      <c r="J2669" s="5" t="s">
        <v>3474</v>
      </c>
    </row>
    <row r="2670" spans="1:10" ht="25.5" x14ac:dyDescent="0.2">
      <c r="A2670" s="1" t="s">
        <v>20</v>
      </c>
      <c r="B2670" s="2" t="s">
        <v>194</v>
      </c>
      <c r="C2670" s="5" t="s">
        <v>1433</v>
      </c>
      <c r="D2670" s="5" t="s">
        <v>1434</v>
      </c>
      <c r="E2670" s="9">
        <v>155499</v>
      </c>
      <c r="F2670" s="9">
        <v>155720</v>
      </c>
      <c r="G2670" s="57">
        <f t="shared" si="41"/>
        <v>1.4212310047009948E-3</v>
      </c>
      <c r="J2670" s="5" t="s">
        <v>3475</v>
      </c>
    </row>
    <row r="2671" spans="1:10" ht="25.5" x14ac:dyDescent="0.2">
      <c r="A2671" s="1" t="s">
        <v>20</v>
      </c>
      <c r="B2671" s="2" t="s">
        <v>194</v>
      </c>
      <c r="C2671" s="5" t="s">
        <v>1435</v>
      </c>
      <c r="D2671" s="5" t="s">
        <v>486</v>
      </c>
      <c r="E2671" s="9">
        <v>61907</v>
      </c>
      <c r="F2671" s="9">
        <v>124615</v>
      </c>
      <c r="G2671" s="57">
        <f t="shared" si="41"/>
        <v>1.0129387629831845</v>
      </c>
      <c r="J2671" s="5" t="s">
        <v>3478</v>
      </c>
    </row>
    <row r="2672" spans="1:10" ht="25.5" x14ac:dyDescent="0.2">
      <c r="A2672" s="1" t="s">
        <v>20</v>
      </c>
      <c r="B2672" s="2" t="s">
        <v>194</v>
      </c>
      <c r="C2672" s="5" t="s">
        <v>1436</v>
      </c>
      <c r="D2672" s="5" t="s">
        <v>1437</v>
      </c>
      <c r="E2672" s="9">
        <v>114033</v>
      </c>
      <c r="F2672" s="9">
        <v>125359</v>
      </c>
      <c r="G2672" s="57">
        <f t="shared" si="41"/>
        <v>9.932212605123078E-2</v>
      </c>
      <c r="J2672" s="5" t="s">
        <v>3476</v>
      </c>
    </row>
    <row r="2673" spans="1:10" x14ac:dyDescent="0.2">
      <c r="A2673" s="1" t="s">
        <v>20</v>
      </c>
      <c r="B2673" s="2" t="s">
        <v>194</v>
      </c>
      <c r="C2673" s="5" t="s">
        <v>1438</v>
      </c>
      <c r="D2673" s="5" t="s">
        <v>1439</v>
      </c>
      <c r="E2673" s="9">
        <v>133972</v>
      </c>
      <c r="F2673" s="9">
        <v>133513</v>
      </c>
      <c r="G2673" s="57">
        <f t="shared" si="41"/>
        <v>-3.4260890335293943E-3</v>
      </c>
      <c r="J2673" s="5" t="s">
        <v>3477</v>
      </c>
    </row>
    <row r="2674" spans="1:10" ht="38.25" x14ac:dyDescent="0.2">
      <c r="A2674" s="1" t="s">
        <v>20</v>
      </c>
      <c r="B2674" s="2" t="s">
        <v>194</v>
      </c>
      <c r="C2674" s="5" t="s">
        <v>1440</v>
      </c>
      <c r="D2674" s="5" t="s">
        <v>3479</v>
      </c>
      <c r="E2674" s="9">
        <v>77507</v>
      </c>
      <c r="F2674" s="9">
        <v>114894</v>
      </c>
      <c r="G2674" s="57">
        <f t="shared" si="41"/>
        <v>0.48236933438270091</v>
      </c>
      <c r="J2674" s="5" t="s">
        <v>4652</v>
      </c>
    </row>
    <row r="2675" spans="1:10" ht="38.25" x14ac:dyDescent="0.2">
      <c r="A2675" s="1" t="s">
        <v>20</v>
      </c>
      <c r="B2675" s="2" t="s">
        <v>194</v>
      </c>
      <c r="C2675" s="5" t="s">
        <v>3481</v>
      </c>
      <c r="D2675" s="5" t="s">
        <v>3480</v>
      </c>
      <c r="E2675" s="9">
        <v>158625</v>
      </c>
      <c r="F2675" s="9" t="s">
        <v>465</v>
      </c>
      <c r="G2675" s="57" t="str">
        <f t="shared" si="41"/>
        <v>-</v>
      </c>
      <c r="J2675" s="5" t="s">
        <v>4353</v>
      </c>
    </row>
    <row r="2676" spans="1:10" x14ac:dyDescent="0.2">
      <c r="A2676" s="1" t="s">
        <v>20</v>
      </c>
      <c r="B2676" s="2" t="s">
        <v>194</v>
      </c>
      <c r="D2676" s="5" t="s">
        <v>464</v>
      </c>
      <c r="G2676" s="57" t="str">
        <f t="shared" si="41"/>
        <v>-</v>
      </c>
      <c r="H2676" s="19">
        <v>92500</v>
      </c>
      <c r="I2676" s="19" t="s">
        <v>465</v>
      </c>
    </row>
    <row r="2677" spans="1:10" x14ac:dyDescent="0.2">
      <c r="A2677" s="1" t="s">
        <v>20</v>
      </c>
      <c r="B2677" s="2" t="s">
        <v>194</v>
      </c>
      <c r="D2677" s="5" t="s">
        <v>464</v>
      </c>
      <c r="G2677" s="57" t="str">
        <f t="shared" si="41"/>
        <v>-</v>
      </c>
      <c r="H2677" s="19">
        <v>92500</v>
      </c>
      <c r="I2677" s="19" t="s">
        <v>465</v>
      </c>
    </row>
    <row r="2678" spans="1:10" x14ac:dyDescent="0.2">
      <c r="A2678" s="1" t="s">
        <v>20</v>
      </c>
      <c r="B2678" s="2" t="s">
        <v>194</v>
      </c>
      <c r="D2678" s="5" t="s">
        <v>464</v>
      </c>
      <c r="G2678" s="57" t="str">
        <f t="shared" si="41"/>
        <v>-</v>
      </c>
      <c r="H2678" s="19">
        <v>92500</v>
      </c>
      <c r="I2678" s="19" t="s">
        <v>465</v>
      </c>
    </row>
    <row r="2679" spans="1:10" x14ac:dyDescent="0.2">
      <c r="A2679" s="1" t="s">
        <v>20</v>
      </c>
      <c r="B2679" s="2" t="s">
        <v>194</v>
      </c>
      <c r="D2679" s="5" t="s">
        <v>464</v>
      </c>
      <c r="G2679" s="57" t="str">
        <f t="shared" si="41"/>
        <v>-</v>
      </c>
      <c r="H2679" s="19">
        <v>92500</v>
      </c>
      <c r="I2679" s="19" t="s">
        <v>465</v>
      </c>
    </row>
    <row r="2680" spans="1:10" x14ac:dyDescent="0.2">
      <c r="A2680" s="1" t="s">
        <v>20</v>
      </c>
      <c r="B2680" s="2" t="s">
        <v>194</v>
      </c>
      <c r="D2680" s="5" t="s">
        <v>464</v>
      </c>
      <c r="G2680" s="57" t="str">
        <f t="shared" si="41"/>
        <v>-</v>
      </c>
      <c r="H2680" s="19">
        <v>92500</v>
      </c>
      <c r="I2680" s="19" t="s">
        <v>465</v>
      </c>
    </row>
    <row r="2681" spans="1:10" x14ac:dyDescent="0.2">
      <c r="A2681" s="1" t="s">
        <v>20</v>
      </c>
      <c r="B2681" s="2" t="s">
        <v>194</v>
      </c>
      <c r="D2681" s="5" t="s">
        <v>464</v>
      </c>
      <c r="G2681" s="57" t="str">
        <f t="shared" si="41"/>
        <v>-</v>
      </c>
      <c r="H2681" s="19">
        <v>92500</v>
      </c>
      <c r="I2681" s="19" t="s">
        <v>465</v>
      </c>
    </row>
    <row r="2682" spans="1:10" x14ac:dyDescent="0.2">
      <c r="A2682" s="1" t="s">
        <v>20</v>
      </c>
      <c r="B2682" s="2" t="s">
        <v>194</v>
      </c>
      <c r="D2682" s="5" t="s">
        <v>464</v>
      </c>
      <c r="G2682" s="57" t="str">
        <f t="shared" si="41"/>
        <v>-</v>
      </c>
      <c r="H2682" s="19">
        <v>92500</v>
      </c>
      <c r="I2682" s="19" t="s">
        <v>465</v>
      </c>
    </row>
    <row r="2683" spans="1:10" x14ac:dyDescent="0.2">
      <c r="A2683" s="1" t="s">
        <v>20</v>
      </c>
      <c r="B2683" s="2" t="s">
        <v>194</v>
      </c>
      <c r="D2683" s="5" t="s">
        <v>464</v>
      </c>
      <c r="G2683" s="57" t="str">
        <f t="shared" si="41"/>
        <v>-</v>
      </c>
      <c r="H2683" s="19">
        <v>92500</v>
      </c>
      <c r="I2683" s="19" t="s">
        <v>465</v>
      </c>
    </row>
    <row r="2684" spans="1:10" x14ac:dyDescent="0.2">
      <c r="A2684" s="1" t="s">
        <v>20</v>
      </c>
      <c r="B2684" s="2" t="s">
        <v>194</v>
      </c>
      <c r="D2684" s="5" t="s">
        <v>464</v>
      </c>
      <c r="G2684" s="57" t="str">
        <f t="shared" si="41"/>
        <v>-</v>
      </c>
      <c r="H2684" s="19">
        <v>92500</v>
      </c>
      <c r="I2684" s="19" t="s">
        <v>465</v>
      </c>
    </row>
    <row r="2685" spans="1:10" x14ac:dyDescent="0.2">
      <c r="A2685" s="1" t="s">
        <v>20</v>
      </c>
      <c r="B2685" s="2" t="s">
        <v>194</v>
      </c>
      <c r="D2685" s="5" t="s">
        <v>464</v>
      </c>
      <c r="G2685" s="57" t="str">
        <f t="shared" si="41"/>
        <v>-</v>
      </c>
      <c r="H2685" s="19">
        <v>92500</v>
      </c>
      <c r="I2685" s="19" t="s">
        <v>465</v>
      </c>
    </row>
    <row r="2686" spans="1:10" x14ac:dyDescent="0.2">
      <c r="A2686" s="1" t="s">
        <v>20</v>
      </c>
      <c r="B2686" s="2" t="s">
        <v>194</v>
      </c>
      <c r="D2686" s="5" t="s">
        <v>464</v>
      </c>
      <c r="G2686" s="57" t="str">
        <f t="shared" si="41"/>
        <v>-</v>
      </c>
      <c r="H2686" s="19">
        <v>92500</v>
      </c>
      <c r="I2686" s="19" t="s">
        <v>465</v>
      </c>
    </row>
    <row r="2687" spans="1:10" x14ac:dyDescent="0.2">
      <c r="A2687" s="1" t="s">
        <v>20</v>
      </c>
      <c r="B2687" s="2" t="s">
        <v>194</v>
      </c>
      <c r="D2687" s="5" t="s">
        <v>464</v>
      </c>
      <c r="G2687" s="57" t="str">
        <f t="shared" si="41"/>
        <v>-</v>
      </c>
      <c r="H2687" s="19">
        <v>92500</v>
      </c>
      <c r="I2687" s="19" t="s">
        <v>465</v>
      </c>
    </row>
    <row r="2688" spans="1:10" x14ac:dyDescent="0.2">
      <c r="A2688" s="1" t="s">
        <v>20</v>
      </c>
      <c r="B2688" s="2" t="s">
        <v>194</v>
      </c>
      <c r="D2688" s="5" t="s">
        <v>464</v>
      </c>
      <c r="G2688" s="57" t="str">
        <f t="shared" si="41"/>
        <v>-</v>
      </c>
      <c r="H2688" s="19">
        <v>92500</v>
      </c>
      <c r="I2688" s="19" t="s">
        <v>465</v>
      </c>
    </row>
    <row r="2689" spans="1:9" s="1" customFormat="1" x14ac:dyDescent="0.2">
      <c r="A2689" s="1" t="s">
        <v>20</v>
      </c>
      <c r="B2689" s="2" t="s">
        <v>194</v>
      </c>
      <c r="C2689" s="5"/>
      <c r="D2689" s="5" t="s">
        <v>464</v>
      </c>
      <c r="E2689" s="3"/>
      <c r="F2689" s="3"/>
      <c r="G2689" s="57" t="str">
        <f t="shared" si="41"/>
        <v>-</v>
      </c>
      <c r="H2689" s="19" t="s">
        <v>465</v>
      </c>
      <c r="I2689" s="19">
        <v>92500</v>
      </c>
    </row>
    <row r="2690" spans="1:9" s="1" customFormat="1" x14ac:dyDescent="0.2">
      <c r="A2690" s="1" t="s">
        <v>20</v>
      </c>
      <c r="B2690" s="2" t="s">
        <v>194</v>
      </c>
      <c r="C2690" s="5"/>
      <c r="D2690" s="5" t="s">
        <v>464</v>
      </c>
      <c r="E2690" s="3"/>
      <c r="F2690" s="3"/>
      <c r="G2690" s="57" t="str">
        <f t="shared" si="41"/>
        <v>-</v>
      </c>
      <c r="H2690" s="19" t="s">
        <v>465</v>
      </c>
      <c r="I2690" s="19">
        <v>92500</v>
      </c>
    </row>
    <row r="2691" spans="1:9" s="1" customFormat="1" x14ac:dyDescent="0.2">
      <c r="A2691" s="1" t="s">
        <v>20</v>
      </c>
      <c r="B2691" s="2" t="s">
        <v>194</v>
      </c>
      <c r="C2691" s="5"/>
      <c r="D2691" s="5" t="s">
        <v>464</v>
      </c>
      <c r="E2691" s="3"/>
      <c r="F2691" s="3"/>
      <c r="G2691" s="57" t="str">
        <f t="shared" ref="G2691:G2754" si="42">IF(ISERROR((F2691-E2691)/E2691),"-",(F2691-E2691)/E2691)</f>
        <v>-</v>
      </c>
      <c r="H2691" s="19" t="s">
        <v>465</v>
      </c>
      <c r="I2691" s="19">
        <v>92500</v>
      </c>
    </row>
    <row r="2692" spans="1:9" s="1" customFormat="1" x14ac:dyDescent="0.2">
      <c r="A2692" s="1" t="s">
        <v>20</v>
      </c>
      <c r="B2692" s="2" t="s">
        <v>194</v>
      </c>
      <c r="C2692" s="5"/>
      <c r="D2692" s="5" t="s">
        <v>464</v>
      </c>
      <c r="E2692" s="3"/>
      <c r="F2692" s="3"/>
      <c r="G2692" s="57" t="str">
        <f t="shared" si="42"/>
        <v>-</v>
      </c>
      <c r="H2692" s="19" t="s">
        <v>465</v>
      </c>
      <c r="I2692" s="19">
        <v>92500</v>
      </c>
    </row>
    <row r="2693" spans="1:9" s="1" customFormat="1" x14ac:dyDescent="0.2">
      <c r="A2693" s="1" t="s">
        <v>20</v>
      </c>
      <c r="B2693" s="2" t="s">
        <v>194</v>
      </c>
      <c r="C2693" s="5"/>
      <c r="D2693" s="5" t="s">
        <v>464</v>
      </c>
      <c r="E2693" s="3"/>
      <c r="F2693" s="3"/>
      <c r="G2693" s="57" t="str">
        <f t="shared" si="42"/>
        <v>-</v>
      </c>
      <c r="H2693" s="19" t="s">
        <v>465</v>
      </c>
      <c r="I2693" s="19">
        <v>92500</v>
      </c>
    </row>
    <row r="2694" spans="1:9" s="1" customFormat="1" x14ac:dyDescent="0.2">
      <c r="A2694" s="1" t="s">
        <v>20</v>
      </c>
      <c r="B2694" s="2" t="s">
        <v>194</v>
      </c>
      <c r="C2694" s="5"/>
      <c r="D2694" s="5" t="s">
        <v>464</v>
      </c>
      <c r="E2694" s="3"/>
      <c r="F2694" s="3"/>
      <c r="G2694" s="57" t="str">
        <f t="shared" si="42"/>
        <v>-</v>
      </c>
      <c r="H2694" s="19" t="s">
        <v>465</v>
      </c>
      <c r="I2694" s="19">
        <v>92500</v>
      </c>
    </row>
    <row r="2695" spans="1:9" s="1" customFormat="1" x14ac:dyDescent="0.2">
      <c r="A2695" s="1" t="s">
        <v>20</v>
      </c>
      <c r="B2695" s="2" t="s">
        <v>194</v>
      </c>
      <c r="C2695" s="5"/>
      <c r="D2695" s="5" t="s">
        <v>464</v>
      </c>
      <c r="E2695" s="3"/>
      <c r="F2695" s="3"/>
      <c r="G2695" s="57" t="str">
        <f t="shared" si="42"/>
        <v>-</v>
      </c>
      <c r="H2695" s="19" t="s">
        <v>465</v>
      </c>
      <c r="I2695" s="19">
        <v>92500</v>
      </c>
    </row>
    <row r="2696" spans="1:9" s="1" customFormat="1" x14ac:dyDescent="0.2">
      <c r="A2696" s="1" t="s">
        <v>20</v>
      </c>
      <c r="B2696" s="2" t="s">
        <v>194</v>
      </c>
      <c r="C2696" s="5"/>
      <c r="D2696" s="5" t="s">
        <v>464</v>
      </c>
      <c r="E2696" s="3"/>
      <c r="F2696" s="3"/>
      <c r="G2696" s="57" t="str">
        <f t="shared" si="42"/>
        <v>-</v>
      </c>
      <c r="H2696" s="19" t="s">
        <v>465</v>
      </c>
      <c r="I2696" s="19">
        <v>92500</v>
      </c>
    </row>
    <row r="2697" spans="1:9" s="1" customFormat="1" x14ac:dyDescent="0.2">
      <c r="A2697" s="1" t="s">
        <v>20</v>
      </c>
      <c r="B2697" s="2" t="s">
        <v>194</v>
      </c>
      <c r="C2697" s="5"/>
      <c r="D2697" s="5" t="s">
        <v>464</v>
      </c>
      <c r="E2697" s="3"/>
      <c r="F2697" s="3"/>
      <c r="G2697" s="57" t="str">
        <f t="shared" si="42"/>
        <v>-</v>
      </c>
      <c r="H2697" s="19" t="s">
        <v>465</v>
      </c>
      <c r="I2697" s="19">
        <v>92500</v>
      </c>
    </row>
    <row r="2698" spans="1:9" s="1" customFormat="1" x14ac:dyDescent="0.2">
      <c r="A2698" s="1" t="s">
        <v>20</v>
      </c>
      <c r="B2698" s="2" t="s">
        <v>194</v>
      </c>
      <c r="C2698" s="5"/>
      <c r="D2698" s="5" t="s">
        <v>464</v>
      </c>
      <c r="E2698" s="3"/>
      <c r="F2698" s="3"/>
      <c r="G2698" s="57" t="str">
        <f t="shared" si="42"/>
        <v>-</v>
      </c>
      <c r="H2698" s="19" t="s">
        <v>465</v>
      </c>
      <c r="I2698" s="19">
        <v>92500</v>
      </c>
    </row>
    <row r="2699" spans="1:9" s="1" customFormat="1" x14ac:dyDescent="0.2">
      <c r="A2699" s="1" t="s">
        <v>20</v>
      </c>
      <c r="B2699" s="2" t="s">
        <v>194</v>
      </c>
      <c r="C2699" s="5"/>
      <c r="D2699" s="5" t="s">
        <v>464</v>
      </c>
      <c r="E2699" s="3"/>
      <c r="F2699" s="3"/>
      <c r="G2699" s="57" t="str">
        <f t="shared" si="42"/>
        <v>-</v>
      </c>
      <c r="H2699" s="19" t="s">
        <v>465</v>
      </c>
      <c r="I2699" s="19">
        <v>92500</v>
      </c>
    </row>
    <row r="2700" spans="1:9" s="1" customFormat="1" x14ac:dyDescent="0.2">
      <c r="A2700" s="1" t="s">
        <v>20</v>
      </c>
      <c r="B2700" s="2" t="s">
        <v>194</v>
      </c>
      <c r="C2700" s="5"/>
      <c r="D2700" s="5" t="s">
        <v>464</v>
      </c>
      <c r="E2700" s="3"/>
      <c r="F2700" s="3"/>
      <c r="G2700" s="57" t="str">
        <f t="shared" si="42"/>
        <v>-</v>
      </c>
      <c r="H2700" s="19" t="s">
        <v>465</v>
      </c>
      <c r="I2700" s="19">
        <v>92500</v>
      </c>
    </row>
    <row r="2701" spans="1:9" s="1" customFormat="1" x14ac:dyDescent="0.2">
      <c r="A2701" s="1" t="s">
        <v>20</v>
      </c>
      <c r="B2701" s="2" t="s">
        <v>194</v>
      </c>
      <c r="C2701" s="5"/>
      <c r="D2701" s="5" t="s">
        <v>464</v>
      </c>
      <c r="E2701" s="3"/>
      <c r="F2701" s="3"/>
      <c r="G2701" s="57" t="str">
        <f t="shared" si="42"/>
        <v>-</v>
      </c>
      <c r="H2701" s="19" t="s">
        <v>465</v>
      </c>
      <c r="I2701" s="19">
        <v>92500</v>
      </c>
    </row>
    <row r="2702" spans="1:9" s="1" customFormat="1" x14ac:dyDescent="0.2">
      <c r="A2702" s="1" t="s">
        <v>20</v>
      </c>
      <c r="B2702" s="2" t="s">
        <v>194</v>
      </c>
      <c r="C2702" s="5"/>
      <c r="D2702" s="5" t="s">
        <v>464</v>
      </c>
      <c r="E2702" s="3"/>
      <c r="F2702" s="3"/>
      <c r="G2702" s="57" t="str">
        <f t="shared" si="42"/>
        <v>-</v>
      </c>
      <c r="H2702" s="19" t="s">
        <v>465</v>
      </c>
      <c r="I2702" s="19">
        <v>92500</v>
      </c>
    </row>
    <row r="2703" spans="1:9" s="1" customFormat="1" x14ac:dyDescent="0.2">
      <c r="A2703" s="1" t="s">
        <v>20</v>
      </c>
      <c r="B2703" s="2" t="s">
        <v>194</v>
      </c>
      <c r="C2703" s="5"/>
      <c r="D2703" s="5" t="s">
        <v>464</v>
      </c>
      <c r="E2703" s="3"/>
      <c r="F2703" s="3"/>
      <c r="G2703" s="57" t="str">
        <f t="shared" si="42"/>
        <v>-</v>
      </c>
      <c r="H2703" s="19" t="s">
        <v>465</v>
      </c>
      <c r="I2703" s="19">
        <v>92500</v>
      </c>
    </row>
    <row r="2704" spans="1:9" s="1" customFormat="1" x14ac:dyDescent="0.2">
      <c r="A2704" s="1" t="s">
        <v>20</v>
      </c>
      <c r="B2704" s="2" t="s">
        <v>194</v>
      </c>
      <c r="C2704" s="5"/>
      <c r="D2704" s="5" t="s">
        <v>464</v>
      </c>
      <c r="E2704" s="3"/>
      <c r="F2704" s="3"/>
      <c r="G2704" s="57" t="str">
        <f t="shared" si="42"/>
        <v>-</v>
      </c>
      <c r="H2704" s="19" t="s">
        <v>465</v>
      </c>
      <c r="I2704" s="19">
        <v>92500</v>
      </c>
    </row>
    <row r="2705" spans="1:9" s="1" customFormat="1" x14ac:dyDescent="0.2">
      <c r="A2705" s="1" t="s">
        <v>20</v>
      </c>
      <c r="B2705" s="2" t="s">
        <v>194</v>
      </c>
      <c r="C2705" s="5"/>
      <c r="D2705" s="5" t="s">
        <v>464</v>
      </c>
      <c r="E2705" s="3"/>
      <c r="F2705" s="3"/>
      <c r="G2705" s="57" t="str">
        <f t="shared" si="42"/>
        <v>-</v>
      </c>
      <c r="H2705" s="19" t="s">
        <v>465</v>
      </c>
      <c r="I2705" s="19">
        <v>92500</v>
      </c>
    </row>
    <row r="2706" spans="1:9" s="1" customFormat="1" x14ac:dyDescent="0.2">
      <c r="A2706" s="1" t="s">
        <v>20</v>
      </c>
      <c r="B2706" s="2" t="s">
        <v>194</v>
      </c>
      <c r="C2706" s="5"/>
      <c r="D2706" s="5" t="s">
        <v>464</v>
      </c>
      <c r="E2706" s="3"/>
      <c r="F2706" s="3"/>
      <c r="G2706" s="57" t="str">
        <f t="shared" si="42"/>
        <v>-</v>
      </c>
      <c r="H2706" s="19" t="s">
        <v>465</v>
      </c>
      <c r="I2706" s="19">
        <v>92500</v>
      </c>
    </row>
    <row r="2707" spans="1:9" s="1" customFormat="1" x14ac:dyDescent="0.2">
      <c r="A2707" s="1" t="s">
        <v>20</v>
      </c>
      <c r="B2707" s="2" t="s">
        <v>194</v>
      </c>
      <c r="C2707" s="5"/>
      <c r="D2707" s="5" t="s">
        <v>464</v>
      </c>
      <c r="E2707" s="3"/>
      <c r="F2707" s="3"/>
      <c r="G2707" s="57" t="str">
        <f t="shared" si="42"/>
        <v>-</v>
      </c>
      <c r="H2707" s="19">
        <v>97500</v>
      </c>
      <c r="I2707" s="19" t="s">
        <v>465</v>
      </c>
    </row>
    <row r="2708" spans="1:9" s="1" customFormat="1" x14ac:dyDescent="0.2">
      <c r="A2708" s="1" t="s">
        <v>20</v>
      </c>
      <c r="B2708" s="2" t="s">
        <v>194</v>
      </c>
      <c r="C2708" s="5"/>
      <c r="D2708" s="5" t="s">
        <v>464</v>
      </c>
      <c r="E2708" s="3"/>
      <c r="F2708" s="3"/>
      <c r="G2708" s="57" t="str">
        <f t="shared" si="42"/>
        <v>-</v>
      </c>
      <c r="H2708" s="19">
        <v>97500</v>
      </c>
      <c r="I2708" s="19" t="s">
        <v>465</v>
      </c>
    </row>
    <row r="2709" spans="1:9" s="1" customFormat="1" x14ac:dyDescent="0.2">
      <c r="A2709" s="1" t="s">
        <v>20</v>
      </c>
      <c r="B2709" s="2" t="s">
        <v>194</v>
      </c>
      <c r="C2709" s="5"/>
      <c r="D2709" s="5" t="s">
        <v>464</v>
      </c>
      <c r="E2709" s="3"/>
      <c r="F2709" s="3"/>
      <c r="G2709" s="57" t="str">
        <f t="shared" si="42"/>
        <v>-</v>
      </c>
      <c r="H2709" s="19">
        <v>97500</v>
      </c>
      <c r="I2709" s="19" t="s">
        <v>465</v>
      </c>
    </row>
    <row r="2710" spans="1:9" s="1" customFormat="1" x14ac:dyDescent="0.2">
      <c r="A2710" s="1" t="s">
        <v>20</v>
      </c>
      <c r="B2710" s="2" t="s">
        <v>194</v>
      </c>
      <c r="C2710" s="5"/>
      <c r="D2710" s="5" t="s">
        <v>464</v>
      </c>
      <c r="E2710" s="3"/>
      <c r="F2710" s="3"/>
      <c r="G2710" s="57" t="str">
        <f t="shared" si="42"/>
        <v>-</v>
      </c>
      <c r="H2710" s="19">
        <v>97500</v>
      </c>
      <c r="I2710" s="19" t="s">
        <v>465</v>
      </c>
    </row>
    <row r="2711" spans="1:9" s="1" customFormat="1" x14ac:dyDescent="0.2">
      <c r="A2711" s="1" t="s">
        <v>20</v>
      </c>
      <c r="B2711" s="2" t="s">
        <v>194</v>
      </c>
      <c r="C2711" s="5"/>
      <c r="D2711" s="5" t="s">
        <v>464</v>
      </c>
      <c r="E2711" s="3"/>
      <c r="F2711" s="3"/>
      <c r="G2711" s="57" t="str">
        <f t="shared" si="42"/>
        <v>-</v>
      </c>
      <c r="H2711" s="19">
        <v>97500</v>
      </c>
      <c r="I2711" s="19" t="s">
        <v>465</v>
      </c>
    </row>
    <row r="2712" spans="1:9" s="1" customFormat="1" x14ac:dyDescent="0.2">
      <c r="A2712" s="1" t="s">
        <v>20</v>
      </c>
      <c r="B2712" s="2" t="s">
        <v>194</v>
      </c>
      <c r="C2712" s="5"/>
      <c r="D2712" s="5" t="s">
        <v>464</v>
      </c>
      <c r="E2712" s="3"/>
      <c r="F2712" s="3"/>
      <c r="G2712" s="57" t="str">
        <f t="shared" si="42"/>
        <v>-</v>
      </c>
      <c r="H2712" s="19">
        <v>97500</v>
      </c>
      <c r="I2712" s="19" t="s">
        <v>465</v>
      </c>
    </row>
    <row r="2713" spans="1:9" s="1" customFormat="1" x14ac:dyDescent="0.2">
      <c r="A2713" s="1" t="s">
        <v>20</v>
      </c>
      <c r="B2713" s="2" t="s">
        <v>194</v>
      </c>
      <c r="C2713" s="5"/>
      <c r="D2713" s="5" t="s">
        <v>464</v>
      </c>
      <c r="E2713" s="3"/>
      <c r="F2713" s="3"/>
      <c r="G2713" s="57" t="str">
        <f t="shared" si="42"/>
        <v>-</v>
      </c>
      <c r="H2713" s="19">
        <v>97500</v>
      </c>
      <c r="I2713" s="19" t="s">
        <v>465</v>
      </c>
    </row>
    <row r="2714" spans="1:9" s="1" customFormat="1" x14ac:dyDescent="0.2">
      <c r="A2714" s="1" t="s">
        <v>20</v>
      </c>
      <c r="B2714" s="2" t="s">
        <v>194</v>
      </c>
      <c r="C2714" s="5"/>
      <c r="D2714" s="5" t="s">
        <v>464</v>
      </c>
      <c r="E2714" s="3"/>
      <c r="F2714" s="3"/>
      <c r="G2714" s="57" t="str">
        <f t="shared" si="42"/>
        <v>-</v>
      </c>
      <c r="H2714" s="19">
        <v>97500</v>
      </c>
      <c r="I2714" s="19" t="s">
        <v>465</v>
      </c>
    </row>
    <row r="2715" spans="1:9" s="1" customFormat="1" x14ac:dyDescent="0.2">
      <c r="A2715" s="1" t="s">
        <v>20</v>
      </c>
      <c r="B2715" s="2" t="s">
        <v>194</v>
      </c>
      <c r="C2715" s="5"/>
      <c r="D2715" s="5" t="s">
        <v>464</v>
      </c>
      <c r="E2715" s="3"/>
      <c r="F2715" s="3"/>
      <c r="G2715" s="57" t="str">
        <f t="shared" si="42"/>
        <v>-</v>
      </c>
      <c r="H2715" s="19">
        <v>97500</v>
      </c>
      <c r="I2715" s="19" t="s">
        <v>465</v>
      </c>
    </row>
    <row r="2716" spans="1:9" s="1" customFormat="1" x14ac:dyDescent="0.2">
      <c r="A2716" s="1" t="s">
        <v>20</v>
      </c>
      <c r="B2716" s="2" t="s">
        <v>194</v>
      </c>
      <c r="C2716" s="5"/>
      <c r="D2716" s="5" t="s">
        <v>464</v>
      </c>
      <c r="E2716" s="3"/>
      <c r="F2716" s="3"/>
      <c r="G2716" s="57" t="str">
        <f t="shared" si="42"/>
        <v>-</v>
      </c>
      <c r="H2716" s="19">
        <v>97500</v>
      </c>
      <c r="I2716" s="19" t="s">
        <v>465</v>
      </c>
    </row>
    <row r="2717" spans="1:9" s="1" customFormat="1" x14ac:dyDescent="0.2">
      <c r="A2717" s="1" t="s">
        <v>20</v>
      </c>
      <c r="B2717" s="2" t="s">
        <v>194</v>
      </c>
      <c r="C2717" s="5"/>
      <c r="D2717" s="5" t="s">
        <v>464</v>
      </c>
      <c r="E2717" s="3"/>
      <c r="F2717" s="3"/>
      <c r="G2717" s="57" t="str">
        <f t="shared" si="42"/>
        <v>-</v>
      </c>
      <c r="H2717" s="19" t="s">
        <v>465</v>
      </c>
      <c r="I2717" s="19">
        <v>97500</v>
      </c>
    </row>
    <row r="2718" spans="1:9" s="1" customFormat="1" x14ac:dyDescent="0.2">
      <c r="A2718" s="1" t="s">
        <v>20</v>
      </c>
      <c r="B2718" s="2" t="s">
        <v>194</v>
      </c>
      <c r="C2718" s="5"/>
      <c r="D2718" s="5" t="s">
        <v>464</v>
      </c>
      <c r="E2718" s="3"/>
      <c r="F2718" s="3"/>
      <c r="G2718" s="57" t="str">
        <f t="shared" si="42"/>
        <v>-</v>
      </c>
      <c r="H2718" s="19" t="s">
        <v>465</v>
      </c>
      <c r="I2718" s="19">
        <v>97500</v>
      </c>
    </row>
    <row r="2719" spans="1:9" s="1" customFormat="1" x14ac:dyDescent="0.2">
      <c r="A2719" s="1" t="s">
        <v>20</v>
      </c>
      <c r="B2719" s="2" t="s">
        <v>194</v>
      </c>
      <c r="C2719" s="5"/>
      <c r="D2719" s="5" t="s">
        <v>464</v>
      </c>
      <c r="E2719" s="3"/>
      <c r="F2719" s="3"/>
      <c r="G2719" s="57" t="str">
        <f t="shared" si="42"/>
        <v>-</v>
      </c>
      <c r="H2719" s="19" t="s">
        <v>465</v>
      </c>
      <c r="I2719" s="19">
        <v>97500</v>
      </c>
    </row>
    <row r="2720" spans="1:9" s="1" customFormat="1" x14ac:dyDescent="0.2">
      <c r="A2720" s="1" t="s">
        <v>20</v>
      </c>
      <c r="B2720" s="2" t="s">
        <v>194</v>
      </c>
      <c r="C2720" s="5"/>
      <c r="D2720" s="5" t="s">
        <v>464</v>
      </c>
      <c r="E2720" s="3"/>
      <c r="F2720" s="3"/>
      <c r="G2720" s="57" t="str">
        <f t="shared" si="42"/>
        <v>-</v>
      </c>
      <c r="H2720" s="19" t="s">
        <v>465</v>
      </c>
      <c r="I2720" s="19">
        <v>97500</v>
      </c>
    </row>
    <row r="2721" spans="1:9" s="1" customFormat="1" x14ac:dyDescent="0.2">
      <c r="A2721" s="1" t="s">
        <v>20</v>
      </c>
      <c r="B2721" s="2" t="s">
        <v>194</v>
      </c>
      <c r="C2721" s="5"/>
      <c r="D2721" s="5" t="s">
        <v>464</v>
      </c>
      <c r="E2721" s="3"/>
      <c r="F2721" s="3"/>
      <c r="G2721" s="57" t="str">
        <f t="shared" si="42"/>
        <v>-</v>
      </c>
      <c r="H2721" s="19" t="s">
        <v>465</v>
      </c>
      <c r="I2721" s="19">
        <v>97500</v>
      </c>
    </row>
    <row r="2722" spans="1:9" s="1" customFormat="1" x14ac:dyDescent="0.2">
      <c r="A2722" s="1" t="s">
        <v>20</v>
      </c>
      <c r="B2722" s="2" t="s">
        <v>194</v>
      </c>
      <c r="C2722" s="5"/>
      <c r="D2722" s="5" t="s">
        <v>464</v>
      </c>
      <c r="E2722" s="3"/>
      <c r="F2722" s="3"/>
      <c r="G2722" s="57" t="str">
        <f t="shared" si="42"/>
        <v>-</v>
      </c>
      <c r="H2722" s="19" t="s">
        <v>465</v>
      </c>
      <c r="I2722" s="19">
        <v>97500</v>
      </c>
    </row>
    <row r="2723" spans="1:9" s="1" customFormat="1" x14ac:dyDescent="0.2">
      <c r="A2723" s="1" t="s">
        <v>20</v>
      </c>
      <c r="B2723" s="2" t="s">
        <v>194</v>
      </c>
      <c r="C2723" s="5"/>
      <c r="D2723" s="5" t="s">
        <v>464</v>
      </c>
      <c r="E2723" s="3"/>
      <c r="F2723" s="3"/>
      <c r="G2723" s="57" t="str">
        <f t="shared" si="42"/>
        <v>-</v>
      </c>
      <c r="H2723" s="19" t="s">
        <v>465</v>
      </c>
      <c r="I2723" s="19">
        <v>97500</v>
      </c>
    </row>
    <row r="2724" spans="1:9" s="1" customFormat="1" x14ac:dyDescent="0.2">
      <c r="A2724" s="1" t="s">
        <v>20</v>
      </c>
      <c r="B2724" s="2" t="s">
        <v>194</v>
      </c>
      <c r="C2724" s="5"/>
      <c r="D2724" s="5" t="s">
        <v>464</v>
      </c>
      <c r="E2724" s="3"/>
      <c r="F2724" s="3"/>
      <c r="G2724" s="57" t="str">
        <f t="shared" si="42"/>
        <v>-</v>
      </c>
      <c r="H2724" s="19" t="s">
        <v>465</v>
      </c>
      <c r="I2724" s="19">
        <v>97500</v>
      </c>
    </row>
    <row r="2725" spans="1:9" s="1" customFormat="1" x14ac:dyDescent="0.2">
      <c r="A2725" s="1" t="s">
        <v>20</v>
      </c>
      <c r="B2725" s="2" t="s">
        <v>194</v>
      </c>
      <c r="C2725" s="5"/>
      <c r="D2725" s="5" t="s">
        <v>464</v>
      </c>
      <c r="E2725" s="3"/>
      <c r="F2725" s="3"/>
      <c r="G2725" s="57" t="str">
        <f t="shared" si="42"/>
        <v>-</v>
      </c>
      <c r="H2725" s="19" t="s">
        <v>465</v>
      </c>
      <c r="I2725" s="19">
        <v>97500</v>
      </c>
    </row>
    <row r="2726" spans="1:9" s="1" customFormat="1" x14ac:dyDescent="0.2">
      <c r="A2726" s="1" t="s">
        <v>20</v>
      </c>
      <c r="B2726" s="2" t="s">
        <v>194</v>
      </c>
      <c r="C2726" s="5"/>
      <c r="D2726" s="5" t="s">
        <v>464</v>
      </c>
      <c r="E2726" s="3"/>
      <c r="F2726" s="3"/>
      <c r="G2726" s="57" t="str">
        <f t="shared" si="42"/>
        <v>-</v>
      </c>
      <c r="H2726" s="19" t="s">
        <v>465</v>
      </c>
      <c r="I2726" s="19">
        <v>97500</v>
      </c>
    </row>
    <row r="2727" spans="1:9" s="1" customFormat="1" x14ac:dyDescent="0.2">
      <c r="A2727" s="1" t="s">
        <v>20</v>
      </c>
      <c r="B2727" s="2" t="s">
        <v>194</v>
      </c>
      <c r="C2727" s="5"/>
      <c r="D2727" s="5" t="s">
        <v>464</v>
      </c>
      <c r="E2727" s="3"/>
      <c r="F2727" s="3"/>
      <c r="G2727" s="57" t="str">
        <f t="shared" si="42"/>
        <v>-</v>
      </c>
      <c r="H2727" s="19" t="s">
        <v>465</v>
      </c>
      <c r="I2727" s="19">
        <v>97500</v>
      </c>
    </row>
    <row r="2728" spans="1:9" s="1" customFormat="1" x14ac:dyDescent="0.2">
      <c r="A2728" s="1" t="s">
        <v>20</v>
      </c>
      <c r="B2728" s="2" t="s">
        <v>194</v>
      </c>
      <c r="C2728" s="5"/>
      <c r="D2728" s="5" t="s">
        <v>464</v>
      </c>
      <c r="E2728" s="3">
        <v>102500</v>
      </c>
      <c r="F2728" s="3" t="s">
        <v>465</v>
      </c>
      <c r="G2728" s="57" t="str">
        <f t="shared" si="42"/>
        <v>-</v>
      </c>
      <c r="H2728" s="19"/>
      <c r="I2728" s="19"/>
    </row>
    <row r="2729" spans="1:9" s="1" customFormat="1" x14ac:dyDescent="0.2">
      <c r="A2729" s="1" t="s">
        <v>20</v>
      </c>
      <c r="B2729" s="2" t="s">
        <v>194</v>
      </c>
      <c r="C2729" s="5"/>
      <c r="D2729" s="5" t="s">
        <v>464</v>
      </c>
      <c r="E2729" s="3">
        <v>102500</v>
      </c>
      <c r="F2729" s="3" t="s">
        <v>465</v>
      </c>
      <c r="G2729" s="57" t="str">
        <f t="shared" si="42"/>
        <v>-</v>
      </c>
      <c r="H2729" s="19"/>
      <c r="I2729" s="19"/>
    </row>
    <row r="2730" spans="1:9" s="1" customFormat="1" x14ac:dyDescent="0.2">
      <c r="A2730" s="1" t="s">
        <v>20</v>
      </c>
      <c r="B2730" s="2" t="s">
        <v>194</v>
      </c>
      <c r="C2730" s="5"/>
      <c r="D2730" s="5" t="s">
        <v>464</v>
      </c>
      <c r="E2730" s="3">
        <v>102500</v>
      </c>
      <c r="F2730" s="3" t="s">
        <v>465</v>
      </c>
      <c r="G2730" s="57" t="str">
        <f t="shared" si="42"/>
        <v>-</v>
      </c>
      <c r="H2730" s="19"/>
      <c r="I2730" s="19"/>
    </row>
    <row r="2731" spans="1:9" s="1" customFormat="1" x14ac:dyDescent="0.2">
      <c r="A2731" s="1" t="s">
        <v>20</v>
      </c>
      <c r="B2731" s="2" t="s">
        <v>194</v>
      </c>
      <c r="C2731" s="5"/>
      <c r="D2731" s="5" t="s">
        <v>464</v>
      </c>
      <c r="E2731" s="3">
        <v>102500</v>
      </c>
      <c r="F2731" s="3" t="s">
        <v>465</v>
      </c>
      <c r="G2731" s="57" t="str">
        <f t="shared" si="42"/>
        <v>-</v>
      </c>
      <c r="H2731" s="19"/>
      <c r="I2731" s="19"/>
    </row>
    <row r="2732" spans="1:9" s="1" customFormat="1" x14ac:dyDescent="0.2">
      <c r="A2732" s="1" t="s">
        <v>20</v>
      </c>
      <c r="B2732" s="2" t="s">
        <v>194</v>
      </c>
      <c r="C2732" s="5"/>
      <c r="D2732" s="5" t="s">
        <v>464</v>
      </c>
      <c r="E2732" s="3" t="s">
        <v>465</v>
      </c>
      <c r="F2732" s="3">
        <v>102500</v>
      </c>
      <c r="G2732" s="57" t="str">
        <f t="shared" si="42"/>
        <v>-</v>
      </c>
      <c r="H2732" s="19"/>
      <c r="I2732" s="19"/>
    </row>
    <row r="2733" spans="1:9" s="1" customFormat="1" x14ac:dyDescent="0.2">
      <c r="A2733" s="1" t="s">
        <v>20</v>
      </c>
      <c r="B2733" s="2" t="s">
        <v>194</v>
      </c>
      <c r="C2733" s="5"/>
      <c r="D2733" s="5" t="s">
        <v>464</v>
      </c>
      <c r="E2733" s="3" t="s">
        <v>465</v>
      </c>
      <c r="F2733" s="3">
        <v>102500</v>
      </c>
      <c r="G2733" s="57" t="str">
        <f t="shared" si="42"/>
        <v>-</v>
      </c>
      <c r="H2733" s="19"/>
      <c r="I2733" s="19"/>
    </row>
    <row r="2734" spans="1:9" s="1" customFormat="1" x14ac:dyDescent="0.2">
      <c r="A2734" s="1" t="s">
        <v>20</v>
      </c>
      <c r="B2734" s="2" t="s">
        <v>194</v>
      </c>
      <c r="C2734" s="5"/>
      <c r="D2734" s="5" t="s">
        <v>464</v>
      </c>
      <c r="E2734" s="3" t="s">
        <v>465</v>
      </c>
      <c r="F2734" s="3">
        <v>102500</v>
      </c>
      <c r="G2734" s="57" t="str">
        <f t="shared" si="42"/>
        <v>-</v>
      </c>
      <c r="H2734" s="19"/>
      <c r="I2734" s="19"/>
    </row>
    <row r="2735" spans="1:9" s="1" customFormat="1" x14ac:dyDescent="0.2">
      <c r="A2735" s="1" t="s">
        <v>20</v>
      </c>
      <c r="B2735" s="2" t="s">
        <v>194</v>
      </c>
      <c r="C2735" s="5"/>
      <c r="D2735" s="5" t="s">
        <v>464</v>
      </c>
      <c r="E2735" s="3" t="s">
        <v>465</v>
      </c>
      <c r="F2735" s="3">
        <v>107500</v>
      </c>
      <c r="G2735" s="57" t="str">
        <f t="shared" si="42"/>
        <v>-</v>
      </c>
      <c r="H2735" s="19"/>
      <c r="I2735" s="19"/>
    </row>
    <row r="2736" spans="1:9" s="1" customFormat="1" x14ac:dyDescent="0.2">
      <c r="A2736" s="1" t="s">
        <v>20</v>
      </c>
      <c r="B2736" s="2" t="s">
        <v>194</v>
      </c>
      <c r="C2736" s="5"/>
      <c r="D2736" s="5" t="s">
        <v>464</v>
      </c>
      <c r="E2736" s="3">
        <v>112500</v>
      </c>
      <c r="F2736" s="3" t="s">
        <v>465</v>
      </c>
      <c r="G2736" s="57" t="str">
        <f t="shared" si="42"/>
        <v>-</v>
      </c>
      <c r="H2736" s="19"/>
      <c r="I2736" s="19"/>
    </row>
    <row r="2737" spans="1:10" x14ac:dyDescent="0.2">
      <c r="A2737" s="1" t="s">
        <v>20</v>
      </c>
      <c r="B2737" s="2" t="s">
        <v>194</v>
      </c>
      <c r="D2737" s="5" t="s">
        <v>464</v>
      </c>
      <c r="E2737" s="3" t="s">
        <v>465</v>
      </c>
      <c r="F2737" s="3">
        <v>112500</v>
      </c>
      <c r="G2737" s="57" t="str">
        <f t="shared" si="42"/>
        <v>-</v>
      </c>
    </row>
    <row r="2738" spans="1:10" x14ac:dyDescent="0.2">
      <c r="A2738" s="1" t="s">
        <v>20</v>
      </c>
      <c r="B2738" s="2" t="s">
        <v>194</v>
      </c>
      <c r="D2738" s="5" t="s">
        <v>464</v>
      </c>
      <c r="E2738" s="3">
        <v>117500</v>
      </c>
      <c r="F2738" s="3" t="s">
        <v>465</v>
      </c>
      <c r="G2738" s="57" t="str">
        <f t="shared" si="42"/>
        <v>-</v>
      </c>
    </row>
    <row r="2739" spans="1:10" x14ac:dyDescent="0.2">
      <c r="A2739" s="1" t="s">
        <v>20</v>
      </c>
      <c r="B2739" s="2" t="s">
        <v>194</v>
      </c>
      <c r="D2739" s="5" t="s">
        <v>464</v>
      </c>
      <c r="E2739" s="3" t="s">
        <v>465</v>
      </c>
      <c r="F2739" s="3">
        <v>117500</v>
      </c>
      <c r="G2739" s="57" t="str">
        <f t="shared" si="42"/>
        <v>-</v>
      </c>
    </row>
    <row r="2740" spans="1:10" x14ac:dyDescent="0.2">
      <c r="A2740" s="1" t="s">
        <v>20</v>
      </c>
      <c r="B2740" s="2" t="s">
        <v>194</v>
      </c>
      <c r="D2740" s="5" t="s">
        <v>464</v>
      </c>
      <c r="E2740" s="3" t="s">
        <v>465</v>
      </c>
      <c r="F2740" s="3">
        <v>122500</v>
      </c>
      <c r="G2740" s="57" t="str">
        <f t="shared" si="42"/>
        <v>-</v>
      </c>
    </row>
    <row r="2741" spans="1:10" x14ac:dyDescent="0.2">
      <c r="A2741" s="1" t="s">
        <v>20</v>
      </c>
      <c r="B2741" s="2" t="s">
        <v>194</v>
      </c>
      <c r="D2741" s="5" t="s">
        <v>464</v>
      </c>
      <c r="E2741" s="3">
        <v>217500</v>
      </c>
      <c r="F2741" s="3" t="s">
        <v>465</v>
      </c>
      <c r="G2741" s="57" t="str">
        <f t="shared" si="42"/>
        <v>-</v>
      </c>
    </row>
    <row r="2742" spans="1:10" ht="25.5" x14ac:dyDescent="0.2">
      <c r="A2742" s="1" t="s">
        <v>20</v>
      </c>
      <c r="B2742" s="2" t="s">
        <v>195</v>
      </c>
      <c r="D2742" s="5" t="s">
        <v>450</v>
      </c>
      <c r="E2742" s="3">
        <v>184000</v>
      </c>
      <c r="F2742" s="3">
        <v>187000</v>
      </c>
      <c r="G2742" s="57">
        <f t="shared" si="42"/>
        <v>1.6304347826086956E-2</v>
      </c>
      <c r="J2742" s="5" t="s">
        <v>3465</v>
      </c>
    </row>
    <row r="2743" spans="1:10" x14ac:dyDescent="0.2">
      <c r="A2743" s="1" t="s">
        <v>20</v>
      </c>
      <c r="B2743" s="2" t="s">
        <v>195</v>
      </c>
      <c r="D2743" s="5" t="s">
        <v>1423</v>
      </c>
      <c r="E2743" s="3">
        <v>119000</v>
      </c>
      <c r="F2743" s="3">
        <v>122000</v>
      </c>
      <c r="G2743" s="57">
        <f t="shared" si="42"/>
        <v>2.5210084033613446E-2</v>
      </c>
      <c r="J2743" s="5" t="s">
        <v>3466</v>
      </c>
    </row>
    <row r="2744" spans="1:10" ht="25.5" x14ac:dyDescent="0.2">
      <c r="A2744" s="1" t="s">
        <v>20</v>
      </c>
      <c r="B2744" s="2" t="s">
        <v>195</v>
      </c>
      <c r="D2744" s="5" t="s">
        <v>942</v>
      </c>
      <c r="E2744" s="3">
        <v>122000</v>
      </c>
      <c r="F2744" s="3">
        <v>124000</v>
      </c>
      <c r="G2744" s="57">
        <f t="shared" si="42"/>
        <v>1.6393442622950821E-2</v>
      </c>
      <c r="J2744" s="5" t="s">
        <v>3467</v>
      </c>
    </row>
    <row r="2745" spans="1:10" ht="51" x14ac:dyDescent="0.2">
      <c r="A2745" s="1" t="s">
        <v>8</v>
      </c>
      <c r="B2745" s="30" t="s">
        <v>4357</v>
      </c>
      <c r="D2745" s="5" t="s">
        <v>4355</v>
      </c>
      <c r="E2745" s="3">
        <v>119786</v>
      </c>
      <c r="F2745" s="3">
        <v>121545</v>
      </c>
      <c r="G2745" s="57">
        <f t="shared" si="42"/>
        <v>1.4684520728632728E-2</v>
      </c>
      <c r="J2745" s="5" t="s">
        <v>2590</v>
      </c>
    </row>
    <row r="2746" spans="1:10" ht="51" x14ac:dyDescent="0.2">
      <c r="A2746" s="1" t="s">
        <v>8</v>
      </c>
      <c r="B2746" s="30" t="s">
        <v>3463</v>
      </c>
      <c r="D2746" s="5" t="s">
        <v>4356</v>
      </c>
      <c r="E2746" s="3">
        <v>117269</v>
      </c>
      <c r="F2746" s="3">
        <v>114470</v>
      </c>
      <c r="G2746" s="57">
        <f t="shared" si="42"/>
        <v>-2.3868200462185234E-2</v>
      </c>
      <c r="J2746" s="5" t="s">
        <v>3464</v>
      </c>
    </row>
    <row r="2747" spans="1:10" ht="38.25" x14ac:dyDescent="0.2">
      <c r="A2747" s="1" t="s">
        <v>1</v>
      </c>
      <c r="B2747" s="2" t="s">
        <v>196</v>
      </c>
      <c r="C2747" s="5" t="s">
        <v>1412</v>
      </c>
      <c r="D2747" s="5" t="s">
        <v>1413</v>
      </c>
      <c r="E2747" s="6">
        <v>105450</v>
      </c>
      <c r="F2747" s="9">
        <f>105533+31192</f>
        <v>136725</v>
      </c>
      <c r="G2747" s="57">
        <f t="shared" si="42"/>
        <v>0.29658605974395447</v>
      </c>
      <c r="J2747" s="5" t="s">
        <v>3455</v>
      </c>
    </row>
    <row r="2748" spans="1:10" ht="38.25" x14ac:dyDescent="0.2">
      <c r="A2748" s="1" t="s">
        <v>1</v>
      </c>
      <c r="B2748" s="2" t="s">
        <v>196</v>
      </c>
      <c r="C2748" s="5" t="s">
        <v>1414</v>
      </c>
      <c r="D2748" s="5" t="s">
        <v>4653</v>
      </c>
      <c r="E2748" s="6">
        <v>105450</v>
      </c>
      <c r="F2748" s="9">
        <f>105775+31192</f>
        <v>136967</v>
      </c>
      <c r="G2748" s="57">
        <f t="shared" si="42"/>
        <v>0.29888098624940729</v>
      </c>
      <c r="J2748" s="5" t="s">
        <v>3456</v>
      </c>
    </row>
    <row r="2749" spans="1:10" ht="38.25" x14ac:dyDescent="0.2">
      <c r="A2749" s="1" t="s">
        <v>1</v>
      </c>
      <c r="B2749" s="2" t="s">
        <v>196</v>
      </c>
      <c r="C2749" s="5" t="s">
        <v>1415</v>
      </c>
      <c r="D2749" s="5" t="s">
        <v>450</v>
      </c>
      <c r="E2749" s="6">
        <v>140112</v>
      </c>
      <c r="F2749" s="9">
        <f>148549+43476</f>
        <v>192025</v>
      </c>
      <c r="G2749" s="57">
        <f t="shared" si="42"/>
        <v>0.37051073426972708</v>
      </c>
      <c r="J2749" s="5" t="s">
        <v>3457</v>
      </c>
    </row>
    <row r="2750" spans="1:10" ht="38.25" x14ac:dyDescent="0.2">
      <c r="A2750" s="1" t="s">
        <v>1</v>
      </c>
      <c r="B2750" s="2" t="s">
        <v>196</v>
      </c>
      <c r="C2750" s="5" t="s">
        <v>1416</v>
      </c>
      <c r="D2750" s="5" t="s">
        <v>1417</v>
      </c>
      <c r="E2750" s="6">
        <v>105450</v>
      </c>
      <c r="F2750" s="9">
        <f>105576+31192</f>
        <v>136768</v>
      </c>
      <c r="G2750" s="57">
        <f t="shared" si="42"/>
        <v>0.29699383594120438</v>
      </c>
      <c r="J2750" s="5" t="s">
        <v>3458</v>
      </c>
    </row>
    <row r="2751" spans="1:10" ht="38.25" x14ac:dyDescent="0.2">
      <c r="A2751" s="1" t="s">
        <v>1</v>
      </c>
      <c r="B2751" s="2" t="s">
        <v>196</v>
      </c>
      <c r="C2751" s="5" t="s">
        <v>1418</v>
      </c>
      <c r="D2751" s="5" t="s">
        <v>1419</v>
      </c>
      <c r="E2751" s="6">
        <v>115995</v>
      </c>
      <c r="F2751" s="9">
        <f>115995+34984</f>
        <v>150979</v>
      </c>
      <c r="G2751" s="57">
        <f t="shared" si="42"/>
        <v>0.30159920686236474</v>
      </c>
      <c r="J2751" s="5" t="s">
        <v>3459</v>
      </c>
    </row>
    <row r="2752" spans="1:10" ht="38.25" x14ac:dyDescent="0.2">
      <c r="A2752" s="1" t="s">
        <v>1</v>
      </c>
      <c r="B2752" s="2" t="s">
        <v>196</v>
      </c>
      <c r="C2752" s="5" t="s">
        <v>1420</v>
      </c>
      <c r="D2752" s="5" t="s">
        <v>1421</v>
      </c>
      <c r="E2752" s="6">
        <v>105450</v>
      </c>
      <c r="F2752" s="9">
        <f>105779+31192</f>
        <v>136971</v>
      </c>
      <c r="G2752" s="57">
        <f t="shared" si="42"/>
        <v>0.29891891891891892</v>
      </c>
      <c r="J2752" s="5" t="s">
        <v>3460</v>
      </c>
    </row>
    <row r="2753" spans="1:10" ht="38.25" x14ac:dyDescent="0.2">
      <c r="A2753" s="1" t="s">
        <v>1</v>
      </c>
      <c r="B2753" s="2" t="s">
        <v>196</v>
      </c>
      <c r="C2753" s="5" t="s">
        <v>1422</v>
      </c>
      <c r="D2753" s="5" t="s">
        <v>451</v>
      </c>
      <c r="E2753" s="6">
        <v>105450</v>
      </c>
      <c r="F2753" s="9">
        <f>105450+31192</f>
        <v>136642</v>
      </c>
      <c r="G2753" s="57">
        <f t="shared" si="42"/>
        <v>0.29579895685158841</v>
      </c>
      <c r="J2753" s="5" t="s">
        <v>3461</v>
      </c>
    </row>
    <row r="2754" spans="1:10" ht="25.5" x14ac:dyDescent="0.2">
      <c r="A2754" s="1" t="s">
        <v>1</v>
      </c>
      <c r="B2754" s="2" t="s">
        <v>196</v>
      </c>
      <c r="C2754" s="5" t="s">
        <v>3454</v>
      </c>
      <c r="D2754" s="5" t="s">
        <v>908</v>
      </c>
      <c r="E2754" s="6">
        <v>105450</v>
      </c>
      <c r="F2754" s="9" t="s">
        <v>465</v>
      </c>
      <c r="G2754" s="57" t="str">
        <f t="shared" si="42"/>
        <v>-</v>
      </c>
      <c r="J2754" s="5" t="s">
        <v>3462</v>
      </c>
    </row>
    <row r="2755" spans="1:10" x14ac:dyDescent="0.2">
      <c r="A2755" s="1" t="s">
        <v>25</v>
      </c>
      <c r="B2755" s="12" t="s">
        <v>197</v>
      </c>
      <c r="C2755" s="5" t="s">
        <v>1400</v>
      </c>
      <c r="D2755" s="5" t="s">
        <v>450</v>
      </c>
      <c r="E2755" s="9">
        <v>215206</v>
      </c>
      <c r="F2755" s="9">
        <v>183250</v>
      </c>
      <c r="G2755" s="57">
        <f t="shared" ref="G2755:G2818" si="43">IF(ISERROR((F2755-E2755)/E2755),"-",(F2755-E2755)/E2755)</f>
        <v>-0.14849028372814885</v>
      </c>
      <c r="J2755" s="5" t="s">
        <v>3433</v>
      </c>
    </row>
    <row r="2756" spans="1:10" ht="25.5" x14ac:dyDescent="0.2">
      <c r="A2756" s="1" t="s">
        <v>25</v>
      </c>
      <c r="B2756" s="12" t="s">
        <v>197</v>
      </c>
      <c r="D2756" s="5" t="s">
        <v>1401</v>
      </c>
      <c r="E2756" s="9">
        <v>165000</v>
      </c>
      <c r="F2756" s="9">
        <v>167561</v>
      </c>
      <c r="G2756" s="57">
        <f t="shared" si="43"/>
        <v>1.5521212121212121E-2</v>
      </c>
      <c r="J2756" s="5" t="s">
        <v>3434</v>
      </c>
    </row>
    <row r="2757" spans="1:10" x14ac:dyDescent="0.2">
      <c r="A2757" s="1" t="s">
        <v>25</v>
      </c>
      <c r="B2757" s="12" t="s">
        <v>197</v>
      </c>
      <c r="D2757" s="5" t="s">
        <v>1402</v>
      </c>
      <c r="E2757" s="9">
        <v>136904</v>
      </c>
      <c r="F2757" s="9">
        <v>145891</v>
      </c>
      <c r="G2757" s="57">
        <f t="shared" si="43"/>
        <v>6.564453923917489E-2</v>
      </c>
      <c r="J2757" s="5" t="s">
        <v>3447</v>
      </c>
    </row>
    <row r="2758" spans="1:10" ht="25.5" x14ac:dyDescent="0.2">
      <c r="A2758" s="1" t="s">
        <v>25</v>
      </c>
      <c r="B2758" s="12" t="s">
        <v>197</v>
      </c>
      <c r="D2758" s="5" t="s">
        <v>569</v>
      </c>
      <c r="E2758" s="9">
        <v>114166</v>
      </c>
      <c r="F2758" s="9">
        <v>133943</v>
      </c>
      <c r="G2758" s="57">
        <f t="shared" si="43"/>
        <v>0.17323020864355412</v>
      </c>
      <c r="J2758" s="5" t="s">
        <v>3435</v>
      </c>
    </row>
    <row r="2759" spans="1:10" x14ac:dyDescent="0.2">
      <c r="A2759" s="1" t="s">
        <v>25</v>
      </c>
      <c r="B2759" s="12" t="s">
        <v>197</v>
      </c>
      <c r="D2759" s="5" t="s">
        <v>532</v>
      </c>
      <c r="E2759" s="9">
        <v>132089</v>
      </c>
      <c r="F2759" s="9">
        <v>132933</v>
      </c>
      <c r="G2759" s="57">
        <f t="shared" si="43"/>
        <v>6.3896312334865129E-3</v>
      </c>
      <c r="J2759" s="5" t="s">
        <v>3436</v>
      </c>
    </row>
    <row r="2760" spans="1:10" x14ac:dyDescent="0.2">
      <c r="A2760" s="1" t="s">
        <v>25</v>
      </c>
      <c r="B2760" s="12" t="s">
        <v>197</v>
      </c>
      <c r="D2760" s="5" t="s">
        <v>546</v>
      </c>
      <c r="E2760" s="9">
        <v>106715</v>
      </c>
      <c r="F2760" s="9">
        <v>111232</v>
      </c>
      <c r="G2760" s="57">
        <f t="shared" si="43"/>
        <v>4.2327695263083914E-2</v>
      </c>
      <c r="J2760" s="5" t="s">
        <v>3437</v>
      </c>
    </row>
    <row r="2761" spans="1:10" x14ac:dyDescent="0.2">
      <c r="A2761" s="1" t="s">
        <v>25</v>
      </c>
      <c r="B2761" s="2" t="s">
        <v>197</v>
      </c>
      <c r="D2761" s="5" t="s">
        <v>1403</v>
      </c>
      <c r="E2761" s="9">
        <v>102146</v>
      </c>
      <c r="F2761" s="9">
        <v>102733</v>
      </c>
      <c r="G2761" s="57">
        <f t="shared" si="43"/>
        <v>5.7466763260431144E-3</v>
      </c>
      <c r="J2761" s="5" t="s">
        <v>3438</v>
      </c>
    </row>
    <row r="2762" spans="1:10" x14ac:dyDescent="0.2">
      <c r="A2762" s="1" t="s">
        <v>25</v>
      </c>
      <c r="B2762" s="2" t="s">
        <v>197</v>
      </c>
      <c r="D2762" s="5" t="s">
        <v>1287</v>
      </c>
      <c r="E2762" s="9">
        <v>102087</v>
      </c>
      <c r="F2762" s="9">
        <v>105571</v>
      </c>
      <c r="G2762" s="57">
        <f t="shared" si="43"/>
        <v>3.4127753778639788E-2</v>
      </c>
      <c r="J2762" s="5" t="s">
        <v>3439</v>
      </c>
    </row>
    <row r="2763" spans="1:10" ht="38.25" x14ac:dyDescent="0.2">
      <c r="A2763" s="1" t="s">
        <v>25</v>
      </c>
      <c r="B2763" s="2" t="s">
        <v>197</v>
      </c>
      <c r="D2763" s="5" t="s">
        <v>1404</v>
      </c>
      <c r="E2763" s="9">
        <v>167710</v>
      </c>
      <c r="F2763" s="9">
        <v>170111</v>
      </c>
      <c r="G2763" s="57">
        <f t="shared" si="43"/>
        <v>1.4316379464551904E-2</v>
      </c>
      <c r="J2763" s="5" t="s">
        <v>3440</v>
      </c>
    </row>
    <row r="2764" spans="1:10" x14ac:dyDescent="0.2">
      <c r="A2764" s="1" t="s">
        <v>25</v>
      </c>
      <c r="B2764" s="2" t="s">
        <v>197</v>
      </c>
      <c r="D2764" s="5" t="s">
        <v>1405</v>
      </c>
      <c r="E2764" s="9">
        <v>14669</v>
      </c>
      <c r="F2764" s="9">
        <v>119716</v>
      </c>
      <c r="G2764" s="57">
        <f t="shared" si="43"/>
        <v>7.1611561796986845</v>
      </c>
      <c r="J2764" s="5" t="s">
        <v>3441</v>
      </c>
    </row>
    <row r="2765" spans="1:10" ht="25.5" x14ac:dyDescent="0.2">
      <c r="A2765" s="1" t="s">
        <v>25</v>
      </c>
      <c r="B2765" s="2" t="s">
        <v>197</v>
      </c>
      <c r="D2765" s="5" t="s">
        <v>1406</v>
      </c>
      <c r="E2765" s="9">
        <v>124562</v>
      </c>
      <c r="F2765" s="9">
        <v>132016</v>
      </c>
      <c r="G2765" s="57">
        <f t="shared" si="43"/>
        <v>5.9841685265169156E-2</v>
      </c>
      <c r="J2765" s="5" t="s">
        <v>3442</v>
      </c>
    </row>
    <row r="2766" spans="1:10" x14ac:dyDescent="0.2">
      <c r="A2766" s="1" t="s">
        <v>25</v>
      </c>
      <c r="B2766" s="2" t="s">
        <v>197</v>
      </c>
      <c r="D2766" s="5" t="s">
        <v>718</v>
      </c>
      <c r="E2766" s="9">
        <v>98214</v>
      </c>
      <c r="F2766" s="9">
        <v>105962</v>
      </c>
      <c r="G2766" s="57">
        <f t="shared" si="43"/>
        <v>7.8888956767874233E-2</v>
      </c>
      <c r="J2766" s="5" t="s">
        <v>3443</v>
      </c>
    </row>
    <row r="2767" spans="1:10" x14ac:dyDescent="0.2">
      <c r="A2767" s="1" t="s">
        <v>25</v>
      </c>
      <c r="B2767" s="2" t="s">
        <v>197</v>
      </c>
      <c r="D2767" s="5" t="s">
        <v>1407</v>
      </c>
      <c r="E2767" s="9">
        <v>118965</v>
      </c>
      <c r="F2767" s="9">
        <v>126829</v>
      </c>
      <c r="G2767" s="57">
        <f t="shared" si="43"/>
        <v>6.610347581221368E-2</v>
      </c>
      <c r="J2767" s="5" t="s">
        <v>3444</v>
      </c>
    </row>
    <row r="2768" spans="1:10" ht="25.5" x14ac:dyDescent="0.2">
      <c r="A2768" s="1" t="s">
        <v>25</v>
      </c>
      <c r="B2768" s="2" t="s">
        <v>197</v>
      </c>
      <c r="D2768" s="5" t="s">
        <v>1408</v>
      </c>
      <c r="E2768" s="9">
        <v>133550</v>
      </c>
      <c r="F2768" s="9">
        <v>139268</v>
      </c>
      <c r="G2768" s="57">
        <f t="shared" si="43"/>
        <v>4.2815424934481469E-2</v>
      </c>
      <c r="J2768" s="5" t="s">
        <v>3445</v>
      </c>
    </row>
    <row r="2769" spans="1:10" ht="38.25" x14ac:dyDescent="0.2">
      <c r="A2769" s="1" t="s">
        <v>25</v>
      </c>
      <c r="B2769" s="2" t="s">
        <v>197</v>
      </c>
      <c r="D2769" s="5" t="s">
        <v>1409</v>
      </c>
      <c r="E2769" s="9">
        <v>12835</v>
      </c>
      <c r="F2769" s="9">
        <v>124404</v>
      </c>
      <c r="G2769" s="57">
        <f t="shared" si="43"/>
        <v>8.6925594078691084</v>
      </c>
      <c r="J2769" s="5" t="s">
        <v>3448</v>
      </c>
    </row>
    <row r="2770" spans="1:10" ht="25.5" x14ac:dyDescent="0.2">
      <c r="A2770" s="1" t="s">
        <v>25</v>
      </c>
      <c r="B2770" s="2" t="s">
        <v>197</v>
      </c>
      <c r="D2770" s="5" t="s">
        <v>1410</v>
      </c>
      <c r="E2770" s="9">
        <v>96950</v>
      </c>
      <c r="F2770" s="9">
        <v>101387</v>
      </c>
      <c r="G2770" s="57">
        <f t="shared" si="43"/>
        <v>4.5765858690046415E-2</v>
      </c>
      <c r="J2770" s="5" t="s">
        <v>3449</v>
      </c>
    </row>
    <row r="2771" spans="1:10" ht="25.5" x14ac:dyDescent="0.2">
      <c r="A2771" s="1" t="s">
        <v>25</v>
      </c>
      <c r="B2771" s="2" t="s">
        <v>197</v>
      </c>
      <c r="D2771" s="5" t="s">
        <v>1411</v>
      </c>
      <c r="E2771" s="9">
        <v>168328</v>
      </c>
      <c r="F2771" s="9">
        <v>204050</v>
      </c>
      <c r="G2771" s="57">
        <f t="shared" si="43"/>
        <v>0.21221662468513855</v>
      </c>
      <c r="J2771" s="5" t="s">
        <v>3450</v>
      </c>
    </row>
    <row r="2772" spans="1:10" ht="38.25" x14ac:dyDescent="0.2">
      <c r="A2772" s="1" t="s">
        <v>25</v>
      </c>
      <c r="B2772" s="2" t="s">
        <v>197</v>
      </c>
      <c r="D2772" s="5" t="s">
        <v>1011</v>
      </c>
      <c r="E2772" s="9">
        <v>164192</v>
      </c>
      <c r="F2772" s="9">
        <v>220608</v>
      </c>
      <c r="G2772" s="57">
        <f t="shared" si="43"/>
        <v>0.3435977392321185</v>
      </c>
      <c r="J2772" s="5" t="s">
        <v>3446</v>
      </c>
    </row>
    <row r="2773" spans="1:10" ht="25.5" x14ac:dyDescent="0.2">
      <c r="A2773" s="1" t="s">
        <v>25</v>
      </c>
      <c r="B2773" s="2" t="s">
        <v>197</v>
      </c>
      <c r="D2773" s="5" t="s">
        <v>3451</v>
      </c>
      <c r="E2773" s="9">
        <v>143429</v>
      </c>
      <c r="F2773" s="9">
        <v>97003</v>
      </c>
      <c r="G2773" s="57">
        <f t="shared" si="43"/>
        <v>-0.3236862838059249</v>
      </c>
      <c r="J2773" s="5" t="s">
        <v>3452</v>
      </c>
    </row>
    <row r="2774" spans="1:10" x14ac:dyDescent="0.2">
      <c r="A2774" s="1" t="s">
        <v>25</v>
      </c>
      <c r="B2774" s="2" t="s">
        <v>197</v>
      </c>
      <c r="D2774" s="5" t="s">
        <v>920</v>
      </c>
      <c r="E2774" s="9">
        <v>159516</v>
      </c>
      <c r="F2774" s="9" t="s">
        <v>465</v>
      </c>
      <c r="G2774" s="57" t="str">
        <f t="shared" si="43"/>
        <v>-</v>
      </c>
      <c r="J2774" s="5" t="s">
        <v>3453</v>
      </c>
    </row>
    <row r="2775" spans="1:10" x14ac:dyDescent="0.2">
      <c r="A2775" s="1" t="s">
        <v>25</v>
      </c>
      <c r="B2775" s="2" t="s">
        <v>197</v>
      </c>
      <c r="D2775" s="5" t="s">
        <v>464</v>
      </c>
      <c r="G2775" s="57" t="str">
        <f t="shared" si="43"/>
        <v>-</v>
      </c>
      <c r="H2775" s="19">
        <v>92500</v>
      </c>
      <c r="I2775" s="19" t="s">
        <v>465</v>
      </c>
    </row>
    <row r="2776" spans="1:10" x14ac:dyDescent="0.2">
      <c r="A2776" s="1" t="s">
        <v>25</v>
      </c>
      <c r="B2776" s="2" t="s">
        <v>197</v>
      </c>
      <c r="D2776" s="5" t="s">
        <v>464</v>
      </c>
      <c r="G2776" s="57" t="str">
        <f t="shared" si="43"/>
        <v>-</v>
      </c>
      <c r="H2776" s="19">
        <v>92500</v>
      </c>
      <c r="I2776" s="19" t="s">
        <v>465</v>
      </c>
    </row>
    <row r="2777" spans="1:10" x14ac:dyDescent="0.2">
      <c r="A2777" s="1" t="s">
        <v>25</v>
      </c>
      <c r="B2777" s="2" t="s">
        <v>197</v>
      </c>
      <c r="D2777" s="5" t="s">
        <v>464</v>
      </c>
      <c r="G2777" s="57" t="str">
        <f t="shared" si="43"/>
        <v>-</v>
      </c>
      <c r="H2777" s="19">
        <v>92500</v>
      </c>
      <c r="I2777" s="19" t="s">
        <v>465</v>
      </c>
    </row>
    <row r="2778" spans="1:10" x14ac:dyDescent="0.2">
      <c r="A2778" s="1" t="s">
        <v>25</v>
      </c>
      <c r="B2778" s="2" t="s">
        <v>197</v>
      </c>
      <c r="D2778" s="5" t="s">
        <v>464</v>
      </c>
      <c r="G2778" s="57" t="str">
        <f t="shared" si="43"/>
        <v>-</v>
      </c>
      <c r="H2778" s="19">
        <v>97500</v>
      </c>
      <c r="I2778" s="19" t="s">
        <v>465</v>
      </c>
      <c r="J2778" s="5" t="s">
        <v>2234</v>
      </c>
    </row>
    <row r="2779" spans="1:10" x14ac:dyDescent="0.2">
      <c r="A2779" s="1" t="s">
        <v>25</v>
      </c>
      <c r="B2779" s="2" t="s">
        <v>197</v>
      </c>
      <c r="D2779" s="5" t="s">
        <v>464</v>
      </c>
      <c r="G2779" s="57" t="str">
        <f t="shared" si="43"/>
        <v>-</v>
      </c>
      <c r="H2779" s="19">
        <v>97500</v>
      </c>
      <c r="I2779" s="19" t="s">
        <v>465</v>
      </c>
    </row>
    <row r="2780" spans="1:10" x14ac:dyDescent="0.2">
      <c r="A2780" s="1" t="s">
        <v>25</v>
      </c>
      <c r="B2780" s="2" t="s">
        <v>197</v>
      </c>
      <c r="D2780" s="5" t="s">
        <v>464</v>
      </c>
      <c r="G2780" s="57" t="str">
        <f t="shared" si="43"/>
        <v>-</v>
      </c>
      <c r="H2780" s="19" t="s">
        <v>465</v>
      </c>
      <c r="I2780" s="19">
        <v>97500</v>
      </c>
      <c r="J2780" s="5" t="s">
        <v>2234</v>
      </c>
    </row>
    <row r="2781" spans="1:10" x14ac:dyDescent="0.2">
      <c r="A2781" s="1" t="s">
        <v>25</v>
      </c>
      <c r="B2781" s="2" t="s">
        <v>197</v>
      </c>
      <c r="D2781" s="5" t="s">
        <v>464</v>
      </c>
      <c r="G2781" s="57" t="str">
        <f t="shared" si="43"/>
        <v>-</v>
      </c>
      <c r="H2781" s="19" t="s">
        <v>465</v>
      </c>
      <c r="I2781" s="19">
        <v>97500</v>
      </c>
    </row>
    <row r="2782" spans="1:10" x14ac:dyDescent="0.2">
      <c r="A2782" s="1" t="s">
        <v>25</v>
      </c>
      <c r="B2782" s="2" t="s">
        <v>197</v>
      </c>
      <c r="D2782" s="5" t="s">
        <v>464</v>
      </c>
      <c r="G2782" s="57" t="str">
        <f t="shared" si="43"/>
        <v>-</v>
      </c>
      <c r="H2782" s="19" t="s">
        <v>465</v>
      </c>
      <c r="I2782" s="19">
        <v>97500</v>
      </c>
    </row>
    <row r="2783" spans="1:10" x14ac:dyDescent="0.2">
      <c r="A2783" s="1" t="s">
        <v>25</v>
      </c>
      <c r="B2783" s="2" t="s">
        <v>197</v>
      </c>
      <c r="D2783" s="5" t="s">
        <v>464</v>
      </c>
      <c r="E2783" s="3">
        <v>102500</v>
      </c>
      <c r="F2783" s="3" t="s">
        <v>465</v>
      </c>
      <c r="G2783" s="57" t="str">
        <f t="shared" si="43"/>
        <v>-</v>
      </c>
    </row>
    <row r="2784" spans="1:10" x14ac:dyDescent="0.2">
      <c r="A2784" s="1" t="s">
        <v>25</v>
      </c>
      <c r="B2784" s="2" t="s">
        <v>197</v>
      </c>
      <c r="D2784" s="5" t="s">
        <v>464</v>
      </c>
      <c r="E2784" s="3" t="s">
        <v>465</v>
      </c>
      <c r="F2784" s="3">
        <v>112500</v>
      </c>
      <c r="G2784" s="57" t="str">
        <f t="shared" si="43"/>
        <v>-</v>
      </c>
      <c r="J2784" s="5" t="s">
        <v>2234</v>
      </c>
    </row>
    <row r="2785" spans="1:10" x14ac:dyDescent="0.2">
      <c r="A2785" s="1" t="s">
        <v>25</v>
      </c>
      <c r="B2785" s="2" t="s">
        <v>197</v>
      </c>
      <c r="D2785" s="5" t="s">
        <v>464</v>
      </c>
      <c r="E2785" s="3" t="s">
        <v>465</v>
      </c>
      <c r="F2785" s="3">
        <v>117500</v>
      </c>
      <c r="G2785" s="57" t="str">
        <f t="shared" si="43"/>
        <v>-</v>
      </c>
      <c r="J2785" s="5" t="s">
        <v>2234</v>
      </c>
    </row>
    <row r="2786" spans="1:10" x14ac:dyDescent="0.2">
      <c r="A2786" s="1" t="s">
        <v>25</v>
      </c>
      <c r="B2786" s="2" t="s">
        <v>197</v>
      </c>
      <c r="D2786" s="5" t="s">
        <v>464</v>
      </c>
      <c r="E2786" s="3">
        <v>132500</v>
      </c>
      <c r="F2786" s="3" t="s">
        <v>465</v>
      </c>
      <c r="G2786" s="57" t="str">
        <f t="shared" si="43"/>
        <v>-</v>
      </c>
      <c r="J2786" s="5" t="s">
        <v>2234</v>
      </c>
    </row>
    <row r="2787" spans="1:10" x14ac:dyDescent="0.2">
      <c r="A2787" s="1" t="s">
        <v>25</v>
      </c>
      <c r="B2787" s="2" t="s">
        <v>197</v>
      </c>
      <c r="D2787" s="5" t="s">
        <v>464</v>
      </c>
      <c r="E2787" s="3" t="s">
        <v>465</v>
      </c>
      <c r="F2787" s="3">
        <v>142500</v>
      </c>
      <c r="G2787" s="57" t="str">
        <f t="shared" si="43"/>
        <v>-</v>
      </c>
      <c r="J2787" s="5" t="s">
        <v>2234</v>
      </c>
    </row>
    <row r="2788" spans="1:10" x14ac:dyDescent="0.2">
      <c r="A2788" s="1" t="s">
        <v>25</v>
      </c>
      <c r="B2788" s="2" t="s">
        <v>197</v>
      </c>
      <c r="D2788" s="5" t="s">
        <v>464</v>
      </c>
      <c r="E2788" s="3">
        <v>152500</v>
      </c>
      <c r="F2788" s="3" t="s">
        <v>465</v>
      </c>
      <c r="G2788" s="57" t="str">
        <f t="shared" si="43"/>
        <v>-</v>
      </c>
      <c r="J2788" s="5" t="s">
        <v>2234</v>
      </c>
    </row>
    <row r="2789" spans="1:10" ht="25.5" x14ac:dyDescent="0.2">
      <c r="A2789" s="1" t="s">
        <v>8</v>
      </c>
      <c r="B2789" s="2" t="s">
        <v>198</v>
      </c>
      <c r="C2789" s="5" t="s">
        <v>1399</v>
      </c>
      <c r="D2789" s="5" t="s">
        <v>450</v>
      </c>
      <c r="E2789" s="3">
        <v>161851</v>
      </c>
      <c r="F2789" s="3">
        <v>161851</v>
      </c>
      <c r="G2789" s="57">
        <f t="shared" si="43"/>
        <v>0</v>
      </c>
      <c r="J2789" s="5" t="s">
        <v>3429</v>
      </c>
    </row>
    <row r="2790" spans="1:10" ht="25.5" x14ac:dyDescent="0.2">
      <c r="A2790" s="1" t="s">
        <v>8</v>
      </c>
      <c r="B2790" s="2" t="s">
        <v>198</v>
      </c>
      <c r="D2790" s="5" t="s">
        <v>455</v>
      </c>
      <c r="E2790" s="3">
        <v>108229</v>
      </c>
      <c r="F2790" s="3">
        <v>112439</v>
      </c>
      <c r="G2790" s="57">
        <f t="shared" si="43"/>
        <v>3.8899001191917137E-2</v>
      </c>
      <c r="J2790" s="5" t="s">
        <v>3430</v>
      </c>
    </row>
    <row r="2791" spans="1:10" ht="25.5" x14ac:dyDescent="0.2">
      <c r="A2791" s="1" t="s">
        <v>8</v>
      </c>
      <c r="B2791" s="2" t="s">
        <v>198</v>
      </c>
      <c r="D2791" s="5" t="s">
        <v>507</v>
      </c>
      <c r="E2791" s="3">
        <v>103403</v>
      </c>
      <c r="F2791" s="3">
        <v>116762</v>
      </c>
      <c r="G2791" s="57">
        <f t="shared" si="43"/>
        <v>0.12919354370762937</v>
      </c>
      <c r="J2791" s="5" t="s">
        <v>3431</v>
      </c>
    </row>
    <row r="2792" spans="1:10" x14ac:dyDescent="0.2">
      <c r="A2792" s="1" t="s">
        <v>8</v>
      </c>
      <c r="B2792" s="2" t="s">
        <v>198</v>
      </c>
      <c r="D2792" s="5" t="s">
        <v>3432</v>
      </c>
      <c r="E2792" s="3">
        <v>103403</v>
      </c>
      <c r="F2792" s="3" t="s">
        <v>465</v>
      </c>
      <c r="G2792" s="57" t="str">
        <f t="shared" si="43"/>
        <v>-</v>
      </c>
    </row>
    <row r="2793" spans="1:10" ht="25.5" x14ac:dyDescent="0.2">
      <c r="A2793" s="1" t="s">
        <v>4</v>
      </c>
      <c r="B2793" s="2" t="s">
        <v>199</v>
      </c>
      <c r="D2793" s="5" t="s">
        <v>450</v>
      </c>
      <c r="E2793" s="9">
        <v>134394</v>
      </c>
      <c r="F2793" s="9">
        <v>137306</v>
      </c>
      <c r="G2793" s="57">
        <f t="shared" si="43"/>
        <v>2.1667633971754693E-2</v>
      </c>
      <c r="J2793" s="5" t="s">
        <v>3420</v>
      </c>
    </row>
    <row r="2794" spans="1:10" ht="25.5" x14ac:dyDescent="0.2">
      <c r="A2794" s="1" t="s">
        <v>4</v>
      </c>
      <c r="B2794" s="2" t="s">
        <v>199</v>
      </c>
      <c r="D2794" s="5" t="s">
        <v>1397</v>
      </c>
      <c r="E2794" s="9">
        <v>119957</v>
      </c>
      <c r="F2794" s="9">
        <v>119256</v>
      </c>
      <c r="G2794" s="57">
        <f t="shared" si="43"/>
        <v>-5.8437606809106594E-3</v>
      </c>
      <c r="J2794" s="5" t="s">
        <v>3421</v>
      </c>
    </row>
    <row r="2795" spans="1:10" ht="25.5" x14ac:dyDescent="0.2">
      <c r="A2795" s="1" t="s">
        <v>4</v>
      </c>
      <c r="B2795" s="2" t="s">
        <v>199</v>
      </c>
      <c r="D2795" s="5" t="s">
        <v>1398</v>
      </c>
      <c r="E2795" s="9">
        <v>106665</v>
      </c>
      <c r="F2795" s="9">
        <v>111465</v>
      </c>
      <c r="G2795" s="57">
        <f t="shared" si="43"/>
        <v>4.5000703135986503E-2</v>
      </c>
      <c r="J2795" s="5" t="s">
        <v>3422</v>
      </c>
    </row>
    <row r="2796" spans="1:10" ht="38.25" x14ac:dyDescent="0.2">
      <c r="A2796" s="1" t="s">
        <v>4</v>
      </c>
      <c r="B2796" s="2" t="s">
        <v>199</v>
      </c>
      <c r="D2796" s="5" t="s">
        <v>524</v>
      </c>
      <c r="E2796" s="9">
        <v>125206</v>
      </c>
      <c r="F2796" s="9" t="s">
        <v>465</v>
      </c>
      <c r="G2796" s="57" t="str">
        <f t="shared" si="43"/>
        <v>-</v>
      </c>
      <c r="J2796" s="5" t="s">
        <v>3428</v>
      </c>
    </row>
    <row r="2797" spans="1:10" x14ac:dyDescent="0.2">
      <c r="A2797" s="1" t="s">
        <v>4</v>
      </c>
      <c r="B2797" s="2" t="s">
        <v>199</v>
      </c>
      <c r="D2797" s="5" t="s">
        <v>3423</v>
      </c>
      <c r="E2797" s="9">
        <v>207693</v>
      </c>
      <c r="F2797" s="9" t="s">
        <v>465</v>
      </c>
      <c r="G2797" s="57" t="str">
        <f t="shared" si="43"/>
        <v>-</v>
      </c>
    </row>
    <row r="2798" spans="1:10" x14ac:dyDescent="0.2">
      <c r="A2798" s="1" t="s">
        <v>4</v>
      </c>
      <c r="B2798" s="2" t="s">
        <v>199</v>
      </c>
      <c r="D2798" s="5" t="s">
        <v>3424</v>
      </c>
      <c r="E2798" s="9">
        <v>140080</v>
      </c>
      <c r="F2798" s="9" t="s">
        <v>465</v>
      </c>
      <c r="G2798" s="57" t="str">
        <f t="shared" si="43"/>
        <v>-</v>
      </c>
    </row>
    <row r="2799" spans="1:10" x14ac:dyDescent="0.2">
      <c r="A2799" s="1" t="s">
        <v>4</v>
      </c>
      <c r="B2799" s="2" t="s">
        <v>199</v>
      </c>
      <c r="D2799" s="5" t="s">
        <v>3425</v>
      </c>
      <c r="E2799" s="9">
        <v>158388</v>
      </c>
      <c r="F2799" s="9" t="s">
        <v>465</v>
      </c>
      <c r="G2799" s="57" t="str">
        <f t="shared" si="43"/>
        <v>-</v>
      </c>
    </row>
    <row r="2800" spans="1:10" x14ac:dyDescent="0.2">
      <c r="A2800" s="1" t="s">
        <v>4</v>
      </c>
      <c r="B2800" s="2" t="s">
        <v>199</v>
      </c>
      <c r="D2800" s="5" t="s">
        <v>3426</v>
      </c>
      <c r="E2800" s="9">
        <v>167056</v>
      </c>
      <c r="F2800" s="9" t="s">
        <v>465</v>
      </c>
      <c r="G2800" s="57" t="str">
        <f t="shared" si="43"/>
        <v>-</v>
      </c>
    </row>
    <row r="2801" spans="1:10" x14ac:dyDescent="0.2">
      <c r="A2801" s="1" t="s">
        <v>4</v>
      </c>
      <c r="B2801" s="2" t="s">
        <v>199</v>
      </c>
      <c r="D2801" s="5" t="s">
        <v>3427</v>
      </c>
      <c r="E2801" s="9">
        <v>202203</v>
      </c>
      <c r="F2801" s="9" t="s">
        <v>465</v>
      </c>
      <c r="G2801" s="57" t="str">
        <f t="shared" si="43"/>
        <v>-</v>
      </c>
    </row>
    <row r="2802" spans="1:10" x14ac:dyDescent="0.2">
      <c r="A2802" s="1" t="s">
        <v>4</v>
      </c>
      <c r="B2802" s="2" t="s">
        <v>199</v>
      </c>
      <c r="D2802" s="5" t="s">
        <v>464</v>
      </c>
      <c r="G2802" s="57" t="str">
        <f t="shared" si="43"/>
        <v>-</v>
      </c>
      <c r="H2802" s="19" t="s">
        <v>465</v>
      </c>
      <c r="I2802" s="19">
        <v>92500</v>
      </c>
    </row>
    <row r="2803" spans="1:10" x14ac:dyDescent="0.2">
      <c r="A2803" s="1" t="s">
        <v>4</v>
      </c>
      <c r="B2803" s="2" t="s">
        <v>199</v>
      </c>
      <c r="D2803" s="5" t="s">
        <v>464</v>
      </c>
      <c r="E2803" s="3" t="s">
        <v>465</v>
      </c>
      <c r="F2803" s="3">
        <v>112500</v>
      </c>
      <c r="G2803" s="57" t="str">
        <f t="shared" si="43"/>
        <v>-</v>
      </c>
    </row>
    <row r="2804" spans="1:10" ht="25.5" x14ac:dyDescent="0.2">
      <c r="A2804" s="1" t="s">
        <v>25</v>
      </c>
      <c r="B2804" s="2" t="s">
        <v>200</v>
      </c>
      <c r="C2804" s="5" t="s">
        <v>3413</v>
      </c>
      <c r="D2804" s="5" t="s">
        <v>450</v>
      </c>
      <c r="E2804" s="9">
        <v>201183</v>
      </c>
      <c r="F2804" s="9">
        <v>33388</v>
      </c>
      <c r="G2804" s="57">
        <f t="shared" si="43"/>
        <v>-0.83404164367764677</v>
      </c>
      <c r="J2804" s="5" t="s">
        <v>3419</v>
      </c>
    </row>
    <row r="2805" spans="1:10" ht="26.25" customHeight="1" x14ac:dyDescent="0.2">
      <c r="A2805" s="1" t="s">
        <v>25</v>
      </c>
      <c r="B2805" s="2" t="s">
        <v>200</v>
      </c>
      <c r="D2805" s="5" t="s">
        <v>507</v>
      </c>
      <c r="E2805" s="9">
        <v>156630</v>
      </c>
      <c r="F2805" s="9">
        <v>165880</v>
      </c>
      <c r="G2805" s="57">
        <f t="shared" si="43"/>
        <v>5.9056374896252317E-2</v>
      </c>
      <c r="J2805" s="5" t="s">
        <v>3414</v>
      </c>
    </row>
    <row r="2806" spans="1:10" ht="27" customHeight="1" x14ac:dyDescent="0.2">
      <c r="A2806" s="1" t="s">
        <v>25</v>
      </c>
      <c r="B2806" s="2" t="s">
        <v>200</v>
      </c>
      <c r="D2806" s="5" t="s">
        <v>452</v>
      </c>
      <c r="E2806" s="9">
        <v>147378</v>
      </c>
      <c r="F2806" s="9">
        <v>159182</v>
      </c>
      <c r="G2806" s="57">
        <f t="shared" si="43"/>
        <v>8.0093365359823046E-2</v>
      </c>
      <c r="J2806" s="5" t="s">
        <v>3415</v>
      </c>
    </row>
    <row r="2807" spans="1:10" ht="27.75" customHeight="1" x14ac:dyDescent="0.2">
      <c r="A2807" s="1" t="s">
        <v>25</v>
      </c>
      <c r="B2807" s="2" t="s">
        <v>200</v>
      </c>
      <c r="D2807" s="5" t="s">
        <v>562</v>
      </c>
      <c r="E2807" s="9">
        <v>154077</v>
      </c>
      <c r="F2807" s="9">
        <v>165880</v>
      </c>
      <c r="G2807" s="57">
        <f t="shared" si="43"/>
        <v>7.6604554865424432E-2</v>
      </c>
      <c r="J2807" s="5" t="s">
        <v>3414</v>
      </c>
    </row>
    <row r="2808" spans="1:10" ht="27.75" customHeight="1" x14ac:dyDescent="0.2">
      <c r="A2808" s="1" t="s">
        <v>25</v>
      </c>
      <c r="B2808" s="2" t="s">
        <v>200</v>
      </c>
      <c r="D2808" s="5" t="s">
        <v>855</v>
      </c>
      <c r="E2808" s="9">
        <v>172579</v>
      </c>
      <c r="F2808" s="9">
        <v>177684</v>
      </c>
      <c r="G2808" s="57">
        <f t="shared" si="43"/>
        <v>2.9580655815597493E-2</v>
      </c>
      <c r="J2808" s="5" t="s">
        <v>3416</v>
      </c>
    </row>
    <row r="2809" spans="1:10" ht="27" customHeight="1" x14ac:dyDescent="0.2">
      <c r="A2809" s="1" t="s">
        <v>25</v>
      </c>
      <c r="B2809" s="2" t="s">
        <v>200</v>
      </c>
      <c r="D2809" s="5" t="s">
        <v>942</v>
      </c>
      <c r="E2809" s="9">
        <v>147378</v>
      </c>
      <c r="F2809" s="9">
        <v>156630</v>
      </c>
      <c r="G2809" s="57">
        <f t="shared" si="43"/>
        <v>6.277734804380572E-2</v>
      </c>
      <c r="J2809" s="5" t="s">
        <v>3417</v>
      </c>
    </row>
    <row r="2810" spans="1:10" ht="27" customHeight="1" x14ac:dyDescent="0.2">
      <c r="A2810" s="1" t="s">
        <v>25</v>
      </c>
      <c r="B2810" s="2" t="s">
        <v>200</v>
      </c>
      <c r="D2810" s="5" t="s">
        <v>532</v>
      </c>
      <c r="E2810" s="9">
        <v>165880</v>
      </c>
      <c r="F2810" s="9">
        <v>175132</v>
      </c>
      <c r="G2810" s="57">
        <f t="shared" si="43"/>
        <v>5.5775259223535087E-2</v>
      </c>
      <c r="J2810" s="5" t="s">
        <v>3418</v>
      </c>
    </row>
    <row r="2811" spans="1:10" x14ac:dyDescent="0.2">
      <c r="A2811" s="1" t="s">
        <v>25</v>
      </c>
      <c r="B2811" s="2" t="s">
        <v>200</v>
      </c>
      <c r="D2811" s="5" t="s">
        <v>464</v>
      </c>
      <c r="G2811" s="57" t="str">
        <f t="shared" si="43"/>
        <v>-</v>
      </c>
      <c r="H2811" s="19" t="s">
        <v>465</v>
      </c>
      <c r="I2811" s="19">
        <v>92500</v>
      </c>
    </row>
    <row r="2812" spans="1:10" x14ac:dyDescent="0.2">
      <c r="A2812" s="1" t="s">
        <v>25</v>
      </c>
      <c r="B2812" s="2" t="s">
        <v>200</v>
      </c>
      <c r="D2812" s="5" t="s">
        <v>464</v>
      </c>
      <c r="G2812" s="57" t="str">
        <f t="shared" si="43"/>
        <v>-</v>
      </c>
      <c r="H2812" s="19" t="s">
        <v>465</v>
      </c>
      <c r="I2812" s="19">
        <v>92500</v>
      </c>
    </row>
    <row r="2813" spans="1:10" x14ac:dyDescent="0.2">
      <c r="A2813" s="1" t="s">
        <v>25</v>
      </c>
      <c r="B2813" s="2" t="s">
        <v>200</v>
      </c>
      <c r="D2813" s="5" t="s">
        <v>464</v>
      </c>
      <c r="G2813" s="57" t="str">
        <f t="shared" si="43"/>
        <v>-</v>
      </c>
      <c r="H2813" s="19" t="s">
        <v>465</v>
      </c>
      <c r="I2813" s="19">
        <v>92500</v>
      </c>
    </row>
    <row r="2814" spans="1:10" x14ac:dyDescent="0.2">
      <c r="A2814" s="1" t="s">
        <v>25</v>
      </c>
      <c r="B2814" s="2" t="s">
        <v>200</v>
      </c>
      <c r="D2814" s="5" t="s">
        <v>464</v>
      </c>
      <c r="G2814" s="57" t="str">
        <f t="shared" si="43"/>
        <v>-</v>
      </c>
      <c r="H2814" s="19" t="s">
        <v>465</v>
      </c>
      <c r="I2814" s="19">
        <v>92500</v>
      </c>
    </row>
    <row r="2815" spans="1:10" x14ac:dyDescent="0.2">
      <c r="A2815" s="1" t="s">
        <v>25</v>
      </c>
      <c r="B2815" s="2" t="s">
        <v>200</v>
      </c>
      <c r="D2815" s="5" t="s">
        <v>464</v>
      </c>
      <c r="G2815" s="57" t="str">
        <f t="shared" si="43"/>
        <v>-</v>
      </c>
      <c r="H2815" s="19">
        <v>97500</v>
      </c>
      <c r="I2815" s="19" t="s">
        <v>465</v>
      </c>
    </row>
    <row r="2816" spans="1:10" x14ac:dyDescent="0.2">
      <c r="A2816" s="1" t="s">
        <v>25</v>
      </c>
      <c r="B2816" s="2" t="s">
        <v>200</v>
      </c>
      <c r="D2816" s="5" t="s">
        <v>464</v>
      </c>
      <c r="G2816" s="57" t="str">
        <f t="shared" si="43"/>
        <v>-</v>
      </c>
      <c r="H2816" s="19" t="s">
        <v>465</v>
      </c>
      <c r="I2816" s="19">
        <v>97500</v>
      </c>
    </row>
    <row r="2817" spans="1:10" x14ac:dyDescent="0.2">
      <c r="A2817" s="1" t="s">
        <v>25</v>
      </c>
      <c r="B2817" s="2" t="s">
        <v>200</v>
      </c>
      <c r="D2817" s="5" t="s">
        <v>464</v>
      </c>
      <c r="G2817" s="57" t="str">
        <f t="shared" si="43"/>
        <v>-</v>
      </c>
      <c r="H2817" s="19" t="s">
        <v>465</v>
      </c>
      <c r="I2817" s="19">
        <v>97500</v>
      </c>
    </row>
    <row r="2818" spans="1:10" x14ac:dyDescent="0.2">
      <c r="A2818" s="1" t="s">
        <v>25</v>
      </c>
      <c r="B2818" s="2" t="s">
        <v>200</v>
      </c>
      <c r="D2818" s="5" t="s">
        <v>464</v>
      </c>
      <c r="E2818" s="3">
        <v>102500</v>
      </c>
      <c r="F2818" s="3" t="s">
        <v>465</v>
      </c>
      <c r="G2818" s="57" t="str">
        <f t="shared" si="43"/>
        <v>-</v>
      </c>
    </row>
    <row r="2819" spans="1:10" x14ac:dyDescent="0.2">
      <c r="A2819" s="1" t="s">
        <v>25</v>
      </c>
      <c r="B2819" s="2" t="s">
        <v>200</v>
      </c>
      <c r="D2819" s="5" t="s">
        <v>464</v>
      </c>
      <c r="E2819" s="3" t="s">
        <v>465</v>
      </c>
      <c r="F2819" s="3">
        <v>102500</v>
      </c>
      <c r="G2819" s="57" t="str">
        <f t="shared" ref="G2819:G2882" si="44">IF(ISERROR((F2819-E2819)/E2819),"-",(F2819-E2819)/E2819)</f>
        <v>-</v>
      </c>
    </row>
    <row r="2820" spans="1:10" x14ac:dyDescent="0.2">
      <c r="A2820" s="1" t="s">
        <v>25</v>
      </c>
      <c r="B2820" s="2" t="s">
        <v>200</v>
      </c>
      <c r="D2820" s="5" t="s">
        <v>464</v>
      </c>
      <c r="E2820" s="3" t="s">
        <v>465</v>
      </c>
      <c r="F2820" s="3">
        <v>102500</v>
      </c>
      <c r="G2820" s="57" t="str">
        <f t="shared" si="44"/>
        <v>-</v>
      </c>
    </row>
    <row r="2821" spans="1:10" x14ac:dyDescent="0.2">
      <c r="A2821" s="1" t="s">
        <v>25</v>
      </c>
      <c r="B2821" s="2" t="s">
        <v>200</v>
      </c>
      <c r="D2821" s="5" t="s">
        <v>464</v>
      </c>
      <c r="E2821" s="3">
        <v>107500</v>
      </c>
      <c r="F2821" s="3" t="s">
        <v>465</v>
      </c>
      <c r="G2821" s="57" t="str">
        <f t="shared" si="44"/>
        <v>-</v>
      </c>
    </row>
    <row r="2822" spans="1:10" x14ac:dyDescent="0.2">
      <c r="A2822" s="1" t="s">
        <v>25</v>
      </c>
      <c r="B2822" s="2" t="s">
        <v>200</v>
      </c>
      <c r="D2822" s="5" t="s">
        <v>464</v>
      </c>
      <c r="E2822" s="3" t="s">
        <v>465</v>
      </c>
      <c r="F2822" s="3">
        <v>107500</v>
      </c>
      <c r="G2822" s="57" t="str">
        <f t="shared" si="44"/>
        <v>-</v>
      </c>
    </row>
    <row r="2823" spans="1:10" x14ac:dyDescent="0.2">
      <c r="A2823" s="1" t="s">
        <v>25</v>
      </c>
      <c r="B2823" s="2" t="s">
        <v>200</v>
      </c>
      <c r="D2823" s="5" t="s">
        <v>464</v>
      </c>
      <c r="E2823" s="3" t="s">
        <v>465</v>
      </c>
      <c r="F2823" s="3">
        <v>107500</v>
      </c>
      <c r="G2823" s="57" t="str">
        <f t="shared" si="44"/>
        <v>-</v>
      </c>
    </row>
    <row r="2824" spans="1:10" x14ac:dyDescent="0.2">
      <c r="A2824" s="1" t="s">
        <v>25</v>
      </c>
      <c r="B2824" s="2" t="s">
        <v>200</v>
      </c>
      <c r="D2824" s="5" t="s">
        <v>464</v>
      </c>
      <c r="E2824" s="3" t="s">
        <v>465</v>
      </c>
      <c r="F2824" s="3">
        <v>112500</v>
      </c>
      <c r="G2824" s="57" t="str">
        <f t="shared" si="44"/>
        <v>-</v>
      </c>
    </row>
    <row r="2825" spans="1:10" x14ac:dyDescent="0.2">
      <c r="A2825" s="1" t="s">
        <v>25</v>
      </c>
      <c r="B2825" s="2" t="s">
        <v>200</v>
      </c>
      <c r="D2825" s="5" t="s">
        <v>464</v>
      </c>
      <c r="E2825" s="3" t="s">
        <v>465</v>
      </c>
      <c r="F2825" s="3">
        <v>117500</v>
      </c>
      <c r="G2825" s="57" t="str">
        <f t="shared" si="44"/>
        <v>-</v>
      </c>
    </row>
    <row r="2826" spans="1:10" x14ac:dyDescent="0.2">
      <c r="A2826" s="1" t="s">
        <v>25</v>
      </c>
      <c r="B2826" s="2" t="s">
        <v>200</v>
      </c>
      <c r="D2826" s="5" t="s">
        <v>464</v>
      </c>
      <c r="E2826" s="3" t="s">
        <v>465</v>
      </c>
      <c r="F2826" s="3">
        <v>132500</v>
      </c>
      <c r="G2826" s="57" t="str">
        <f t="shared" si="44"/>
        <v>-</v>
      </c>
    </row>
    <row r="2827" spans="1:10" x14ac:dyDescent="0.2">
      <c r="A2827" s="1" t="s">
        <v>25</v>
      </c>
      <c r="B2827" s="2" t="s">
        <v>200</v>
      </c>
      <c r="D2827" s="5" t="s">
        <v>464</v>
      </c>
      <c r="E2827" s="3" t="s">
        <v>465</v>
      </c>
      <c r="F2827" s="3">
        <v>132500</v>
      </c>
      <c r="G2827" s="57" t="str">
        <f t="shared" si="44"/>
        <v>-</v>
      </c>
    </row>
    <row r="2828" spans="1:10" ht="25.5" x14ac:dyDescent="0.2">
      <c r="A2828" s="1" t="s">
        <v>20</v>
      </c>
      <c r="B2828" s="2" t="s">
        <v>201</v>
      </c>
      <c r="C2828" s="5" t="s">
        <v>1393</v>
      </c>
      <c r="D2828" s="5" t="s">
        <v>450</v>
      </c>
      <c r="E2828" s="3">
        <v>206684</v>
      </c>
      <c r="F2828" s="3">
        <v>201524</v>
      </c>
      <c r="G2828" s="57">
        <f t="shared" si="44"/>
        <v>-2.496564804242225E-2</v>
      </c>
      <c r="J2828" s="5" t="s">
        <v>3410</v>
      </c>
    </row>
    <row r="2829" spans="1:10" ht="25.5" x14ac:dyDescent="0.2">
      <c r="A2829" s="1" t="s">
        <v>20</v>
      </c>
      <c r="B2829" s="2" t="s">
        <v>201</v>
      </c>
      <c r="D2829" s="5" t="s">
        <v>1394</v>
      </c>
      <c r="E2829" s="3">
        <v>123118</v>
      </c>
      <c r="F2829" s="3">
        <v>117764</v>
      </c>
      <c r="G2829" s="57">
        <f t="shared" si="44"/>
        <v>-4.3486736301759289E-2</v>
      </c>
      <c r="J2829" s="5" t="s">
        <v>4654</v>
      </c>
    </row>
    <row r="2830" spans="1:10" ht="25.5" x14ac:dyDescent="0.2">
      <c r="A2830" s="1" t="s">
        <v>20</v>
      </c>
      <c r="B2830" s="2" t="s">
        <v>201</v>
      </c>
      <c r="D2830" s="5" t="s">
        <v>1395</v>
      </c>
      <c r="E2830" s="3">
        <v>118584</v>
      </c>
      <c r="F2830" s="3">
        <v>118537</v>
      </c>
      <c r="G2830" s="57">
        <f t="shared" si="44"/>
        <v>-3.963435202050867E-4</v>
      </c>
      <c r="J2830" s="5" t="s">
        <v>3411</v>
      </c>
    </row>
    <row r="2831" spans="1:10" ht="25.5" x14ac:dyDescent="0.2">
      <c r="A2831" s="1" t="s">
        <v>20</v>
      </c>
      <c r="B2831" s="2" t="s">
        <v>201</v>
      </c>
      <c r="D2831" s="5" t="s">
        <v>1396</v>
      </c>
      <c r="E2831" s="3">
        <v>120294</v>
      </c>
      <c r="F2831" s="3">
        <v>120622</v>
      </c>
      <c r="G2831" s="57">
        <f t="shared" si="44"/>
        <v>2.7266530334014998E-3</v>
      </c>
      <c r="J2831" s="5" t="s">
        <v>3412</v>
      </c>
    </row>
    <row r="2832" spans="1:10" x14ac:dyDescent="0.2">
      <c r="A2832" s="1" t="s">
        <v>20</v>
      </c>
      <c r="B2832" s="2" t="s">
        <v>201</v>
      </c>
      <c r="D2832" s="5" t="s">
        <v>464</v>
      </c>
      <c r="E2832" s="3" t="s">
        <v>465</v>
      </c>
      <c r="F2832" s="3">
        <v>112500</v>
      </c>
      <c r="G2832" s="57" t="str">
        <f t="shared" si="44"/>
        <v>-</v>
      </c>
    </row>
    <row r="2833" spans="1:10" x14ac:dyDescent="0.2">
      <c r="A2833" s="1" t="s">
        <v>20</v>
      </c>
      <c r="B2833" s="2" t="s">
        <v>201</v>
      </c>
      <c r="D2833" s="5" t="s">
        <v>464</v>
      </c>
      <c r="E2833" s="3" t="s">
        <v>465</v>
      </c>
      <c r="F2833" s="3">
        <v>142500</v>
      </c>
      <c r="G2833" s="57" t="str">
        <f t="shared" si="44"/>
        <v>-</v>
      </c>
    </row>
    <row r="2834" spans="1:10" ht="25.5" x14ac:dyDescent="0.2">
      <c r="A2834" s="1" t="s">
        <v>6</v>
      </c>
      <c r="B2834" s="2" t="s">
        <v>202</v>
      </c>
      <c r="D2834" s="5" t="s">
        <v>3409</v>
      </c>
      <c r="E2834" s="3">
        <v>147672</v>
      </c>
      <c r="F2834" s="3">
        <v>149485</v>
      </c>
      <c r="G2834" s="57">
        <f t="shared" si="44"/>
        <v>1.2277208949563898E-2</v>
      </c>
      <c r="J2834" s="5" t="s">
        <v>3407</v>
      </c>
    </row>
    <row r="2835" spans="1:10" ht="25.5" x14ac:dyDescent="0.2">
      <c r="A2835" s="1" t="s">
        <v>6</v>
      </c>
      <c r="B2835" s="2" t="s">
        <v>202</v>
      </c>
      <c r="D2835" s="5" t="s">
        <v>1392</v>
      </c>
      <c r="E2835" s="3">
        <v>119053</v>
      </c>
      <c r="F2835" s="3">
        <v>121251</v>
      </c>
      <c r="G2835" s="57">
        <f t="shared" si="44"/>
        <v>1.846236550107935E-2</v>
      </c>
      <c r="J2835" s="5" t="s">
        <v>3408</v>
      </c>
    </row>
    <row r="2836" spans="1:10" ht="25.5" x14ac:dyDescent="0.2">
      <c r="A2836" s="1" t="s">
        <v>1</v>
      </c>
      <c r="B2836" s="2" t="s">
        <v>203</v>
      </c>
      <c r="C2836" s="5" t="s">
        <v>1382</v>
      </c>
      <c r="D2836" s="5" t="s">
        <v>450</v>
      </c>
      <c r="E2836" s="9">
        <f>111450+19281</f>
        <v>130731</v>
      </c>
      <c r="F2836" s="9">
        <f>114629+20225</f>
        <v>134854</v>
      </c>
      <c r="G2836" s="57">
        <f t="shared" si="44"/>
        <v>3.1538043769266659E-2</v>
      </c>
      <c r="J2836" s="5" t="s">
        <v>3401</v>
      </c>
    </row>
    <row r="2837" spans="1:10" ht="25.5" x14ac:dyDescent="0.2">
      <c r="A2837" s="1" t="s">
        <v>1</v>
      </c>
      <c r="B2837" s="2" t="s">
        <v>203</v>
      </c>
      <c r="C2837" s="5" t="s">
        <v>1383</v>
      </c>
      <c r="D2837" s="5" t="s">
        <v>1384</v>
      </c>
      <c r="E2837" s="9">
        <f>99628+17160</f>
        <v>116788</v>
      </c>
      <c r="F2837" s="9">
        <f>102184+18433</f>
        <v>120617</v>
      </c>
      <c r="G2837" s="57">
        <f t="shared" si="44"/>
        <v>3.2785902661232318E-2</v>
      </c>
      <c r="J2837" s="5" t="s">
        <v>3402</v>
      </c>
    </row>
    <row r="2838" spans="1:10" ht="25.5" x14ac:dyDescent="0.2">
      <c r="A2838" s="1" t="s">
        <v>1</v>
      </c>
      <c r="B2838" s="2" t="s">
        <v>203</v>
      </c>
      <c r="C2838" s="5" t="s">
        <v>1385</v>
      </c>
      <c r="D2838" s="5" t="s">
        <v>1386</v>
      </c>
      <c r="E2838" s="9">
        <f>85914+14863</f>
        <v>100777</v>
      </c>
      <c r="F2838" s="9">
        <f>102184+18351</f>
        <v>120535</v>
      </c>
      <c r="G2838" s="57">
        <f t="shared" si="44"/>
        <v>0.1960566399079155</v>
      </c>
      <c r="J2838" s="5" t="s">
        <v>3403</v>
      </c>
    </row>
    <row r="2839" spans="1:10" ht="25.5" x14ac:dyDescent="0.2">
      <c r="A2839" s="1" t="s">
        <v>1</v>
      </c>
      <c r="B2839" s="2" t="s">
        <v>203</v>
      </c>
      <c r="C2839" s="5" t="s">
        <v>1387</v>
      </c>
      <c r="D2839" s="5" t="s">
        <v>1388</v>
      </c>
      <c r="E2839" s="9">
        <f>88207+15260</f>
        <v>103467</v>
      </c>
      <c r="F2839" s="9">
        <f>102034+18433</f>
        <v>120467</v>
      </c>
      <c r="G2839" s="57">
        <f t="shared" si="44"/>
        <v>0.16430359438275005</v>
      </c>
      <c r="J2839" s="5" t="s">
        <v>3404</v>
      </c>
    </row>
    <row r="2840" spans="1:10" ht="25.5" x14ac:dyDescent="0.2">
      <c r="A2840" s="1" t="s">
        <v>1</v>
      </c>
      <c r="B2840" s="2" t="s">
        <v>203</v>
      </c>
      <c r="C2840" s="5" t="s">
        <v>1389</v>
      </c>
      <c r="D2840" s="5" t="s">
        <v>1390</v>
      </c>
      <c r="E2840" s="9">
        <f>99191+17160</f>
        <v>116351</v>
      </c>
      <c r="F2840" s="9">
        <f>102334+18433</f>
        <v>120767</v>
      </c>
      <c r="G2840" s="57">
        <f t="shared" si="44"/>
        <v>3.7954121580390368E-2</v>
      </c>
      <c r="J2840" s="5" t="s">
        <v>3405</v>
      </c>
    </row>
    <row r="2841" spans="1:10" ht="25.5" x14ac:dyDescent="0.2">
      <c r="A2841" s="1" t="s">
        <v>1</v>
      </c>
      <c r="B2841" s="2" t="s">
        <v>203</v>
      </c>
      <c r="C2841" s="5" t="s">
        <v>1391</v>
      </c>
      <c r="D2841" s="5" t="s">
        <v>852</v>
      </c>
      <c r="E2841" s="9">
        <f>80801+13979</f>
        <v>94780</v>
      </c>
      <c r="F2841" s="9">
        <f>85818+15016</f>
        <v>100834</v>
      </c>
      <c r="G2841" s="57">
        <f t="shared" si="44"/>
        <v>6.3874235070690025E-2</v>
      </c>
      <c r="J2841" s="5" t="s">
        <v>3406</v>
      </c>
    </row>
    <row r="2842" spans="1:10" x14ac:dyDescent="0.2">
      <c r="A2842" s="1" t="s">
        <v>1</v>
      </c>
      <c r="B2842" s="2" t="s">
        <v>203</v>
      </c>
      <c r="D2842" s="5" t="s">
        <v>464</v>
      </c>
      <c r="G2842" s="57" t="str">
        <f t="shared" si="44"/>
        <v>-</v>
      </c>
      <c r="H2842" s="19" t="s">
        <v>465</v>
      </c>
      <c r="I2842" s="19">
        <v>97500</v>
      </c>
    </row>
    <row r="2843" spans="1:10" x14ac:dyDescent="0.2">
      <c r="A2843" s="1" t="s">
        <v>1</v>
      </c>
      <c r="B2843" s="2" t="s">
        <v>203</v>
      </c>
      <c r="D2843" s="5" t="s">
        <v>464</v>
      </c>
      <c r="G2843" s="57" t="str">
        <f t="shared" si="44"/>
        <v>-</v>
      </c>
      <c r="H2843" s="19">
        <v>97500</v>
      </c>
      <c r="I2843" s="19" t="s">
        <v>465</v>
      </c>
    </row>
    <row r="2844" spans="1:10" x14ac:dyDescent="0.2">
      <c r="A2844" s="1" t="s">
        <v>1</v>
      </c>
      <c r="B2844" s="2" t="s">
        <v>203</v>
      </c>
      <c r="D2844" s="5" t="s">
        <v>464</v>
      </c>
      <c r="E2844" s="3" t="s">
        <v>465</v>
      </c>
      <c r="F2844" s="3">
        <v>107500</v>
      </c>
      <c r="G2844" s="57" t="str">
        <f t="shared" si="44"/>
        <v>-</v>
      </c>
    </row>
    <row r="2845" spans="1:10" ht="25.5" x14ac:dyDescent="0.2">
      <c r="A2845" s="1" t="s">
        <v>20</v>
      </c>
      <c r="B2845" s="2" t="s">
        <v>204</v>
      </c>
      <c r="D2845" s="5" t="s">
        <v>450</v>
      </c>
      <c r="E2845" s="3" t="s">
        <v>465</v>
      </c>
      <c r="F2845" s="3">
        <v>103614</v>
      </c>
      <c r="G2845" s="57" t="str">
        <f t="shared" si="44"/>
        <v>-</v>
      </c>
      <c r="J2845" s="5" t="s">
        <v>3400</v>
      </c>
    </row>
    <row r="2846" spans="1:10" x14ac:dyDescent="0.2">
      <c r="A2846" s="1" t="s">
        <v>44</v>
      </c>
      <c r="B2846" s="2" t="s">
        <v>205</v>
      </c>
      <c r="D2846" s="5" t="s">
        <v>470</v>
      </c>
      <c r="E2846" s="59">
        <v>141138</v>
      </c>
      <c r="F2846" s="3" t="s">
        <v>465</v>
      </c>
      <c r="G2846" s="57" t="str">
        <f t="shared" si="44"/>
        <v>-</v>
      </c>
      <c r="J2846" s="5" t="s">
        <v>3397</v>
      </c>
    </row>
    <row r="2847" spans="1:10" ht="51" x14ac:dyDescent="0.2">
      <c r="A2847" s="1" t="s">
        <v>44</v>
      </c>
      <c r="B2847" s="2" t="s">
        <v>205</v>
      </c>
      <c r="D2847" s="5" t="s">
        <v>3398</v>
      </c>
      <c r="E2847" s="59">
        <v>106545</v>
      </c>
      <c r="F2847" s="3">
        <v>97517</v>
      </c>
      <c r="G2847" s="57">
        <f t="shared" si="44"/>
        <v>-8.4734149889717961E-2</v>
      </c>
      <c r="J2847" s="5" t="s">
        <v>3399</v>
      </c>
    </row>
    <row r="2848" spans="1:10" ht="25.5" x14ac:dyDescent="0.2">
      <c r="A2848" s="1" t="s">
        <v>4</v>
      </c>
      <c r="B2848" s="2" t="s">
        <v>206</v>
      </c>
      <c r="D2848" s="5" t="s">
        <v>450</v>
      </c>
      <c r="E2848" s="9">
        <v>183937</v>
      </c>
      <c r="F2848" s="9">
        <v>184116</v>
      </c>
      <c r="G2848" s="57">
        <f t="shared" si="44"/>
        <v>9.7315928823455853E-4</v>
      </c>
      <c r="J2848" s="5" t="s">
        <v>3385</v>
      </c>
    </row>
    <row r="2849" spans="1:10" ht="38.25" x14ac:dyDescent="0.2">
      <c r="A2849" s="1" t="s">
        <v>4</v>
      </c>
      <c r="B2849" s="2" t="s">
        <v>206</v>
      </c>
      <c r="D2849" s="5" t="s">
        <v>1377</v>
      </c>
      <c r="E2849" s="9">
        <v>33932</v>
      </c>
      <c r="F2849" s="9">
        <v>156564</v>
      </c>
      <c r="G2849" s="57">
        <f t="shared" si="44"/>
        <v>3.614051632677119</v>
      </c>
      <c r="J2849" s="5" t="s">
        <v>3386</v>
      </c>
    </row>
    <row r="2850" spans="1:10" ht="38.25" x14ac:dyDescent="0.2">
      <c r="A2850" s="1" t="s">
        <v>4</v>
      </c>
      <c r="B2850" s="2" t="s">
        <v>206</v>
      </c>
      <c r="D2850" s="5" t="s">
        <v>1378</v>
      </c>
      <c r="E2850" s="9">
        <v>28571</v>
      </c>
      <c r="F2850" s="9">
        <v>133782</v>
      </c>
      <c r="G2850" s="57">
        <f t="shared" si="44"/>
        <v>3.6824402366035489</v>
      </c>
      <c r="J2850" s="5" t="s">
        <v>3387</v>
      </c>
    </row>
    <row r="2851" spans="1:10" ht="38.25" x14ac:dyDescent="0.2">
      <c r="A2851" s="1" t="s">
        <v>4</v>
      </c>
      <c r="B2851" s="2" t="s">
        <v>206</v>
      </c>
      <c r="D2851" s="5" t="s">
        <v>1094</v>
      </c>
      <c r="E2851" s="9" t="s">
        <v>465</v>
      </c>
      <c r="F2851" s="9">
        <v>103581</v>
      </c>
      <c r="G2851" s="57" t="str">
        <f t="shared" si="44"/>
        <v>-</v>
      </c>
      <c r="J2851" s="5" t="s">
        <v>3388</v>
      </c>
    </row>
    <row r="2852" spans="1:10" ht="25.5" x14ac:dyDescent="0.2">
      <c r="A2852" s="1" t="s">
        <v>4</v>
      </c>
      <c r="B2852" s="2" t="s">
        <v>206</v>
      </c>
      <c r="D2852" s="5" t="s">
        <v>1379</v>
      </c>
      <c r="E2852" s="9">
        <v>185405</v>
      </c>
      <c r="F2852" s="9">
        <v>181121</v>
      </c>
      <c r="G2852" s="57">
        <f t="shared" si="44"/>
        <v>-2.3106172972681426E-2</v>
      </c>
      <c r="J2852" s="5" t="s">
        <v>3389</v>
      </c>
    </row>
    <row r="2853" spans="1:10" x14ac:dyDescent="0.2">
      <c r="A2853" s="1" t="s">
        <v>4</v>
      </c>
      <c r="B2853" s="2" t="s">
        <v>206</v>
      </c>
      <c r="D2853" s="5" t="s">
        <v>1380</v>
      </c>
      <c r="E2853" s="9">
        <v>133384</v>
      </c>
      <c r="F2853" s="9">
        <v>134487</v>
      </c>
      <c r="G2853" s="57">
        <f t="shared" si="44"/>
        <v>8.2693576440952439E-3</v>
      </c>
      <c r="J2853" s="5" t="s">
        <v>3390</v>
      </c>
    </row>
    <row r="2854" spans="1:10" ht="25.5" x14ac:dyDescent="0.2">
      <c r="A2854" s="1" t="s">
        <v>4</v>
      </c>
      <c r="B2854" s="2" t="s">
        <v>206</v>
      </c>
      <c r="D2854" s="5" t="s">
        <v>452</v>
      </c>
      <c r="E2854" s="9">
        <v>124392</v>
      </c>
      <c r="F2854" s="9">
        <v>123937</v>
      </c>
      <c r="G2854" s="57">
        <f t="shared" si="44"/>
        <v>-3.6577914978455205E-3</v>
      </c>
      <c r="J2854" s="5" t="s">
        <v>3391</v>
      </c>
    </row>
    <row r="2855" spans="1:10" ht="146.25" customHeight="1" x14ac:dyDescent="0.2">
      <c r="A2855" s="1" t="s">
        <v>4</v>
      </c>
      <c r="B2855" s="2" t="s">
        <v>206</v>
      </c>
      <c r="D2855" s="5" t="s">
        <v>515</v>
      </c>
      <c r="E2855" s="9">
        <v>149732</v>
      </c>
      <c r="F2855" s="9">
        <v>142976</v>
      </c>
      <c r="G2855" s="57">
        <f t="shared" si="44"/>
        <v>-4.5120615499692783E-2</v>
      </c>
      <c r="J2855" s="5" t="s">
        <v>3393</v>
      </c>
    </row>
    <row r="2856" spans="1:10" ht="38.25" x14ac:dyDescent="0.2">
      <c r="A2856" s="1" t="s">
        <v>4</v>
      </c>
      <c r="B2856" s="2" t="s">
        <v>206</v>
      </c>
      <c r="D2856" s="5" t="s">
        <v>604</v>
      </c>
      <c r="E2856" s="9">
        <v>107199</v>
      </c>
      <c r="F2856" s="9">
        <v>97631</v>
      </c>
      <c r="G2856" s="57">
        <f t="shared" si="44"/>
        <v>-8.9254563941827819E-2</v>
      </c>
      <c r="J2856" s="5" t="s">
        <v>3392</v>
      </c>
    </row>
    <row r="2857" spans="1:10" x14ac:dyDescent="0.2">
      <c r="A2857" s="1" t="s">
        <v>4</v>
      </c>
      <c r="B2857" s="2" t="s">
        <v>206</v>
      </c>
      <c r="D2857" s="5" t="s">
        <v>1381</v>
      </c>
      <c r="E2857" s="9">
        <v>111714</v>
      </c>
      <c r="F2857" s="9">
        <v>112486</v>
      </c>
      <c r="G2857" s="57">
        <f t="shared" si="44"/>
        <v>6.9105036074261061E-3</v>
      </c>
      <c r="J2857" s="5" t="s">
        <v>3394</v>
      </c>
    </row>
    <row r="2858" spans="1:10" ht="25.5" x14ac:dyDescent="0.2">
      <c r="A2858" s="1" t="s">
        <v>4</v>
      </c>
      <c r="B2858" s="2" t="s">
        <v>206</v>
      </c>
      <c r="D2858" s="5" t="s">
        <v>4655</v>
      </c>
      <c r="E2858" s="9">
        <v>109623</v>
      </c>
      <c r="F2858" s="9">
        <v>110644</v>
      </c>
      <c r="G2858" s="57">
        <f t="shared" si="44"/>
        <v>9.313738905156764E-3</v>
      </c>
      <c r="J2858" s="5" t="s">
        <v>3395</v>
      </c>
    </row>
    <row r="2859" spans="1:10" x14ac:dyDescent="0.2">
      <c r="A2859" s="1" t="s">
        <v>4</v>
      </c>
      <c r="B2859" s="2" t="s">
        <v>206</v>
      </c>
      <c r="D2859" s="5" t="s">
        <v>464</v>
      </c>
      <c r="G2859" s="57" t="str">
        <f t="shared" si="44"/>
        <v>-</v>
      </c>
      <c r="H2859" s="19">
        <v>92500</v>
      </c>
      <c r="I2859" s="19" t="s">
        <v>465</v>
      </c>
      <c r="J2859" s="5" t="s">
        <v>3396</v>
      </c>
    </row>
    <row r="2860" spans="1:10" x14ac:dyDescent="0.2">
      <c r="A2860" s="1" t="s">
        <v>4</v>
      </c>
      <c r="B2860" s="2" t="s">
        <v>206</v>
      </c>
      <c r="D2860" s="5" t="s">
        <v>464</v>
      </c>
      <c r="G2860" s="57" t="str">
        <f t="shared" si="44"/>
        <v>-</v>
      </c>
      <c r="H2860" s="19">
        <v>92500</v>
      </c>
      <c r="I2860" s="19" t="s">
        <v>465</v>
      </c>
    </row>
    <row r="2861" spans="1:10" x14ac:dyDescent="0.2">
      <c r="A2861" s="1" t="s">
        <v>4</v>
      </c>
      <c r="B2861" s="2" t="s">
        <v>206</v>
      </c>
      <c r="D2861" s="5" t="s">
        <v>464</v>
      </c>
      <c r="G2861" s="57" t="str">
        <f t="shared" si="44"/>
        <v>-</v>
      </c>
      <c r="H2861" s="19">
        <v>92500</v>
      </c>
      <c r="I2861" s="19" t="s">
        <v>465</v>
      </c>
    </row>
    <row r="2862" spans="1:10" x14ac:dyDescent="0.2">
      <c r="A2862" s="1" t="s">
        <v>4</v>
      </c>
      <c r="B2862" s="2" t="s">
        <v>206</v>
      </c>
      <c r="D2862" s="5" t="s">
        <v>464</v>
      </c>
      <c r="G2862" s="57" t="str">
        <f t="shared" si="44"/>
        <v>-</v>
      </c>
      <c r="H2862" s="19">
        <v>92500</v>
      </c>
      <c r="I2862" s="19" t="s">
        <v>465</v>
      </c>
    </row>
    <row r="2863" spans="1:10" x14ac:dyDescent="0.2">
      <c r="A2863" s="1" t="s">
        <v>4</v>
      </c>
      <c r="B2863" s="2" t="s">
        <v>206</v>
      </c>
      <c r="D2863" s="5" t="s">
        <v>464</v>
      </c>
      <c r="G2863" s="57" t="str">
        <f t="shared" si="44"/>
        <v>-</v>
      </c>
      <c r="H2863" s="19" t="s">
        <v>465</v>
      </c>
      <c r="I2863" s="19">
        <v>92500</v>
      </c>
    </row>
    <row r="2864" spans="1:10" x14ac:dyDescent="0.2">
      <c r="A2864" s="1" t="s">
        <v>4</v>
      </c>
      <c r="B2864" s="2" t="s">
        <v>206</v>
      </c>
      <c r="D2864" s="5" t="s">
        <v>464</v>
      </c>
      <c r="G2864" s="57" t="str">
        <f t="shared" si="44"/>
        <v>-</v>
      </c>
      <c r="H2864" s="19" t="s">
        <v>465</v>
      </c>
      <c r="I2864" s="19">
        <v>92500</v>
      </c>
    </row>
    <row r="2865" spans="1:10" x14ac:dyDescent="0.2">
      <c r="A2865" s="1" t="s">
        <v>4</v>
      </c>
      <c r="B2865" s="2" t="s">
        <v>206</v>
      </c>
      <c r="D2865" s="5" t="s">
        <v>464</v>
      </c>
      <c r="G2865" s="57" t="str">
        <f t="shared" si="44"/>
        <v>-</v>
      </c>
      <c r="H2865" s="19" t="s">
        <v>465</v>
      </c>
      <c r="I2865" s="19">
        <v>92500</v>
      </c>
    </row>
    <row r="2866" spans="1:10" x14ac:dyDescent="0.2">
      <c r="A2866" s="1" t="s">
        <v>4</v>
      </c>
      <c r="B2866" s="2" t="s">
        <v>206</v>
      </c>
      <c r="D2866" s="5" t="s">
        <v>464</v>
      </c>
      <c r="G2866" s="57" t="str">
        <f t="shared" si="44"/>
        <v>-</v>
      </c>
      <c r="H2866" s="19" t="s">
        <v>465</v>
      </c>
      <c r="I2866" s="19">
        <v>97500</v>
      </c>
    </row>
    <row r="2867" spans="1:10" ht="25.5" x14ac:dyDescent="0.2">
      <c r="A2867" s="1" t="s">
        <v>34</v>
      </c>
      <c r="B2867" s="2" t="s">
        <v>207</v>
      </c>
      <c r="D2867" s="5" t="s">
        <v>450</v>
      </c>
      <c r="E2867" s="3">
        <v>90852</v>
      </c>
      <c r="F2867" s="3">
        <v>104854</v>
      </c>
      <c r="G2867" s="57">
        <f t="shared" si="44"/>
        <v>0.15411878659798353</v>
      </c>
      <c r="J2867" s="5" t="s">
        <v>3384</v>
      </c>
    </row>
    <row r="2868" spans="1:10" ht="25.5" x14ac:dyDescent="0.2">
      <c r="A2868" s="1" t="s">
        <v>25</v>
      </c>
      <c r="B2868" s="2" t="s">
        <v>208</v>
      </c>
      <c r="C2868" s="5" t="s">
        <v>1373</v>
      </c>
      <c r="D2868" s="5" t="s">
        <v>450</v>
      </c>
      <c r="E2868" s="9">
        <v>222868</v>
      </c>
      <c r="F2868" s="9">
        <f>210000+13834.75</f>
        <v>223834.75</v>
      </c>
      <c r="G2868" s="57">
        <f t="shared" si="44"/>
        <v>4.3377694420015439E-3</v>
      </c>
      <c r="J2868" s="5" t="s">
        <v>3377</v>
      </c>
    </row>
    <row r="2869" spans="1:10" ht="25.5" x14ac:dyDescent="0.2">
      <c r="A2869" s="1" t="s">
        <v>25</v>
      </c>
      <c r="B2869" s="2" t="s">
        <v>208</v>
      </c>
      <c r="D2869" s="5" t="s">
        <v>1061</v>
      </c>
      <c r="E2869" s="9">
        <v>166279</v>
      </c>
      <c r="F2869" s="9">
        <f>164412+250</f>
        <v>164662</v>
      </c>
      <c r="G2869" s="57">
        <f t="shared" si="44"/>
        <v>-9.7246194648753E-3</v>
      </c>
      <c r="J2869" s="5" t="s">
        <v>3379</v>
      </c>
    </row>
    <row r="2870" spans="1:10" x14ac:dyDescent="0.2">
      <c r="A2870" s="1" t="s">
        <v>25</v>
      </c>
      <c r="B2870" s="2" t="s">
        <v>208</v>
      </c>
      <c r="D2870" s="5" t="s">
        <v>562</v>
      </c>
      <c r="E2870" s="9">
        <v>107762</v>
      </c>
      <c r="F2870" s="9" t="s">
        <v>465</v>
      </c>
      <c r="G2870" s="57" t="str">
        <f t="shared" si="44"/>
        <v>-</v>
      </c>
      <c r="J2870" s="5" t="s">
        <v>3383</v>
      </c>
    </row>
    <row r="2871" spans="1:10" ht="25.5" x14ac:dyDescent="0.2">
      <c r="A2871" s="1" t="s">
        <v>25</v>
      </c>
      <c r="B2871" s="2" t="s">
        <v>208</v>
      </c>
      <c r="D2871" s="5" t="s">
        <v>1374</v>
      </c>
      <c r="E2871" s="9">
        <v>151290</v>
      </c>
      <c r="F2871" s="9">
        <v>151290</v>
      </c>
      <c r="G2871" s="57">
        <f t="shared" si="44"/>
        <v>0</v>
      </c>
      <c r="J2871" s="5" t="s">
        <v>3378</v>
      </c>
    </row>
    <row r="2872" spans="1:10" ht="25.5" x14ac:dyDescent="0.2">
      <c r="A2872" s="1" t="s">
        <v>25</v>
      </c>
      <c r="B2872" s="2" t="s">
        <v>208</v>
      </c>
      <c r="D2872" s="5" t="s">
        <v>1375</v>
      </c>
      <c r="E2872" s="9">
        <v>132246</v>
      </c>
      <c r="F2872" s="9">
        <f>137703+650</f>
        <v>138353</v>
      </c>
      <c r="G2872" s="57">
        <f t="shared" si="44"/>
        <v>4.6179090482887951E-2</v>
      </c>
      <c r="J2872" s="5" t="s">
        <v>3380</v>
      </c>
    </row>
    <row r="2873" spans="1:10" ht="25.5" x14ac:dyDescent="0.2">
      <c r="A2873" s="1" t="s">
        <v>25</v>
      </c>
      <c r="B2873" s="2" t="s">
        <v>208</v>
      </c>
      <c r="D2873" s="5" t="s">
        <v>1376</v>
      </c>
      <c r="E2873" s="9">
        <v>148615</v>
      </c>
      <c r="F2873" s="9">
        <f>148615+5316</f>
        <v>153931</v>
      </c>
      <c r="G2873" s="57">
        <f t="shared" si="44"/>
        <v>3.5770278908589311E-2</v>
      </c>
      <c r="J2873" s="5" t="s">
        <v>3381</v>
      </c>
    </row>
    <row r="2874" spans="1:10" ht="25.5" x14ac:dyDescent="0.2">
      <c r="A2874" s="1" t="s">
        <v>25</v>
      </c>
      <c r="B2874" s="2" t="s">
        <v>208</v>
      </c>
      <c r="D2874" s="5" t="s">
        <v>1064</v>
      </c>
      <c r="E2874" s="9">
        <v>145970</v>
      </c>
      <c r="F2874" s="9">
        <f>148648+650</f>
        <v>149298</v>
      </c>
      <c r="G2874" s="57">
        <f t="shared" si="44"/>
        <v>2.2799205316160854E-2</v>
      </c>
      <c r="J2874" s="5" t="s">
        <v>3382</v>
      </c>
    </row>
    <row r="2875" spans="1:10" x14ac:dyDescent="0.2">
      <c r="A2875" s="1" t="s">
        <v>25</v>
      </c>
      <c r="B2875" s="2" t="s">
        <v>208</v>
      </c>
      <c r="D2875" s="5" t="s">
        <v>464</v>
      </c>
      <c r="G2875" s="57" t="str">
        <f t="shared" si="44"/>
        <v>-</v>
      </c>
      <c r="H2875" s="19">
        <v>92500</v>
      </c>
      <c r="I2875" s="19" t="s">
        <v>465</v>
      </c>
    </row>
    <row r="2876" spans="1:10" x14ac:dyDescent="0.2">
      <c r="A2876" s="1" t="s">
        <v>25</v>
      </c>
      <c r="B2876" s="2" t="s">
        <v>208</v>
      </c>
      <c r="D2876" s="5" t="s">
        <v>464</v>
      </c>
      <c r="G2876" s="57" t="str">
        <f t="shared" si="44"/>
        <v>-</v>
      </c>
      <c r="H2876" s="19">
        <v>92500</v>
      </c>
      <c r="I2876" s="19" t="s">
        <v>465</v>
      </c>
    </row>
    <row r="2877" spans="1:10" x14ac:dyDescent="0.2">
      <c r="A2877" s="1" t="s">
        <v>25</v>
      </c>
      <c r="B2877" s="2" t="s">
        <v>208</v>
      </c>
      <c r="D2877" s="5" t="s">
        <v>464</v>
      </c>
      <c r="G2877" s="57" t="str">
        <f t="shared" si="44"/>
        <v>-</v>
      </c>
      <c r="H2877" s="19">
        <v>92500</v>
      </c>
      <c r="I2877" s="19" t="s">
        <v>465</v>
      </c>
    </row>
    <row r="2878" spans="1:10" x14ac:dyDescent="0.2">
      <c r="A2878" s="1" t="s">
        <v>25</v>
      </c>
      <c r="B2878" s="2" t="s">
        <v>208</v>
      </c>
      <c r="D2878" s="5" t="s">
        <v>464</v>
      </c>
      <c r="G2878" s="57" t="str">
        <f t="shared" si="44"/>
        <v>-</v>
      </c>
      <c r="H2878" s="19">
        <v>92500</v>
      </c>
      <c r="I2878" s="19" t="s">
        <v>465</v>
      </c>
    </row>
    <row r="2879" spans="1:10" x14ac:dyDescent="0.2">
      <c r="A2879" s="1" t="s">
        <v>25</v>
      </c>
      <c r="B2879" s="2" t="s">
        <v>208</v>
      </c>
      <c r="D2879" s="5" t="s">
        <v>464</v>
      </c>
      <c r="G2879" s="57" t="str">
        <f t="shared" si="44"/>
        <v>-</v>
      </c>
      <c r="H2879" s="19" t="s">
        <v>465</v>
      </c>
      <c r="I2879" s="19">
        <v>92500</v>
      </c>
    </row>
    <row r="2880" spans="1:10" x14ac:dyDescent="0.2">
      <c r="A2880" s="1" t="s">
        <v>25</v>
      </c>
      <c r="B2880" s="2" t="s">
        <v>208</v>
      </c>
      <c r="D2880" s="5" t="s">
        <v>464</v>
      </c>
      <c r="G2880" s="57" t="str">
        <f t="shared" si="44"/>
        <v>-</v>
      </c>
      <c r="H2880" s="19" t="s">
        <v>465</v>
      </c>
      <c r="I2880" s="19">
        <v>92500</v>
      </c>
    </row>
    <row r="2881" spans="1:9" s="1" customFormat="1" x14ac:dyDescent="0.2">
      <c r="A2881" s="1" t="s">
        <v>25</v>
      </c>
      <c r="B2881" s="2" t="s">
        <v>208</v>
      </c>
      <c r="C2881" s="5"/>
      <c r="D2881" s="5" t="s">
        <v>464</v>
      </c>
      <c r="E2881" s="3"/>
      <c r="F2881" s="3"/>
      <c r="G2881" s="57" t="str">
        <f t="shared" si="44"/>
        <v>-</v>
      </c>
      <c r="H2881" s="19" t="s">
        <v>465</v>
      </c>
      <c r="I2881" s="19">
        <v>92500</v>
      </c>
    </row>
    <row r="2882" spans="1:9" s="1" customFormat="1" x14ac:dyDescent="0.2">
      <c r="A2882" s="1" t="s">
        <v>25</v>
      </c>
      <c r="B2882" s="2" t="s">
        <v>208</v>
      </c>
      <c r="C2882" s="5"/>
      <c r="D2882" s="5" t="s">
        <v>464</v>
      </c>
      <c r="E2882" s="3"/>
      <c r="F2882" s="3"/>
      <c r="G2882" s="57" t="str">
        <f t="shared" si="44"/>
        <v>-</v>
      </c>
      <c r="H2882" s="19" t="s">
        <v>465</v>
      </c>
      <c r="I2882" s="19">
        <v>92500</v>
      </c>
    </row>
    <row r="2883" spans="1:9" s="1" customFormat="1" x14ac:dyDescent="0.2">
      <c r="A2883" s="1" t="s">
        <v>25</v>
      </c>
      <c r="B2883" s="2" t="s">
        <v>208</v>
      </c>
      <c r="C2883" s="5"/>
      <c r="D2883" s="5" t="s">
        <v>464</v>
      </c>
      <c r="E2883" s="3"/>
      <c r="F2883" s="3"/>
      <c r="G2883" s="57" t="str">
        <f t="shared" ref="G2883:G2946" si="45">IF(ISERROR((F2883-E2883)/E2883),"-",(F2883-E2883)/E2883)</f>
        <v>-</v>
      </c>
      <c r="H2883" s="19">
        <v>97500</v>
      </c>
      <c r="I2883" s="19" t="s">
        <v>465</v>
      </c>
    </row>
    <row r="2884" spans="1:9" s="1" customFormat="1" x14ac:dyDescent="0.2">
      <c r="A2884" s="1" t="s">
        <v>25</v>
      </c>
      <c r="B2884" s="2" t="s">
        <v>208</v>
      </c>
      <c r="C2884" s="5"/>
      <c r="D2884" s="5" t="s">
        <v>464</v>
      </c>
      <c r="E2884" s="3"/>
      <c r="F2884" s="3"/>
      <c r="G2884" s="57" t="str">
        <f t="shared" si="45"/>
        <v>-</v>
      </c>
      <c r="H2884" s="19">
        <v>97500</v>
      </c>
      <c r="I2884" s="19" t="s">
        <v>465</v>
      </c>
    </row>
    <row r="2885" spans="1:9" s="1" customFormat="1" x14ac:dyDescent="0.2">
      <c r="A2885" s="1" t="s">
        <v>25</v>
      </c>
      <c r="B2885" s="2" t="s">
        <v>208</v>
      </c>
      <c r="C2885" s="5"/>
      <c r="D2885" s="5" t="s">
        <v>464</v>
      </c>
      <c r="E2885" s="3">
        <v>102500</v>
      </c>
      <c r="F2885" s="3" t="s">
        <v>465</v>
      </c>
      <c r="G2885" s="57" t="str">
        <f t="shared" si="45"/>
        <v>-</v>
      </c>
      <c r="H2885" s="19"/>
      <c r="I2885" s="19"/>
    </row>
    <row r="2886" spans="1:9" s="1" customFormat="1" x14ac:dyDescent="0.2">
      <c r="A2886" s="1" t="s">
        <v>25</v>
      </c>
      <c r="B2886" s="2" t="s">
        <v>208</v>
      </c>
      <c r="C2886" s="5"/>
      <c r="D2886" s="5" t="s">
        <v>464</v>
      </c>
      <c r="E2886" s="3">
        <v>102500</v>
      </c>
      <c r="F2886" s="3" t="s">
        <v>465</v>
      </c>
      <c r="G2886" s="57" t="str">
        <f t="shared" si="45"/>
        <v>-</v>
      </c>
      <c r="H2886" s="19"/>
      <c r="I2886" s="19"/>
    </row>
    <row r="2887" spans="1:9" s="1" customFormat="1" x14ac:dyDescent="0.2">
      <c r="A2887" s="1" t="s">
        <v>25</v>
      </c>
      <c r="B2887" s="2" t="s">
        <v>208</v>
      </c>
      <c r="C2887" s="5"/>
      <c r="D2887" s="5" t="s">
        <v>464</v>
      </c>
      <c r="E2887" s="3">
        <v>102500</v>
      </c>
      <c r="F2887" s="3" t="s">
        <v>465</v>
      </c>
      <c r="G2887" s="57" t="str">
        <f t="shared" si="45"/>
        <v>-</v>
      </c>
      <c r="H2887" s="19"/>
      <c r="I2887" s="19"/>
    </row>
    <row r="2888" spans="1:9" s="1" customFormat="1" x14ac:dyDescent="0.2">
      <c r="A2888" s="1" t="s">
        <v>25</v>
      </c>
      <c r="B2888" s="2" t="s">
        <v>208</v>
      </c>
      <c r="C2888" s="5"/>
      <c r="D2888" s="5" t="s">
        <v>464</v>
      </c>
      <c r="E2888" s="3">
        <v>102500</v>
      </c>
      <c r="F2888" s="3" t="s">
        <v>465</v>
      </c>
      <c r="G2888" s="57" t="str">
        <f t="shared" si="45"/>
        <v>-</v>
      </c>
      <c r="H2888" s="19"/>
      <c r="I2888" s="19"/>
    </row>
    <row r="2889" spans="1:9" s="1" customFormat="1" x14ac:dyDescent="0.2">
      <c r="A2889" s="1" t="s">
        <v>25</v>
      </c>
      <c r="B2889" s="2" t="s">
        <v>208</v>
      </c>
      <c r="C2889" s="5"/>
      <c r="D2889" s="5" t="s">
        <v>464</v>
      </c>
      <c r="E2889" s="3">
        <v>102500</v>
      </c>
      <c r="F2889" s="3" t="s">
        <v>465</v>
      </c>
      <c r="G2889" s="57" t="str">
        <f t="shared" si="45"/>
        <v>-</v>
      </c>
      <c r="H2889" s="19"/>
      <c r="I2889" s="19"/>
    </row>
    <row r="2890" spans="1:9" s="1" customFormat="1" x14ac:dyDescent="0.2">
      <c r="A2890" s="1" t="s">
        <v>25</v>
      </c>
      <c r="B2890" s="2" t="s">
        <v>208</v>
      </c>
      <c r="C2890" s="5"/>
      <c r="D2890" s="5" t="s">
        <v>464</v>
      </c>
      <c r="E2890" s="3">
        <v>102500</v>
      </c>
      <c r="F2890" s="3" t="s">
        <v>465</v>
      </c>
      <c r="G2890" s="57" t="str">
        <f t="shared" si="45"/>
        <v>-</v>
      </c>
      <c r="H2890" s="19"/>
      <c r="I2890" s="19"/>
    </row>
    <row r="2891" spans="1:9" s="1" customFormat="1" x14ac:dyDescent="0.2">
      <c r="A2891" s="1" t="s">
        <v>25</v>
      </c>
      <c r="B2891" s="2" t="s">
        <v>208</v>
      </c>
      <c r="C2891" s="5"/>
      <c r="D2891" s="5" t="s">
        <v>464</v>
      </c>
      <c r="E2891" s="3">
        <v>102500</v>
      </c>
      <c r="F2891" s="3" t="s">
        <v>465</v>
      </c>
      <c r="G2891" s="57" t="str">
        <f t="shared" si="45"/>
        <v>-</v>
      </c>
      <c r="H2891" s="19"/>
      <c r="I2891" s="19"/>
    </row>
    <row r="2892" spans="1:9" s="1" customFormat="1" x14ac:dyDescent="0.2">
      <c r="A2892" s="1" t="s">
        <v>25</v>
      </c>
      <c r="B2892" s="2" t="s">
        <v>208</v>
      </c>
      <c r="C2892" s="5"/>
      <c r="D2892" s="5" t="s">
        <v>464</v>
      </c>
      <c r="E2892" s="3">
        <v>102500</v>
      </c>
      <c r="F2892" s="3" t="s">
        <v>465</v>
      </c>
      <c r="G2892" s="57" t="str">
        <f t="shared" si="45"/>
        <v>-</v>
      </c>
      <c r="H2892" s="19"/>
      <c r="I2892" s="19"/>
    </row>
    <row r="2893" spans="1:9" s="1" customFormat="1" x14ac:dyDescent="0.2">
      <c r="A2893" s="1" t="s">
        <v>25</v>
      </c>
      <c r="B2893" s="2" t="s">
        <v>208</v>
      </c>
      <c r="C2893" s="5"/>
      <c r="D2893" s="5" t="s">
        <v>464</v>
      </c>
      <c r="E2893" s="3">
        <v>102500</v>
      </c>
      <c r="F2893" s="3" t="s">
        <v>465</v>
      </c>
      <c r="G2893" s="57" t="str">
        <f t="shared" si="45"/>
        <v>-</v>
      </c>
      <c r="H2893" s="19"/>
      <c r="I2893" s="19"/>
    </row>
    <row r="2894" spans="1:9" s="1" customFormat="1" x14ac:dyDescent="0.2">
      <c r="A2894" s="1" t="s">
        <v>25</v>
      </c>
      <c r="B2894" s="2" t="s">
        <v>208</v>
      </c>
      <c r="C2894" s="5"/>
      <c r="D2894" s="5" t="s">
        <v>464</v>
      </c>
      <c r="E2894" s="3" t="s">
        <v>465</v>
      </c>
      <c r="F2894" s="3">
        <v>102500</v>
      </c>
      <c r="G2894" s="57" t="str">
        <f t="shared" si="45"/>
        <v>-</v>
      </c>
      <c r="H2894" s="19"/>
      <c r="I2894" s="19"/>
    </row>
    <row r="2895" spans="1:9" s="1" customFormat="1" x14ac:dyDescent="0.2">
      <c r="A2895" s="1" t="s">
        <v>25</v>
      </c>
      <c r="B2895" s="2" t="s">
        <v>208</v>
      </c>
      <c r="C2895" s="5"/>
      <c r="D2895" s="5" t="s">
        <v>464</v>
      </c>
      <c r="E2895" s="3" t="s">
        <v>465</v>
      </c>
      <c r="F2895" s="3">
        <v>102500</v>
      </c>
      <c r="G2895" s="57" t="str">
        <f t="shared" si="45"/>
        <v>-</v>
      </c>
      <c r="H2895" s="19"/>
      <c r="I2895" s="19"/>
    </row>
    <row r="2896" spans="1:9" s="1" customFormat="1" x14ac:dyDescent="0.2">
      <c r="A2896" s="1" t="s">
        <v>25</v>
      </c>
      <c r="B2896" s="2" t="s">
        <v>208</v>
      </c>
      <c r="C2896" s="5"/>
      <c r="D2896" s="5" t="s">
        <v>464</v>
      </c>
      <c r="E2896" s="3" t="s">
        <v>465</v>
      </c>
      <c r="F2896" s="3">
        <v>102500</v>
      </c>
      <c r="G2896" s="57" t="str">
        <f t="shared" si="45"/>
        <v>-</v>
      </c>
      <c r="H2896" s="19"/>
      <c r="I2896" s="19"/>
    </row>
    <row r="2897" spans="1:9" s="1" customFormat="1" x14ac:dyDescent="0.2">
      <c r="A2897" s="1" t="s">
        <v>25</v>
      </c>
      <c r="B2897" s="2" t="s">
        <v>208</v>
      </c>
      <c r="C2897" s="5"/>
      <c r="D2897" s="5" t="s">
        <v>464</v>
      </c>
      <c r="E2897" s="3" t="s">
        <v>465</v>
      </c>
      <c r="F2897" s="3">
        <v>102500</v>
      </c>
      <c r="G2897" s="57" t="str">
        <f t="shared" si="45"/>
        <v>-</v>
      </c>
      <c r="H2897" s="4"/>
      <c r="I2897" s="4"/>
    </row>
    <row r="2898" spans="1:9" s="1" customFormat="1" x14ac:dyDescent="0.2">
      <c r="A2898" s="1" t="s">
        <v>25</v>
      </c>
      <c r="B2898" s="2" t="s">
        <v>208</v>
      </c>
      <c r="C2898" s="5"/>
      <c r="D2898" s="5" t="s">
        <v>464</v>
      </c>
      <c r="E2898" s="3" t="s">
        <v>465</v>
      </c>
      <c r="F2898" s="3">
        <v>102500</v>
      </c>
      <c r="G2898" s="57" t="str">
        <f t="shared" si="45"/>
        <v>-</v>
      </c>
      <c r="H2898" s="4"/>
      <c r="I2898" s="4"/>
    </row>
    <row r="2899" spans="1:9" s="1" customFormat="1" x14ac:dyDescent="0.2">
      <c r="A2899" s="1" t="s">
        <v>25</v>
      </c>
      <c r="B2899" s="2" t="s">
        <v>208</v>
      </c>
      <c r="C2899" s="5"/>
      <c r="D2899" s="5" t="s">
        <v>464</v>
      </c>
      <c r="E2899" s="3" t="s">
        <v>465</v>
      </c>
      <c r="F2899" s="3">
        <v>102500</v>
      </c>
      <c r="G2899" s="57" t="str">
        <f t="shared" si="45"/>
        <v>-</v>
      </c>
      <c r="H2899" s="4"/>
      <c r="I2899" s="4"/>
    </row>
    <row r="2900" spans="1:9" s="1" customFormat="1" x14ac:dyDescent="0.2">
      <c r="A2900" s="1" t="s">
        <v>25</v>
      </c>
      <c r="B2900" s="2" t="s">
        <v>208</v>
      </c>
      <c r="C2900" s="5"/>
      <c r="D2900" s="5" t="s">
        <v>464</v>
      </c>
      <c r="E2900" s="3" t="s">
        <v>465</v>
      </c>
      <c r="F2900" s="3">
        <v>102500</v>
      </c>
      <c r="G2900" s="57" t="str">
        <f t="shared" si="45"/>
        <v>-</v>
      </c>
      <c r="H2900" s="4"/>
      <c r="I2900" s="4"/>
    </row>
    <row r="2901" spans="1:9" s="1" customFormat="1" x14ac:dyDescent="0.2">
      <c r="A2901" s="1" t="s">
        <v>25</v>
      </c>
      <c r="B2901" s="2" t="s">
        <v>208</v>
      </c>
      <c r="C2901" s="5"/>
      <c r="D2901" s="5" t="s">
        <v>464</v>
      </c>
      <c r="E2901" s="3" t="s">
        <v>465</v>
      </c>
      <c r="F2901" s="3">
        <v>102500</v>
      </c>
      <c r="G2901" s="57" t="str">
        <f t="shared" si="45"/>
        <v>-</v>
      </c>
      <c r="H2901" s="4"/>
      <c r="I2901" s="4"/>
    </row>
    <row r="2902" spans="1:9" s="1" customFormat="1" x14ac:dyDescent="0.2">
      <c r="A2902" s="1" t="s">
        <v>25</v>
      </c>
      <c r="B2902" s="2" t="s">
        <v>208</v>
      </c>
      <c r="C2902" s="5"/>
      <c r="D2902" s="5" t="s">
        <v>464</v>
      </c>
      <c r="E2902" s="3" t="s">
        <v>465</v>
      </c>
      <c r="F2902" s="3">
        <v>102500</v>
      </c>
      <c r="G2902" s="57" t="str">
        <f t="shared" si="45"/>
        <v>-</v>
      </c>
      <c r="H2902" s="4"/>
      <c r="I2902" s="4"/>
    </row>
    <row r="2903" spans="1:9" s="1" customFormat="1" x14ac:dyDescent="0.2">
      <c r="A2903" s="1" t="s">
        <v>25</v>
      </c>
      <c r="B2903" s="2" t="s">
        <v>208</v>
      </c>
      <c r="C2903" s="5"/>
      <c r="D2903" s="5" t="s">
        <v>464</v>
      </c>
      <c r="E2903" s="3" t="s">
        <v>465</v>
      </c>
      <c r="F2903" s="3">
        <v>102500</v>
      </c>
      <c r="G2903" s="57" t="str">
        <f t="shared" si="45"/>
        <v>-</v>
      </c>
      <c r="H2903" s="4"/>
      <c r="I2903" s="4"/>
    </row>
    <row r="2904" spans="1:9" s="1" customFormat="1" x14ac:dyDescent="0.2">
      <c r="A2904" s="1" t="s">
        <v>25</v>
      </c>
      <c r="B2904" s="2" t="s">
        <v>208</v>
      </c>
      <c r="C2904" s="5"/>
      <c r="D2904" s="5" t="s">
        <v>464</v>
      </c>
      <c r="E2904" s="3" t="s">
        <v>465</v>
      </c>
      <c r="F2904" s="3">
        <v>102500</v>
      </c>
      <c r="G2904" s="57" t="str">
        <f t="shared" si="45"/>
        <v>-</v>
      </c>
      <c r="H2904" s="4"/>
      <c r="I2904" s="4"/>
    </row>
    <row r="2905" spans="1:9" s="1" customFormat="1" x14ac:dyDescent="0.2">
      <c r="A2905" s="1" t="s">
        <v>25</v>
      </c>
      <c r="B2905" s="2" t="s">
        <v>208</v>
      </c>
      <c r="C2905" s="5"/>
      <c r="D2905" s="5" t="s">
        <v>464</v>
      </c>
      <c r="E2905" s="3">
        <v>107500</v>
      </c>
      <c r="F2905" s="3" t="s">
        <v>465</v>
      </c>
      <c r="G2905" s="57" t="str">
        <f t="shared" si="45"/>
        <v>-</v>
      </c>
      <c r="H2905" s="4"/>
      <c r="I2905" s="4"/>
    </row>
    <row r="2906" spans="1:9" s="1" customFormat="1" x14ac:dyDescent="0.2">
      <c r="A2906" s="1" t="s">
        <v>25</v>
      </c>
      <c r="B2906" s="2" t="s">
        <v>208</v>
      </c>
      <c r="C2906" s="5"/>
      <c r="D2906" s="5" t="s">
        <v>464</v>
      </c>
      <c r="E2906" s="3">
        <v>107500</v>
      </c>
      <c r="F2906" s="3" t="s">
        <v>465</v>
      </c>
      <c r="G2906" s="57" t="str">
        <f t="shared" si="45"/>
        <v>-</v>
      </c>
      <c r="H2906" s="4"/>
      <c r="I2906" s="4"/>
    </row>
    <row r="2907" spans="1:9" s="1" customFormat="1" x14ac:dyDescent="0.2">
      <c r="A2907" s="1" t="s">
        <v>25</v>
      </c>
      <c r="B2907" s="2" t="s">
        <v>208</v>
      </c>
      <c r="C2907" s="5"/>
      <c r="D2907" s="5" t="s">
        <v>464</v>
      </c>
      <c r="E2907" s="3" t="s">
        <v>465</v>
      </c>
      <c r="F2907" s="3">
        <v>107500</v>
      </c>
      <c r="G2907" s="57" t="str">
        <f t="shared" si="45"/>
        <v>-</v>
      </c>
      <c r="H2907" s="4"/>
      <c r="I2907" s="4"/>
    </row>
    <row r="2908" spans="1:9" s="1" customFormat="1" x14ac:dyDescent="0.2">
      <c r="A2908" s="1" t="s">
        <v>25</v>
      </c>
      <c r="B2908" s="2" t="s">
        <v>208</v>
      </c>
      <c r="C2908" s="5"/>
      <c r="D2908" s="5" t="s">
        <v>464</v>
      </c>
      <c r="E2908" s="3" t="s">
        <v>465</v>
      </c>
      <c r="F2908" s="3">
        <v>107500</v>
      </c>
      <c r="G2908" s="57" t="str">
        <f t="shared" si="45"/>
        <v>-</v>
      </c>
      <c r="H2908" s="4"/>
      <c r="I2908" s="4"/>
    </row>
    <row r="2909" spans="1:9" s="1" customFormat="1" x14ac:dyDescent="0.2">
      <c r="A2909" s="1" t="s">
        <v>25</v>
      </c>
      <c r="B2909" s="2" t="s">
        <v>208</v>
      </c>
      <c r="C2909" s="5"/>
      <c r="D2909" s="5" t="s">
        <v>464</v>
      </c>
      <c r="E2909" s="3" t="s">
        <v>465</v>
      </c>
      <c r="F2909" s="3">
        <v>107500</v>
      </c>
      <c r="G2909" s="57" t="str">
        <f t="shared" si="45"/>
        <v>-</v>
      </c>
      <c r="H2909" s="4"/>
      <c r="I2909" s="4"/>
    </row>
    <row r="2910" spans="1:9" s="1" customFormat="1" x14ac:dyDescent="0.2">
      <c r="A2910" s="1" t="s">
        <v>25</v>
      </c>
      <c r="B2910" s="2" t="s">
        <v>208</v>
      </c>
      <c r="C2910" s="5"/>
      <c r="D2910" s="5" t="s">
        <v>464</v>
      </c>
      <c r="E2910" s="3">
        <v>112500</v>
      </c>
      <c r="F2910" s="3" t="s">
        <v>465</v>
      </c>
      <c r="G2910" s="57" t="str">
        <f t="shared" si="45"/>
        <v>-</v>
      </c>
      <c r="H2910" s="4"/>
      <c r="I2910" s="4"/>
    </row>
    <row r="2911" spans="1:9" s="1" customFormat="1" x14ac:dyDescent="0.2">
      <c r="A2911" s="1" t="s">
        <v>25</v>
      </c>
      <c r="B2911" s="2" t="s">
        <v>208</v>
      </c>
      <c r="C2911" s="5"/>
      <c r="D2911" s="5" t="s">
        <v>464</v>
      </c>
      <c r="E2911" s="3">
        <v>112500</v>
      </c>
      <c r="F2911" s="3" t="s">
        <v>465</v>
      </c>
      <c r="G2911" s="57" t="str">
        <f t="shared" si="45"/>
        <v>-</v>
      </c>
      <c r="H2911" s="4"/>
      <c r="I2911" s="4"/>
    </row>
    <row r="2912" spans="1:9" s="1" customFormat="1" x14ac:dyDescent="0.2">
      <c r="A2912" s="1" t="s">
        <v>25</v>
      </c>
      <c r="B2912" s="2" t="s">
        <v>208</v>
      </c>
      <c r="C2912" s="5"/>
      <c r="D2912" s="5" t="s">
        <v>464</v>
      </c>
      <c r="E2912" s="3">
        <v>112500</v>
      </c>
      <c r="F2912" s="3" t="s">
        <v>465</v>
      </c>
      <c r="G2912" s="57" t="str">
        <f t="shared" si="45"/>
        <v>-</v>
      </c>
      <c r="H2912" s="4"/>
      <c r="I2912" s="4"/>
    </row>
    <row r="2913" spans="1:10" x14ac:dyDescent="0.2">
      <c r="A2913" s="1" t="s">
        <v>25</v>
      </c>
      <c r="B2913" s="2" t="s">
        <v>208</v>
      </c>
      <c r="D2913" s="5" t="s">
        <v>464</v>
      </c>
      <c r="E2913" s="3" t="s">
        <v>465</v>
      </c>
      <c r="F2913" s="3">
        <v>112500</v>
      </c>
      <c r="G2913" s="57" t="str">
        <f t="shared" si="45"/>
        <v>-</v>
      </c>
    </row>
    <row r="2914" spans="1:10" x14ac:dyDescent="0.2">
      <c r="A2914" s="1" t="s">
        <v>25</v>
      </c>
      <c r="B2914" s="2" t="s">
        <v>208</v>
      </c>
      <c r="D2914" s="5" t="s">
        <v>464</v>
      </c>
      <c r="E2914" s="3">
        <v>117500</v>
      </c>
      <c r="F2914" s="3" t="s">
        <v>465</v>
      </c>
      <c r="G2914" s="57" t="str">
        <f t="shared" si="45"/>
        <v>-</v>
      </c>
    </row>
    <row r="2915" spans="1:10" x14ac:dyDescent="0.2">
      <c r="A2915" s="1" t="s">
        <v>25</v>
      </c>
      <c r="B2915" s="2" t="s">
        <v>208</v>
      </c>
      <c r="D2915" s="5" t="s">
        <v>464</v>
      </c>
      <c r="E2915" s="3" t="s">
        <v>465</v>
      </c>
      <c r="F2915" s="3">
        <v>142500</v>
      </c>
      <c r="G2915" s="57" t="str">
        <f t="shared" si="45"/>
        <v>-</v>
      </c>
    </row>
    <row r="2916" spans="1:10" x14ac:dyDescent="0.2">
      <c r="A2916" s="1" t="s">
        <v>25</v>
      </c>
      <c r="B2916" s="2" t="s">
        <v>208</v>
      </c>
      <c r="D2916" s="5" t="s">
        <v>464</v>
      </c>
      <c r="E2916" s="3" t="s">
        <v>465</v>
      </c>
      <c r="F2916" s="3">
        <v>147500</v>
      </c>
      <c r="G2916" s="57" t="str">
        <f t="shared" si="45"/>
        <v>-</v>
      </c>
    </row>
    <row r="2917" spans="1:10" x14ac:dyDescent="0.2">
      <c r="A2917" s="1" t="s">
        <v>25</v>
      </c>
      <c r="B2917" s="2" t="s">
        <v>208</v>
      </c>
      <c r="D2917" s="5" t="s">
        <v>464</v>
      </c>
      <c r="E2917" s="3">
        <v>150000</v>
      </c>
      <c r="F2917" s="3" t="s">
        <v>465</v>
      </c>
      <c r="G2917" s="57" t="str">
        <f t="shared" si="45"/>
        <v>-</v>
      </c>
    </row>
    <row r="2918" spans="1:10" x14ac:dyDescent="0.2">
      <c r="A2918" s="1" t="s">
        <v>25</v>
      </c>
      <c r="B2918" s="2" t="s">
        <v>208</v>
      </c>
      <c r="D2918" s="5" t="s">
        <v>464</v>
      </c>
      <c r="E2918" s="3">
        <v>150000</v>
      </c>
      <c r="F2918" s="3" t="s">
        <v>465</v>
      </c>
      <c r="G2918" s="57" t="str">
        <f t="shared" si="45"/>
        <v>-</v>
      </c>
    </row>
    <row r="2919" spans="1:10" ht="38.25" x14ac:dyDescent="0.2">
      <c r="A2919" s="1" t="s">
        <v>25</v>
      </c>
      <c r="B2919" s="2" t="s">
        <v>209</v>
      </c>
      <c r="C2919" s="5" t="s">
        <v>1357</v>
      </c>
      <c r="D2919" s="5" t="s">
        <v>1358</v>
      </c>
      <c r="E2919" s="9">
        <v>268423</v>
      </c>
      <c r="F2919" s="9">
        <v>268475</v>
      </c>
      <c r="G2919" s="57">
        <f t="shared" si="45"/>
        <v>1.9372408474683614E-4</v>
      </c>
      <c r="J2919" s="5" t="s">
        <v>3369</v>
      </c>
    </row>
    <row r="2920" spans="1:10" ht="25.5" x14ac:dyDescent="0.2">
      <c r="A2920" s="1" t="s">
        <v>25</v>
      </c>
      <c r="B2920" s="2" t="s">
        <v>209</v>
      </c>
      <c r="C2920" s="5" t="s">
        <v>1359</v>
      </c>
      <c r="D2920" s="5" t="s">
        <v>1360</v>
      </c>
      <c r="E2920" s="9">
        <v>179743</v>
      </c>
      <c r="F2920" s="9">
        <v>191487</v>
      </c>
      <c r="G2920" s="57">
        <f t="shared" si="45"/>
        <v>6.5337732206539337E-2</v>
      </c>
      <c r="J2920" s="5" t="s">
        <v>3370</v>
      </c>
    </row>
    <row r="2921" spans="1:10" ht="25.5" x14ac:dyDescent="0.2">
      <c r="A2921" s="1" t="s">
        <v>25</v>
      </c>
      <c r="B2921" s="2" t="s">
        <v>209</v>
      </c>
      <c r="C2921" s="5" t="s">
        <v>1361</v>
      </c>
      <c r="D2921" s="5" t="s">
        <v>1362</v>
      </c>
      <c r="E2921" s="9">
        <v>192748</v>
      </c>
      <c r="F2921" s="9">
        <v>120867</v>
      </c>
      <c r="G2921" s="57">
        <f t="shared" si="45"/>
        <v>-0.37292734554962959</v>
      </c>
      <c r="J2921" s="5" t="s">
        <v>3371</v>
      </c>
    </row>
    <row r="2922" spans="1:10" ht="38.25" x14ac:dyDescent="0.2">
      <c r="A2922" s="1" t="s">
        <v>25</v>
      </c>
      <c r="B2922" s="2" t="s">
        <v>209</v>
      </c>
      <c r="C2922" s="5" t="s">
        <v>1363</v>
      </c>
      <c r="D2922" s="5" t="s">
        <v>1364</v>
      </c>
      <c r="E2922" s="9">
        <v>149738</v>
      </c>
      <c r="F2922" s="9">
        <v>153383</v>
      </c>
      <c r="G2922" s="57">
        <f t="shared" si="45"/>
        <v>2.4342518265236614E-2</v>
      </c>
      <c r="J2922" s="5" t="s">
        <v>3372</v>
      </c>
    </row>
    <row r="2923" spans="1:10" ht="25.5" x14ac:dyDescent="0.2">
      <c r="A2923" s="1" t="s">
        <v>25</v>
      </c>
      <c r="B2923" s="2" t="s">
        <v>209</v>
      </c>
      <c r="C2923" s="5" t="s">
        <v>1365</v>
      </c>
      <c r="D2923" s="5" t="s">
        <v>1366</v>
      </c>
      <c r="E2923" s="9">
        <v>166440</v>
      </c>
      <c r="F2923" s="9">
        <v>169772</v>
      </c>
      <c r="G2923" s="57">
        <f t="shared" si="45"/>
        <v>2.0019226147560683E-2</v>
      </c>
      <c r="J2923" s="5" t="s">
        <v>3373</v>
      </c>
    </row>
    <row r="2924" spans="1:10" ht="25.5" x14ac:dyDescent="0.2">
      <c r="A2924" s="1" t="s">
        <v>25</v>
      </c>
      <c r="B2924" s="2" t="s">
        <v>209</v>
      </c>
      <c r="C2924" s="5" t="s">
        <v>1367</v>
      </c>
      <c r="D2924" s="5" t="s">
        <v>1368</v>
      </c>
      <c r="E2924" s="9">
        <v>3593</v>
      </c>
      <c r="F2924" s="9">
        <v>133956</v>
      </c>
      <c r="G2924" s="57">
        <f t="shared" si="45"/>
        <v>36.282493737823543</v>
      </c>
      <c r="J2924" s="5" t="s">
        <v>3374</v>
      </c>
    </row>
    <row r="2925" spans="1:10" ht="38.25" x14ac:dyDescent="0.2">
      <c r="A2925" s="1" t="s">
        <v>25</v>
      </c>
      <c r="B2925" s="2" t="s">
        <v>209</v>
      </c>
      <c r="C2925" s="5" t="s">
        <v>1369</v>
      </c>
      <c r="D2925" s="5" t="s">
        <v>1370</v>
      </c>
      <c r="E2925" s="9">
        <v>124545</v>
      </c>
      <c r="F2925" s="9">
        <v>124916</v>
      </c>
      <c r="G2925" s="57">
        <f t="shared" si="45"/>
        <v>2.97884298847806E-3</v>
      </c>
      <c r="J2925" s="5" t="s">
        <v>3375</v>
      </c>
    </row>
    <row r="2926" spans="1:10" ht="25.5" x14ac:dyDescent="0.2">
      <c r="A2926" s="1" t="s">
        <v>25</v>
      </c>
      <c r="B2926" s="2" t="s">
        <v>209</v>
      </c>
      <c r="C2926" s="5" t="s">
        <v>1371</v>
      </c>
      <c r="D2926" s="5" t="s">
        <v>1372</v>
      </c>
      <c r="E2926" s="9">
        <v>166639</v>
      </c>
      <c r="F2926" s="9">
        <v>169398</v>
      </c>
      <c r="G2926" s="57">
        <f t="shared" si="45"/>
        <v>1.6556748420237761E-2</v>
      </c>
      <c r="J2926" s="5" t="s">
        <v>3376</v>
      </c>
    </row>
    <row r="2927" spans="1:10" x14ac:dyDescent="0.2">
      <c r="A2927" s="1" t="s">
        <v>25</v>
      </c>
      <c r="B2927" s="2" t="s">
        <v>209</v>
      </c>
      <c r="D2927" s="5" t="s">
        <v>464</v>
      </c>
      <c r="G2927" s="57" t="str">
        <f t="shared" si="45"/>
        <v>-</v>
      </c>
      <c r="H2927" s="19">
        <v>92500</v>
      </c>
      <c r="I2927" s="19" t="s">
        <v>465</v>
      </c>
    </row>
    <row r="2928" spans="1:10" x14ac:dyDescent="0.2">
      <c r="A2928" s="1" t="s">
        <v>25</v>
      </c>
      <c r="B2928" s="2" t="s">
        <v>209</v>
      </c>
      <c r="D2928" s="5" t="s">
        <v>464</v>
      </c>
      <c r="G2928" s="57" t="str">
        <f t="shared" si="45"/>
        <v>-</v>
      </c>
      <c r="H2928" s="19">
        <v>92500</v>
      </c>
      <c r="I2928" s="19" t="s">
        <v>465</v>
      </c>
    </row>
    <row r="2929" spans="1:9" s="1" customFormat="1" x14ac:dyDescent="0.2">
      <c r="A2929" s="1" t="s">
        <v>25</v>
      </c>
      <c r="B2929" s="2" t="s">
        <v>209</v>
      </c>
      <c r="C2929" s="5"/>
      <c r="D2929" s="5" t="s">
        <v>464</v>
      </c>
      <c r="E2929" s="3"/>
      <c r="F2929" s="3"/>
      <c r="G2929" s="57" t="str">
        <f t="shared" si="45"/>
        <v>-</v>
      </c>
      <c r="H2929" s="19">
        <v>92500</v>
      </c>
      <c r="I2929" s="19" t="s">
        <v>465</v>
      </c>
    </row>
    <row r="2930" spans="1:9" s="1" customFormat="1" x14ac:dyDescent="0.2">
      <c r="A2930" s="1" t="s">
        <v>25</v>
      </c>
      <c r="B2930" s="2" t="s">
        <v>209</v>
      </c>
      <c r="C2930" s="5"/>
      <c r="D2930" s="5" t="s">
        <v>464</v>
      </c>
      <c r="E2930" s="3"/>
      <c r="F2930" s="3"/>
      <c r="G2930" s="57" t="str">
        <f t="shared" si="45"/>
        <v>-</v>
      </c>
      <c r="H2930" s="19">
        <v>92500</v>
      </c>
      <c r="I2930" s="19" t="s">
        <v>465</v>
      </c>
    </row>
    <row r="2931" spans="1:9" s="1" customFormat="1" x14ac:dyDescent="0.2">
      <c r="A2931" s="1" t="s">
        <v>25</v>
      </c>
      <c r="B2931" s="2" t="s">
        <v>209</v>
      </c>
      <c r="C2931" s="5"/>
      <c r="D2931" s="5" t="s">
        <v>464</v>
      </c>
      <c r="E2931" s="3"/>
      <c r="F2931" s="3"/>
      <c r="G2931" s="57" t="str">
        <f t="shared" si="45"/>
        <v>-</v>
      </c>
      <c r="H2931" s="19">
        <v>92500</v>
      </c>
      <c r="I2931" s="19" t="s">
        <v>465</v>
      </c>
    </row>
    <row r="2932" spans="1:9" s="1" customFormat="1" x14ac:dyDescent="0.2">
      <c r="A2932" s="1" t="s">
        <v>25</v>
      </c>
      <c r="B2932" s="2" t="s">
        <v>209</v>
      </c>
      <c r="C2932" s="5"/>
      <c r="D2932" s="5" t="s">
        <v>464</v>
      </c>
      <c r="E2932" s="3"/>
      <c r="F2932" s="3"/>
      <c r="G2932" s="57" t="str">
        <f t="shared" si="45"/>
        <v>-</v>
      </c>
      <c r="H2932" s="19" t="s">
        <v>465</v>
      </c>
      <c r="I2932" s="19">
        <v>92500</v>
      </c>
    </row>
    <row r="2933" spans="1:9" s="1" customFormat="1" x14ac:dyDescent="0.2">
      <c r="A2933" s="1" t="s">
        <v>25</v>
      </c>
      <c r="B2933" s="2" t="s">
        <v>209</v>
      </c>
      <c r="C2933" s="5"/>
      <c r="D2933" s="5" t="s">
        <v>464</v>
      </c>
      <c r="E2933" s="3"/>
      <c r="F2933" s="3"/>
      <c r="G2933" s="57" t="str">
        <f t="shared" si="45"/>
        <v>-</v>
      </c>
      <c r="H2933" s="19" t="s">
        <v>465</v>
      </c>
      <c r="I2933" s="19">
        <v>92500</v>
      </c>
    </row>
    <row r="2934" spans="1:9" s="1" customFormat="1" x14ac:dyDescent="0.2">
      <c r="A2934" s="1" t="s">
        <v>25</v>
      </c>
      <c r="B2934" s="2" t="s">
        <v>209</v>
      </c>
      <c r="C2934" s="5"/>
      <c r="D2934" s="5" t="s">
        <v>464</v>
      </c>
      <c r="E2934" s="3"/>
      <c r="F2934" s="3"/>
      <c r="G2934" s="57" t="str">
        <f t="shared" si="45"/>
        <v>-</v>
      </c>
      <c r="H2934" s="19" t="s">
        <v>465</v>
      </c>
      <c r="I2934" s="19">
        <v>92500</v>
      </c>
    </row>
    <row r="2935" spans="1:9" s="1" customFormat="1" x14ac:dyDescent="0.2">
      <c r="A2935" s="1" t="s">
        <v>25</v>
      </c>
      <c r="B2935" s="2" t="s">
        <v>209</v>
      </c>
      <c r="C2935" s="5"/>
      <c r="D2935" s="5" t="s">
        <v>464</v>
      </c>
      <c r="E2935" s="3"/>
      <c r="F2935" s="3"/>
      <c r="G2935" s="57" t="str">
        <f t="shared" si="45"/>
        <v>-</v>
      </c>
      <c r="H2935" s="19" t="s">
        <v>465</v>
      </c>
      <c r="I2935" s="19">
        <v>92500</v>
      </c>
    </row>
    <row r="2936" spans="1:9" s="1" customFormat="1" x14ac:dyDescent="0.2">
      <c r="A2936" s="1" t="s">
        <v>25</v>
      </c>
      <c r="B2936" s="2" t="s">
        <v>209</v>
      </c>
      <c r="C2936" s="5"/>
      <c r="D2936" s="5" t="s">
        <v>464</v>
      </c>
      <c r="E2936" s="3"/>
      <c r="F2936" s="3"/>
      <c r="G2936" s="57" t="str">
        <f t="shared" si="45"/>
        <v>-</v>
      </c>
      <c r="H2936" s="19" t="s">
        <v>465</v>
      </c>
      <c r="I2936" s="19">
        <v>92500</v>
      </c>
    </row>
    <row r="2937" spans="1:9" s="1" customFormat="1" x14ac:dyDescent="0.2">
      <c r="A2937" s="1" t="s">
        <v>25</v>
      </c>
      <c r="B2937" s="2" t="s">
        <v>209</v>
      </c>
      <c r="C2937" s="5"/>
      <c r="D2937" s="5" t="s">
        <v>464</v>
      </c>
      <c r="E2937" s="3"/>
      <c r="F2937" s="3"/>
      <c r="G2937" s="57" t="str">
        <f t="shared" si="45"/>
        <v>-</v>
      </c>
      <c r="H2937" s="19" t="s">
        <v>465</v>
      </c>
      <c r="I2937" s="19">
        <v>92500</v>
      </c>
    </row>
    <row r="2938" spans="1:9" s="1" customFormat="1" x14ac:dyDescent="0.2">
      <c r="A2938" s="1" t="s">
        <v>25</v>
      </c>
      <c r="B2938" s="2" t="s">
        <v>209</v>
      </c>
      <c r="C2938" s="5"/>
      <c r="D2938" s="5" t="s">
        <v>464</v>
      </c>
      <c r="E2938" s="3"/>
      <c r="F2938" s="3"/>
      <c r="G2938" s="57" t="str">
        <f t="shared" si="45"/>
        <v>-</v>
      </c>
      <c r="H2938" s="19" t="s">
        <v>465</v>
      </c>
      <c r="I2938" s="19">
        <v>92500</v>
      </c>
    </row>
    <row r="2939" spans="1:9" s="1" customFormat="1" x14ac:dyDescent="0.2">
      <c r="A2939" s="1" t="s">
        <v>25</v>
      </c>
      <c r="B2939" s="2" t="s">
        <v>209</v>
      </c>
      <c r="C2939" s="5"/>
      <c r="D2939" s="5" t="s">
        <v>464</v>
      </c>
      <c r="E2939" s="3"/>
      <c r="F2939" s="3"/>
      <c r="G2939" s="57" t="str">
        <f t="shared" si="45"/>
        <v>-</v>
      </c>
      <c r="H2939" s="19">
        <v>97500</v>
      </c>
      <c r="I2939" s="19" t="s">
        <v>465</v>
      </c>
    </row>
    <row r="2940" spans="1:9" s="1" customFormat="1" x14ac:dyDescent="0.2">
      <c r="A2940" s="1" t="s">
        <v>25</v>
      </c>
      <c r="B2940" s="2" t="s">
        <v>209</v>
      </c>
      <c r="C2940" s="5"/>
      <c r="D2940" s="5" t="s">
        <v>464</v>
      </c>
      <c r="E2940" s="3"/>
      <c r="F2940" s="3"/>
      <c r="G2940" s="57" t="str">
        <f t="shared" si="45"/>
        <v>-</v>
      </c>
      <c r="H2940" s="19">
        <v>97500</v>
      </c>
      <c r="I2940" s="19" t="s">
        <v>465</v>
      </c>
    </row>
    <row r="2941" spans="1:9" s="1" customFormat="1" x14ac:dyDescent="0.2">
      <c r="A2941" s="1" t="s">
        <v>25</v>
      </c>
      <c r="B2941" s="2" t="s">
        <v>209</v>
      </c>
      <c r="C2941" s="5"/>
      <c r="D2941" s="5" t="s">
        <v>464</v>
      </c>
      <c r="E2941" s="3"/>
      <c r="F2941" s="3"/>
      <c r="G2941" s="57" t="str">
        <f t="shared" si="45"/>
        <v>-</v>
      </c>
      <c r="H2941" s="19">
        <v>97500</v>
      </c>
      <c r="I2941" s="19" t="s">
        <v>465</v>
      </c>
    </row>
    <row r="2942" spans="1:9" s="1" customFormat="1" x14ac:dyDescent="0.2">
      <c r="A2942" s="1" t="s">
        <v>25</v>
      </c>
      <c r="B2942" s="2" t="s">
        <v>209</v>
      </c>
      <c r="C2942" s="5"/>
      <c r="D2942" s="5" t="s">
        <v>464</v>
      </c>
      <c r="E2942" s="3"/>
      <c r="F2942" s="3"/>
      <c r="G2942" s="57" t="str">
        <f t="shared" si="45"/>
        <v>-</v>
      </c>
      <c r="H2942" s="19" t="s">
        <v>465</v>
      </c>
      <c r="I2942" s="19">
        <v>97500</v>
      </c>
    </row>
    <row r="2943" spans="1:9" s="1" customFormat="1" x14ac:dyDescent="0.2">
      <c r="A2943" s="1" t="s">
        <v>25</v>
      </c>
      <c r="B2943" s="2" t="s">
        <v>209</v>
      </c>
      <c r="C2943" s="5"/>
      <c r="D2943" s="5" t="s">
        <v>464</v>
      </c>
      <c r="E2943" s="3"/>
      <c r="F2943" s="3"/>
      <c r="G2943" s="57" t="str">
        <f t="shared" si="45"/>
        <v>-</v>
      </c>
      <c r="H2943" s="19" t="s">
        <v>465</v>
      </c>
      <c r="I2943" s="19">
        <v>97500</v>
      </c>
    </row>
    <row r="2944" spans="1:9" s="1" customFormat="1" x14ac:dyDescent="0.2">
      <c r="A2944" s="1" t="s">
        <v>25</v>
      </c>
      <c r="B2944" s="2" t="s">
        <v>209</v>
      </c>
      <c r="C2944" s="5"/>
      <c r="D2944" s="5" t="s">
        <v>464</v>
      </c>
      <c r="E2944" s="3" t="s">
        <v>465</v>
      </c>
      <c r="F2944" s="3">
        <v>102500</v>
      </c>
      <c r="G2944" s="57" t="str">
        <f t="shared" si="45"/>
        <v>-</v>
      </c>
      <c r="H2944" s="19"/>
      <c r="I2944" s="19"/>
    </row>
    <row r="2945" spans="1:10" x14ac:dyDescent="0.2">
      <c r="A2945" s="1" t="s">
        <v>25</v>
      </c>
      <c r="B2945" s="2" t="s">
        <v>209</v>
      </c>
      <c r="D2945" s="5" t="s">
        <v>464</v>
      </c>
      <c r="E2945" s="3" t="s">
        <v>465</v>
      </c>
      <c r="F2945" s="3">
        <v>102500</v>
      </c>
      <c r="G2945" s="57" t="str">
        <f t="shared" si="45"/>
        <v>-</v>
      </c>
    </row>
    <row r="2946" spans="1:10" x14ac:dyDescent="0.2">
      <c r="A2946" s="1" t="s">
        <v>25</v>
      </c>
      <c r="B2946" s="2" t="s">
        <v>209</v>
      </c>
      <c r="D2946" s="5" t="s">
        <v>464</v>
      </c>
      <c r="E2946" s="3">
        <v>102500</v>
      </c>
      <c r="F2946" s="3" t="s">
        <v>465</v>
      </c>
      <c r="G2946" s="57" t="str">
        <f t="shared" si="45"/>
        <v>-</v>
      </c>
    </row>
    <row r="2947" spans="1:10" x14ac:dyDescent="0.2">
      <c r="A2947" s="1" t="s">
        <v>25</v>
      </c>
      <c r="B2947" s="2" t="s">
        <v>209</v>
      </c>
      <c r="D2947" s="5" t="s">
        <v>464</v>
      </c>
      <c r="E2947" s="3">
        <v>102500</v>
      </c>
      <c r="F2947" s="3" t="s">
        <v>465</v>
      </c>
      <c r="G2947" s="57" t="str">
        <f t="shared" ref="G2947:G3010" si="46">IF(ISERROR((F2947-E2947)/E2947),"-",(F2947-E2947)/E2947)</f>
        <v>-</v>
      </c>
    </row>
    <row r="2948" spans="1:10" x14ac:dyDescent="0.2">
      <c r="A2948" s="1" t="s">
        <v>25</v>
      </c>
      <c r="B2948" s="2" t="s">
        <v>209</v>
      </c>
      <c r="D2948" s="5" t="s">
        <v>464</v>
      </c>
      <c r="E2948" s="3">
        <v>102500</v>
      </c>
      <c r="F2948" s="3" t="s">
        <v>465</v>
      </c>
      <c r="G2948" s="57" t="str">
        <f t="shared" si="46"/>
        <v>-</v>
      </c>
    </row>
    <row r="2949" spans="1:10" x14ac:dyDescent="0.2">
      <c r="A2949" s="1" t="s">
        <v>25</v>
      </c>
      <c r="B2949" s="2" t="s">
        <v>209</v>
      </c>
      <c r="D2949" s="5" t="s">
        <v>464</v>
      </c>
      <c r="E2949" s="3" t="s">
        <v>465</v>
      </c>
      <c r="F2949" s="3">
        <v>107500</v>
      </c>
      <c r="G2949" s="57" t="str">
        <f t="shared" si="46"/>
        <v>-</v>
      </c>
    </row>
    <row r="2950" spans="1:10" x14ac:dyDescent="0.2">
      <c r="A2950" s="1" t="s">
        <v>25</v>
      </c>
      <c r="B2950" s="2" t="s">
        <v>209</v>
      </c>
      <c r="D2950" s="5" t="s">
        <v>464</v>
      </c>
      <c r="E2950" s="3" t="s">
        <v>465</v>
      </c>
      <c r="F2950" s="3">
        <v>107500</v>
      </c>
      <c r="G2950" s="57" t="str">
        <f t="shared" si="46"/>
        <v>-</v>
      </c>
    </row>
    <row r="2951" spans="1:10" x14ac:dyDescent="0.2">
      <c r="A2951" s="1" t="s">
        <v>25</v>
      </c>
      <c r="B2951" s="2" t="s">
        <v>209</v>
      </c>
      <c r="D2951" s="5" t="s">
        <v>464</v>
      </c>
      <c r="E2951" s="3" t="s">
        <v>465</v>
      </c>
      <c r="F2951" s="3">
        <v>112500</v>
      </c>
      <c r="G2951" s="57" t="str">
        <f t="shared" si="46"/>
        <v>-</v>
      </c>
    </row>
    <row r="2952" spans="1:10" x14ac:dyDescent="0.2">
      <c r="A2952" s="1" t="s">
        <v>25</v>
      </c>
      <c r="B2952" s="2" t="s">
        <v>209</v>
      </c>
      <c r="D2952" s="5" t="s">
        <v>464</v>
      </c>
      <c r="E2952" s="3">
        <v>112500</v>
      </c>
      <c r="F2952" s="3" t="s">
        <v>465</v>
      </c>
      <c r="G2952" s="57" t="str">
        <f t="shared" si="46"/>
        <v>-</v>
      </c>
    </row>
    <row r="2953" spans="1:10" x14ac:dyDescent="0.2">
      <c r="A2953" s="1" t="s">
        <v>25</v>
      </c>
      <c r="B2953" s="2" t="s">
        <v>209</v>
      </c>
      <c r="D2953" s="5" t="s">
        <v>464</v>
      </c>
      <c r="E2953" s="3">
        <v>117500</v>
      </c>
      <c r="F2953" s="3" t="s">
        <v>465</v>
      </c>
      <c r="G2953" s="57" t="str">
        <f t="shared" si="46"/>
        <v>-</v>
      </c>
    </row>
    <row r="2954" spans="1:10" x14ac:dyDescent="0.2">
      <c r="A2954" s="1" t="s">
        <v>25</v>
      </c>
      <c r="B2954" s="2" t="s">
        <v>209</v>
      </c>
      <c r="D2954" s="5" t="s">
        <v>464</v>
      </c>
      <c r="E2954" s="3" t="s">
        <v>465</v>
      </c>
      <c r="F2954" s="3">
        <v>122500</v>
      </c>
      <c r="G2954" s="57" t="str">
        <f t="shared" si="46"/>
        <v>-</v>
      </c>
    </row>
    <row r="2955" spans="1:10" x14ac:dyDescent="0.2">
      <c r="A2955" s="1" t="s">
        <v>25</v>
      </c>
      <c r="B2955" s="2" t="s">
        <v>209</v>
      </c>
      <c r="D2955" s="5" t="s">
        <v>464</v>
      </c>
      <c r="E2955" s="3">
        <v>137500</v>
      </c>
      <c r="F2955" s="3" t="s">
        <v>465</v>
      </c>
      <c r="G2955" s="57" t="str">
        <f t="shared" si="46"/>
        <v>-</v>
      </c>
    </row>
    <row r="2956" spans="1:10" x14ac:dyDescent="0.2">
      <c r="A2956" s="1" t="s">
        <v>25</v>
      </c>
      <c r="B2956" s="2" t="s">
        <v>209</v>
      </c>
      <c r="D2956" s="5" t="s">
        <v>464</v>
      </c>
      <c r="E2956" s="3" t="s">
        <v>465</v>
      </c>
      <c r="F2956" s="3">
        <v>142500</v>
      </c>
      <c r="G2956" s="57" t="str">
        <f t="shared" si="46"/>
        <v>-</v>
      </c>
    </row>
    <row r="2957" spans="1:10" ht="38.25" x14ac:dyDescent="0.2">
      <c r="A2957" s="1" t="s">
        <v>4</v>
      </c>
      <c r="B2957" s="2" t="s">
        <v>210</v>
      </c>
      <c r="C2957" s="5" t="s">
        <v>1338</v>
      </c>
      <c r="D2957" s="5" t="s">
        <v>450</v>
      </c>
      <c r="E2957" s="9">
        <v>299611</v>
      </c>
      <c r="F2957" s="9">
        <v>439071</v>
      </c>
      <c r="G2957" s="57">
        <f t="shared" si="46"/>
        <v>0.46547022639355695</v>
      </c>
      <c r="J2957" s="5" t="s">
        <v>3358</v>
      </c>
    </row>
    <row r="2958" spans="1:10" ht="25.5" x14ac:dyDescent="0.2">
      <c r="A2958" s="1" t="s">
        <v>4</v>
      </c>
      <c r="B2958" s="2" t="s">
        <v>210</v>
      </c>
      <c r="C2958" s="5" t="s">
        <v>1339</v>
      </c>
      <c r="D2958" s="5" t="s">
        <v>1340</v>
      </c>
      <c r="E2958" s="9"/>
      <c r="F2958" s="9">
        <v>198047</v>
      </c>
      <c r="G2958" s="57" t="str">
        <f t="shared" si="46"/>
        <v>-</v>
      </c>
      <c r="J2958" s="5" t="s">
        <v>3359</v>
      </c>
    </row>
    <row r="2959" spans="1:10" ht="25.5" x14ac:dyDescent="0.2">
      <c r="A2959" s="1" t="s">
        <v>4</v>
      </c>
      <c r="B2959" s="2" t="s">
        <v>210</v>
      </c>
      <c r="C2959" s="5" t="s">
        <v>1341</v>
      </c>
      <c r="D2959" s="5" t="s">
        <v>1342</v>
      </c>
      <c r="E2959" s="9">
        <v>205515</v>
      </c>
      <c r="F2959" s="9">
        <v>317649</v>
      </c>
      <c r="G2959" s="57">
        <f t="shared" si="46"/>
        <v>0.54562440697759285</v>
      </c>
      <c r="J2959" s="5" t="s">
        <v>3360</v>
      </c>
    </row>
    <row r="2960" spans="1:10" ht="25.5" x14ac:dyDescent="0.2">
      <c r="A2960" s="1" t="s">
        <v>4</v>
      </c>
      <c r="B2960" s="2" t="s">
        <v>210</v>
      </c>
      <c r="C2960" s="5" t="s">
        <v>1343</v>
      </c>
      <c r="D2960" s="5" t="s">
        <v>1344</v>
      </c>
      <c r="E2960" s="9">
        <v>205515</v>
      </c>
      <c r="F2960" s="9">
        <v>195821</v>
      </c>
      <c r="G2960" s="57">
        <f t="shared" si="46"/>
        <v>-4.7169306376663507E-2</v>
      </c>
      <c r="J2960" s="5" t="s">
        <v>3361</v>
      </c>
    </row>
    <row r="2961" spans="1:10" ht="25.5" x14ac:dyDescent="0.2">
      <c r="A2961" s="1" t="s">
        <v>4</v>
      </c>
      <c r="B2961" s="2" t="s">
        <v>210</v>
      </c>
      <c r="C2961" s="5" t="s">
        <v>1345</v>
      </c>
      <c r="D2961" s="5" t="s">
        <v>4656</v>
      </c>
      <c r="E2961" s="9">
        <v>204862</v>
      </c>
      <c r="F2961" s="9">
        <v>201355</v>
      </c>
      <c r="G2961" s="57">
        <f t="shared" si="46"/>
        <v>-1.7118840975876445E-2</v>
      </c>
      <c r="J2961" s="5" t="s">
        <v>3362</v>
      </c>
    </row>
    <row r="2962" spans="1:10" ht="25.5" x14ac:dyDescent="0.2">
      <c r="A2962" s="1" t="s">
        <v>4</v>
      </c>
      <c r="B2962" s="2" t="s">
        <v>210</v>
      </c>
      <c r="C2962" s="5" t="s">
        <v>1346</v>
      </c>
      <c r="D2962" s="5" t="s">
        <v>1347</v>
      </c>
      <c r="E2962" s="9">
        <v>198552</v>
      </c>
      <c r="F2962" s="9">
        <v>318237</v>
      </c>
      <c r="G2962" s="57">
        <f t="shared" si="46"/>
        <v>0.60278919376284301</v>
      </c>
      <c r="J2962" s="5" t="s">
        <v>3363</v>
      </c>
    </row>
    <row r="2963" spans="1:10" ht="25.5" x14ac:dyDescent="0.2">
      <c r="A2963" s="1" t="s">
        <v>4</v>
      </c>
      <c r="B2963" s="2" t="s">
        <v>210</v>
      </c>
      <c r="C2963" s="5" t="s">
        <v>1348</v>
      </c>
      <c r="D2963" s="5" t="s">
        <v>1349</v>
      </c>
      <c r="E2963" s="9">
        <v>183972</v>
      </c>
      <c r="F2963" s="9">
        <v>184650</v>
      </c>
      <c r="G2963" s="57">
        <f t="shared" si="46"/>
        <v>3.6853434218250603E-3</v>
      </c>
      <c r="J2963" s="5" t="s">
        <v>3364</v>
      </c>
    </row>
    <row r="2964" spans="1:10" ht="25.5" x14ac:dyDescent="0.2">
      <c r="A2964" s="1" t="s">
        <v>4</v>
      </c>
      <c r="B2964" s="2" t="s">
        <v>210</v>
      </c>
      <c r="C2964" s="5" t="s">
        <v>3365</v>
      </c>
      <c r="D2964" s="5" t="s">
        <v>3366</v>
      </c>
      <c r="E2964" s="9">
        <v>183870</v>
      </c>
      <c r="F2964" s="9" t="s">
        <v>465</v>
      </c>
      <c r="G2964" s="57" t="str">
        <f t="shared" si="46"/>
        <v>-</v>
      </c>
    </row>
    <row r="2965" spans="1:10" ht="25.5" x14ac:dyDescent="0.2">
      <c r="A2965" s="1" t="s">
        <v>4</v>
      </c>
      <c r="B2965" s="2" t="s">
        <v>210</v>
      </c>
      <c r="D2965" s="5" t="s">
        <v>507</v>
      </c>
      <c r="E2965" s="9">
        <v>167847</v>
      </c>
      <c r="F2965" s="9">
        <v>167847</v>
      </c>
      <c r="G2965" s="57">
        <f t="shared" si="46"/>
        <v>0</v>
      </c>
      <c r="J2965" s="5" t="s">
        <v>3353</v>
      </c>
    </row>
    <row r="2966" spans="1:10" ht="76.5" x14ac:dyDescent="0.2">
      <c r="A2966" s="1" t="s">
        <v>4</v>
      </c>
      <c r="B2966" s="2" t="s">
        <v>210</v>
      </c>
      <c r="D2966" s="5" t="s">
        <v>1350</v>
      </c>
      <c r="E2966" s="9" t="s">
        <v>465</v>
      </c>
      <c r="F2966" s="9">
        <v>122691</v>
      </c>
      <c r="G2966" s="57" t="str">
        <f t="shared" si="46"/>
        <v>-</v>
      </c>
      <c r="J2966" s="5" t="s">
        <v>4657</v>
      </c>
    </row>
    <row r="2967" spans="1:10" ht="25.5" x14ac:dyDescent="0.2">
      <c r="A2967" s="1" t="s">
        <v>4</v>
      </c>
      <c r="B2967" s="2" t="s">
        <v>210</v>
      </c>
      <c r="D2967" s="5" t="s">
        <v>1351</v>
      </c>
      <c r="E2967" s="9">
        <v>172570</v>
      </c>
      <c r="F2967" s="9">
        <f>128270+29630</f>
        <v>157900</v>
      </c>
      <c r="G2967" s="57">
        <f t="shared" si="46"/>
        <v>-8.5008981862432637E-2</v>
      </c>
      <c r="J2967" s="5" t="s">
        <v>3354</v>
      </c>
    </row>
    <row r="2968" spans="1:10" ht="25.5" x14ac:dyDescent="0.2">
      <c r="A2968" s="1" t="s">
        <v>4</v>
      </c>
      <c r="B2968" s="2" t="s">
        <v>210</v>
      </c>
      <c r="D2968" s="5" t="s">
        <v>1352</v>
      </c>
      <c r="E2968" s="9">
        <v>125414</v>
      </c>
      <c r="F2968" s="9">
        <v>120638</v>
      </c>
      <c r="G2968" s="57">
        <f t="shared" si="46"/>
        <v>-3.8081872837163314E-2</v>
      </c>
      <c r="J2968" s="5" t="s">
        <v>3355</v>
      </c>
    </row>
    <row r="2969" spans="1:10" ht="51" x14ac:dyDescent="0.2">
      <c r="A2969" s="1" t="s">
        <v>4</v>
      </c>
      <c r="B2969" s="2" t="s">
        <v>210</v>
      </c>
      <c r="D2969" s="5" t="s">
        <v>1353</v>
      </c>
      <c r="E2969" s="9" t="s">
        <v>465</v>
      </c>
      <c r="F2969" s="9">
        <v>120730</v>
      </c>
      <c r="G2969" s="57" t="str">
        <f t="shared" si="46"/>
        <v>-</v>
      </c>
      <c r="J2969" s="5" t="s">
        <v>4658</v>
      </c>
    </row>
    <row r="2970" spans="1:10" ht="38.25" x14ac:dyDescent="0.2">
      <c r="A2970" s="1" t="s">
        <v>4</v>
      </c>
      <c r="B2970" s="2" t="s">
        <v>210</v>
      </c>
      <c r="D2970" s="5" t="s">
        <v>1354</v>
      </c>
      <c r="E2970" s="9" t="s">
        <v>465</v>
      </c>
      <c r="F2970" s="9">
        <v>120679</v>
      </c>
      <c r="G2970" s="57" t="str">
        <f t="shared" si="46"/>
        <v>-</v>
      </c>
      <c r="J2970" s="5" t="s">
        <v>4659</v>
      </c>
    </row>
    <row r="2971" spans="1:10" ht="25.5" x14ac:dyDescent="0.2">
      <c r="A2971" s="1" t="s">
        <v>4</v>
      </c>
      <c r="B2971" s="2" t="s">
        <v>210</v>
      </c>
      <c r="D2971" s="5" t="s">
        <v>1355</v>
      </c>
      <c r="E2971" s="9">
        <v>112306</v>
      </c>
      <c r="F2971" s="9">
        <v>123577</v>
      </c>
      <c r="G2971" s="57">
        <f t="shared" si="46"/>
        <v>0.10035973144800812</v>
      </c>
      <c r="J2971" s="5" t="s">
        <v>3356</v>
      </c>
    </row>
    <row r="2972" spans="1:10" ht="25.5" x14ac:dyDescent="0.2">
      <c r="A2972" s="1" t="s">
        <v>4</v>
      </c>
      <c r="B2972" s="2" t="s">
        <v>210</v>
      </c>
      <c r="D2972" s="5" t="s">
        <v>1356</v>
      </c>
      <c r="E2972" s="9" t="s">
        <v>465</v>
      </c>
      <c r="F2972" s="9">
        <v>106605</v>
      </c>
      <c r="G2972" s="57" t="str">
        <f t="shared" si="46"/>
        <v>-</v>
      </c>
      <c r="J2972" s="5" t="s">
        <v>3357</v>
      </c>
    </row>
    <row r="2973" spans="1:10" ht="38.25" x14ac:dyDescent="0.2">
      <c r="A2973" s="1" t="s">
        <v>4</v>
      </c>
      <c r="B2973" s="2" t="s">
        <v>210</v>
      </c>
      <c r="D2973" s="5" t="s">
        <v>3367</v>
      </c>
      <c r="E2973" s="9">
        <v>134424</v>
      </c>
      <c r="F2973" s="9">
        <v>42757</v>
      </c>
      <c r="G2973" s="57">
        <f t="shared" si="46"/>
        <v>-0.68192435874546209</v>
      </c>
      <c r="J2973" s="5" t="s">
        <v>3368</v>
      </c>
    </row>
    <row r="2974" spans="1:10" x14ac:dyDescent="0.2">
      <c r="A2974" s="1" t="s">
        <v>4</v>
      </c>
      <c r="B2974" s="2" t="s">
        <v>210</v>
      </c>
      <c r="D2974" s="5" t="s">
        <v>464</v>
      </c>
      <c r="G2974" s="57" t="str">
        <f t="shared" si="46"/>
        <v>-</v>
      </c>
      <c r="H2974" s="19" t="s">
        <v>465</v>
      </c>
      <c r="I2974" s="19">
        <v>92500</v>
      </c>
    </row>
    <row r="2975" spans="1:10" x14ac:dyDescent="0.2">
      <c r="A2975" s="1" t="s">
        <v>4</v>
      </c>
      <c r="B2975" s="2" t="s">
        <v>210</v>
      </c>
      <c r="D2975" s="5" t="s">
        <v>464</v>
      </c>
      <c r="G2975" s="57" t="str">
        <f t="shared" si="46"/>
        <v>-</v>
      </c>
      <c r="H2975" s="19" t="s">
        <v>465</v>
      </c>
      <c r="I2975" s="19">
        <v>92500</v>
      </c>
    </row>
    <row r="2976" spans="1:10" x14ac:dyDescent="0.2">
      <c r="A2976" s="1" t="s">
        <v>4</v>
      </c>
      <c r="B2976" s="2" t="s">
        <v>210</v>
      </c>
      <c r="D2976" s="5" t="s">
        <v>464</v>
      </c>
      <c r="G2976" s="57" t="str">
        <f t="shared" si="46"/>
        <v>-</v>
      </c>
      <c r="H2976" s="19" t="s">
        <v>465</v>
      </c>
      <c r="I2976" s="19">
        <v>92500</v>
      </c>
    </row>
    <row r="2977" spans="1:9" s="1" customFormat="1" x14ac:dyDescent="0.2">
      <c r="A2977" s="1" t="s">
        <v>4</v>
      </c>
      <c r="B2977" s="2" t="s">
        <v>210</v>
      </c>
      <c r="C2977" s="5"/>
      <c r="D2977" s="5" t="s">
        <v>464</v>
      </c>
      <c r="E2977" s="3"/>
      <c r="F2977" s="3"/>
      <c r="G2977" s="57" t="str">
        <f t="shared" si="46"/>
        <v>-</v>
      </c>
      <c r="H2977" s="19">
        <v>92500</v>
      </c>
      <c r="I2977" s="19" t="s">
        <v>465</v>
      </c>
    </row>
    <row r="2978" spans="1:9" s="1" customFormat="1" x14ac:dyDescent="0.2">
      <c r="A2978" s="1" t="s">
        <v>4</v>
      </c>
      <c r="B2978" s="2" t="s">
        <v>210</v>
      </c>
      <c r="C2978" s="5"/>
      <c r="D2978" s="5" t="s">
        <v>464</v>
      </c>
      <c r="E2978" s="3"/>
      <c r="F2978" s="3"/>
      <c r="G2978" s="57" t="str">
        <f t="shared" si="46"/>
        <v>-</v>
      </c>
      <c r="H2978" s="19">
        <v>92500</v>
      </c>
      <c r="I2978" s="19" t="s">
        <v>465</v>
      </c>
    </row>
    <row r="2979" spans="1:9" s="1" customFormat="1" x14ac:dyDescent="0.2">
      <c r="A2979" s="1" t="s">
        <v>4</v>
      </c>
      <c r="B2979" s="2" t="s">
        <v>210</v>
      </c>
      <c r="C2979" s="5"/>
      <c r="D2979" s="5" t="s">
        <v>464</v>
      </c>
      <c r="E2979" s="3"/>
      <c r="F2979" s="3"/>
      <c r="G2979" s="57" t="str">
        <f t="shared" si="46"/>
        <v>-</v>
      </c>
      <c r="H2979" s="19">
        <v>92500</v>
      </c>
      <c r="I2979" s="19" t="s">
        <v>465</v>
      </c>
    </row>
    <row r="2980" spans="1:9" s="1" customFormat="1" x14ac:dyDescent="0.2">
      <c r="A2980" s="1" t="s">
        <v>4</v>
      </c>
      <c r="B2980" s="2" t="s">
        <v>210</v>
      </c>
      <c r="C2980" s="5"/>
      <c r="D2980" s="5" t="s">
        <v>464</v>
      </c>
      <c r="E2980" s="3"/>
      <c r="F2980" s="3"/>
      <c r="G2980" s="57" t="str">
        <f t="shared" si="46"/>
        <v>-</v>
      </c>
      <c r="H2980" s="19">
        <v>92500</v>
      </c>
      <c r="I2980" s="19" t="s">
        <v>465</v>
      </c>
    </row>
    <row r="2981" spans="1:9" s="1" customFormat="1" x14ac:dyDescent="0.2">
      <c r="A2981" s="1" t="s">
        <v>4</v>
      </c>
      <c r="B2981" s="2" t="s">
        <v>210</v>
      </c>
      <c r="C2981" s="5"/>
      <c r="D2981" s="5" t="s">
        <v>464</v>
      </c>
      <c r="E2981" s="3"/>
      <c r="F2981" s="3"/>
      <c r="G2981" s="57" t="str">
        <f t="shared" si="46"/>
        <v>-</v>
      </c>
      <c r="H2981" s="19" t="s">
        <v>465</v>
      </c>
      <c r="I2981" s="19">
        <v>97500</v>
      </c>
    </row>
    <row r="2982" spans="1:9" s="1" customFormat="1" x14ac:dyDescent="0.2">
      <c r="A2982" s="1" t="s">
        <v>4</v>
      </c>
      <c r="B2982" s="2" t="s">
        <v>210</v>
      </c>
      <c r="C2982" s="5"/>
      <c r="D2982" s="5" t="s">
        <v>464</v>
      </c>
      <c r="E2982" s="3"/>
      <c r="F2982" s="3"/>
      <c r="G2982" s="57" t="str">
        <f t="shared" si="46"/>
        <v>-</v>
      </c>
      <c r="H2982" s="19" t="s">
        <v>465</v>
      </c>
      <c r="I2982" s="19">
        <v>97500</v>
      </c>
    </row>
    <row r="2983" spans="1:9" s="1" customFormat="1" x14ac:dyDescent="0.2">
      <c r="A2983" s="1" t="s">
        <v>4</v>
      </c>
      <c r="B2983" s="2" t="s">
        <v>210</v>
      </c>
      <c r="C2983" s="5"/>
      <c r="D2983" s="5" t="s">
        <v>464</v>
      </c>
      <c r="E2983" s="3"/>
      <c r="F2983" s="3"/>
      <c r="G2983" s="57" t="str">
        <f t="shared" si="46"/>
        <v>-</v>
      </c>
      <c r="H2983" s="19" t="s">
        <v>465</v>
      </c>
      <c r="I2983" s="19">
        <v>97500</v>
      </c>
    </row>
    <row r="2984" spans="1:9" s="1" customFormat="1" x14ac:dyDescent="0.2">
      <c r="A2984" s="1" t="s">
        <v>4</v>
      </c>
      <c r="B2984" s="2" t="s">
        <v>210</v>
      </c>
      <c r="C2984" s="5"/>
      <c r="D2984" s="5" t="s">
        <v>464</v>
      </c>
      <c r="E2984" s="3"/>
      <c r="F2984" s="3"/>
      <c r="G2984" s="57" t="str">
        <f t="shared" si="46"/>
        <v>-</v>
      </c>
      <c r="H2984" s="19">
        <v>97500</v>
      </c>
      <c r="I2984" s="19" t="s">
        <v>465</v>
      </c>
    </row>
    <row r="2985" spans="1:9" s="1" customFormat="1" x14ac:dyDescent="0.2">
      <c r="A2985" s="1" t="s">
        <v>4</v>
      </c>
      <c r="B2985" s="2" t="s">
        <v>210</v>
      </c>
      <c r="C2985" s="5"/>
      <c r="D2985" s="5" t="s">
        <v>464</v>
      </c>
      <c r="E2985" s="3"/>
      <c r="F2985" s="3"/>
      <c r="G2985" s="57" t="str">
        <f t="shared" si="46"/>
        <v>-</v>
      </c>
      <c r="H2985" s="19">
        <v>97500</v>
      </c>
      <c r="I2985" s="19" t="s">
        <v>465</v>
      </c>
    </row>
    <row r="2986" spans="1:9" s="1" customFormat="1" x14ac:dyDescent="0.2">
      <c r="A2986" s="1" t="s">
        <v>4</v>
      </c>
      <c r="B2986" s="2" t="s">
        <v>210</v>
      </c>
      <c r="C2986" s="5"/>
      <c r="D2986" s="5" t="s">
        <v>464</v>
      </c>
      <c r="E2986" s="3"/>
      <c r="F2986" s="3"/>
      <c r="G2986" s="57" t="str">
        <f t="shared" si="46"/>
        <v>-</v>
      </c>
      <c r="H2986" s="19">
        <v>97500</v>
      </c>
      <c r="I2986" s="19" t="s">
        <v>465</v>
      </c>
    </row>
    <row r="2987" spans="1:9" s="1" customFormat="1" x14ac:dyDescent="0.2">
      <c r="A2987" s="1" t="s">
        <v>4</v>
      </c>
      <c r="B2987" s="2" t="s">
        <v>210</v>
      </c>
      <c r="C2987" s="5"/>
      <c r="D2987" s="5" t="s">
        <v>464</v>
      </c>
      <c r="E2987" s="3"/>
      <c r="F2987" s="3"/>
      <c r="G2987" s="57" t="str">
        <f t="shared" si="46"/>
        <v>-</v>
      </c>
      <c r="H2987" s="19">
        <v>97500</v>
      </c>
      <c r="I2987" s="19" t="s">
        <v>465</v>
      </c>
    </row>
    <row r="2988" spans="1:9" s="1" customFormat="1" x14ac:dyDescent="0.2">
      <c r="A2988" s="1" t="s">
        <v>4</v>
      </c>
      <c r="B2988" s="2" t="s">
        <v>210</v>
      </c>
      <c r="C2988" s="5"/>
      <c r="D2988" s="5" t="s">
        <v>464</v>
      </c>
      <c r="E2988" s="3"/>
      <c r="F2988" s="3"/>
      <c r="G2988" s="57" t="str">
        <f t="shared" si="46"/>
        <v>-</v>
      </c>
      <c r="H2988" s="19">
        <v>97500</v>
      </c>
      <c r="I2988" s="19" t="s">
        <v>465</v>
      </c>
    </row>
    <row r="2989" spans="1:9" s="1" customFormat="1" x14ac:dyDescent="0.2">
      <c r="A2989" s="1" t="s">
        <v>4</v>
      </c>
      <c r="B2989" s="2" t="s">
        <v>210</v>
      </c>
      <c r="C2989" s="5"/>
      <c r="D2989" s="5" t="s">
        <v>464</v>
      </c>
      <c r="E2989" s="3"/>
      <c r="F2989" s="3"/>
      <c r="G2989" s="57" t="str">
        <f t="shared" si="46"/>
        <v>-</v>
      </c>
      <c r="H2989" s="19">
        <v>97500</v>
      </c>
      <c r="I2989" s="19" t="s">
        <v>465</v>
      </c>
    </row>
    <row r="2990" spans="1:9" s="1" customFormat="1" x14ac:dyDescent="0.2">
      <c r="A2990" s="1" t="s">
        <v>4</v>
      </c>
      <c r="B2990" s="2" t="s">
        <v>210</v>
      </c>
      <c r="C2990" s="5"/>
      <c r="D2990" s="5" t="s">
        <v>464</v>
      </c>
      <c r="E2990" s="3" t="s">
        <v>465</v>
      </c>
      <c r="F2990" s="3">
        <v>102500</v>
      </c>
      <c r="G2990" s="57" t="str">
        <f t="shared" si="46"/>
        <v>-</v>
      </c>
      <c r="H2990" s="19"/>
      <c r="I2990" s="19"/>
    </row>
    <row r="2991" spans="1:9" s="1" customFormat="1" x14ac:dyDescent="0.2">
      <c r="A2991" s="1" t="s">
        <v>4</v>
      </c>
      <c r="B2991" s="2" t="s">
        <v>210</v>
      </c>
      <c r="C2991" s="5"/>
      <c r="D2991" s="5" t="s">
        <v>464</v>
      </c>
      <c r="E2991" s="3" t="s">
        <v>465</v>
      </c>
      <c r="F2991" s="3">
        <v>102500</v>
      </c>
      <c r="G2991" s="57" t="str">
        <f t="shared" si="46"/>
        <v>-</v>
      </c>
      <c r="H2991" s="19"/>
      <c r="I2991" s="19"/>
    </row>
    <row r="2992" spans="1:9" s="1" customFormat="1" x14ac:dyDescent="0.2">
      <c r="A2992" s="1" t="s">
        <v>4</v>
      </c>
      <c r="B2992" s="2" t="s">
        <v>210</v>
      </c>
      <c r="C2992" s="5"/>
      <c r="D2992" s="5" t="s">
        <v>464</v>
      </c>
      <c r="E2992" s="3" t="s">
        <v>465</v>
      </c>
      <c r="F2992" s="3">
        <v>102500</v>
      </c>
      <c r="G2992" s="57" t="str">
        <f t="shared" si="46"/>
        <v>-</v>
      </c>
      <c r="H2992" s="19"/>
      <c r="I2992" s="19"/>
    </row>
    <row r="2993" spans="1:9" s="1" customFormat="1" x14ac:dyDescent="0.2">
      <c r="A2993" s="1" t="s">
        <v>4</v>
      </c>
      <c r="B2993" s="2" t="s">
        <v>210</v>
      </c>
      <c r="C2993" s="5"/>
      <c r="D2993" s="5" t="s">
        <v>464</v>
      </c>
      <c r="E2993" s="3">
        <v>102500</v>
      </c>
      <c r="F2993" s="3" t="s">
        <v>465</v>
      </c>
      <c r="G2993" s="57" t="str">
        <f t="shared" si="46"/>
        <v>-</v>
      </c>
      <c r="H2993" s="4"/>
      <c r="I2993" s="4"/>
    </row>
    <row r="2994" spans="1:9" s="1" customFormat="1" x14ac:dyDescent="0.2">
      <c r="A2994" s="1" t="s">
        <v>4</v>
      </c>
      <c r="B2994" s="2" t="s">
        <v>210</v>
      </c>
      <c r="C2994" s="5"/>
      <c r="D2994" s="5" t="s">
        <v>464</v>
      </c>
      <c r="E2994" s="3">
        <v>102500</v>
      </c>
      <c r="F2994" s="3" t="s">
        <v>465</v>
      </c>
      <c r="G2994" s="57" t="str">
        <f t="shared" si="46"/>
        <v>-</v>
      </c>
      <c r="H2994" s="4"/>
      <c r="I2994" s="4"/>
    </row>
    <row r="2995" spans="1:9" s="1" customFormat="1" x14ac:dyDescent="0.2">
      <c r="A2995" s="1" t="s">
        <v>4</v>
      </c>
      <c r="B2995" s="2" t="s">
        <v>210</v>
      </c>
      <c r="C2995" s="5"/>
      <c r="D2995" s="5" t="s">
        <v>464</v>
      </c>
      <c r="E2995" s="3" t="s">
        <v>465</v>
      </c>
      <c r="F2995" s="3">
        <v>107500</v>
      </c>
      <c r="G2995" s="57" t="str">
        <f t="shared" si="46"/>
        <v>-</v>
      </c>
      <c r="H2995" s="4"/>
      <c r="I2995" s="4"/>
    </row>
    <row r="2996" spans="1:9" s="1" customFormat="1" x14ac:dyDescent="0.2">
      <c r="A2996" s="1" t="s">
        <v>4</v>
      </c>
      <c r="B2996" s="2" t="s">
        <v>210</v>
      </c>
      <c r="C2996" s="5"/>
      <c r="D2996" s="5" t="s">
        <v>464</v>
      </c>
      <c r="E2996" s="3" t="s">
        <v>465</v>
      </c>
      <c r="F2996" s="3">
        <v>107500</v>
      </c>
      <c r="G2996" s="57" t="str">
        <f t="shared" si="46"/>
        <v>-</v>
      </c>
      <c r="H2996" s="4"/>
      <c r="I2996" s="4"/>
    </row>
    <row r="2997" spans="1:9" s="1" customFormat="1" x14ac:dyDescent="0.2">
      <c r="A2997" s="1" t="s">
        <v>4</v>
      </c>
      <c r="B2997" s="2" t="s">
        <v>210</v>
      </c>
      <c r="C2997" s="5"/>
      <c r="D2997" s="5" t="s">
        <v>464</v>
      </c>
      <c r="E2997" s="3" t="s">
        <v>465</v>
      </c>
      <c r="F2997" s="3">
        <v>107500</v>
      </c>
      <c r="G2997" s="57" t="str">
        <f t="shared" si="46"/>
        <v>-</v>
      </c>
      <c r="H2997" s="4"/>
      <c r="I2997" s="4"/>
    </row>
    <row r="2998" spans="1:9" s="1" customFormat="1" x14ac:dyDescent="0.2">
      <c r="A2998" s="1" t="s">
        <v>4</v>
      </c>
      <c r="B2998" s="2" t="s">
        <v>210</v>
      </c>
      <c r="C2998" s="5"/>
      <c r="D2998" s="5" t="s">
        <v>464</v>
      </c>
      <c r="E2998" s="3">
        <v>107500</v>
      </c>
      <c r="F2998" s="3" t="s">
        <v>465</v>
      </c>
      <c r="G2998" s="57" t="str">
        <f t="shared" si="46"/>
        <v>-</v>
      </c>
      <c r="H2998" s="4"/>
      <c r="I2998" s="4"/>
    </row>
    <row r="2999" spans="1:9" s="1" customFormat="1" x14ac:dyDescent="0.2">
      <c r="A2999" s="1" t="s">
        <v>4</v>
      </c>
      <c r="B2999" s="2" t="s">
        <v>210</v>
      </c>
      <c r="C2999" s="5"/>
      <c r="D2999" s="5" t="s">
        <v>464</v>
      </c>
      <c r="E2999" s="3">
        <v>107500</v>
      </c>
      <c r="F2999" s="3" t="s">
        <v>465</v>
      </c>
      <c r="G2999" s="57" t="str">
        <f t="shared" si="46"/>
        <v>-</v>
      </c>
      <c r="H2999" s="4"/>
      <c r="I2999" s="4"/>
    </row>
    <row r="3000" spans="1:9" s="1" customFormat="1" x14ac:dyDescent="0.2">
      <c r="A3000" s="1" t="s">
        <v>4</v>
      </c>
      <c r="B3000" s="2" t="s">
        <v>210</v>
      </c>
      <c r="C3000" s="5"/>
      <c r="D3000" s="5" t="s">
        <v>464</v>
      </c>
      <c r="E3000" s="3">
        <v>107500</v>
      </c>
      <c r="F3000" s="3" t="s">
        <v>465</v>
      </c>
      <c r="G3000" s="57" t="str">
        <f t="shared" si="46"/>
        <v>-</v>
      </c>
      <c r="H3000" s="4"/>
      <c r="I3000" s="4"/>
    </row>
    <row r="3001" spans="1:9" s="1" customFormat="1" x14ac:dyDescent="0.2">
      <c r="A3001" s="1" t="s">
        <v>4</v>
      </c>
      <c r="B3001" s="2" t="s">
        <v>210</v>
      </c>
      <c r="C3001" s="5"/>
      <c r="D3001" s="5" t="s">
        <v>464</v>
      </c>
      <c r="E3001" s="3">
        <v>107500</v>
      </c>
      <c r="F3001" s="3" t="s">
        <v>465</v>
      </c>
      <c r="G3001" s="57" t="str">
        <f t="shared" si="46"/>
        <v>-</v>
      </c>
      <c r="H3001" s="4"/>
      <c r="I3001" s="4"/>
    </row>
    <row r="3002" spans="1:9" s="1" customFormat="1" x14ac:dyDescent="0.2">
      <c r="A3002" s="1" t="s">
        <v>4</v>
      </c>
      <c r="B3002" s="2" t="s">
        <v>210</v>
      </c>
      <c r="C3002" s="5"/>
      <c r="D3002" s="5" t="s">
        <v>464</v>
      </c>
      <c r="E3002" s="3">
        <v>107500</v>
      </c>
      <c r="F3002" s="3" t="s">
        <v>465</v>
      </c>
      <c r="G3002" s="57" t="str">
        <f t="shared" si="46"/>
        <v>-</v>
      </c>
      <c r="H3002" s="4"/>
      <c r="I3002" s="4"/>
    </row>
    <row r="3003" spans="1:9" s="1" customFormat="1" x14ac:dyDescent="0.2">
      <c r="A3003" s="1" t="s">
        <v>4</v>
      </c>
      <c r="B3003" s="2" t="s">
        <v>210</v>
      </c>
      <c r="C3003" s="5"/>
      <c r="D3003" s="5" t="s">
        <v>464</v>
      </c>
      <c r="E3003" s="3">
        <v>107500</v>
      </c>
      <c r="F3003" s="3" t="s">
        <v>465</v>
      </c>
      <c r="G3003" s="57" t="str">
        <f t="shared" si="46"/>
        <v>-</v>
      </c>
      <c r="H3003" s="4"/>
      <c r="I3003" s="4"/>
    </row>
    <row r="3004" spans="1:9" s="1" customFormat="1" x14ac:dyDescent="0.2">
      <c r="A3004" s="1" t="s">
        <v>4</v>
      </c>
      <c r="B3004" s="2" t="s">
        <v>210</v>
      </c>
      <c r="C3004" s="5"/>
      <c r="D3004" s="5" t="s">
        <v>464</v>
      </c>
      <c r="E3004" s="3">
        <v>107500</v>
      </c>
      <c r="F3004" s="3" t="s">
        <v>465</v>
      </c>
      <c r="G3004" s="57" t="str">
        <f t="shared" si="46"/>
        <v>-</v>
      </c>
      <c r="H3004" s="4"/>
      <c r="I3004" s="4"/>
    </row>
    <row r="3005" spans="1:9" s="1" customFormat="1" x14ac:dyDescent="0.2">
      <c r="A3005" s="1" t="s">
        <v>4</v>
      </c>
      <c r="B3005" s="2" t="s">
        <v>210</v>
      </c>
      <c r="C3005" s="5"/>
      <c r="D3005" s="5" t="s">
        <v>464</v>
      </c>
      <c r="E3005" s="3">
        <v>107500</v>
      </c>
      <c r="F3005" s="3" t="s">
        <v>465</v>
      </c>
      <c r="G3005" s="57" t="str">
        <f t="shared" si="46"/>
        <v>-</v>
      </c>
      <c r="H3005" s="4"/>
      <c r="I3005" s="4"/>
    </row>
    <row r="3006" spans="1:9" s="1" customFormat="1" x14ac:dyDescent="0.2">
      <c r="A3006" s="1" t="s">
        <v>4</v>
      </c>
      <c r="B3006" s="2" t="s">
        <v>210</v>
      </c>
      <c r="C3006" s="5"/>
      <c r="D3006" s="5" t="s">
        <v>464</v>
      </c>
      <c r="E3006" s="3">
        <v>107500</v>
      </c>
      <c r="F3006" s="3" t="s">
        <v>465</v>
      </c>
      <c r="G3006" s="57" t="str">
        <f t="shared" si="46"/>
        <v>-</v>
      </c>
      <c r="H3006" s="4"/>
      <c r="I3006" s="4"/>
    </row>
    <row r="3007" spans="1:9" s="1" customFormat="1" x14ac:dyDescent="0.2">
      <c r="A3007" s="1" t="s">
        <v>4</v>
      </c>
      <c r="B3007" s="2" t="s">
        <v>210</v>
      </c>
      <c r="C3007" s="5"/>
      <c r="D3007" s="5" t="s">
        <v>464</v>
      </c>
      <c r="E3007" s="3">
        <v>107500</v>
      </c>
      <c r="F3007" s="3" t="s">
        <v>465</v>
      </c>
      <c r="G3007" s="57" t="str">
        <f t="shared" si="46"/>
        <v>-</v>
      </c>
      <c r="H3007" s="4"/>
      <c r="I3007" s="4"/>
    </row>
    <row r="3008" spans="1:9" s="1" customFormat="1" x14ac:dyDescent="0.2">
      <c r="A3008" s="1" t="s">
        <v>4</v>
      </c>
      <c r="B3008" s="2" t="s">
        <v>210</v>
      </c>
      <c r="C3008" s="5"/>
      <c r="D3008" s="5" t="s">
        <v>464</v>
      </c>
      <c r="E3008" s="3">
        <v>107500</v>
      </c>
      <c r="F3008" s="3" t="s">
        <v>465</v>
      </c>
      <c r="G3008" s="57" t="str">
        <f t="shared" si="46"/>
        <v>-</v>
      </c>
      <c r="H3008" s="4"/>
      <c r="I3008" s="4"/>
    </row>
    <row r="3009" spans="1:9" s="1" customFormat="1" x14ac:dyDescent="0.2">
      <c r="A3009" s="1" t="s">
        <v>4</v>
      </c>
      <c r="B3009" s="2" t="s">
        <v>210</v>
      </c>
      <c r="C3009" s="5"/>
      <c r="D3009" s="5" t="s">
        <v>464</v>
      </c>
      <c r="E3009" s="3" t="s">
        <v>465</v>
      </c>
      <c r="F3009" s="3">
        <v>112500</v>
      </c>
      <c r="G3009" s="57" t="str">
        <f t="shared" si="46"/>
        <v>-</v>
      </c>
      <c r="H3009" s="4"/>
      <c r="I3009" s="4"/>
    </row>
    <row r="3010" spans="1:9" s="1" customFormat="1" x14ac:dyDescent="0.2">
      <c r="A3010" s="1" t="s">
        <v>4</v>
      </c>
      <c r="B3010" s="2" t="s">
        <v>210</v>
      </c>
      <c r="C3010" s="5"/>
      <c r="D3010" s="5" t="s">
        <v>464</v>
      </c>
      <c r="E3010" s="3" t="s">
        <v>465</v>
      </c>
      <c r="F3010" s="3">
        <v>112500</v>
      </c>
      <c r="G3010" s="57" t="str">
        <f t="shared" si="46"/>
        <v>-</v>
      </c>
      <c r="H3010" s="4"/>
      <c r="I3010" s="4"/>
    </row>
    <row r="3011" spans="1:9" s="1" customFormat="1" x14ac:dyDescent="0.2">
      <c r="A3011" s="1" t="s">
        <v>4</v>
      </c>
      <c r="B3011" s="2" t="s">
        <v>210</v>
      </c>
      <c r="C3011" s="5"/>
      <c r="D3011" s="5" t="s">
        <v>464</v>
      </c>
      <c r="E3011" s="3">
        <v>117500</v>
      </c>
      <c r="F3011" s="3" t="s">
        <v>465</v>
      </c>
      <c r="G3011" s="57" t="str">
        <f t="shared" ref="G3011:G3074" si="47">IF(ISERROR((F3011-E3011)/E3011),"-",(F3011-E3011)/E3011)</f>
        <v>-</v>
      </c>
      <c r="H3011" s="4"/>
      <c r="I3011" s="4"/>
    </row>
    <row r="3012" spans="1:9" s="1" customFormat="1" x14ac:dyDescent="0.2">
      <c r="A3012" s="1" t="s">
        <v>4</v>
      </c>
      <c r="B3012" s="2" t="s">
        <v>210</v>
      </c>
      <c r="C3012" s="5"/>
      <c r="D3012" s="5" t="s">
        <v>464</v>
      </c>
      <c r="E3012" s="3">
        <v>122500</v>
      </c>
      <c r="F3012" s="3" t="s">
        <v>465</v>
      </c>
      <c r="G3012" s="57" t="str">
        <f t="shared" si="47"/>
        <v>-</v>
      </c>
      <c r="H3012" s="4"/>
      <c r="I3012" s="4"/>
    </row>
    <row r="3013" spans="1:9" s="1" customFormat="1" x14ac:dyDescent="0.2">
      <c r="A3013" s="1" t="s">
        <v>4</v>
      </c>
      <c r="B3013" s="2" t="s">
        <v>210</v>
      </c>
      <c r="C3013" s="5"/>
      <c r="D3013" s="5" t="s">
        <v>464</v>
      </c>
      <c r="E3013" s="3">
        <v>122500</v>
      </c>
      <c r="F3013" s="3" t="s">
        <v>465</v>
      </c>
      <c r="G3013" s="57" t="str">
        <f t="shared" si="47"/>
        <v>-</v>
      </c>
      <c r="H3013" s="4"/>
      <c r="I3013" s="4"/>
    </row>
    <row r="3014" spans="1:9" s="1" customFormat="1" x14ac:dyDescent="0.2">
      <c r="A3014" s="1" t="s">
        <v>4</v>
      </c>
      <c r="B3014" s="2" t="s">
        <v>210</v>
      </c>
      <c r="C3014" s="5"/>
      <c r="D3014" s="5" t="s">
        <v>464</v>
      </c>
      <c r="E3014" s="3" t="s">
        <v>465</v>
      </c>
      <c r="F3014" s="3">
        <v>122500</v>
      </c>
      <c r="G3014" s="57" t="str">
        <f t="shared" si="47"/>
        <v>-</v>
      </c>
      <c r="H3014" s="4"/>
      <c r="I3014" s="4"/>
    </row>
    <row r="3015" spans="1:9" s="1" customFormat="1" x14ac:dyDescent="0.2">
      <c r="A3015" s="1" t="s">
        <v>4</v>
      </c>
      <c r="B3015" s="2" t="s">
        <v>210</v>
      </c>
      <c r="C3015" s="5"/>
      <c r="D3015" s="5" t="s">
        <v>464</v>
      </c>
      <c r="E3015" s="3" t="s">
        <v>465</v>
      </c>
      <c r="F3015" s="3">
        <v>137500</v>
      </c>
      <c r="G3015" s="57" t="str">
        <f t="shared" si="47"/>
        <v>-</v>
      </c>
      <c r="H3015" s="4"/>
      <c r="I3015" s="4"/>
    </row>
    <row r="3016" spans="1:9" s="1" customFormat="1" x14ac:dyDescent="0.2">
      <c r="A3016" s="1" t="s">
        <v>4</v>
      </c>
      <c r="B3016" s="2" t="s">
        <v>210</v>
      </c>
      <c r="C3016" s="5"/>
      <c r="D3016" s="5" t="s">
        <v>464</v>
      </c>
      <c r="E3016" s="3">
        <v>137500</v>
      </c>
      <c r="F3016" s="3" t="s">
        <v>465</v>
      </c>
      <c r="G3016" s="57" t="str">
        <f t="shared" si="47"/>
        <v>-</v>
      </c>
      <c r="H3016" s="4"/>
      <c r="I3016" s="4"/>
    </row>
    <row r="3017" spans="1:9" s="1" customFormat="1" x14ac:dyDescent="0.2">
      <c r="A3017" s="1" t="s">
        <v>4</v>
      </c>
      <c r="B3017" s="2" t="s">
        <v>210</v>
      </c>
      <c r="C3017" s="5"/>
      <c r="D3017" s="5" t="s">
        <v>464</v>
      </c>
      <c r="E3017" s="3" t="s">
        <v>465</v>
      </c>
      <c r="F3017" s="3">
        <v>142500</v>
      </c>
      <c r="G3017" s="57" t="str">
        <f t="shared" si="47"/>
        <v>-</v>
      </c>
      <c r="H3017" s="4"/>
      <c r="I3017" s="4"/>
    </row>
    <row r="3018" spans="1:9" s="1" customFormat="1" x14ac:dyDescent="0.2">
      <c r="A3018" s="1" t="s">
        <v>4</v>
      </c>
      <c r="B3018" s="2" t="s">
        <v>210</v>
      </c>
      <c r="C3018" s="5"/>
      <c r="D3018" s="5" t="s">
        <v>464</v>
      </c>
      <c r="E3018" s="3" t="s">
        <v>465</v>
      </c>
      <c r="F3018" s="3">
        <v>152500</v>
      </c>
      <c r="G3018" s="57" t="str">
        <f t="shared" si="47"/>
        <v>-</v>
      </c>
      <c r="H3018" s="4"/>
      <c r="I3018" s="4"/>
    </row>
    <row r="3019" spans="1:9" s="1" customFormat="1" x14ac:dyDescent="0.2">
      <c r="A3019" s="1" t="s">
        <v>4</v>
      </c>
      <c r="B3019" s="2" t="s">
        <v>210</v>
      </c>
      <c r="C3019" s="5"/>
      <c r="D3019" s="5" t="s">
        <v>464</v>
      </c>
      <c r="E3019" s="3" t="s">
        <v>465</v>
      </c>
      <c r="F3019" s="3">
        <v>162500</v>
      </c>
      <c r="G3019" s="57" t="str">
        <f t="shared" si="47"/>
        <v>-</v>
      </c>
      <c r="H3019" s="4"/>
      <c r="I3019" s="4"/>
    </row>
    <row r="3020" spans="1:9" s="1" customFormat="1" x14ac:dyDescent="0.2">
      <c r="A3020" s="1" t="s">
        <v>4</v>
      </c>
      <c r="B3020" s="2" t="s">
        <v>210</v>
      </c>
      <c r="C3020" s="5"/>
      <c r="D3020" s="5" t="s">
        <v>464</v>
      </c>
      <c r="E3020" s="3" t="s">
        <v>465</v>
      </c>
      <c r="F3020" s="3">
        <v>172500</v>
      </c>
      <c r="G3020" s="57" t="str">
        <f t="shared" si="47"/>
        <v>-</v>
      </c>
      <c r="H3020" s="4"/>
      <c r="I3020" s="4"/>
    </row>
    <row r="3021" spans="1:9" s="1" customFormat="1" x14ac:dyDescent="0.2">
      <c r="A3021" s="1" t="s">
        <v>4</v>
      </c>
      <c r="B3021" s="2" t="s">
        <v>210</v>
      </c>
      <c r="C3021" s="5"/>
      <c r="D3021" s="5" t="s">
        <v>464</v>
      </c>
      <c r="E3021" s="3" t="s">
        <v>465</v>
      </c>
      <c r="F3021" s="3">
        <v>172500</v>
      </c>
      <c r="G3021" s="57" t="str">
        <f t="shared" si="47"/>
        <v>-</v>
      </c>
      <c r="H3021" s="4"/>
      <c r="I3021" s="4"/>
    </row>
    <row r="3022" spans="1:9" s="1" customFormat="1" x14ac:dyDescent="0.2">
      <c r="A3022" s="1" t="s">
        <v>4</v>
      </c>
      <c r="B3022" s="2" t="s">
        <v>210</v>
      </c>
      <c r="C3022" s="5"/>
      <c r="D3022" s="5" t="s">
        <v>464</v>
      </c>
      <c r="E3022" s="3">
        <v>182500</v>
      </c>
      <c r="F3022" s="3" t="s">
        <v>465</v>
      </c>
      <c r="G3022" s="57" t="str">
        <f t="shared" si="47"/>
        <v>-</v>
      </c>
      <c r="H3022" s="4"/>
      <c r="I3022" s="4"/>
    </row>
    <row r="3023" spans="1:9" s="1" customFormat="1" x14ac:dyDescent="0.2">
      <c r="A3023" s="1" t="s">
        <v>4</v>
      </c>
      <c r="B3023" s="2" t="s">
        <v>210</v>
      </c>
      <c r="C3023" s="5"/>
      <c r="D3023" s="5" t="s">
        <v>464</v>
      </c>
      <c r="E3023" s="3">
        <v>187500</v>
      </c>
      <c r="F3023" s="3" t="s">
        <v>465</v>
      </c>
      <c r="G3023" s="57" t="str">
        <f t="shared" si="47"/>
        <v>-</v>
      </c>
      <c r="H3023" s="4"/>
      <c r="I3023" s="4"/>
    </row>
    <row r="3024" spans="1:9" s="1" customFormat="1" x14ac:dyDescent="0.2">
      <c r="A3024" s="1" t="s">
        <v>4</v>
      </c>
      <c r="B3024" s="2" t="s">
        <v>210</v>
      </c>
      <c r="C3024" s="5"/>
      <c r="D3024" s="5" t="s">
        <v>464</v>
      </c>
      <c r="E3024" s="3" t="s">
        <v>465</v>
      </c>
      <c r="F3024" s="3">
        <v>187500</v>
      </c>
      <c r="G3024" s="57" t="str">
        <f t="shared" si="47"/>
        <v>-</v>
      </c>
      <c r="H3024" s="4"/>
      <c r="I3024" s="4"/>
    </row>
    <row r="3025" spans="1:10" x14ac:dyDescent="0.2">
      <c r="A3025" s="1" t="s">
        <v>4</v>
      </c>
      <c r="B3025" s="2" t="s">
        <v>210</v>
      </c>
      <c r="D3025" s="5" t="s">
        <v>464</v>
      </c>
      <c r="E3025" s="3" t="s">
        <v>465</v>
      </c>
      <c r="F3025" s="3">
        <v>187500</v>
      </c>
      <c r="G3025" s="57" t="str">
        <f t="shared" si="47"/>
        <v>-</v>
      </c>
    </row>
    <row r="3026" spans="1:10" x14ac:dyDescent="0.2">
      <c r="A3026" s="1" t="s">
        <v>4</v>
      </c>
      <c r="B3026" s="2" t="s">
        <v>210</v>
      </c>
      <c r="D3026" s="5" t="s">
        <v>464</v>
      </c>
      <c r="E3026" s="3" t="s">
        <v>465</v>
      </c>
      <c r="F3026" s="3">
        <v>207500</v>
      </c>
      <c r="G3026" s="57" t="str">
        <f t="shared" si="47"/>
        <v>-</v>
      </c>
    </row>
    <row r="3027" spans="1:10" x14ac:dyDescent="0.2">
      <c r="A3027" s="1" t="s">
        <v>4</v>
      </c>
      <c r="B3027" s="2" t="s">
        <v>210</v>
      </c>
      <c r="D3027" s="5" t="s">
        <v>464</v>
      </c>
      <c r="E3027" s="3" t="s">
        <v>465</v>
      </c>
      <c r="F3027" s="3">
        <v>212500</v>
      </c>
      <c r="G3027" s="57" t="str">
        <f t="shared" si="47"/>
        <v>-</v>
      </c>
    </row>
    <row r="3028" spans="1:10" ht="25.5" x14ac:dyDescent="0.2">
      <c r="A3028" s="1" t="s">
        <v>8</v>
      </c>
      <c r="B3028" s="2" t="s">
        <v>211</v>
      </c>
      <c r="C3028" s="5" t="s">
        <v>1337</v>
      </c>
      <c r="D3028" s="5" t="s">
        <v>450</v>
      </c>
      <c r="E3028" s="3">
        <v>186000</v>
      </c>
      <c r="F3028" s="3">
        <v>185000</v>
      </c>
      <c r="G3028" s="57">
        <f t="shared" si="47"/>
        <v>-5.3763440860215058E-3</v>
      </c>
      <c r="J3028" s="5" t="s">
        <v>3349</v>
      </c>
    </row>
    <row r="3029" spans="1:10" ht="25.5" x14ac:dyDescent="0.2">
      <c r="A3029" s="1" t="s">
        <v>8</v>
      </c>
      <c r="B3029" s="2" t="s">
        <v>211</v>
      </c>
      <c r="D3029" s="5" t="s">
        <v>455</v>
      </c>
      <c r="E3029" s="3" t="s">
        <v>465</v>
      </c>
      <c r="F3029" s="3">
        <v>114000</v>
      </c>
      <c r="G3029" s="57" t="str">
        <f t="shared" si="47"/>
        <v>-</v>
      </c>
      <c r="J3029" s="5" t="s">
        <v>3350</v>
      </c>
    </row>
    <row r="3030" spans="1:10" ht="25.5" x14ac:dyDescent="0.2">
      <c r="A3030" s="1" t="s">
        <v>8</v>
      </c>
      <c r="B3030" s="2" t="s">
        <v>211</v>
      </c>
      <c r="D3030" s="5" t="s">
        <v>455</v>
      </c>
      <c r="E3030" s="3" t="s">
        <v>465</v>
      </c>
      <c r="F3030" s="3">
        <v>112000</v>
      </c>
      <c r="G3030" s="57" t="str">
        <f t="shared" si="47"/>
        <v>-</v>
      </c>
      <c r="J3030" s="5" t="s">
        <v>3351</v>
      </c>
    </row>
    <row r="3031" spans="1:10" ht="25.5" x14ac:dyDescent="0.2">
      <c r="A3031" s="1" t="s">
        <v>8</v>
      </c>
      <c r="B3031" s="2" t="s">
        <v>211</v>
      </c>
      <c r="D3031" s="5" t="s">
        <v>455</v>
      </c>
      <c r="E3031" s="3" t="s">
        <v>465</v>
      </c>
      <c r="F3031" s="3">
        <v>107000</v>
      </c>
      <c r="G3031" s="57" t="str">
        <f t="shared" si="47"/>
        <v>-</v>
      </c>
      <c r="J3031" s="5" t="s">
        <v>3352</v>
      </c>
    </row>
    <row r="3032" spans="1:10" x14ac:dyDescent="0.2">
      <c r="A3032" s="1" t="s">
        <v>8</v>
      </c>
      <c r="B3032" s="2" t="s">
        <v>211</v>
      </c>
      <c r="D3032" s="5" t="s">
        <v>455</v>
      </c>
      <c r="E3032" s="3">
        <v>112000</v>
      </c>
      <c r="F3032" s="3" t="s">
        <v>465</v>
      </c>
      <c r="G3032" s="57" t="str">
        <f t="shared" si="47"/>
        <v>-</v>
      </c>
    </row>
    <row r="3033" spans="1:10" x14ac:dyDescent="0.2">
      <c r="A3033" s="1" t="s">
        <v>8</v>
      </c>
      <c r="B3033" s="2" t="s">
        <v>211</v>
      </c>
      <c r="D3033" s="5" t="s">
        <v>455</v>
      </c>
      <c r="E3033" s="3">
        <v>111000</v>
      </c>
      <c r="F3033" s="3" t="s">
        <v>465</v>
      </c>
      <c r="G3033" s="57" t="str">
        <f t="shared" si="47"/>
        <v>-</v>
      </c>
    </row>
    <row r="3034" spans="1:10" x14ac:dyDescent="0.2">
      <c r="A3034" s="1" t="s">
        <v>8</v>
      </c>
      <c r="B3034" s="2" t="s">
        <v>211</v>
      </c>
      <c r="D3034" s="5" t="s">
        <v>455</v>
      </c>
      <c r="E3034" s="3">
        <v>106000</v>
      </c>
      <c r="F3034" s="3" t="s">
        <v>465</v>
      </c>
      <c r="G3034" s="57" t="str">
        <f t="shared" si="47"/>
        <v>-</v>
      </c>
    </row>
    <row r="3035" spans="1:10" ht="25.5" x14ac:dyDescent="0.2">
      <c r="A3035" s="1" t="s">
        <v>20</v>
      </c>
      <c r="B3035" s="2" t="s">
        <v>212</v>
      </c>
      <c r="D3035" s="5" t="s">
        <v>450</v>
      </c>
      <c r="E3035" s="9">
        <v>144397</v>
      </c>
      <c r="F3035" s="9">
        <v>144206</v>
      </c>
      <c r="G3035" s="57">
        <f t="shared" si="47"/>
        <v>-1.3227421622332874E-3</v>
      </c>
      <c r="J3035" s="5" t="s">
        <v>3345</v>
      </c>
    </row>
    <row r="3036" spans="1:10" ht="25.5" x14ac:dyDescent="0.2">
      <c r="A3036" s="1" t="s">
        <v>20</v>
      </c>
      <c r="B3036" s="2" t="s">
        <v>212</v>
      </c>
      <c r="D3036" s="5" t="s">
        <v>1335</v>
      </c>
      <c r="E3036" s="9">
        <v>103285</v>
      </c>
      <c r="F3036" s="9">
        <v>105015</v>
      </c>
      <c r="G3036" s="57">
        <f t="shared" si="47"/>
        <v>1.6749770053734812E-2</v>
      </c>
      <c r="J3036" s="5" t="s">
        <v>3346</v>
      </c>
    </row>
    <row r="3037" spans="1:10" ht="38.25" x14ac:dyDescent="0.2">
      <c r="A3037" s="1" t="s">
        <v>20</v>
      </c>
      <c r="B3037" s="2" t="s">
        <v>212</v>
      </c>
      <c r="D3037" s="5" t="s">
        <v>1336</v>
      </c>
      <c r="E3037" s="9">
        <v>80472</v>
      </c>
      <c r="F3037" s="9">
        <v>187319</v>
      </c>
      <c r="G3037" s="57">
        <f t="shared" si="47"/>
        <v>1.3277537528581369</v>
      </c>
      <c r="J3037" s="5" t="s">
        <v>3347</v>
      </c>
    </row>
    <row r="3038" spans="1:10" ht="25.5" x14ac:dyDescent="0.2">
      <c r="A3038" s="1" t="s">
        <v>20</v>
      </c>
      <c r="B3038" s="2" t="s">
        <v>212</v>
      </c>
      <c r="D3038" s="5" t="s">
        <v>1140</v>
      </c>
      <c r="E3038" s="9">
        <v>78528</v>
      </c>
      <c r="F3038" s="9">
        <v>154377</v>
      </c>
      <c r="G3038" s="57">
        <f t="shared" si="47"/>
        <v>0.96588477995110023</v>
      </c>
      <c r="J3038" s="5" t="s">
        <v>3348</v>
      </c>
    </row>
    <row r="3039" spans="1:10" x14ac:dyDescent="0.2">
      <c r="A3039" s="1" t="s">
        <v>20</v>
      </c>
      <c r="B3039" s="2" t="s">
        <v>212</v>
      </c>
      <c r="D3039" s="5" t="s">
        <v>464</v>
      </c>
      <c r="G3039" s="57" t="str">
        <f t="shared" si="47"/>
        <v>-</v>
      </c>
      <c r="H3039" s="19">
        <v>97500</v>
      </c>
      <c r="I3039" s="19" t="s">
        <v>465</v>
      </c>
      <c r="J3039" s="5" t="s">
        <v>2137</v>
      </c>
    </row>
    <row r="3040" spans="1:10" x14ac:dyDescent="0.2">
      <c r="A3040" s="1" t="s">
        <v>20</v>
      </c>
      <c r="B3040" s="2" t="s">
        <v>212</v>
      </c>
      <c r="D3040" s="5" t="s">
        <v>464</v>
      </c>
      <c r="E3040" s="3" t="s">
        <v>465</v>
      </c>
      <c r="F3040" s="3">
        <v>117500</v>
      </c>
      <c r="G3040" s="57" t="str">
        <f t="shared" si="47"/>
        <v>-</v>
      </c>
      <c r="J3040" s="5" t="s">
        <v>2137</v>
      </c>
    </row>
    <row r="3041" spans="1:10" ht="51" x14ac:dyDescent="0.2">
      <c r="A3041" s="1" t="s">
        <v>28</v>
      </c>
      <c r="B3041" s="2" t="s">
        <v>213</v>
      </c>
      <c r="C3041" s="5" t="s">
        <v>1325</v>
      </c>
      <c r="D3041" s="5" t="s">
        <v>450</v>
      </c>
      <c r="E3041" s="9">
        <v>112777</v>
      </c>
      <c r="F3041" s="9">
        <v>222760</v>
      </c>
      <c r="G3041" s="57">
        <f t="shared" si="47"/>
        <v>0.9752254449045461</v>
      </c>
      <c r="J3041" s="5" t="s">
        <v>4660</v>
      </c>
    </row>
    <row r="3042" spans="1:10" x14ac:dyDescent="0.2">
      <c r="A3042" s="1" t="s">
        <v>28</v>
      </c>
      <c r="B3042" s="2" t="s">
        <v>213</v>
      </c>
      <c r="C3042" s="5" t="s">
        <v>3320</v>
      </c>
      <c r="D3042" s="5" t="s">
        <v>450</v>
      </c>
      <c r="E3042" s="9">
        <v>133724</v>
      </c>
      <c r="F3042" s="9" t="s">
        <v>465</v>
      </c>
      <c r="G3042" s="57" t="str">
        <f t="shared" si="47"/>
        <v>-</v>
      </c>
      <c r="J3042" s="5" t="s">
        <v>3321</v>
      </c>
    </row>
    <row r="3043" spans="1:10" ht="51" x14ac:dyDescent="0.2">
      <c r="A3043" s="1" t="s">
        <v>28</v>
      </c>
      <c r="B3043" s="2" t="s">
        <v>213</v>
      </c>
      <c r="D3043" s="5" t="s">
        <v>1326</v>
      </c>
      <c r="E3043" s="9">
        <v>185045</v>
      </c>
      <c r="F3043" s="9">
        <v>162837</v>
      </c>
      <c r="G3043" s="57">
        <f t="shared" si="47"/>
        <v>-0.12001405063633171</v>
      </c>
      <c r="J3043" s="5" t="s">
        <v>4661</v>
      </c>
    </row>
    <row r="3044" spans="1:10" ht="51" x14ac:dyDescent="0.2">
      <c r="A3044" s="1" t="s">
        <v>28</v>
      </c>
      <c r="B3044" s="2" t="s">
        <v>213</v>
      </c>
      <c r="D3044" s="5" t="s">
        <v>3331</v>
      </c>
      <c r="E3044" s="9">
        <v>160138</v>
      </c>
      <c r="F3044" s="9">
        <v>80401</v>
      </c>
      <c r="G3044" s="57">
        <f t="shared" si="47"/>
        <v>-0.49792678814522473</v>
      </c>
      <c r="J3044" s="5" t="s">
        <v>3332</v>
      </c>
    </row>
    <row r="3045" spans="1:10" ht="38.25" x14ac:dyDescent="0.2">
      <c r="A3045" s="1" t="s">
        <v>28</v>
      </c>
      <c r="B3045" s="2" t="s">
        <v>213</v>
      </c>
      <c r="D3045" s="5" t="s">
        <v>1327</v>
      </c>
      <c r="E3045" s="9">
        <v>140035</v>
      </c>
      <c r="F3045" s="9">
        <v>135450</v>
      </c>
      <c r="G3045" s="57">
        <f t="shared" si="47"/>
        <v>-3.2741814546363407E-2</v>
      </c>
      <c r="J3045" s="5" t="s">
        <v>3322</v>
      </c>
    </row>
    <row r="3046" spans="1:10" x14ac:dyDescent="0.2">
      <c r="A3046" s="1" t="s">
        <v>28</v>
      </c>
      <c r="B3046" s="2" t="s">
        <v>213</v>
      </c>
      <c r="D3046" s="5" t="s">
        <v>3333</v>
      </c>
      <c r="E3046" s="9">
        <v>118243</v>
      </c>
      <c r="F3046" s="9" t="s">
        <v>465</v>
      </c>
      <c r="G3046" s="57" t="str">
        <f t="shared" si="47"/>
        <v>-</v>
      </c>
    </row>
    <row r="3047" spans="1:10" x14ac:dyDescent="0.2">
      <c r="A3047" s="1" t="s">
        <v>28</v>
      </c>
      <c r="B3047" s="2" t="s">
        <v>213</v>
      </c>
      <c r="D3047" s="5" t="s">
        <v>3334</v>
      </c>
      <c r="E3047" s="9">
        <v>110452</v>
      </c>
      <c r="F3047" s="9" t="s">
        <v>465</v>
      </c>
      <c r="G3047" s="57" t="str">
        <f t="shared" si="47"/>
        <v>-</v>
      </c>
    </row>
    <row r="3048" spans="1:10" ht="38.25" x14ac:dyDescent="0.2">
      <c r="A3048" s="1" t="s">
        <v>28</v>
      </c>
      <c r="B3048" s="2" t="s">
        <v>213</v>
      </c>
      <c r="D3048" s="5" t="s">
        <v>1328</v>
      </c>
      <c r="E3048" s="9" t="s">
        <v>465</v>
      </c>
      <c r="F3048" s="9">
        <v>122553</v>
      </c>
      <c r="G3048" s="57" t="str">
        <f t="shared" si="47"/>
        <v>-</v>
      </c>
      <c r="J3048" s="5" t="s">
        <v>3323</v>
      </c>
    </row>
    <row r="3049" spans="1:10" ht="38.25" x14ac:dyDescent="0.2">
      <c r="A3049" s="1" t="s">
        <v>28</v>
      </c>
      <c r="B3049" s="2" t="s">
        <v>213</v>
      </c>
      <c r="D3049" s="5" t="s">
        <v>1329</v>
      </c>
      <c r="E3049" s="9" t="s">
        <v>465</v>
      </c>
      <c r="F3049" s="9">
        <v>121281</v>
      </c>
      <c r="G3049" s="57" t="str">
        <f t="shared" si="47"/>
        <v>-</v>
      </c>
      <c r="J3049" s="5" t="s">
        <v>4662</v>
      </c>
    </row>
    <row r="3050" spans="1:10" ht="25.5" x14ac:dyDescent="0.2">
      <c r="A3050" s="1" t="s">
        <v>28</v>
      </c>
      <c r="B3050" s="2" t="s">
        <v>213</v>
      </c>
      <c r="D3050" s="5" t="s">
        <v>1330</v>
      </c>
      <c r="E3050" s="9" t="s">
        <v>465</v>
      </c>
      <c r="F3050" s="9">
        <v>112402</v>
      </c>
      <c r="G3050" s="57" t="str">
        <f t="shared" si="47"/>
        <v>-</v>
      </c>
      <c r="J3050" s="5" t="s">
        <v>3324</v>
      </c>
    </row>
    <row r="3051" spans="1:10" x14ac:dyDescent="0.2">
      <c r="A3051" s="1" t="s">
        <v>28</v>
      </c>
      <c r="B3051" s="2" t="s">
        <v>213</v>
      </c>
      <c r="D3051" s="5" t="s">
        <v>3340</v>
      </c>
      <c r="E3051" s="9">
        <v>101997</v>
      </c>
      <c r="F3051" s="9" t="s">
        <v>465</v>
      </c>
      <c r="G3051" s="57" t="str">
        <f t="shared" si="47"/>
        <v>-</v>
      </c>
    </row>
    <row r="3052" spans="1:10" x14ac:dyDescent="0.2">
      <c r="A3052" s="1" t="s">
        <v>28</v>
      </c>
      <c r="B3052" s="2" t="s">
        <v>213</v>
      </c>
      <c r="D3052" s="5" t="s">
        <v>3341</v>
      </c>
      <c r="E3052" s="9">
        <v>127522</v>
      </c>
      <c r="F3052" s="9" t="s">
        <v>465</v>
      </c>
      <c r="G3052" s="57" t="str">
        <f t="shared" si="47"/>
        <v>-</v>
      </c>
      <c r="J3052" s="5" t="s">
        <v>3342</v>
      </c>
    </row>
    <row r="3053" spans="1:10" x14ac:dyDescent="0.2">
      <c r="A3053" s="1" t="s">
        <v>28</v>
      </c>
      <c r="B3053" s="2" t="s">
        <v>213</v>
      </c>
      <c r="D3053" s="5" t="s">
        <v>3343</v>
      </c>
      <c r="E3053" s="9">
        <v>145380</v>
      </c>
      <c r="F3053" s="9" t="s">
        <v>465</v>
      </c>
      <c r="G3053" s="57" t="str">
        <f t="shared" si="47"/>
        <v>-</v>
      </c>
      <c r="J3053" s="5" t="s">
        <v>3344</v>
      </c>
    </row>
    <row r="3054" spans="1:10" ht="38.25" x14ac:dyDescent="0.2">
      <c r="A3054" s="1" t="s">
        <v>28</v>
      </c>
      <c r="B3054" s="2" t="s">
        <v>213</v>
      </c>
      <c r="D3054" s="5" t="s">
        <v>1331</v>
      </c>
      <c r="E3054" s="9">
        <v>102310</v>
      </c>
      <c r="F3054" s="9">
        <v>111207</v>
      </c>
      <c r="G3054" s="57">
        <f t="shared" si="47"/>
        <v>8.6961196363991786E-2</v>
      </c>
      <c r="J3054" s="5" t="s">
        <v>3325</v>
      </c>
    </row>
    <row r="3055" spans="1:10" x14ac:dyDescent="0.2">
      <c r="A3055" s="1" t="s">
        <v>28</v>
      </c>
      <c r="B3055" s="2" t="s">
        <v>213</v>
      </c>
      <c r="D3055" s="5" t="s">
        <v>3335</v>
      </c>
      <c r="E3055" s="9">
        <v>113689</v>
      </c>
      <c r="F3055" s="9" t="s">
        <v>465</v>
      </c>
      <c r="G3055" s="57" t="str">
        <f t="shared" si="47"/>
        <v>-</v>
      </c>
    </row>
    <row r="3056" spans="1:10" ht="38.25" x14ac:dyDescent="0.2">
      <c r="A3056" s="1" t="s">
        <v>28</v>
      </c>
      <c r="B3056" s="2" t="s">
        <v>213</v>
      </c>
      <c r="D3056" s="5" t="s">
        <v>3336</v>
      </c>
      <c r="E3056" s="9">
        <v>109623</v>
      </c>
      <c r="F3056" s="9">
        <v>88415</v>
      </c>
      <c r="G3056" s="57">
        <f t="shared" si="47"/>
        <v>-0.1934630506371838</v>
      </c>
      <c r="J3056" s="5" t="s">
        <v>3337</v>
      </c>
    </row>
    <row r="3057" spans="1:10" ht="25.5" x14ac:dyDescent="0.2">
      <c r="A3057" s="1" t="s">
        <v>28</v>
      </c>
      <c r="B3057" s="2" t="s">
        <v>213</v>
      </c>
      <c r="D3057" s="5" t="s">
        <v>1332</v>
      </c>
      <c r="E3057" s="9">
        <v>110352</v>
      </c>
      <c r="F3057" s="9">
        <v>111344</v>
      </c>
      <c r="G3057" s="57">
        <f t="shared" si="47"/>
        <v>8.989415687980281E-3</v>
      </c>
      <c r="J3057" s="5" t="s">
        <v>3326</v>
      </c>
    </row>
    <row r="3058" spans="1:10" ht="25.5" x14ac:dyDescent="0.2">
      <c r="A3058" s="1" t="s">
        <v>28</v>
      </c>
      <c r="B3058" s="2" t="s">
        <v>213</v>
      </c>
      <c r="D3058" s="5" t="s">
        <v>1333</v>
      </c>
      <c r="E3058" s="9">
        <v>110165</v>
      </c>
      <c r="F3058" s="9">
        <v>111003</v>
      </c>
      <c r="G3058" s="57">
        <f t="shared" si="47"/>
        <v>7.6067716606907816E-3</v>
      </c>
      <c r="J3058" s="5" t="s">
        <v>3327</v>
      </c>
    </row>
    <row r="3059" spans="1:10" ht="38.25" x14ac:dyDescent="0.2">
      <c r="A3059" s="1" t="s">
        <v>28</v>
      </c>
      <c r="B3059" s="2" t="s">
        <v>213</v>
      </c>
      <c r="D3059" s="5" t="s">
        <v>3338</v>
      </c>
      <c r="E3059" s="9">
        <v>128694</v>
      </c>
      <c r="F3059" s="9">
        <v>67088</v>
      </c>
      <c r="G3059" s="57">
        <f t="shared" si="47"/>
        <v>-0.47870141576141856</v>
      </c>
      <c r="J3059" s="5" t="s">
        <v>3339</v>
      </c>
    </row>
    <row r="3060" spans="1:10" ht="25.5" x14ac:dyDescent="0.2">
      <c r="A3060" s="1" t="s">
        <v>28</v>
      </c>
      <c r="B3060" s="2" t="s">
        <v>213</v>
      </c>
      <c r="D3060" s="5" t="s">
        <v>740</v>
      </c>
      <c r="E3060" s="9">
        <v>103928</v>
      </c>
      <c r="F3060" s="9">
        <v>110844</v>
      </c>
      <c r="G3060" s="57">
        <f t="shared" si="47"/>
        <v>6.6546070356400588E-2</v>
      </c>
      <c r="J3060" s="5" t="s">
        <v>3330</v>
      </c>
    </row>
    <row r="3061" spans="1:10" ht="25.5" x14ac:dyDescent="0.2">
      <c r="A3061" s="1" t="s">
        <v>28</v>
      </c>
      <c r="B3061" s="2" t="s">
        <v>213</v>
      </c>
      <c r="D3061" s="5" t="s">
        <v>1334</v>
      </c>
      <c r="E3061" s="9">
        <v>97666</v>
      </c>
      <c r="F3061" s="9">
        <v>110934</v>
      </c>
      <c r="G3061" s="57">
        <f t="shared" si="47"/>
        <v>0.13585075666045501</v>
      </c>
      <c r="J3061" s="5" t="s">
        <v>3328</v>
      </c>
    </row>
    <row r="3062" spans="1:10" ht="25.5" x14ac:dyDescent="0.2">
      <c r="A3062" s="1" t="s">
        <v>28</v>
      </c>
      <c r="B3062" s="2" t="s">
        <v>213</v>
      </c>
      <c r="D3062" s="5" t="s">
        <v>860</v>
      </c>
      <c r="E3062" s="9">
        <v>108630</v>
      </c>
      <c r="F3062" s="9">
        <v>109746</v>
      </c>
      <c r="G3062" s="57">
        <f t="shared" si="47"/>
        <v>1.0273405136702569E-2</v>
      </c>
      <c r="J3062" s="5" t="s">
        <v>3329</v>
      </c>
    </row>
    <row r="3063" spans="1:10" ht="25.5" x14ac:dyDescent="0.2">
      <c r="A3063" s="1" t="s">
        <v>25</v>
      </c>
      <c r="B3063" s="2" t="s">
        <v>214</v>
      </c>
      <c r="C3063" s="5" t="s">
        <v>1320</v>
      </c>
      <c r="D3063" s="15" t="s">
        <v>450</v>
      </c>
      <c r="E3063" s="9">
        <v>222000</v>
      </c>
      <c r="F3063" s="9">
        <v>224000</v>
      </c>
      <c r="G3063" s="57">
        <f t="shared" si="47"/>
        <v>9.0090090090090089E-3</v>
      </c>
      <c r="J3063" s="5" t="s">
        <v>3315</v>
      </c>
    </row>
    <row r="3064" spans="1:10" ht="38.25" x14ac:dyDescent="0.2">
      <c r="A3064" s="1" t="s">
        <v>25</v>
      </c>
      <c r="B3064" s="2" t="s">
        <v>214</v>
      </c>
      <c r="D3064" s="15" t="s">
        <v>507</v>
      </c>
      <c r="E3064" s="9" t="s">
        <v>465</v>
      </c>
      <c r="F3064" s="9">
        <v>137000</v>
      </c>
      <c r="G3064" s="57" t="str">
        <f t="shared" si="47"/>
        <v>-</v>
      </c>
      <c r="J3064" s="5" t="s">
        <v>3316</v>
      </c>
    </row>
    <row r="3065" spans="1:10" ht="25.5" x14ac:dyDescent="0.2">
      <c r="A3065" s="1" t="s">
        <v>25</v>
      </c>
      <c r="B3065" s="2" t="s">
        <v>214</v>
      </c>
      <c r="D3065" s="15" t="s">
        <v>942</v>
      </c>
      <c r="E3065" s="9">
        <v>150000</v>
      </c>
      <c r="F3065" s="9">
        <v>153000</v>
      </c>
      <c r="G3065" s="57">
        <f t="shared" si="47"/>
        <v>0.02</v>
      </c>
      <c r="J3065" s="5" t="s">
        <v>3317</v>
      </c>
    </row>
    <row r="3066" spans="1:10" ht="25.5" x14ac:dyDescent="0.2">
      <c r="A3066" s="1" t="s">
        <v>25</v>
      </c>
      <c r="B3066" s="2" t="s">
        <v>214</v>
      </c>
      <c r="D3066" s="15" t="s">
        <v>1321</v>
      </c>
      <c r="E3066" s="9">
        <v>87000</v>
      </c>
      <c r="F3066" s="9">
        <v>155000</v>
      </c>
      <c r="G3066" s="57">
        <f t="shared" si="47"/>
        <v>0.7816091954022989</v>
      </c>
      <c r="J3066" s="5" t="s">
        <v>3318</v>
      </c>
    </row>
    <row r="3067" spans="1:10" ht="25.5" x14ac:dyDescent="0.2">
      <c r="A3067" s="1" t="s">
        <v>25</v>
      </c>
      <c r="B3067" s="2" t="s">
        <v>214</v>
      </c>
      <c r="D3067" s="15" t="s">
        <v>1322</v>
      </c>
      <c r="E3067" s="9">
        <v>150000</v>
      </c>
      <c r="F3067" s="9">
        <v>153000</v>
      </c>
      <c r="G3067" s="57">
        <f t="shared" si="47"/>
        <v>0.02</v>
      </c>
      <c r="J3067" s="5" t="s">
        <v>3317</v>
      </c>
    </row>
    <row r="3068" spans="1:10" ht="25.5" x14ac:dyDescent="0.2">
      <c r="A3068" s="1" t="s">
        <v>25</v>
      </c>
      <c r="B3068" s="2" t="s">
        <v>214</v>
      </c>
      <c r="D3068" s="15" t="s">
        <v>1323</v>
      </c>
      <c r="E3068" s="9">
        <v>108000</v>
      </c>
      <c r="F3068" s="9">
        <v>109000</v>
      </c>
      <c r="G3068" s="57">
        <f t="shared" si="47"/>
        <v>9.2592592592592587E-3</v>
      </c>
      <c r="J3068" s="5" t="s">
        <v>3319</v>
      </c>
    </row>
    <row r="3069" spans="1:10" ht="25.5" x14ac:dyDescent="0.2">
      <c r="A3069" s="1" t="s">
        <v>25</v>
      </c>
      <c r="B3069" s="2" t="s">
        <v>214</v>
      </c>
      <c r="D3069" s="15" t="s">
        <v>520</v>
      </c>
      <c r="E3069" s="9">
        <v>108000</v>
      </c>
      <c r="F3069" s="9">
        <v>109000</v>
      </c>
      <c r="G3069" s="57">
        <f t="shared" si="47"/>
        <v>9.2592592592592587E-3</v>
      </c>
      <c r="J3069" s="5" t="s">
        <v>3319</v>
      </c>
    </row>
    <row r="3070" spans="1:10" ht="25.5" x14ac:dyDescent="0.2">
      <c r="A3070" s="1" t="s">
        <v>25</v>
      </c>
      <c r="B3070" s="2" t="s">
        <v>214</v>
      </c>
      <c r="D3070" s="15" t="s">
        <v>1324</v>
      </c>
      <c r="E3070" s="9">
        <v>119000</v>
      </c>
      <c r="F3070" s="9">
        <v>120000</v>
      </c>
      <c r="G3070" s="57">
        <f t="shared" si="47"/>
        <v>8.4033613445378148E-3</v>
      </c>
      <c r="J3070" s="5" t="s">
        <v>2235</v>
      </c>
    </row>
    <row r="3071" spans="1:10" x14ac:dyDescent="0.2">
      <c r="A3071" s="1" t="s">
        <v>25</v>
      </c>
      <c r="B3071" s="2" t="s">
        <v>214</v>
      </c>
      <c r="D3071" s="15" t="s">
        <v>464</v>
      </c>
      <c r="E3071" s="9"/>
      <c r="F3071" s="9"/>
      <c r="G3071" s="57" t="str">
        <f t="shared" si="47"/>
        <v>-</v>
      </c>
      <c r="H3071" s="19">
        <v>92500</v>
      </c>
      <c r="I3071" s="19" t="s">
        <v>465</v>
      </c>
    </row>
    <row r="3072" spans="1:10" x14ac:dyDescent="0.2">
      <c r="A3072" s="1" t="s">
        <v>25</v>
      </c>
      <c r="B3072" s="2" t="s">
        <v>214</v>
      </c>
      <c r="D3072" s="5" t="s">
        <v>464</v>
      </c>
      <c r="G3072" s="57" t="str">
        <f t="shared" si="47"/>
        <v>-</v>
      </c>
      <c r="H3072" s="19" t="s">
        <v>465</v>
      </c>
      <c r="I3072" s="19">
        <v>92500</v>
      </c>
    </row>
    <row r="3073" spans="1:10" x14ac:dyDescent="0.2">
      <c r="A3073" s="1" t="s">
        <v>25</v>
      </c>
      <c r="B3073" s="2" t="s">
        <v>214</v>
      </c>
      <c r="D3073" s="5" t="s">
        <v>464</v>
      </c>
      <c r="G3073" s="57" t="str">
        <f t="shared" si="47"/>
        <v>-</v>
      </c>
      <c r="H3073" s="19">
        <v>97500</v>
      </c>
      <c r="I3073" s="19" t="s">
        <v>465</v>
      </c>
    </row>
    <row r="3074" spans="1:10" x14ac:dyDescent="0.2">
      <c r="A3074" s="1" t="s">
        <v>25</v>
      </c>
      <c r="B3074" s="2" t="s">
        <v>214</v>
      </c>
      <c r="D3074" s="5" t="s">
        <v>464</v>
      </c>
      <c r="G3074" s="57" t="str">
        <f t="shared" si="47"/>
        <v>-</v>
      </c>
      <c r="H3074" s="19">
        <v>97500</v>
      </c>
      <c r="I3074" s="19" t="s">
        <v>465</v>
      </c>
    </row>
    <row r="3075" spans="1:10" x14ac:dyDescent="0.2">
      <c r="A3075" s="1" t="s">
        <v>25</v>
      </c>
      <c r="B3075" s="2" t="s">
        <v>214</v>
      </c>
      <c r="D3075" s="5" t="s">
        <v>464</v>
      </c>
      <c r="G3075" s="57" t="str">
        <f t="shared" ref="G3075:G3138" si="48">IF(ISERROR((F3075-E3075)/E3075),"-",(F3075-E3075)/E3075)</f>
        <v>-</v>
      </c>
      <c r="H3075" s="19" t="s">
        <v>465</v>
      </c>
      <c r="I3075" s="19">
        <v>97500</v>
      </c>
    </row>
    <row r="3076" spans="1:10" ht="51" x14ac:dyDescent="0.2">
      <c r="A3076" s="1" t="s">
        <v>28</v>
      </c>
      <c r="B3076" s="2" t="s">
        <v>215</v>
      </c>
      <c r="D3076" s="5" t="s">
        <v>4358</v>
      </c>
      <c r="E3076" s="3">
        <v>107570</v>
      </c>
      <c r="F3076" s="3">
        <f>116725+38743</f>
        <v>155468</v>
      </c>
      <c r="G3076" s="57">
        <f t="shared" si="48"/>
        <v>0.44527284558891883</v>
      </c>
      <c r="J3076" s="5" t="s">
        <v>3314</v>
      </c>
    </row>
    <row r="3077" spans="1:10" ht="89.25" x14ac:dyDescent="0.2">
      <c r="A3077" s="1" t="s">
        <v>28</v>
      </c>
      <c r="B3077" s="2" t="s">
        <v>215</v>
      </c>
      <c r="C3077" s="5" t="s">
        <v>2148</v>
      </c>
      <c r="D3077" s="5" t="s">
        <v>450</v>
      </c>
      <c r="E3077" s="3">
        <v>180689</v>
      </c>
      <c r="F3077" s="3">
        <v>36354</v>
      </c>
      <c r="G3077" s="57">
        <f t="shared" si="48"/>
        <v>-0.79880346894387599</v>
      </c>
      <c r="J3077" s="5" t="s">
        <v>3313</v>
      </c>
    </row>
    <row r="3078" spans="1:10" ht="25.5" x14ac:dyDescent="0.2">
      <c r="A3078" s="1" t="s">
        <v>28</v>
      </c>
      <c r="B3078" s="2" t="s">
        <v>215</v>
      </c>
      <c r="D3078" s="5" t="s">
        <v>1315</v>
      </c>
      <c r="E3078" s="3">
        <v>156587</v>
      </c>
      <c r="F3078" s="3">
        <v>155084</v>
      </c>
      <c r="G3078" s="57">
        <f t="shared" si="48"/>
        <v>-9.5984979596007332E-3</v>
      </c>
      <c r="J3078" s="5" t="s">
        <v>3307</v>
      </c>
    </row>
    <row r="3079" spans="1:10" ht="25.5" x14ac:dyDescent="0.2">
      <c r="A3079" s="1" t="s">
        <v>28</v>
      </c>
      <c r="B3079" s="2" t="s">
        <v>215</v>
      </c>
      <c r="D3079" s="5" t="s">
        <v>1316</v>
      </c>
      <c r="E3079" s="3">
        <v>123766</v>
      </c>
      <c r="F3079" s="3">
        <v>128622</v>
      </c>
      <c r="G3079" s="57">
        <f t="shared" si="48"/>
        <v>3.9235331189502773E-2</v>
      </c>
      <c r="J3079" s="5" t="s">
        <v>3308</v>
      </c>
    </row>
    <row r="3080" spans="1:10" ht="25.5" x14ac:dyDescent="0.2">
      <c r="A3080" s="1" t="s">
        <v>28</v>
      </c>
      <c r="B3080" s="2" t="s">
        <v>215</v>
      </c>
      <c r="D3080" s="5" t="s">
        <v>1317</v>
      </c>
      <c r="E3080" s="3">
        <v>135186</v>
      </c>
      <c r="F3080" s="3">
        <v>137047</v>
      </c>
      <c r="G3080" s="57">
        <f t="shared" si="48"/>
        <v>1.3766218395395973E-2</v>
      </c>
      <c r="J3080" s="5" t="s">
        <v>3309</v>
      </c>
    </row>
    <row r="3081" spans="1:10" ht="38.25" x14ac:dyDescent="0.2">
      <c r="A3081" s="1" t="s">
        <v>28</v>
      </c>
      <c r="B3081" s="2" t="s">
        <v>215</v>
      </c>
      <c r="D3081" s="5" t="s">
        <v>1318</v>
      </c>
      <c r="E3081" s="3">
        <v>117533</v>
      </c>
      <c r="F3081" s="3">
        <v>191003</v>
      </c>
      <c r="G3081" s="57">
        <f t="shared" si="48"/>
        <v>0.62510103545387252</v>
      </c>
      <c r="J3081" s="5" t="s">
        <v>3311</v>
      </c>
    </row>
    <row r="3082" spans="1:10" ht="38.25" x14ac:dyDescent="0.2">
      <c r="A3082" s="1" t="s">
        <v>28</v>
      </c>
      <c r="B3082" s="2" t="s">
        <v>215</v>
      </c>
      <c r="D3082" s="5" t="s">
        <v>1319</v>
      </c>
      <c r="E3082" s="3">
        <v>59760</v>
      </c>
      <c r="F3082" s="3">
        <v>146605</v>
      </c>
      <c r="G3082" s="57">
        <f t="shared" si="48"/>
        <v>1.4532295850066934</v>
      </c>
      <c r="J3082" s="5" t="s">
        <v>3310</v>
      </c>
    </row>
    <row r="3083" spans="1:10" ht="63.75" x14ac:dyDescent="0.2">
      <c r="A3083" s="1" t="s">
        <v>28</v>
      </c>
      <c r="B3083" s="2" t="s">
        <v>215</v>
      </c>
      <c r="D3083" s="5" t="s">
        <v>949</v>
      </c>
      <c r="E3083" s="3">
        <v>117533</v>
      </c>
      <c r="F3083" s="3">
        <v>41083</v>
      </c>
      <c r="G3083" s="57">
        <f t="shared" si="48"/>
        <v>-0.65045561672041041</v>
      </c>
      <c r="J3083" s="5" t="s">
        <v>3312</v>
      </c>
    </row>
    <row r="3084" spans="1:10" ht="25.5" x14ac:dyDescent="0.2">
      <c r="A3084" s="1" t="s">
        <v>6</v>
      </c>
      <c r="B3084" s="2" t="s">
        <v>216</v>
      </c>
      <c r="C3084" s="5" t="s">
        <v>1308</v>
      </c>
      <c r="D3084" s="5" t="s">
        <v>450</v>
      </c>
      <c r="E3084" s="3">
        <v>224772</v>
      </c>
      <c r="F3084" s="3">
        <v>224769</v>
      </c>
      <c r="G3084" s="57">
        <f t="shared" si="48"/>
        <v>-1.3346858149591586E-5</v>
      </c>
      <c r="J3084" s="5" t="s">
        <v>3297</v>
      </c>
    </row>
    <row r="3085" spans="1:10" ht="25.5" x14ac:dyDescent="0.2">
      <c r="A3085" s="1" t="s">
        <v>6</v>
      </c>
      <c r="B3085" s="2" t="s">
        <v>216</v>
      </c>
      <c r="D3085" s="5" t="s">
        <v>1309</v>
      </c>
      <c r="E3085" s="3">
        <v>183788</v>
      </c>
      <c r="F3085" s="3">
        <v>130114</v>
      </c>
      <c r="G3085" s="57">
        <f t="shared" si="48"/>
        <v>-0.29204300607221362</v>
      </c>
      <c r="J3085" s="5" t="s">
        <v>3298</v>
      </c>
    </row>
    <row r="3086" spans="1:10" ht="25.5" x14ac:dyDescent="0.2">
      <c r="A3086" s="1" t="s">
        <v>6</v>
      </c>
      <c r="B3086" s="2" t="s">
        <v>216</v>
      </c>
      <c r="D3086" s="5" t="s">
        <v>1310</v>
      </c>
      <c r="E3086" s="3">
        <v>152607</v>
      </c>
      <c r="F3086" s="3">
        <v>150321</v>
      </c>
      <c r="G3086" s="57">
        <f t="shared" si="48"/>
        <v>-1.4979653620082958E-2</v>
      </c>
      <c r="J3086" s="5" t="s">
        <v>3299</v>
      </c>
    </row>
    <row r="3087" spans="1:10" ht="25.5" x14ac:dyDescent="0.2">
      <c r="A3087" s="1" t="s">
        <v>6</v>
      </c>
      <c r="B3087" s="2" t="s">
        <v>216</v>
      </c>
      <c r="D3087" s="5" t="s">
        <v>1311</v>
      </c>
      <c r="E3087" s="3">
        <v>144753</v>
      </c>
      <c r="F3087" s="3">
        <v>145196</v>
      </c>
      <c r="G3087" s="57">
        <f t="shared" si="48"/>
        <v>3.0603856224050625E-3</v>
      </c>
      <c r="J3087" s="5" t="s">
        <v>3300</v>
      </c>
    </row>
    <row r="3088" spans="1:10" ht="25.5" x14ac:dyDescent="0.2">
      <c r="A3088" s="1" t="s">
        <v>6</v>
      </c>
      <c r="B3088" s="2" t="s">
        <v>216</v>
      </c>
      <c r="D3088" s="5" t="s">
        <v>1312</v>
      </c>
      <c r="E3088" s="3">
        <v>81994</v>
      </c>
      <c r="F3088" s="3">
        <v>136079</v>
      </c>
      <c r="G3088" s="57">
        <f t="shared" si="48"/>
        <v>0.65962143571480836</v>
      </c>
      <c r="J3088" s="5" t="s">
        <v>3301</v>
      </c>
    </row>
    <row r="3089" spans="1:10" ht="25.5" x14ac:dyDescent="0.2">
      <c r="A3089" s="1" t="s">
        <v>6</v>
      </c>
      <c r="B3089" s="2" t="s">
        <v>216</v>
      </c>
      <c r="D3089" s="5" t="s">
        <v>1313</v>
      </c>
      <c r="E3089" s="3">
        <v>122662</v>
      </c>
      <c r="F3089" s="3">
        <v>122916</v>
      </c>
      <c r="G3089" s="57">
        <f t="shared" si="48"/>
        <v>2.0707309517209896E-3</v>
      </c>
      <c r="J3089" s="5" t="s">
        <v>3302</v>
      </c>
    </row>
    <row r="3090" spans="1:10" ht="25.5" x14ac:dyDescent="0.2">
      <c r="A3090" s="1" t="s">
        <v>6</v>
      </c>
      <c r="B3090" s="2" t="s">
        <v>216</v>
      </c>
      <c r="D3090" s="5" t="s">
        <v>1314</v>
      </c>
      <c r="E3090" s="3">
        <v>133240</v>
      </c>
      <c r="F3090" s="3">
        <v>115754</v>
      </c>
      <c r="G3090" s="57">
        <f t="shared" si="48"/>
        <v>-0.13123686580606425</v>
      </c>
      <c r="J3090" s="5" t="s">
        <v>3303</v>
      </c>
    </row>
    <row r="3091" spans="1:10" ht="63.75" x14ac:dyDescent="0.2">
      <c r="A3091" s="1" t="s">
        <v>6</v>
      </c>
      <c r="B3091" s="2" t="s">
        <v>216</v>
      </c>
      <c r="D3091" s="5" t="s">
        <v>3304</v>
      </c>
      <c r="E3091" s="3">
        <v>153632</v>
      </c>
      <c r="F3091" s="3">
        <v>75461</v>
      </c>
      <c r="G3091" s="57">
        <f t="shared" si="48"/>
        <v>-0.50881977712976467</v>
      </c>
      <c r="J3091" s="5" t="s">
        <v>3305</v>
      </c>
    </row>
    <row r="3092" spans="1:10" x14ac:dyDescent="0.2">
      <c r="A3092" s="1" t="s">
        <v>6</v>
      </c>
      <c r="B3092" s="2" t="s">
        <v>216</v>
      </c>
      <c r="D3092" s="5" t="s">
        <v>464</v>
      </c>
      <c r="G3092" s="57" t="str">
        <f t="shared" si="48"/>
        <v>-</v>
      </c>
      <c r="H3092" s="19">
        <v>92500</v>
      </c>
      <c r="I3092" s="19" t="s">
        <v>465</v>
      </c>
      <c r="J3092" s="5" t="s">
        <v>3306</v>
      </c>
    </row>
    <row r="3093" spans="1:10" x14ac:dyDescent="0.2">
      <c r="A3093" s="1" t="s">
        <v>6</v>
      </c>
      <c r="B3093" s="2" t="s">
        <v>216</v>
      </c>
      <c r="D3093" s="5" t="s">
        <v>464</v>
      </c>
      <c r="G3093" s="57" t="str">
        <f t="shared" si="48"/>
        <v>-</v>
      </c>
      <c r="H3093" s="19">
        <v>92500</v>
      </c>
      <c r="I3093" s="19" t="s">
        <v>465</v>
      </c>
    </row>
    <row r="3094" spans="1:10" x14ac:dyDescent="0.2">
      <c r="A3094" s="1" t="s">
        <v>6</v>
      </c>
      <c r="B3094" s="2" t="s">
        <v>216</v>
      </c>
      <c r="D3094" s="5" t="s">
        <v>464</v>
      </c>
      <c r="G3094" s="57" t="str">
        <f t="shared" si="48"/>
        <v>-</v>
      </c>
      <c r="H3094" s="19">
        <v>92500</v>
      </c>
      <c r="I3094" s="19" t="s">
        <v>465</v>
      </c>
    </row>
    <row r="3095" spans="1:10" x14ac:dyDescent="0.2">
      <c r="A3095" s="1" t="s">
        <v>6</v>
      </c>
      <c r="B3095" s="2" t="s">
        <v>216</v>
      </c>
      <c r="D3095" s="5" t="s">
        <v>464</v>
      </c>
      <c r="G3095" s="57" t="str">
        <f t="shared" si="48"/>
        <v>-</v>
      </c>
      <c r="H3095" s="19">
        <v>92500</v>
      </c>
      <c r="I3095" s="19" t="s">
        <v>465</v>
      </c>
    </row>
    <row r="3096" spans="1:10" x14ac:dyDescent="0.2">
      <c r="A3096" s="1" t="s">
        <v>6</v>
      </c>
      <c r="B3096" s="2" t="s">
        <v>216</v>
      </c>
      <c r="D3096" s="5" t="s">
        <v>464</v>
      </c>
      <c r="G3096" s="57" t="str">
        <f t="shared" si="48"/>
        <v>-</v>
      </c>
      <c r="H3096" s="19">
        <v>92500</v>
      </c>
      <c r="I3096" s="19" t="s">
        <v>465</v>
      </c>
    </row>
    <row r="3097" spans="1:10" x14ac:dyDescent="0.2">
      <c r="A3097" s="1" t="s">
        <v>6</v>
      </c>
      <c r="B3097" s="2" t="s">
        <v>216</v>
      </c>
      <c r="D3097" s="5" t="s">
        <v>464</v>
      </c>
      <c r="G3097" s="57" t="str">
        <f t="shared" si="48"/>
        <v>-</v>
      </c>
      <c r="H3097" s="19">
        <v>92500</v>
      </c>
      <c r="I3097" s="19" t="s">
        <v>465</v>
      </c>
    </row>
    <row r="3098" spans="1:10" x14ac:dyDescent="0.2">
      <c r="A3098" s="1" t="s">
        <v>6</v>
      </c>
      <c r="B3098" s="2" t="s">
        <v>216</v>
      </c>
      <c r="D3098" s="5" t="s">
        <v>464</v>
      </c>
      <c r="G3098" s="57" t="str">
        <f t="shared" si="48"/>
        <v>-</v>
      </c>
      <c r="H3098" s="19">
        <v>92500</v>
      </c>
      <c r="I3098" s="19" t="s">
        <v>465</v>
      </c>
    </row>
    <row r="3099" spans="1:10" x14ac:dyDescent="0.2">
      <c r="A3099" s="1" t="s">
        <v>6</v>
      </c>
      <c r="B3099" s="2" t="s">
        <v>216</v>
      </c>
      <c r="D3099" s="5" t="s">
        <v>464</v>
      </c>
      <c r="G3099" s="57" t="str">
        <f t="shared" si="48"/>
        <v>-</v>
      </c>
      <c r="H3099" s="19" t="s">
        <v>465</v>
      </c>
      <c r="I3099" s="19">
        <v>92500</v>
      </c>
    </row>
    <row r="3100" spans="1:10" x14ac:dyDescent="0.2">
      <c r="A3100" s="1" t="s">
        <v>6</v>
      </c>
      <c r="B3100" s="2" t="s">
        <v>216</v>
      </c>
      <c r="D3100" s="5" t="s">
        <v>464</v>
      </c>
      <c r="G3100" s="57" t="str">
        <f t="shared" si="48"/>
        <v>-</v>
      </c>
      <c r="H3100" s="19" t="s">
        <v>465</v>
      </c>
      <c r="I3100" s="19">
        <v>92500</v>
      </c>
    </row>
    <row r="3101" spans="1:10" x14ac:dyDescent="0.2">
      <c r="A3101" s="1" t="s">
        <v>6</v>
      </c>
      <c r="B3101" s="2" t="s">
        <v>216</v>
      </c>
      <c r="D3101" s="5" t="s">
        <v>464</v>
      </c>
      <c r="G3101" s="57" t="str">
        <f t="shared" si="48"/>
        <v>-</v>
      </c>
      <c r="H3101" s="19" t="s">
        <v>465</v>
      </c>
      <c r="I3101" s="19">
        <v>92500</v>
      </c>
    </row>
    <row r="3102" spans="1:10" x14ac:dyDescent="0.2">
      <c r="A3102" s="1" t="s">
        <v>6</v>
      </c>
      <c r="B3102" s="2" t="s">
        <v>216</v>
      </c>
      <c r="D3102" s="5" t="s">
        <v>464</v>
      </c>
      <c r="G3102" s="57" t="str">
        <f t="shared" si="48"/>
        <v>-</v>
      </c>
      <c r="H3102" s="19" t="s">
        <v>465</v>
      </c>
      <c r="I3102" s="19">
        <v>92500</v>
      </c>
    </row>
    <row r="3103" spans="1:10" x14ac:dyDescent="0.2">
      <c r="A3103" s="1" t="s">
        <v>6</v>
      </c>
      <c r="B3103" s="2" t="s">
        <v>216</v>
      </c>
      <c r="D3103" s="5" t="s">
        <v>464</v>
      </c>
      <c r="G3103" s="57" t="str">
        <f t="shared" si="48"/>
        <v>-</v>
      </c>
      <c r="H3103" s="19" t="s">
        <v>465</v>
      </c>
      <c r="I3103" s="19">
        <v>92500</v>
      </c>
    </row>
    <row r="3104" spans="1:10" x14ac:dyDescent="0.2">
      <c r="A3104" s="1" t="s">
        <v>6</v>
      </c>
      <c r="B3104" s="2" t="s">
        <v>216</v>
      </c>
      <c r="D3104" s="5" t="s">
        <v>464</v>
      </c>
      <c r="G3104" s="57" t="str">
        <f t="shared" si="48"/>
        <v>-</v>
      </c>
      <c r="H3104" s="19" t="s">
        <v>465</v>
      </c>
      <c r="I3104" s="19">
        <v>92500</v>
      </c>
    </row>
    <row r="3105" spans="1:9" s="1" customFormat="1" x14ac:dyDescent="0.2">
      <c r="A3105" s="1" t="s">
        <v>6</v>
      </c>
      <c r="B3105" s="2" t="s">
        <v>216</v>
      </c>
      <c r="C3105" s="5"/>
      <c r="D3105" s="5" t="s">
        <v>464</v>
      </c>
      <c r="E3105" s="3"/>
      <c r="F3105" s="3"/>
      <c r="G3105" s="57" t="str">
        <f t="shared" si="48"/>
        <v>-</v>
      </c>
      <c r="H3105" s="19" t="s">
        <v>465</v>
      </c>
      <c r="I3105" s="19">
        <v>92500</v>
      </c>
    </row>
    <row r="3106" spans="1:9" s="1" customFormat="1" x14ac:dyDescent="0.2">
      <c r="A3106" s="1" t="s">
        <v>6</v>
      </c>
      <c r="B3106" s="2" t="s">
        <v>216</v>
      </c>
      <c r="C3106" s="5"/>
      <c r="D3106" s="5" t="s">
        <v>464</v>
      </c>
      <c r="E3106" s="3"/>
      <c r="F3106" s="3"/>
      <c r="G3106" s="57" t="str">
        <f t="shared" si="48"/>
        <v>-</v>
      </c>
      <c r="H3106" s="19" t="s">
        <v>465</v>
      </c>
      <c r="I3106" s="19">
        <v>92500</v>
      </c>
    </row>
    <row r="3107" spans="1:9" s="1" customFormat="1" x14ac:dyDescent="0.2">
      <c r="A3107" s="1" t="s">
        <v>6</v>
      </c>
      <c r="B3107" s="2" t="s">
        <v>216</v>
      </c>
      <c r="C3107" s="5"/>
      <c r="D3107" s="5" t="s">
        <v>464</v>
      </c>
      <c r="E3107" s="3"/>
      <c r="F3107" s="3"/>
      <c r="G3107" s="57" t="str">
        <f t="shared" si="48"/>
        <v>-</v>
      </c>
      <c r="H3107" s="19" t="s">
        <v>465</v>
      </c>
      <c r="I3107" s="19">
        <v>92500</v>
      </c>
    </row>
    <row r="3108" spans="1:9" s="1" customFormat="1" x14ac:dyDescent="0.2">
      <c r="A3108" s="1" t="s">
        <v>6</v>
      </c>
      <c r="B3108" s="2" t="s">
        <v>216</v>
      </c>
      <c r="C3108" s="5"/>
      <c r="D3108" s="5" t="s">
        <v>464</v>
      </c>
      <c r="E3108" s="3"/>
      <c r="F3108" s="3"/>
      <c r="G3108" s="57" t="str">
        <f t="shared" si="48"/>
        <v>-</v>
      </c>
      <c r="H3108" s="19" t="s">
        <v>465</v>
      </c>
      <c r="I3108" s="19">
        <v>92500</v>
      </c>
    </row>
    <row r="3109" spans="1:9" s="1" customFormat="1" x14ac:dyDescent="0.2">
      <c r="A3109" s="1" t="s">
        <v>6</v>
      </c>
      <c r="B3109" s="2" t="s">
        <v>216</v>
      </c>
      <c r="C3109" s="5"/>
      <c r="D3109" s="5" t="s">
        <v>464</v>
      </c>
      <c r="E3109" s="3"/>
      <c r="F3109" s="3"/>
      <c r="G3109" s="57" t="str">
        <f t="shared" si="48"/>
        <v>-</v>
      </c>
      <c r="H3109" s="19" t="s">
        <v>465</v>
      </c>
      <c r="I3109" s="19">
        <v>92500</v>
      </c>
    </row>
    <row r="3110" spans="1:9" s="1" customFormat="1" x14ac:dyDescent="0.2">
      <c r="A3110" s="1" t="s">
        <v>6</v>
      </c>
      <c r="B3110" s="2" t="s">
        <v>216</v>
      </c>
      <c r="C3110" s="5"/>
      <c r="D3110" s="5" t="s">
        <v>464</v>
      </c>
      <c r="E3110" s="3"/>
      <c r="F3110" s="3"/>
      <c r="G3110" s="57" t="str">
        <f t="shared" si="48"/>
        <v>-</v>
      </c>
      <c r="H3110" s="19" t="s">
        <v>465</v>
      </c>
      <c r="I3110" s="19">
        <v>97500</v>
      </c>
    </row>
    <row r="3111" spans="1:9" s="1" customFormat="1" x14ac:dyDescent="0.2">
      <c r="A3111" s="1" t="s">
        <v>6</v>
      </c>
      <c r="B3111" s="2" t="s">
        <v>216</v>
      </c>
      <c r="C3111" s="5"/>
      <c r="D3111" s="5" t="s">
        <v>464</v>
      </c>
      <c r="E3111" s="3" t="s">
        <v>465</v>
      </c>
      <c r="F3111" s="3">
        <v>102500</v>
      </c>
      <c r="G3111" s="57" t="str">
        <f t="shared" si="48"/>
        <v>-</v>
      </c>
      <c r="H3111" s="19"/>
      <c r="I3111" s="19"/>
    </row>
    <row r="3112" spans="1:9" s="1" customFormat="1" x14ac:dyDescent="0.2">
      <c r="A3112" s="1" t="s">
        <v>6</v>
      </c>
      <c r="B3112" s="2" t="s">
        <v>216</v>
      </c>
      <c r="C3112" s="5"/>
      <c r="D3112" s="5" t="s">
        <v>464</v>
      </c>
      <c r="E3112" s="3" t="s">
        <v>465</v>
      </c>
      <c r="F3112" s="3">
        <v>102500</v>
      </c>
      <c r="G3112" s="57" t="str">
        <f t="shared" si="48"/>
        <v>-</v>
      </c>
      <c r="H3112" s="19"/>
      <c r="I3112" s="19"/>
    </row>
    <row r="3113" spans="1:9" s="1" customFormat="1" x14ac:dyDescent="0.2">
      <c r="A3113" s="1" t="s">
        <v>6</v>
      </c>
      <c r="B3113" s="2" t="s">
        <v>216</v>
      </c>
      <c r="C3113" s="5"/>
      <c r="D3113" s="5" t="s">
        <v>464</v>
      </c>
      <c r="E3113" s="3" t="s">
        <v>465</v>
      </c>
      <c r="F3113" s="3">
        <v>102500</v>
      </c>
      <c r="G3113" s="57" t="str">
        <f t="shared" si="48"/>
        <v>-</v>
      </c>
      <c r="H3113" s="19"/>
      <c r="I3113" s="19"/>
    </row>
    <row r="3114" spans="1:9" s="1" customFormat="1" x14ac:dyDescent="0.2">
      <c r="A3114" s="1" t="s">
        <v>6</v>
      </c>
      <c r="B3114" s="2" t="s">
        <v>216</v>
      </c>
      <c r="C3114" s="5"/>
      <c r="D3114" s="5" t="s">
        <v>464</v>
      </c>
      <c r="E3114" s="3" t="s">
        <v>465</v>
      </c>
      <c r="F3114" s="3">
        <v>107500</v>
      </c>
      <c r="G3114" s="57" t="str">
        <f t="shared" si="48"/>
        <v>-</v>
      </c>
      <c r="H3114" s="19"/>
      <c r="I3114" s="19"/>
    </row>
    <row r="3115" spans="1:9" s="1" customFormat="1" x14ac:dyDescent="0.2">
      <c r="A3115" s="1" t="s">
        <v>6</v>
      </c>
      <c r="B3115" s="2" t="s">
        <v>216</v>
      </c>
      <c r="C3115" s="5"/>
      <c r="D3115" s="5" t="s">
        <v>464</v>
      </c>
      <c r="E3115" s="3" t="s">
        <v>465</v>
      </c>
      <c r="F3115" s="3">
        <v>107500</v>
      </c>
      <c r="G3115" s="57" t="str">
        <f t="shared" si="48"/>
        <v>-</v>
      </c>
      <c r="H3115" s="19"/>
      <c r="I3115" s="19"/>
    </row>
    <row r="3116" spans="1:9" s="1" customFormat="1" x14ac:dyDescent="0.2">
      <c r="A3116" s="1" t="s">
        <v>6</v>
      </c>
      <c r="B3116" s="2" t="s">
        <v>216</v>
      </c>
      <c r="C3116" s="5"/>
      <c r="D3116" s="5" t="s">
        <v>464</v>
      </c>
      <c r="E3116" s="3">
        <v>107500</v>
      </c>
      <c r="F3116" s="3" t="s">
        <v>465</v>
      </c>
      <c r="G3116" s="57" t="str">
        <f t="shared" si="48"/>
        <v>-</v>
      </c>
      <c r="H3116" s="19"/>
      <c r="I3116" s="19"/>
    </row>
    <row r="3117" spans="1:9" s="1" customFormat="1" x14ac:dyDescent="0.2">
      <c r="A3117" s="1" t="s">
        <v>6</v>
      </c>
      <c r="B3117" s="2" t="s">
        <v>216</v>
      </c>
      <c r="C3117" s="5"/>
      <c r="D3117" s="5" t="s">
        <v>464</v>
      </c>
      <c r="E3117" s="3" t="s">
        <v>465</v>
      </c>
      <c r="F3117" s="3">
        <v>112500</v>
      </c>
      <c r="G3117" s="57" t="str">
        <f t="shared" si="48"/>
        <v>-</v>
      </c>
      <c r="H3117" s="19"/>
      <c r="I3117" s="19"/>
    </row>
    <row r="3118" spans="1:9" s="1" customFormat="1" x14ac:dyDescent="0.2">
      <c r="A3118" s="1" t="s">
        <v>6</v>
      </c>
      <c r="B3118" s="2" t="s">
        <v>216</v>
      </c>
      <c r="C3118" s="5"/>
      <c r="D3118" s="5" t="s">
        <v>464</v>
      </c>
      <c r="E3118" s="3">
        <v>117500</v>
      </c>
      <c r="F3118" s="3" t="s">
        <v>465</v>
      </c>
      <c r="G3118" s="57" t="str">
        <f t="shared" si="48"/>
        <v>-</v>
      </c>
      <c r="H3118" s="19"/>
      <c r="I3118" s="19"/>
    </row>
    <row r="3119" spans="1:9" s="1" customFormat="1" x14ac:dyDescent="0.2">
      <c r="A3119" s="1" t="s">
        <v>6</v>
      </c>
      <c r="B3119" s="2" t="s">
        <v>216</v>
      </c>
      <c r="C3119" s="5"/>
      <c r="D3119" s="5" t="s">
        <v>464</v>
      </c>
      <c r="E3119" s="3">
        <v>117500</v>
      </c>
      <c r="F3119" s="3" t="s">
        <v>465</v>
      </c>
      <c r="G3119" s="57" t="str">
        <f t="shared" si="48"/>
        <v>-</v>
      </c>
      <c r="H3119" s="19"/>
      <c r="I3119" s="19"/>
    </row>
    <row r="3120" spans="1:9" s="1" customFormat="1" x14ac:dyDescent="0.2">
      <c r="A3120" s="1" t="s">
        <v>6</v>
      </c>
      <c r="B3120" s="2" t="s">
        <v>216</v>
      </c>
      <c r="C3120" s="5"/>
      <c r="D3120" s="5" t="s">
        <v>464</v>
      </c>
      <c r="E3120" s="3" t="s">
        <v>465</v>
      </c>
      <c r="F3120" s="3">
        <v>127500</v>
      </c>
      <c r="G3120" s="57" t="str">
        <f t="shared" si="48"/>
        <v>-</v>
      </c>
      <c r="H3120" s="19"/>
      <c r="I3120" s="19"/>
    </row>
    <row r="3121" spans="1:10" x14ac:dyDescent="0.2">
      <c r="A3121" s="1" t="s">
        <v>6</v>
      </c>
      <c r="B3121" s="2" t="s">
        <v>216</v>
      </c>
      <c r="D3121" s="5" t="s">
        <v>464</v>
      </c>
      <c r="E3121" s="3" t="s">
        <v>465</v>
      </c>
      <c r="F3121" s="3">
        <v>162500</v>
      </c>
      <c r="G3121" s="57" t="str">
        <f t="shared" si="48"/>
        <v>-</v>
      </c>
    </row>
    <row r="3122" spans="1:10" x14ac:dyDescent="0.2">
      <c r="A3122" s="1" t="s">
        <v>6</v>
      </c>
      <c r="B3122" s="2" t="s">
        <v>216</v>
      </c>
      <c r="D3122" s="5" t="s">
        <v>464</v>
      </c>
      <c r="E3122" s="3" t="s">
        <v>465</v>
      </c>
      <c r="F3122" s="3">
        <v>172500</v>
      </c>
      <c r="G3122" s="57" t="str">
        <f t="shared" si="48"/>
        <v>-</v>
      </c>
    </row>
    <row r="3123" spans="1:10" x14ac:dyDescent="0.2">
      <c r="A3123" s="1" t="s">
        <v>6</v>
      </c>
      <c r="B3123" s="2" t="s">
        <v>216</v>
      </c>
      <c r="D3123" s="5" t="s">
        <v>464</v>
      </c>
      <c r="E3123" s="3" t="s">
        <v>465</v>
      </c>
      <c r="F3123" s="3">
        <v>197500</v>
      </c>
      <c r="G3123" s="57" t="str">
        <f t="shared" si="48"/>
        <v>-</v>
      </c>
    </row>
    <row r="3124" spans="1:10" ht="25.5" x14ac:dyDescent="0.2">
      <c r="A3124" s="1" t="s">
        <v>25</v>
      </c>
      <c r="B3124" s="2" t="s">
        <v>217</v>
      </c>
      <c r="C3124" s="5" t="s">
        <v>1300</v>
      </c>
      <c r="D3124" s="5" t="s">
        <v>450</v>
      </c>
      <c r="E3124" s="3">
        <v>269836</v>
      </c>
      <c r="F3124" s="3">
        <v>246939</v>
      </c>
      <c r="G3124" s="57">
        <f t="shared" si="48"/>
        <v>-8.4855245408322094E-2</v>
      </c>
      <c r="J3124" s="5" t="s">
        <v>3294</v>
      </c>
    </row>
    <row r="3125" spans="1:10" ht="25.5" x14ac:dyDescent="0.2">
      <c r="A3125" s="1" t="s">
        <v>25</v>
      </c>
      <c r="B3125" s="2" t="s">
        <v>217</v>
      </c>
      <c r="C3125" s="5" t="s">
        <v>1301</v>
      </c>
      <c r="D3125" s="5" t="s">
        <v>1302</v>
      </c>
      <c r="E3125" s="3">
        <v>176592</v>
      </c>
      <c r="F3125" s="3">
        <v>176592</v>
      </c>
      <c r="G3125" s="57">
        <f t="shared" si="48"/>
        <v>0</v>
      </c>
      <c r="J3125" s="5" t="s">
        <v>3295</v>
      </c>
    </row>
    <row r="3126" spans="1:10" ht="25.5" x14ac:dyDescent="0.2">
      <c r="A3126" s="1" t="s">
        <v>25</v>
      </c>
      <c r="B3126" s="2" t="s">
        <v>217</v>
      </c>
      <c r="C3126" s="5" t="s">
        <v>1303</v>
      </c>
      <c r="D3126" s="5" t="s">
        <v>1304</v>
      </c>
      <c r="E3126" s="3">
        <v>176592</v>
      </c>
      <c r="F3126" s="3">
        <v>100771</v>
      </c>
      <c r="G3126" s="57">
        <f t="shared" si="48"/>
        <v>-0.42935693576152939</v>
      </c>
      <c r="J3126" s="5" t="s">
        <v>3296</v>
      </c>
    </row>
    <row r="3127" spans="1:10" ht="25.5" x14ac:dyDescent="0.2">
      <c r="A3127" s="1" t="s">
        <v>25</v>
      </c>
      <c r="B3127" s="2" t="s">
        <v>217</v>
      </c>
      <c r="C3127" s="5" t="s">
        <v>1305</v>
      </c>
      <c r="D3127" s="5" t="s">
        <v>1304</v>
      </c>
      <c r="E3127" s="3" t="s">
        <v>465</v>
      </c>
      <c r="F3127" s="3">
        <v>113930</v>
      </c>
      <c r="G3127" s="57" t="str">
        <f t="shared" si="48"/>
        <v>-</v>
      </c>
      <c r="J3127" s="5" t="s">
        <v>4440</v>
      </c>
    </row>
    <row r="3128" spans="1:10" ht="25.5" x14ac:dyDescent="0.2">
      <c r="A3128" s="1" t="s">
        <v>25</v>
      </c>
      <c r="B3128" s="2" t="s">
        <v>217</v>
      </c>
      <c r="C3128" s="5" t="s">
        <v>1306</v>
      </c>
      <c r="D3128" s="5" t="s">
        <v>1307</v>
      </c>
      <c r="E3128" s="3">
        <v>176592</v>
      </c>
      <c r="F3128" s="3">
        <v>176592</v>
      </c>
      <c r="G3128" s="57">
        <f t="shared" si="48"/>
        <v>0</v>
      </c>
      <c r="J3128" s="5" t="s">
        <v>3295</v>
      </c>
    </row>
    <row r="3129" spans="1:10" x14ac:dyDescent="0.2">
      <c r="A3129" s="1" t="s">
        <v>25</v>
      </c>
      <c r="B3129" s="2" t="s">
        <v>217</v>
      </c>
      <c r="D3129" s="5" t="s">
        <v>464</v>
      </c>
      <c r="G3129" s="57" t="str">
        <f t="shared" si="48"/>
        <v>-</v>
      </c>
      <c r="H3129" s="19" t="s">
        <v>465</v>
      </c>
      <c r="I3129" s="19">
        <v>92500</v>
      </c>
      <c r="J3129" s="5" t="s">
        <v>2908</v>
      </c>
    </row>
    <row r="3130" spans="1:10" x14ac:dyDescent="0.2">
      <c r="A3130" s="1" t="s">
        <v>25</v>
      </c>
      <c r="B3130" s="2" t="s">
        <v>217</v>
      </c>
      <c r="D3130" s="5" t="s">
        <v>464</v>
      </c>
      <c r="G3130" s="57" t="str">
        <f t="shared" si="48"/>
        <v>-</v>
      </c>
      <c r="H3130" s="19" t="s">
        <v>465</v>
      </c>
      <c r="I3130" s="19">
        <v>92500</v>
      </c>
    </row>
    <row r="3131" spans="1:10" x14ac:dyDescent="0.2">
      <c r="A3131" s="1" t="s">
        <v>25</v>
      </c>
      <c r="B3131" s="2" t="s">
        <v>217</v>
      </c>
      <c r="D3131" s="5" t="s">
        <v>464</v>
      </c>
      <c r="G3131" s="57" t="str">
        <f t="shared" si="48"/>
        <v>-</v>
      </c>
      <c r="H3131" s="19" t="s">
        <v>465</v>
      </c>
      <c r="I3131" s="19">
        <v>92500</v>
      </c>
    </row>
    <row r="3132" spans="1:10" x14ac:dyDescent="0.2">
      <c r="A3132" s="1" t="s">
        <v>25</v>
      </c>
      <c r="B3132" s="2" t="s">
        <v>217</v>
      </c>
      <c r="D3132" s="5" t="s">
        <v>464</v>
      </c>
      <c r="G3132" s="57" t="str">
        <f t="shared" si="48"/>
        <v>-</v>
      </c>
      <c r="H3132" s="19" t="s">
        <v>465</v>
      </c>
      <c r="I3132" s="19">
        <v>92500</v>
      </c>
    </row>
    <row r="3133" spans="1:10" x14ac:dyDescent="0.2">
      <c r="A3133" s="1" t="s">
        <v>25</v>
      </c>
      <c r="B3133" s="2" t="s">
        <v>217</v>
      </c>
      <c r="D3133" s="5" t="s">
        <v>464</v>
      </c>
      <c r="G3133" s="57" t="str">
        <f t="shared" si="48"/>
        <v>-</v>
      </c>
      <c r="H3133" s="19" t="s">
        <v>465</v>
      </c>
      <c r="I3133" s="19">
        <v>92500</v>
      </c>
    </row>
    <row r="3134" spans="1:10" x14ac:dyDescent="0.2">
      <c r="A3134" s="1" t="s">
        <v>25</v>
      </c>
      <c r="B3134" s="2" t="s">
        <v>217</v>
      </c>
      <c r="D3134" s="5" t="s">
        <v>464</v>
      </c>
      <c r="G3134" s="57" t="str">
        <f t="shared" si="48"/>
        <v>-</v>
      </c>
      <c r="H3134" s="19" t="s">
        <v>465</v>
      </c>
      <c r="I3134" s="19">
        <v>92500</v>
      </c>
    </row>
    <row r="3135" spans="1:10" x14ac:dyDescent="0.2">
      <c r="A3135" s="1" t="s">
        <v>25</v>
      </c>
      <c r="B3135" s="2" t="s">
        <v>217</v>
      </c>
      <c r="D3135" s="5" t="s">
        <v>464</v>
      </c>
      <c r="G3135" s="57" t="str">
        <f t="shared" si="48"/>
        <v>-</v>
      </c>
      <c r="H3135" s="19" t="s">
        <v>465</v>
      </c>
      <c r="I3135" s="19">
        <v>92500</v>
      </c>
    </row>
    <row r="3136" spans="1:10" x14ac:dyDescent="0.2">
      <c r="A3136" s="1" t="s">
        <v>25</v>
      </c>
      <c r="B3136" s="2" t="s">
        <v>217</v>
      </c>
      <c r="D3136" s="5" t="s">
        <v>464</v>
      </c>
      <c r="G3136" s="57" t="str">
        <f t="shared" si="48"/>
        <v>-</v>
      </c>
      <c r="H3136" s="19" t="s">
        <v>465</v>
      </c>
      <c r="I3136" s="19">
        <v>92500</v>
      </c>
    </row>
    <row r="3137" spans="1:9" s="1" customFormat="1" x14ac:dyDescent="0.2">
      <c r="A3137" s="1" t="s">
        <v>25</v>
      </c>
      <c r="B3137" s="2" t="s">
        <v>217</v>
      </c>
      <c r="C3137" s="5"/>
      <c r="D3137" s="5" t="s">
        <v>464</v>
      </c>
      <c r="E3137" s="3"/>
      <c r="F3137" s="3"/>
      <c r="G3137" s="57" t="str">
        <f t="shared" si="48"/>
        <v>-</v>
      </c>
      <c r="H3137" s="19" t="s">
        <v>465</v>
      </c>
      <c r="I3137" s="19">
        <v>92500</v>
      </c>
    </row>
    <row r="3138" spans="1:9" s="1" customFormat="1" x14ac:dyDescent="0.2">
      <c r="A3138" s="1" t="s">
        <v>25</v>
      </c>
      <c r="B3138" s="2" t="s">
        <v>217</v>
      </c>
      <c r="C3138" s="5"/>
      <c r="D3138" s="5" t="s">
        <v>464</v>
      </c>
      <c r="E3138" s="3"/>
      <c r="F3138" s="3"/>
      <c r="G3138" s="57" t="str">
        <f t="shared" si="48"/>
        <v>-</v>
      </c>
      <c r="H3138" s="19" t="s">
        <v>465</v>
      </c>
      <c r="I3138" s="19">
        <v>92500</v>
      </c>
    </row>
    <row r="3139" spans="1:9" s="1" customFormat="1" x14ac:dyDescent="0.2">
      <c r="A3139" s="1" t="s">
        <v>25</v>
      </c>
      <c r="B3139" s="2" t="s">
        <v>217</v>
      </c>
      <c r="C3139" s="5"/>
      <c r="D3139" s="5" t="s">
        <v>464</v>
      </c>
      <c r="E3139" s="3"/>
      <c r="F3139" s="3"/>
      <c r="G3139" s="57" t="str">
        <f t="shared" ref="G3139:G3202" si="49">IF(ISERROR((F3139-E3139)/E3139),"-",(F3139-E3139)/E3139)</f>
        <v>-</v>
      </c>
      <c r="H3139" s="19" t="s">
        <v>465</v>
      </c>
      <c r="I3139" s="19">
        <v>92500</v>
      </c>
    </row>
    <row r="3140" spans="1:9" s="1" customFormat="1" x14ac:dyDescent="0.2">
      <c r="A3140" s="1" t="s">
        <v>25</v>
      </c>
      <c r="B3140" s="2" t="s">
        <v>217</v>
      </c>
      <c r="C3140" s="5"/>
      <c r="D3140" s="5" t="s">
        <v>464</v>
      </c>
      <c r="E3140" s="3"/>
      <c r="F3140" s="3"/>
      <c r="G3140" s="57" t="str">
        <f t="shared" si="49"/>
        <v>-</v>
      </c>
      <c r="H3140" s="19" t="s">
        <v>465</v>
      </c>
      <c r="I3140" s="19">
        <v>92500</v>
      </c>
    </row>
    <row r="3141" spans="1:9" s="1" customFormat="1" x14ac:dyDescent="0.2">
      <c r="A3141" s="1" t="s">
        <v>25</v>
      </c>
      <c r="B3141" s="2" t="s">
        <v>217</v>
      </c>
      <c r="C3141" s="5"/>
      <c r="D3141" s="5" t="s">
        <v>464</v>
      </c>
      <c r="E3141" s="3"/>
      <c r="F3141" s="3"/>
      <c r="G3141" s="57" t="str">
        <f t="shared" si="49"/>
        <v>-</v>
      </c>
      <c r="H3141" s="19" t="s">
        <v>465</v>
      </c>
      <c r="I3141" s="19">
        <v>92500</v>
      </c>
    </row>
    <row r="3142" spans="1:9" s="1" customFormat="1" x14ac:dyDescent="0.2">
      <c r="A3142" s="1" t="s">
        <v>25</v>
      </c>
      <c r="B3142" s="2" t="s">
        <v>217</v>
      </c>
      <c r="C3142" s="5"/>
      <c r="D3142" s="5" t="s">
        <v>464</v>
      </c>
      <c r="E3142" s="3"/>
      <c r="F3142" s="3"/>
      <c r="G3142" s="57" t="str">
        <f t="shared" si="49"/>
        <v>-</v>
      </c>
      <c r="H3142" s="19" t="s">
        <v>465</v>
      </c>
      <c r="I3142" s="19">
        <v>92500</v>
      </c>
    </row>
    <row r="3143" spans="1:9" s="1" customFormat="1" x14ac:dyDescent="0.2">
      <c r="A3143" s="1" t="s">
        <v>25</v>
      </c>
      <c r="B3143" s="2" t="s">
        <v>217</v>
      </c>
      <c r="C3143" s="5"/>
      <c r="D3143" s="5" t="s">
        <v>464</v>
      </c>
      <c r="E3143" s="3"/>
      <c r="F3143" s="3"/>
      <c r="G3143" s="57" t="str">
        <f t="shared" si="49"/>
        <v>-</v>
      </c>
      <c r="H3143" s="19">
        <v>92500</v>
      </c>
      <c r="I3143" s="19" t="s">
        <v>465</v>
      </c>
    </row>
    <row r="3144" spans="1:9" s="1" customFormat="1" x14ac:dyDescent="0.2">
      <c r="A3144" s="1" t="s">
        <v>25</v>
      </c>
      <c r="B3144" s="2" t="s">
        <v>217</v>
      </c>
      <c r="C3144" s="5"/>
      <c r="D3144" s="5" t="s">
        <v>464</v>
      </c>
      <c r="E3144" s="3"/>
      <c r="F3144" s="3"/>
      <c r="G3144" s="57" t="str">
        <f t="shared" si="49"/>
        <v>-</v>
      </c>
      <c r="H3144" s="19">
        <v>92500</v>
      </c>
      <c r="I3144" s="19" t="s">
        <v>465</v>
      </c>
    </row>
    <row r="3145" spans="1:9" s="1" customFormat="1" x14ac:dyDescent="0.2">
      <c r="A3145" s="1" t="s">
        <v>25</v>
      </c>
      <c r="B3145" s="2" t="s">
        <v>217</v>
      </c>
      <c r="C3145" s="5"/>
      <c r="D3145" s="5" t="s">
        <v>464</v>
      </c>
      <c r="E3145" s="3"/>
      <c r="F3145" s="3"/>
      <c r="G3145" s="57" t="str">
        <f t="shared" si="49"/>
        <v>-</v>
      </c>
      <c r="H3145" s="19">
        <v>92500</v>
      </c>
      <c r="I3145" s="19" t="s">
        <v>465</v>
      </c>
    </row>
    <row r="3146" spans="1:9" s="1" customFormat="1" x14ac:dyDescent="0.2">
      <c r="A3146" s="1" t="s">
        <v>25</v>
      </c>
      <c r="B3146" s="2" t="s">
        <v>217</v>
      </c>
      <c r="C3146" s="5"/>
      <c r="D3146" s="5" t="s">
        <v>464</v>
      </c>
      <c r="E3146" s="3"/>
      <c r="F3146" s="3"/>
      <c r="G3146" s="57" t="str">
        <f t="shared" si="49"/>
        <v>-</v>
      </c>
      <c r="H3146" s="19">
        <v>92500</v>
      </c>
      <c r="I3146" s="19" t="s">
        <v>465</v>
      </c>
    </row>
    <row r="3147" spans="1:9" s="1" customFormat="1" x14ac:dyDescent="0.2">
      <c r="A3147" s="1" t="s">
        <v>25</v>
      </c>
      <c r="B3147" s="2" t="s">
        <v>217</v>
      </c>
      <c r="C3147" s="5"/>
      <c r="D3147" s="5" t="s">
        <v>464</v>
      </c>
      <c r="E3147" s="3"/>
      <c r="F3147" s="3"/>
      <c r="G3147" s="57" t="str">
        <f t="shared" si="49"/>
        <v>-</v>
      </c>
      <c r="H3147" s="19">
        <v>92500</v>
      </c>
      <c r="I3147" s="19" t="s">
        <v>465</v>
      </c>
    </row>
    <row r="3148" spans="1:9" s="1" customFormat="1" x14ac:dyDescent="0.2">
      <c r="A3148" s="1" t="s">
        <v>25</v>
      </c>
      <c r="B3148" s="2" t="s">
        <v>217</v>
      </c>
      <c r="C3148" s="5"/>
      <c r="D3148" s="5" t="s">
        <v>464</v>
      </c>
      <c r="E3148" s="3"/>
      <c r="F3148" s="3"/>
      <c r="G3148" s="57" t="str">
        <f t="shared" si="49"/>
        <v>-</v>
      </c>
      <c r="H3148" s="19">
        <v>92500</v>
      </c>
      <c r="I3148" s="19" t="s">
        <v>465</v>
      </c>
    </row>
    <row r="3149" spans="1:9" s="1" customFormat="1" x14ac:dyDescent="0.2">
      <c r="A3149" s="1" t="s">
        <v>25</v>
      </c>
      <c r="B3149" s="2" t="s">
        <v>217</v>
      </c>
      <c r="C3149" s="5"/>
      <c r="D3149" s="5" t="s">
        <v>464</v>
      </c>
      <c r="E3149" s="3"/>
      <c r="F3149" s="3"/>
      <c r="G3149" s="57" t="str">
        <f t="shared" si="49"/>
        <v>-</v>
      </c>
      <c r="H3149" s="19">
        <v>92500</v>
      </c>
      <c r="I3149" s="19" t="s">
        <v>465</v>
      </c>
    </row>
    <row r="3150" spans="1:9" s="1" customFormat="1" x14ac:dyDescent="0.2">
      <c r="A3150" s="1" t="s">
        <v>25</v>
      </c>
      <c r="B3150" s="2" t="s">
        <v>217</v>
      </c>
      <c r="C3150" s="5"/>
      <c r="D3150" s="5" t="s">
        <v>464</v>
      </c>
      <c r="E3150" s="3"/>
      <c r="F3150" s="3"/>
      <c r="G3150" s="57" t="str">
        <f t="shared" si="49"/>
        <v>-</v>
      </c>
      <c r="H3150" s="19">
        <v>92500</v>
      </c>
      <c r="I3150" s="19" t="s">
        <v>465</v>
      </c>
    </row>
    <row r="3151" spans="1:9" s="1" customFormat="1" x14ac:dyDescent="0.2">
      <c r="A3151" s="1" t="s">
        <v>25</v>
      </c>
      <c r="B3151" s="2" t="s">
        <v>217</v>
      </c>
      <c r="C3151" s="5"/>
      <c r="D3151" s="5" t="s">
        <v>464</v>
      </c>
      <c r="E3151" s="3"/>
      <c r="F3151" s="3"/>
      <c r="G3151" s="57" t="str">
        <f t="shared" si="49"/>
        <v>-</v>
      </c>
      <c r="H3151" s="19">
        <v>92500</v>
      </c>
      <c r="I3151" s="19" t="s">
        <v>465</v>
      </c>
    </row>
    <row r="3152" spans="1:9" s="1" customFormat="1" x14ac:dyDescent="0.2">
      <c r="A3152" s="1" t="s">
        <v>25</v>
      </c>
      <c r="B3152" s="2" t="s">
        <v>217</v>
      </c>
      <c r="C3152" s="5"/>
      <c r="D3152" s="5" t="s">
        <v>464</v>
      </c>
      <c r="E3152" s="3"/>
      <c r="F3152" s="3"/>
      <c r="G3152" s="57" t="str">
        <f t="shared" si="49"/>
        <v>-</v>
      </c>
      <c r="H3152" s="19">
        <v>92500</v>
      </c>
      <c r="I3152" s="19" t="s">
        <v>465</v>
      </c>
    </row>
    <row r="3153" spans="1:9" s="1" customFormat="1" x14ac:dyDescent="0.2">
      <c r="A3153" s="1" t="s">
        <v>25</v>
      </c>
      <c r="B3153" s="2" t="s">
        <v>217</v>
      </c>
      <c r="C3153" s="5"/>
      <c r="D3153" s="5" t="s">
        <v>464</v>
      </c>
      <c r="E3153" s="3"/>
      <c r="F3153" s="3"/>
      <c r="G3153" s="57" t="str">
        <f t="shared" si="49"/>
        <v>-</v>
      </c>
      <c r="H3153" s="19" t="s">
        <v>465</v>
      </c>
      <c r="I3153" s="19">
        <v>97500</v>
      </c>
    </row>
    <row r="3154" spans="1:9" s="1" customFormat="1" x14ac:dyDescent="0.2">
      <c r="A3154" s="1" t="s">
        <v>25</v>
      </c>
      <c r="B3154" s="2" t="s">
        <v>217</v>
      </c>
      <c r="C3154" s="5"/>
      <c r="D3154" s="5" t="s">
        <v>464</v>
      </c>
      <c r="E3154" s="3"/>
      <c r="F3154" s="3"/>
      <c r="G3154" s="57" t="str">
        <f t="shared" si="49"/>
        <v>-</v>
      </c>
      <c r="H3154" s="19" t="s">
        <v>465</v>
      </c>
      <c r="I3154" s="19">
        <v>97500</v>
      </c>
    </row>
    <row r="3155" spans="1:9" s="1" customFormat="1" x14ac:dyDescent="0.2">
      <c r="A3155" s="1" t="s">
        <v>25</v>
      </c>
      <c r="B3155" s="2" t="s">
        <v>217</v>
      </c>
      <c r="C3155" s="5"/>
      <c r="D3155" s="5" t="s">
        <v>464</v>
      </c>
      <c r="E3155" s="3"/>
      <c r="F3155" s="3"/>
      <c r="G3155" s="57" t="str">
        <f t="shared" si="49"/>
        <v>-</v>
      </c>
      <c r="H3155" s="19" t="s">
        <v>465</v>
      </c>
      <c r="I3155" s="19">
        <v>97500</v>
      </c>
    </row>
    <row r="3156" spans="1:9" s="1" customFormat="1" x14ac:dyDescent="0.2">
      <c r="A3156" s="1" t="s">
        <v>25</v>
      </c>
      <c r="B3156" s="2" t="s">
        <v>217</v>
      </c>
      <c r="C3156" s="5"/>
      <c r="D3156" s="5" t="s">
        <v>464</v>
      </c>
      <c r="E3156" s="3"/>
      <c r="F3156" s="3"/>
      <c r="G3156" s="57" t="str">
        <f t="shared" si="49"/>
        <v>-</v>
      </c>
      <c r="H3156" s="19" t="s">
        <v>465</v>
      </c>
      <c r="I3156" s="19">
        <v>97500</v>
      </c>
    </row>
    <row r="3157" spans="1:9" s="1" customFormat="1" x14ac:dyDescent="0.2">
      <c r="A3157" s="1" t="s">
        <v>25</v>
      </c>
      <c r="B3157" s="2" t="s">
        <v>217</v>
      </c>
      <c r="C3157" s="5"/>
      <c r="D3157" s="5" t="s">
        <v>464</v>
      </c>
      <c r="E3157" s="3"/>
      <c r="F3157" s="3"/>
      <c r="G3157" s="57" t="str">
        <f t="shared" si="49"/>
        <v>-</v>
      </c>
      <c r="H3157" s="19" t="s">
        <v>465</v>
      </c>
      <c r="I3157" s="19">
        <v>97500</v>
      </c>
    </row>
    <row r="3158" spans="1:9" s="1" customFormat="1" x14ac:dyDescent="0.2">
      <c r="A3158" s="1" t="s">
        <v>25</v>
      </c>
      <c r="B3158" s="2" t="s">
        <v>217</v>
      </c>
      <c r="C3158" s="5"/>
      <c r="D3158" s="5" t="s">
        <v>464</v>
      </c>
      <c r="E3158" s="3"/>
      <c r="F3158" s="3"/>
      <c r="G3158" s="57" t="str">
        <f t="shared" si="49"/>
        <v>-</v>
      </c>
      <c r="H3158" s="19" t="s">
        <v>465</v>
      </c>
      <c r="I3158" s="19">
        <v>97500</v>
      </c>
    </row>
    <row r="3159" spans="1:9" s="1" customFormat="1" x14ac:dyDescent="0.2">
      <c r="A3159" s="1" t="s">
        <v>25</v>
      </c>
      <c r="B3159" s="2" t="s">
        <v>217</v>
      </c>
      <c r="C3159" s="5"/>
      <c r="D3159" s="5" t="s">
        <v>464</v>
      </c>
      <c r="E3159" s="3"/>
      <c r="F3159" s="3"/>
      <c r="G3159" s="57" t="str">
        <f t="shared" si="49"/>
        <v>-</v>
      </c>
      <c r="H3159" s="19" t="s">
        <v>465</v>
      </c>
      <c r="I3159" s="19">
        <v>97500</v>
      </c>
    </row>
    <row r="3160" spans="1:9" s="1" customFormat="1" x14ac:dyDescent="0.2">
      <c r="A3160" s="1" t="s">
        <v>25</v>
      </c>
      <c r="B3160" s="2" t="s">
        <v>217</v>
      </c>
      <c r="C3160" s="5"/>
      <c r="D3160" s="5" t="s">
        <v>464</v>
      </c>
      <c r="E3160" s="3"/>
      <c r="F3160" s="3"/>
      <c r="G3160" s="57" t="str">
        <f t="shared" si="49"/>
        <v>-</v>
      </c>
      <c r="H3160" s="19">
        <v>97500</v>
      </c>
      <c r="I3160" s="19" t="s">
        <v>465</v>
      </c>
    </row>
    <row r="3161" spans="1:9" s="1" customFormat="1" x14ac:dyDescent="0.2">
      <c r="A3161" s="1" t="s">
        <v>25</v>
      </c>
      <c r="B3161" s="2" t="s">
        <v>217</v>
      </c>
      <c r="C3161" s="5"/>
      <c r="D3161" s="5" t="s">
        <v>464</v>
      </c>
      <c r="E3161" s="3"/>
      <c r="F3161" s="3"/>
      <c r="G3161" s="57" t="str">
        <f t="shared" si="49"/>
        <v>-</v>
      </c>
      <c r="H3161" s="19">
        <v>97500</v>
      </c>
      <c r="I3161" s="19" t="s">
        <v>465</v>
      </c>
    </row>
    <row r="3162" spans="1:9" s="1" customFormat="1" x14ac:dyDescent="0.2">
      <c r="A3162" s="1" t="s">
        <v>25</v>
      </c>
      <c r="B3162" s="2" t="s">
        <v>217</v>
      </c>
      <c r="C3162" s="5"/>
      <c r="D3162" s="5" t="s">
        <v>464</v>
      </c>
      <c r="E3162" s="3"/>
      <c r="F3162" s="3"/>
      <c r="G3162" s="57" t="str">
        <f t="shared" si="49"/>
        <v>-</v>
      </c>
      <c r="H3162" s="19">
        <v>97500</v>
      </c>
      <c r="I3162" s="19" t="s">
        <v>465</v>
      </c>
    </row>
    <row r="3163" spans="1:9" s="1" customFormat="1" x14ac:dyDescent="0.2">
      <c r="A3163" s="1" t="s">
        <v>25</v>
      </c>
      <c r="B3163" s="2" t="s">
        <v>217</v>
      </c>
      <c r="C3163" s="5"/>
      <c r="D3163" s="5" t="s">
        <v>464</v>
      </c>
      <c r="E3163" s="3"/>
      <c r="F3163" s="3"/>
      <c r="G3163" s="57" t="str">
        <f t="shared" si="49"/>
        <v>-</v>
      </c>
      <c r="H3163" s="19">
        <v>97500</v>
      </c>
      <c r="I3163" s="19" t="s">
        <v>465</v>
      </c>
    </row>
    <row r="3164" spans="1:9" s="1" customFormat="1" x14ac:dyDescent="0.2">
      <c r="A3164" s="1" t="s">
        <v>25</v>
      </c>
      <c r="B3164" s="2" t="s">
        <v>217</v>
      </c>
      <c r="C3164" s="5"/>
      <c r="D3164" s="5" t="s">
        <v>464</v>
      </c>
      <c r="E3164" s="3"/>
      <c r="F3164" s="3"/>
      <c r="G3164" s="57" t="str">
        <f t="shared" si="49"/>
        <v>-</v>
      </c>
      <c r="H3164" s="19">
        <v>97500</v>
      </c>
      <c r="I3164" s="19" t="s">
        <v>465</v>
      </c>
    </row>
    <row r="3165" spans="1:9" s="1" customFormat="1" x14ac:dyDescent="0.2">
      <c r="A3165" s="1" t="s">
        <v>25</v>
      </c>
      <c r="B3165" s="2" t="s">
        <v>217</v>
      </c>
      <c r="C3165" s="5"/>
      <c r="D3165" s="5" t="s">
        <v>464</v>
      </c>
      <c r="E3165" s="3"/>
      <c r="F3165" s="3"/>
      <c r="G3165" s="57" t="str">
        <f t="shared" si="49"/>
        <v>-</v>
      </c>
      <c r="H3165" s="19">
        <v>97500</v>
      </c>
      <c r="I3165" s="19" t="s">
        <v>465</v>
      </c>
    </row>
    <row r="3166" spans="1:9" s="1" customFormat="1" x14ac:dyDescent="0.2">
      <c r="A3166" s="1" t="s">
        <v>25</v>
      </c>
      <c r="B3166" s="2" t="s">
        <v>217</v>
      </c>
      <c r="C3166" s="5"/>
      <c r="D3166" s="5" t="s">
        <v>464</v>
      </c>
      <c r="E3166" s="3"/>
      <c r="F3166" s="3"/>
      <c r="G3166" s="57" t="str">
        <f t="shared" si="49"/>
        <v>-</v>
      </c>
      <c r="H3166" s="19">
        <v>97500</v>
      </c>
      <c r="I3166" s="19" t="s">
        <v>465</v>
      </c>
    </row>
    <row r="3167" spans="1:9" s="1" customFormat="1" x14ac:dyDescent="0.2">
      <c r="A3167" s="1" t="s">
        <v>25</v>
      </c>
      <c r="B3167" s="2" t="s">
        <v>217</v>
      </c>
      <c r="C3167" s="5"/>
      <c r="D3167" s="5" t="s">
        <v>464</v>
      </c>
      <c r="E3167" s="3"/>
      <c r="F3167" s="3"/>
      <c r="G3167" s="57" t="str">
        <f t="shared" si="49"/>
        <v>-</v>
      </c>
      <c r="H3167" s="19">
        <v>97500</v>
      </c>
      <c r="I3167" s="19" t="s">
        <v>465</v>
      </c>
    </row>
    <row r="3168" spans="1:9" s="1" customFormat="1" x14ac:dyDescent="0.2">
      <c r="A3168" s="1" t="s">
        <v>25</v>
      </c>
      <c r="B3168" s="2" t="s">
        <v>217</v>
      </c>
      <c r="C3168" s="5"/>
      <c r="D3168" s="5" t="s">
        <v>464</v>
      </c>
      <c r="E3168" s="3" t="s">
        <v>465</v>
      </c>
      <c r="F3168" s="3">
        <v>102500</v>
      </c>
      <c r="G3168" s="57" t="str">
        <f t="shared" si="49"/>
        <v>-</v>
      </c>
      <c r="H3168" s="19"/>
      <c r="I3168" s="19"/>
    </row>
    <row r="3169" spans="1:9" s="1" customFormat="1" x14ac:dyDescent="0.2">
      <c r="A3169" s="1" t="s">
        <v>25</v>
      </c>
      <c r="B3169" s="2" t="s">
        <v>217</v>
      </c>
      <c r="C3169" s="5"/>
      <c r="D3169" s="5" t="s">
        <v>464</v>
      </c>
      <c r="E3169" s="3" t="s">
        <v>465</v>
      </c>
      <c r="F3169" s="3">
        <v>102500</v>
      </c>
      <c r="G3169" s="57" t="str">
        <f t="shared" si="49"/>
        <v>-</v>
      </c>
      <c r="H3169" s="4"/>
      <c r="I3169" s="4"/>
    </row>
    <row r="3170" spans="1:9" s="1" customFormat="1" x14ac:dyDescent="0.2">
      <c r="A3170" s="1" t="s">
        <v>25</v>
      </c>
      <c r="B3170" s="2" t="s">
        <v>217</v>
      </c>
      <c r="C3170" s="5"/>
      <c r="D3170" s="5" t="s">
        <v>464</v>
      </c>
      <c r="E3170" s="3" t="s">
        <v>465</v>
      </c>
      <c r="F3170" s="3">
        <v>102500</v>
      </c>
      <c r="G3170" s="57" t="str">
        <f t="shared" si="49"/>
        <v>-</v>
      </c>
      <c r="H3170" s="4"/>
      <c r="I3170" s="4"/>
    </row>
    <row r="3171" spans="1:9" s="1" customFormat="1" x14ac:dyDescent="0.2">
      <c r="A3171" s="1" t="s">
        <v>25</v>
      </c>
      <c r="B3171" s="2" t="s">
        <v>217</v>
      </c>
      <c r="C3171" s="5"/>
      <c r="D3171" s="5" t="s">
        <v>464</v>
      </c>
      <c r="E3171" s="3" t="s">
        <v>465</v>
      </c>
      <c r="F3171" s="3">
        <v>102500</v>
      </c>
      <c r="G3171" s="57" t="str">
        <f t="shared" si="49"/>
        <v>-</v>
      </c>
      <c r="H3171" s="4"/>
      <c r="I3171" s="4"/>
    </row>
    <row r="3172" spans="1:9" s="1" customFormat="1" x14ac:dyDescent="0.2">
      <c r="A3172" s="1" t="s">
        <v>25</v>
      </c>
      <c r="B3172" s="2" t="s">
        <v>217</v>
      </c>
      <c r="C3172" s="5"/>
      <c r="D3172" s="5" t="s">
        <v>464</v>
      </c>
      <c r="E3172" s="3">
        <v>102500</v>
      </c>
      <c r="F3172" s="3" t="s">
        <v>465</v>
      </c>
      <c r="G3172" s="57" t="str">
        <f t="shared" si="49"/>
        <v>-</v>
      </c>
      <c r="H3172" s="4"/>
      <c r="I3172" s="4"/>
    </row>
    <row r="3173" spans="1:9" s="1" customFormat="1" x14ac:dyDescent="0.2">
      <c r="A3173" s="1" t="s">
        <v>25</v>
      </c>
      <c r="B3173" s="2" t="s">
        <v>217</v>
      </c>
      <c r="C3173" s="5"/>
      <c r="D3173" s="5" t="s">
        <v>464</v>
      </c>
      <c r="E3173" s="3">
        <v>102500</v>
      </c>
      <c r="F3173" s="3" t="s">
        <v>465</v>
      </c>
      <c r="G3173" s="57" t="str">
        <f t="shared" si="49"/>
        <v>-</v>
      </c>
      <c r="H3173" s="4"/>
      <c r="I3173" s="4"/>
    </row>
    <row r="3174" spans="1:9" s="1" customFormat="1" x14ac:dyDescent="0.2">
      <c r="A3174" s="1" t="s">
        <v>25</v>
      </c>
      <c r="B3174" s="2" t="s">
        <v>217</v>
      </c>
      <c r="C3174" s="5"/>
      <c r="D3174" s="5" t="s">
        <v>464</v>
      </c>
      <c r="E3174" s="3">
        <v>102500</v>
      </c>
      <c r="F3174" s="3" t="s">
        <v>465</v>
      </c>
      <c r="G3174" s="57" t="str">
        <f t="shared" si="49"/>
        <v>-</v>
      </c>
      <c r="H3174" s="4"/>
      <c r="I3174" s="4"/>
    </row>
    <row r="3175" spans="1:9" s="1" customFormat="1" x14ac:dyDescent="0.2">
      <c r="A3175" s="1" t="s">
        <v>25</v>
      </c>
      <c r="B3175" s="2" t="s">
        <v>217</v>
      </c>
      <c r="C3175" s="5"/>
      <c r="D3175" s="5" t="s">
        <v>464</v>
      </c>
      <c r="E3175" s="3">
        <v>102500</v>
      </c>
      <c r="F3175" s="3" t="s">
        <v>465</v>
      </c>
      <c r="G3175" s="57" t="str">
        <f t="shared" si="49"/>
        <v>-</v>
      </c>
      <c r="H3175" s="4"/>
      <c r="I3175" s="4"/>
    </row>
    <row r="3176" spans="1:9" s="1" customFormat="1" x14ac:dyDescent="0.2">
      <c r="A3176" s="1" t="s">
        <v>25</v>
      </c>
      <c r="B3176" s="2" t="s">
        <v>217</v>
      </c>
      <c r="C3176" s="5"/>
      <c r="D3176" s="5" t="s">
        <v>464</v>
      </c>
      <c r="E3176" s="3">
        <v>102500</v>
      </c>
      <c r="F3176" s="3" t="s">
        <v>465</v>
      </c>
      <c r="G3176" s="57" t="str">
        <f t="shared" si="49"/>
        <v>-</v>
      </c>
      <c r="H3176" s="4"/>
      <c r="I3176" s="4"/>
    </row>
    <row r="3177" spans="1:9" s="1" customFormat="1" x14ac:dyDescent="0.2">
      <c r="A3177" s="1" t="s">
        <v>25</v>
      </c>
      <c r="B3177" s="2" t="s">
        <v>217</v>
      </c>
      <c r="C3177" s="5"/>
      <c r="D3177" s="5" t="s">
        <v>464</v>
      </c>
      <c r="E3177" s="3">
        <v>102500</v>
      </c>
      <c r="F3177" s="3" t="s">
        <v>465</v>
      </c>
      <c r="G3177" s="57" t="str">
        <f t="shared" si="49"/>
        <v>-</v>
      </c>
      <c r="H3177" s="4"/>
      <c r="I3177" s="4"/>
    </row>
    <row r="3178" spans="1:9" s="1" customFormat="1" x14ac:dyDescent="0.2">
      <c r="A3178" s="1" t="s">
        <v>25</v>
      </c>
      <c r="B3178" s="2" t="s">
        <v>217</v>
      </c>
      <c r="C3178" s="5"/>
      <c r="D3178" s="5" t="s">
        <v>464</v>
      </c>
      <c r="E3178" s="3">
        <v>102500</v>
      </c>
      <c r="F3178" s="3" t="s">
        <v>465</v>
      </c>
      <c r="G3178" s="57" t="str">
        <f t="shared" si="49"/>
        <v>-</v>
      </c>
      <c r="H3178" s="4"/>
      <c r="I3178" s="4"/>
    </row>
    <row r="3179" spans="1:9" s="1" customFormat="1" x14ac:dyDescent="0.2">
      <c r="A3179" s="1" t="s">
        <v>25</v>
      </c>
      <c r="B3179" s="2" t="s">
        <v>217</v>
      </c>
      <c r="C3179" s="5"/>
      <c r="D3179" s="5" t="s">
        <v>464</v>
      </c>
      <c r="E3179" s="3">
        <v>102500</v>
      </c>
      <c r="F3179" s="3" t="s">
        <v>465</v>
      </c>
      <c r="G3179" s="57" t="str">
        <f t="shared" si="49"/>
        <v>-</v>
      </c>
      <c r="H3179" s="4"/>
      <c r="I3179" s="4"/>
    </row>
    <row r="3180" spans="1:9" s="1" customFormat="1" x14ac:dyDescent="0.2">
      <c r="A3180" s="1" t="s">
        <v>25</v>
      </c>
      <c r="B3180" s="2" t="s">
        <v>217</v>
      </c>
      <c r="C3180" s="5"/>
      <c r="D3180" s="5" t="s">
        <v>464</v>
      </c>
      <c r="E3180" s="3" t="s">
        <v>465</v>
      </c>
      <c r="F3180" s="3">
        <v>107500</v>
      </c>
      <c r="G3180" s="57" t="str">
        <f t="shared" si="49"/>
        <v>-</v>
      </c>
      <c r="H3180" s="4"/>
      <c r="I3180" s="4"/>
    </row>
    <row r="3181" spans="1:9" s="1" customFormat="1" x14ac:dyDescent="0.2">
      <c r="A3181" s="1" t="s">
        <v>25</v>
      </c>
      <c r="B3181" s="2" t="s">
        <v>217</v>
      </c>
      <c r="C3181" s="5"/>
      <c r="D3181" s="5" t="s">
        <v>464</v>
      </c>
      <c r="E3181" s="3" t="s">
        <v>465</v>
      </c>
      <c r="F3181" s="3">
        <v>107500</v>
      </c>
      <c r="G3181" s="57" t="str">
        <f t="shared" si="49"/>
        <v>-</v>
      </c>
      <c r="H3181" s="4"/>
      <c r="I3181" s="4"/>
    </row>
    <row r="3182" spans="1:9" s="1" customFormat="1" x14ac:dyDescent="0.2">
      <c r="A3182" s="1" t="s">
        <v>25</v>
      </c>
      <c r="B3182" s="2" t="s">
        <v>217</v>
      </c>
      <c r="C3182" s="5"/>
      <c r="D3182" s="5" t="s">
        <v>464</v>
      </c>
      <c r="E3182" s="6" t="s">
        <v>465</v>
      </c>
      <c r="F3182" s="3">
        <v>107500</v>
      </c>
      <c r="G3182" s="57" t="str">
        <f t="shared" si="49"/>
        <v>-</v>
      </c>
      <c r="H3182" s="4"/>
      <c r="I3182" s="4"/>
    </row>
    <row r="3183" spans="1:9" s="1" customFormat="1" x14ac:dyDescent="0.2">
      <c r="A3183" s="1" t="s">
        <v>25</v>
      </c>
      <c r="B3183" s="2" t="s">
        <v>217</v>
      </c>
      <c r="C3183" s="5"/>
      <c r="D3183" s="5" t="s">
        <v>464</v>
      </c>
      <c r="E3183" s="3" t="s">
        <v>465</v>
      </c>
      <c r="F3183" s="3">
        <v>107500</v>
      </c>
      <c r="G3183" s="57" t="str">
        <f t="shared" si="49"/>
        <v>-</v>
      </c>
      <c r="H3183" s="4"/>
      <c r="I3183" s="4"/>
    </row>
    <row r="3184" spans="1:9" s="1" customFormat="1" x14ac:dyDescent="0.2">
      <c r="A3184" s="1" t="s">
        <v>25</v>
      </c>
      <c r="B3184" s="2" t="s">
        <v>217</v>
      </c>
      <c r="C3184" s="5"/>
      <c r="D3184" s="5" t="s">
        <v>464</v>
      </c>
      <c r="E3184" s="3" t="s">
        <v>465</v>
      </c>
      <c r="F3184" s="3">
        <v>107500</v>
      </c>
      <c r="G3184" s="57" t="str">
        <f t="shared" si="49"/>
        <v>-</v>
      </c>
      <c r="H3184" s="4"/>
      <c r="I3184" s="4"/>
    </row>
    <row r="3185" spans="1:9" s="1" customFormat="1" x14ac:dyDescent="0.2">
      <c r="A3185" s="1" t="s">
        <v>25</v>
      </c>
      <c r="B3185" s="2" t="s">
        <v>217</v>
      </c>
      <c r="C3185" s="5"/>
      <c r="D3185" s="5" t="s">
        <v>464</v>
      </c>
      <c r="E3185" s="3" t="s">
        <v>465</v>
      </c>
      <c r="F3185" s="3">
        <v>107500</v>
      </c>
      <c r="G3185" s="57" t="str">
        <f t="shared" si="49"/>
        <v>-</v>
      </c>
      <c r="H3185" s="4"/>
      <c r="I3185" s="4"/>
    </row>
    <row r="3186" spans="1:9" s="1" customFormat="1" x14ac:dyDescent="0.2">
      <c r="A3186" s="1" t="s">
        <v>25</v>
      </c>
      <c r="B3186" s="2" t="s">
        <v>217</v>
      </c>
      <c r="C3186" s="5"/>
      <c r="D3186" s="5" t="s">
        <v>464</v>
      </c>
      <c r="E3186" s="3" t="s">
        <v>465</v>
      </c>
      <c r="F3186" s="3">
        <v>107500</v>
      </c>
      <c r="G3186" s="57" t="str">
        <f t="shared" si="49"/>
        <v>-</v>
      </c>
      <c r="H3186" s="4"/>
      <c r="I3186" s="4"/>
    </row>
    <row r="3187" spans="1:9" s="1" customFormat="1" x14ac:dyDescent="0.2">
      <c r="A3187" s="1" t="s">
        <v>25</v>
      </c>
      <c r="B3187" s="2" t="s">
        <v>217</v>
      </c>
      <c r="C3187" s="5"/>
      <c r="D3187" s="5" t="s">
        <v>464</v>
      </c>
      <c r="E3187" s="3" t="s">
        <v>465</v>
      </c>
      <c r="F3187" s="3">
        <v>112500</v>
      </c>
      <c r="G3187" s="57" t="str">
        <f t="shared" si="49"/>
        <v>-</v>
      </c>
      <c r="H3187" s="4"/>
      <c r="I3187" s="4"/>
    </row>
    <row r="3188" spans="1:9" s="1" customFormat="1" x14ac:dyDescent="0.2">
      <c r="A3188" s="1" t="s">
        <v>25</v>
      </c>
      <c r="B3188" s="2" t="s">
        <v>217</v>
      </c>
      <c r="C3188" s="5"/>
      <c r="D3188" s="5" t="s">
        <v>464</v>
      </c>
      <c r="E3188" s="3" t="s">
        <v>465</v>
      </c>
      <c r="F3188" s="3">
        <v>112500</v>
      </c>
      <c r="G3188" s="57" t="str">
        <f t="shared" si="49"/>
        <v>-</v>
      </c>
      <c r="H3188" s="4"/>
      <c r="I3188" s="4"/>
    </row>
    <row r="3189" spans="1:9" s="1" customFormat="1" x14ac:dyDescent="0.2">
      <c r="A3189" s="1" t="s">
        <v>25</v>
      </c>
      <c r="B3189" s="2" t="s">
        <v>217</v>
      </c>
      <c r="C3189" s="5"/>
      <c r="D3189" s="5" t="s">
        <v>464</v>
      </c>
      <c r="E3189" s="3" t="s">
        <v>465</v>
      </c>
      <c r="F3189" s="3">
        <v>112500</v>
      </c>
      <c r="G3189" s="57" t="str">
        <f t="shared" si="49"/>
        <v>-</v>
      </c>
      <c r="H3189" s="4"/>
      <c r="I3189" s="4"/>
    </row>
    <row r="3190" spans="1:9" s="1" customFormat="1" x14ac:dyDescent="0.2">
      <c r="A3190" s="1" t="s">
        <v>25</v>
      </c>
      <c r="B3190" s="2" t="s">
        <v>217</v>
      </c>
      <c r="C3190" s="5"/>
      <c r="D3190" s="5" t="s">
        <v>464</v>
      </c>
      <c r="E3190" s="3" t="s">
        <v>465</v>
      </c>
      <c r="F3190" s="3">
        <v>112500</v>
      </c>
      <c r="G3190" s="57" t="str">
        <f t="shared" si="49"/>
        <v>-</v>
      </c>
      <c r="H3190" s="4"/>
      <c r="I3190" s="4"/>
    </row>
    <row r="3191" spans="1:9" s="1" customFormat="1" x14ac:dyDescent="0.2">
      <c r="A3191" s="1" t="s">
        <v>25</v>
      </c>
      <c r="B3191" s="2" t="s">
        <v>217</v>
      </c>
      <c r="C3191" s="5"/>
      <c r="D3191" s="5" t="s">
        <v>464</v>
      </c>
      <c r="E3191" s="3" t="s">
        <v>465</v>
      </c>
      <c r="F3191" s="3">
        <v>112500</v>
      </c>
      <c r="G3191" s="57" t="str">
        <f t="shared" si="49"/>
        <v>-</v>
      </c>
      <c r="H3191" s="4"/>
      <c r="I3191" s="4"/>
    </row>
    <row r="3192" spans="1:9" s="1" customFormat="1" x14ac:dyDescent="0.2">
      <c r="A3192" s="1" t="s">
        <v>25</v>
      </c>
      <c r="B3192" s="2" t="s">
        <v>217</v>
      </c>
      <c r="C3192" s="5"/>
      <c r="D3192" s="5" t="s">
        <v>464</v>
      </c>
      <c r="E3192" s="3" t="s">
        <v>465</v>
      </c>
      <c r="F3192" s="3">
        <v>112500</v>
      </c>
      <c r="G3192" s="57" t="str">
        <f t="shared" si="49"/>
        <v>-</v>
      </c>
      <c r="H3192" s="4"/>
      <c r="I3192" s="4"/>
    </row>
    <row r="3193" spans="1:9" s="1" customFormat="1" x14ac:dyDescent="0.2">
      <c r="A3193" s="1" t="s">
        <v>25</v>
      </c>
      <c r="B3193" s="2" t="s">
        <v>217</v>
      </c>
      <c r="C3193" s="5"/>
      <c r="D3193" s="5" t="s">
        <v>464</v>
      </c>
      <c r="E3193" s="3">
        <v>112500</v>
      </c>
      <c r="F3193" s="3" t="s">
        <v>465</v>
      </c>
      <c r="G3193" s="57" t="str">
        <f t="shared" si="49"/>
        <v>-</v>
      </c>
      <c r="H3193" s="4"/>
      <c r="I3193" s="4"/>
    </row>
    <row r="3194" spans="1:9" s="1" customFormat="1" x14ac:dyDescent="0.2">
      <c r="A3194" s="1" t="s">
        <v>25</v>
      </c>
      <c r="B3194" s="2" t="s">
        <v>217</v>
      </c>
      <c r="C3194" s="5"/>
      <c r="D3194" s="5" t="s">
        <v>464</v>
      </c>
      <c r="E3194" s="3">
        <v>112500</v>
      </c>
      <c r="F3194" s="3" t="s">
        <v>465</v>
      </c>
      <c r="G3194" s="57" t="str">
        <f t="shared" si="49"/>
        <v>-</v>
      </c>
      <c r="H3194" s="4"/>
      <c r="I3194" s="4"/>
    </row>
    <row r="3195" spans="1:9" s="1" customFormat="1" x14ac:dyDescent="0.2">
      <c r="A3195" s="1" t="s">
        <v>25</v>
      </c>
      <c r="B3195" s="2" t="s">
        <v>217</v>
      </c>
      <c r="C3195" s="5"/>
      <c r="D3195" s="5" t="s">
        <v>464</v>
      </c>
      <c r="E3195" s="3">
        <v>112500</v>
      </c>
      <c r="F3195" s="3" t="s">
        <v>465</v>
      </c>
      <c r="G3195" s="57" t="str">
        <f t="shared" si="49"/>
        <v>-</v>
      </c>
      <c r="H3195" s="4"/>
      <c r="I3195" s="4"/>
    </row>
    <row r="3196" spans="1:9" s="1" customFormat="1" x14ac:dyDescent="0.2">
      <c r="A3196" s="1" t="s">
        <v>25</v>
      </c>
      <c r="B3196" s="2" t="s">
        <v>217</v>
      </c>
      <c r="C3196" s="5"/>
      <c r="D3196" s="5" t="s">
        <v>464</v>
      </c>
      <c r="E3196" s="3">
        <v>112500</v>
      </c>
      <c r="F3196" s="3" t="s">
        <v>465</v>
      </c>
      <c r="G3196" s="57" t="str">
        <f t="shared" si="49"/>
        <v>-</v>
      </c>
      <c r="H3196" s="4"/>
      <c r="I3196" s="4"/>
    </row>
    <row r="3197" spans="1:9" s="1" customFormat="1" x14ac:dyDescent="0.2">
      <c r="A3197" s="1" t="s">
        <v>25</v>
      </c>
      <c r="B3197" s="2" t="s">
        <v>217</v>
      </c>
      <c r="C3197" s="5"/>
      <c r="D3197" s="5" t="s">
        <v>464</v>
      </c>
      <c r="E3197" s="3">
        <v>112500</v>
      </c>
      <c r="F3197" s="3" t="s">
        <v>465</v>
      </c>
      <c r="G3197" s="57" t="str">
        <f t="shared" si="49"/>
        <v>-</v>
      </c>
      <c r="H3197" s="4"/>
      <c r="I3197" s="4"/>
    </row>
    <row r="3198" spans="1:9" s="1" customFormat="1" x14ac:dyDescent="0.2">
      <c r="A3198" s="1" t="s">
        <v>25</v>
      </c>
      <c r="B3198" s="2" t="s">
        <v>217</v>
      </c>
      <c r="C3198" s="5"/>
      <c r="D3198" s="5" t="s">
        <v>464</v>
      </c>
      <c r="E3198" s="3">
        <v>112500</v>
      </c>
      <c r="F3198" s="3" t="s">
        <v>465</v>
      </c>
      <c r="G3198" s="57" t="str">
        <f t="shared" si="49"/>
        <v>-</v>
      </c>
      <c r="H3198" s="4"/>
      <c r="I3198" s="4"/>
    </row>
    <row r="3199" spans="1:9" s="1" customFormat="1" x14ac:dyDescent="0.2">
      <c r="A3199" s="1" t="s">
        <v>25</v>
      </c>
      <c r="B3199" s="2" t="s">
        <v>217</v>
      </c>
      <c r="C3199" s="5"/>
      <c r="D3199" s="5" t="s">
        <v>464</v>
      </c>
      <c r="E3199" s="3" t="s">
        <v>465</v>
      </c>
      <c r="F3199" s="3">
        <v>117500</v>
      </c>
      <c r="G3199" s="57" t="str">
        <f t="shared" si="49"/>
        <v>-</v>
      </c>
      <c r="H3199" s="4"/>
      <c r="I3199" s="4"/>
    </row>
    <row r="3200" spans="1:9" s="1" customFormat="1" x14ac:dyDescent="0.2">
      <c r="A3200" s="1" t="s">
        <v>25</v>
      </c>
      <c r="B3200" s="2" t="s">
        <v>217</v>
      </c>
      <c r="C3200" s="5"/>
      <c r="D3200" s="5" t="s">
        <v>464</v>
      </c>
      <c r="E3200" s="3">
        <v>117500</v>
      </c>
      <c r="F3200" s="3" t="s">
        <v>465</v>
      </c>
      <c r="G3200" s="57" t="str">
        <f t="shared" si="49"/>
        <v>-</v>
      </c>
      <c r="H3200" s="4"/>
      <c r="I3200" s="4"/>
    </row>
    <row r="3201" spans="1:10" x14ac:dyDescent="0.2">
      <c r="A3201" s="1" t="s">
        <v>25</v>
      </c>
      <c r="B3201" s="2" t="s">
        <v>217</v>
      </c>
      <c r="D3201" s="5" t="s">
        <v>464</v>
      </c>
      <c r="E3201" s="3" t="s">
        <v>465</v>
      </c>
      <c r="F3201" s="3">
        <v>122500</v>
      </c>
      <c r="G3201" s="57" t="str">
        <f t="shared" si="49"/>
        <v>-</v>
      </c>
    </row>
    <row r="3202" spans="1:10" x14ac:dyDescent="0.2">
      <c r="A3202" s="1" t="s">
        <v>25</v>
      </c>
      <c r="B3202" s="2" t="s">
        <v>217</v>
      </c>
      <c r="D3202" s="5" t="s">
        <v>464</v>
      </c>
      <c r="E3202" s="3" t="s">
        <v>465</v>
      </c>
      <c r="F3202" s="3">
        <v>122500</v>
      </c>
      <c r="G3202" s="57" t="str">
        <f t="shared" si="49"/>
        <v>-</v>
      </c>
    </row>
    <row r="3203" spans="1:10" x14ac:dyDescent="0.2">
      <c r="A3203" s="1" t="s">
        <v>25</v>
      </c>
      <c r="B3203" s="2" t="s">
        <v>217</v>
      </c>
      <c r="D3203" s="5" t="s">
        <v>464</v>
      </c>
      <c r="E3203" s="3">
        <v>122500</v>
      </c>
      <c r="F3203" s="3" t="s">
        <v>465</v>
      </c>
      <c r="G3203" s="57" t="str">
        <f t="shared" ref="G3203:G3266" si="50">IF(ISERROR((F3203-E3203)/E3203),"-",(F3203-E3203)/E3203)</f>
        <v>-</v>
      </c>
    </row>
    <row r="3204" spans="1:10" x14ac:dyDescent="0.2">
      <c r="A3204" s="1" t="s">
        <v>25</v>
      </c>
      <c r="B3204" s="2" t="s">
        <v>217</v>
      </c>
      <c r="D3204" s="5" t="s">
        <v>464</v>
      </c>
      <c r="E3204" s="3" t="s">
        <v>465</v>
      </c>
      <c r="F3204" s="3">
        <v>127500</v>
      </c>
      <c r="G3204" s="57" t="str">
        <f t="shared" si="50"/>
        <v>-</v>
      </c>
    </row>
    <row r="3205" spans="1:10" x14ac:dyDescent="0.2">
      <c r="A3205" s="1" t="s">
        <v>25</v>
      </c>
      <c r="B3205" s="2" t="s">
        <v>217</v>
      </c>
      <c r="D3205" s="5" t="s">
        <v>464</v>
      </c>
      <c r="E3205" s="3" t="s">
        <v>465</v>
      </c>
      <c r="F3205" s="3">
        <v>132500</v>
      </c>
      <c r="G3205" s="57" t="str">
        <f t="shared" si="50"/>
        <v>-</v>
      </c>
    </row>
    <row r="3206" spans="1:10" ht="38.25" x14ac:dyDescent="0.2">
      <c r="A3206" s="1" t="s">
        <v>6</v>
      </c>
      <c r="B3206" s="2" t="s">
        <v>218</v>
      </c>
      <c r="C3206" s="5" t="s">
        <v>1294</v>
      </c>
      <c r="D3206" s="5" t="s">
        <v>450</v>
      </c>
      <c r="E3206" s="9">
        <v>266675</v>
      </c>
      <c r="F3206" s="9">
        <v>205048</v>
      </c>
      <c r="G3206" s="57">
        <f t="shared" si="50"/>
        <v>-0.23109402831161527</v>
      </c>
      <c r="J3206" s="5" t="s">
        <v>3286</v>
      </c>
    </row>
    <row r="3207" spans="1:10" ht="38.25" x14ac:dyDescent="0.2">
      <c r="A3207" s="1" t="s">
        <v>6</v>
      </c>
      <c r="B3207" s="2" t="s">
        <v>218</v>
      </c>
      <c r="D3207" s="5" t="s">
        <v>1295</v>
      </c>
      <c r="E3207" s="9">
        <v>158582</v>
      </c>
      <c r="F3207" s="9">
        <v>160962</v>
      </c>
      <c r="G3207" s="57">
        <f t="shared" si="50"/>
        <v>1.5008008475110668E-2</v>
      </c>
      <c r="J3207" s="5" t="s">
        <v>3287</v>
      </c>
    </row>
    <row r="3208" spans="1:10" ht="38.25" x14ac:dyDescent="0.2">
      <c r="A3208" s="1" t="s">
        <v>6</v>
      </c>
      <c r="B3208" s="2" t="s">
        <v>218</v>
      </c>
      <c r="D3208" s="5" t="s">
        <v>1296</v>
      </c>
      <c r="E3208" s="9">
        <v>157265</v>
      </c>
      <c r="F3208" s="9">
        <v>158324</v>
      </c>
      <c r="G3208" s="57">
        <f t="shared" si="50"/>
        <v>6.7338568657997651E-3</v>
      </c>
      <c r="J3208" s="5" t="s">
        <v>3288</v>
      </c>
    </row>
    <row r="3209" spans="1:10" ht="38.25" x14ac:dyDescent="0.2">
      <c r="A3209" s="1" t="s">
        <v>6</v>
      </c>
      <c r="B3209" s="2" t="s">
        <v>218</v>
      </c>
      <c r="D3209" s="5" t="s">
        <v>1297</v>
      </c>
      <c r="E3209" s="9">
        <v>154387</v>
      </c>
      <c r="F3209" s="9">
        <v>158043</v>
      </c>
      <c r="G3209" s="57">
        <f t="shared" si="50"/>
        <v>2.3680750322242157E-2</v>
      </c>
      <c r="J3209" s="5" t="s">
        <v>3289</v>
      </c>
    </row>
    <row r="3210" spans="1:10" ht="38.25" x14ac:dyDescent="0.2">
      <c r="A3210" s="1" t="s">
        <v>6</v>
      </c>
      <c r="B3210" s="2" t="s">
        <v>218</v>
      </c>
      <c r="D3210" s="5" t="s">
        <v>1298</v>
      </c>
      <c r="E3210" s="9">
        <v>146607</v>
      </c>
      <c r="F3210" s="9">
        <v>151432</v>
      </c>
      <c r="G3210" s="57">
        <f t="shared" si="50"/>
        <v>3.2911116113146031E-2</v>
      </c>
      <c r="J3210" s="5" t="s">
        <v>3290</v>
      </c>
    </row>
    <row r="3211" spans="1:10" ht="38.25" x14ac:dyDescent="0.2">
      <c r="A3211" s="1" t="s">
        <v>6</v>
      </c>
      <c r="B3211" s="2" t="s">
        <v>218</v>
      </c>
      <c r="D3211" s="5" t="s">
        <v>886</v>
      </c>
      <c r="E3211" s="9">
        <v>133472</v>
      </c>
      <c r="F3211" s="9">
        <v>130963</v>
      </c>
      <c r="G3211" s="57">
        <f t="shared" si="50"/>
        <v>-1.8797950131862862E-2</v>
      </c>
      <c r="J3211" s="5" t="s">
        <v>3291</v>
      </c>
    </row>
    <row r="3212" spans="1:10" ht="51" x14ac:dyDescent="0.2">
      <c r="A3212" s="1" t="s">
        <v>6</v>
      </c>
      <c r="B3212" s="2" t="s">
        <v>218</v>
      </c>
      <c r="D3212" s="5" t="s">
        <v>1299</v>
      </c>
      <c r="E3212" s="9">
        <v>153817</v>
      </c>
      <c r="F3212" s="9">
        <v>157881</v>
      </c>
      <c r="G3212" s="57">
        <f t="shared" si="50"/>
        <v>2.6421006780784958E-2</v>
      </c>
      <c r="J3212" s="5" t="s">
        <v>3292</v>
      </c>
    </row>
    <row r="3213" spans="1:10" ht="38.25" x14ac:dyDescent="0.2">
      <c r="A3213" s="1" t="s">
        <v>6</v>
      </c>
      <c r="B3213" s="2" t="s">
        <v>218</v>
      </c>
      <c r="D3213" s="5" t="s">
        <v>3293</v>
      </c>
      <c r="E3213" s="9">
        <v>118386</v>
      </c>
      <c r="F3213" s="9">
        <v>98576</v>
      </c>
      <c r="G3213" s="57">
        <f t="shared" si="50"/>
        <v>-0.16733397530113359</v>
      </c>
      <c r="J3213" s="5" t="s">
        <v>4359</v>
      </c>
    </row>
    <row r="3214" spans="1:10" x14ac:dyDescent="0.2">
      <c r="A3214" s="1" t="s">
        <v>6</v>
      </c>
      <c r="B3214" s="2" t="s">
        <v>218</v>
      </c>
      <c r="D3214" s="5" t="s">
        <v>464</v>
      </c>
      <c r="G3214" s="57" t="str">
        <f t="shared" si="50"/>
        <v>-</v>
      </c>
      <c r="H3214" s="19" t="s">
        <v>465</v>
      </c>
      <c r="I3214" s="19">
        <v>92500</v>
      </c>
    </row>
    <row r="3215" spans="1:10" x14ac:dyDescent="0.2">
      <c r="A3215" s="1" t="s">
        <v>6</v>
      </c>
      <c r="B3215" s="2" t="s">
        <v>218</v>
      </c>
      <c r="D3215" s="5" t="s">
        <v>464</v>
      </c>
      <c r="G3215" s="57" t="str">
        <f t="shared" si="50"/>
        <v>-</v>
      </c>
      <c r="H3215" s="19" t="s">
        <v>465</v>
      </c>
      <c r="I3215" s="19">
        <v>92500</v>
      </c>
    </row>
    <row r="3216" spans="1:10" x14ac:dyDescent="0.2">
      <c r="A3216" s="1" t="s">
        <v>6</v>
      </c>
      <c r="B3216" s="2" t="s">
        <v>218</v>
      </c>
      <c r="D3216" s="5" t="s">
        <v>464</v>
      </c>
      <c r="G3216" s="57" t="str">
        <f t="shared" si="50"/>
        <v>-</v>
      </c>
      <c r="H3216" s="19" t="s">
        <v>465</v>
      </c>
      <c r="I3216" s="19">
        <v>92500</v>
      </c>
    </row>
    <row r="3217" spans="1:10" x14ac:dyDescent="0.2">
      <c r="A3217" s="1" t="s">
        <v>6</v>
      </c>
      <c r="B3217" s="2" t="s">
        <v>218</v>
      </c>
      <c r="D3217" s="5" t="s">
        <v>464</v>
      </c>
      <c r="G3217" s="57" t="str">
        <f t="shared" si="50"/>
        <v>-</v>
      </c>
      <c r="H3217" s="19" t="s">
        <v>465</v>
      </c>
      <c r="I3217" s="19">
        <v>92500</v>
      </c>
    </row>
    <row r="3218" spans="1:10" x14ac:dyDescent="0.2">
      <c r="A3218" s="1" t="s">
        <v>6</v>
      </c>
      <c r="B3218" s="2" t="s">
        <v>218</v>
      </c>
      <c r="D3218" s="5" t="s">
        <v>464</v>
      </c>
      <c r="G3218" s="57" t="str">
        <f t="shared" si="50"/>
        <v>-</v>
      </c>
      <c r="H3218" s="19" t="s">
        <v>465</v>
      </c>
      <c r="I3218" s="19">
        <v>92500</v>
      </c>
    </row>
    <row r="3219" spans="1:10" x14ac:dyDescent="0.2">
      <c r="A3219" s="1" t="s">
        <v>6</v>
      </c>
      <c r="B3219" s="2" t="s">
        <v>218</v>
      </c>
      <c r="D3219" s="5" t="s">
        <v>464</v>
      </c>
      <c r="G3219" s="57" t="str">
        <f t="shared" si="50"/>
        <v>-</v>
      </c>
      <c r="H3219" s="19" t="s">
        <v>465</v>
      </c>
      <c r="I3219" s="19">
        <v>92500</v>
      </c>
    </row>
    <row r="3220" spans="1:10" x14ac:dyDescent="0.2">
      <c r="A3220" s="1" t="s">
        <v>6</v>
      </c>
      <c r="B3220" s="2" t="s">
        <v>218</v>
      </c>
      <c r="D3220" s="5" t="s">
        <v>464</v>
      </c>
      <c r="G3220" s="57" t="str">
        <f t="shared" si="50"/>
        <v>-</v>
      </c>
      <c r="H3220" s="19" t="s">
        <v>465</v>
      </c>
      <c r="I3220" s="19">
        <v>97500</v>
      </c>
    </row>
    <row r="3221" spans="1:10" x14ac:dyDescent="0.2">
      <c r="A3221" s="1" t="s">
        <v>6</v>
      </c>
      <c r="B3221" s="2" t="s">
        <v>218</v>
      </c>
      <c r="D3221" s="5" t="s">
        <v>464</v>
      </c>
      <c r="G3221" s="57" t="str">
        <f t="shared" si="50"/>
        <v>-</v>
      </c>
      <c r="H3221" s="19" t="s">
        <v>465</v>
      </c>
      <c r="I3221" s="19">
        <v>97500</v>
      </c>
    </row>
    <row r="3222" spans="1:10" x14ac:dyDescent="0.2">
      <c r="A3222" s="1" t="s">
        <v>6</v>
      </c>
      <c r="B3222" s="2" t="s">
        <v>218</v>
      </c>
      <c r="D3222" s="5" t="s">
        <v>464</v>
      </c>
      <c r="G3222" s="57" t="str">
        <f t="shared" si="50"/>
        <v>-</v>
      </c>
      <c r="H3222" s="19" t="s">
        <v>465</v>
      </c>
      <c r="I3222" s="19">
        <v>97500</v>
      </c>
    </row>
    <row r="3223" spans="1:10" x14ac:dyDescent="0.2">
      <c r="A3223" s="1" t="s">
        <v>6</v>
      </c>
      <c r="B3223" s="2" t="s">
        <v>218</v>
      </c>
      <c r="D3223" s="5" t="s">
        <v>464</v>
      </c>
      <c r="G3223" s="57" t="str">
        <f t="shared" si="50"/>
        <v>-</v>
      </c>
      <c r="H3223" s="19" t="s">
        <v>465</v>
      </c>
      <c r="I3223" s="19">
        <v>97500</v>
      </c>
    </row>
    <row r="3224" spans="1:10" x14ac:dyDescent="0.2">
      <c r="A3224" s="1" t="s">
        <v>6</v>
      </c>
      <c r="B3224" s="2" t="s">
        <v>218</v>
      </c>
      <c r="D3224" s="5" t="s">
        <v>464</v>
      </c>
      <c r="G3224" s="57" t="str">
        <f t="shared" si="50"/>
        <v>-</v>
      </c>
      <c r="H3224" s="19" t="s">
        <v>465</v>
      </c>
      <c r="I3224" s="19">
        <v>97500</v>
      </c>
    </row>
    <row r="3225" spans="1:10" x14ac:dyDescent="0.2">
      <c r="A3225" s="1" t="s">
        <v>6</v>
      </c>
      <c r="B3225" s="2" t="s">
        <v>218</v>
      </c>
      <c r="D3225" s="5" t="s">
        <v>464</v>
      </c>
      <c r="G3225" s="57" t="str">
        <f t="shared" si="50"/>
        <v>-</v>
      </c>
      <c r="H3225" s="19" t="s">
        <v>465</v>
      </c>
      <c r="I3225" s="19">
        <v>97500</v>
      </c>
    </row>
    <row r="3226" spans="1:10" x14ac:dyDescent="0.2">
      <c r="A3226" s="1" t="s">
        <v>6</v>
      </c>
      <c r="B3226" s="2" t="s">
        <v>218</v>
      </c>
      <c r="D3226" s="5" t="s">
        <v>464</v>
      </c>
      <c r="G3226" s="57" t="str">
        <f t="shared" si="50"/>
        <v>-</v>
      </c>
      <c r="H3226" s="19" t="s">
        <v>465</v>
      </c>
      <c r="I3226" s="19">
        <v>97500</v>
      </c>
    </row>
    <row r="3227" spans="1:10" x14ac:dyDescent="0.2">
      <c r="A3227" s="1" t="s">
        <v>6</v>
      </c>
      <c r="B3227" s="2" t="s">
        <v>218</v>
      </c>
      <c r="D3227" s="5" t="s">
        <v>464</v>
      </c>
      <c r="G3227" s="57" t="str">
        <f t="shared" si="50"/>
        <v>-</v>
      </c>
      <c r="H3227" s="19" t="s">
        <v>465</v>
      </c>
      <c r="I3227" s="19">
        <v>97500</v>
      </c>
    </row>
    <row r="3228" spans="1:10" x14ac:dyDescent="0.2">
      <c r="A3228" s="1" t="s">
        <v>6</v>
      </c>
      <c r="B3228" s="2" t="s">
        <v>218</v>
      </c>
      <c r="D3228" s="5" t="s">
        <v>464</v>
      </c>
      <c r="E3228" s="3" t="s">
        <v>465</v>
      </c>
      <c r="F3228" s="3">
        <v>102500</v>
      </c>
      <c r="G3228" s="57" t="str">
        <f t="shared" si="50"/>
        <v>-</v>
      </c>
    </row>
    <row r="3229" spans="1:10" x14ac:dyDescent="0.2">
      <c r="A3229" s="1" t="s">
        <v>6</v>
      </c>
      <c r="B3229" s="2" t="s">
        <v>218</v>
      </c>
      <c r="D3229" s="5" t="s">
        <v>464</v>
      </c>
      <c r="E3229" s="3" t="s">
        <v>465</v>
      </c>
      <c r="F3229" s="3">
        <v>102500</v>
      </c>
      <c r="G3229" s="57" t="str">
        <f t="shared" si="50"/>
        <v>-</v>
      </c>
    </row>
    <row r="3230" spans="1:10" x14ac:dyDescent="0.2">
      <c r="A3230" s="1" t="s">
        <v>6</v>
      </c>
      <c r="B3230" s="2" t="s">
        <v>218</v>
      </c>
      <c r="D3230" s="5" t="s">
        <v>464</v>
      </c>
      <c r="E3230" s="3" t="s">
        <v>465</v>
      </c>
      <c r="F3230" s="3">
        <v>107500</v>
      </c>
      <c r="G3230" s="57" t="str">
        <f t="shared" si="50"/>
        <v>-</v>
      </c>
    </row>
    <row r="3231" spans="1:10" x14ac:dyDescent="0.2">
      <c r="A3231" s="1" t="s">
        <v>6</v>
      </c>
      <c r="B3231" s="2" t="s">
        <v>218</v>
      </c>
      <c r="D3231" s="5" t="s">
        <v>464</v>
      </c>
      <c r="E3231" s="3" t="s">
        <v>465</v>
      </c>
      <c r="F3231" s="3">
        <v>117500</v>
      </c>
      <c r="G3231" s="57" t="str">
        <f t="shared" si="50"/>
        <v>-</v>
      </c>
    </row>
    <row r="3232" spans="1:10" x14ac:dyDescent="0.2">
      <c r="A3232" s="1" t="s">
        <v>6</v>
      </c>
      <c r="B3232" s="2" t="s">
        <v>218</v>
      </c>
      <c r="D3232" s="5" t="s">
        <v>464</v>
      </c>
      <c r="E3232" s="3" t="s">
        <v>465</v>
      </c>
      <c r="F3232" s="3">
        <v>127500</v>
      </c>
      <c r="G3232" s="57" t="str">
        <f t="shared" si="50"/>
        <v>-</v>
      </c>
      <c r="J3232" s="5" t="s">
        <v>1241</v>
      </c>
    </row>
    <row r="3233" spans="1:9" s="1" customFormat="1" x14ac:dyDescent="0.2">
      <c r="A3233" s="1" t="s">
        <v>6</v>
      </c>
      <c r="B3233" s="2" t="s">
        <v>218</v>
      </c>
      <c r="C3233" s="5"/>
      <c r="D3233" s="5" t="s">
        <v>464</v>
      </c>
      <c r="E3233" s="3"/>
      <c r="F3233" s="3"/>
      <c r="G3233" s="57" t="str">
        <f t="shared" si="50"/>
        <v>-</v>
      </c>
      <c r="H3233" s="19">
        <v>92500</v>
      </c>
      <c r="I3233" s="19" t="s">
        <v>465</v>
      </c>
    </row>
    <row r="3234" spans="1:9" s="1" customFormat="1" x14ac:dyDescent="0.2">
      <c r="A3234" s="1" t="s">
        <v>6</v>
      </c>
      <c r="B3234" s="2" t="s">
        <v>218</v>
      </c>
      <c r="C3234" s="5"/>
      <c r="D3234" s="5" t="s">
        <v>464</v>
      </c>
      <c r="E3234" s="3"/>
      <c r="F3234" s="3"/>
      <c r="G3234" s="57" t="str">
        <f t="shared" si="50"/>
        <v>-</v>
      </c>
      <c r="H3234" s="19">
        <v>92500</v>
      </c>
      <c r="I3234" s="19" t="s">
        <v>465</v>
      </c>
    </row>
    <row r="3235" spans="1:9" s="1" customFormat="1" x14ac:dyDescent="0.2">
      <c r="A3235" s="1" t="s">
        <v>6</v>
      </c>
      <c r="B3235" s="2" t="s">
        <v>218</v>
      </c>
      <c r="C3235" s="5"/>
      <c r="D3235" s="5" t="s">
        <v>464</v>
      </c>
      <c r="E3235" s="3"/>
      <c r="F3235" s="3"/>
      <c r="G3235" s="57" t="str">
        <f t="shared" si="50"/>
        <v>-</v>
      </c>
      <c r="H3235" s="19">
        <v>92500</v>
      </c>
      <c r="I3235" s="19" t="s">
        <v>465</v>
      </c>
    </row>
    <row r="3236" spans="1:9" s="1" customFormat="1" x14ac:dyDescent="0.2">
      <c r="A3236" s="1" t="s">
        <v>6</v>
      </c>
      <c r="B3236" s="2" t="s">
        <v>218</v>
      </c>
      <c r="C3236" s="5"/>
      <c r="D3236" s="5" t="s">
        <v>464</v>
      </c>
      <c r="E3236" s="3"/>
      <c r="F3236" s="3"/>
      <c r="G3236" s="57" t="str">
        <f t="shared" si="50"/>
        <v>-</v>
      </c>
      <c r="H3236" s="19">
        <v>92500</v>
      </c>
      <c r="I3236" s="19" t="s">
        <v>465</v>
      </c>
    </row>
    <row r="3237" spans="1:9" s="1" customFormat="1" x14ac:dyDescent="0.2">
      <c r="A3237" s="1" t="s">
        <v>6</v>
      </c>
      <c r="B3237" s="2" t="s">
        <v>218</v>
      </c>
      <c r="C3237" s="5"/>
      <c r="D3237" s="5" t="s">
        <v>464</v>
      </c>
      <c r="E3237" s="3"/>
      <c r="F3237" s="3"/>
      <c r="G3237" s="57" t="str">
        <f t="shared" si="50"/>
        <v>-</v>
      </c>
      <c r="H3237" s="19">
        <v>92500</v>
      </c>
      <c r="I3237" s="19" t="s">
        <v>465</v>
      </c>
    </row>
    <row r="3238" spans="1:9" s="1" customFormat="1" x14ac:dyDescent="0.2">
      <c r="A3238" s="1" t="s">
        <v>6</v>
      </c>
      <c r="B3238" s="2" t="s">
        <v>218</v>
      </c>
      <c r="C3238" s="5"/>
      <c r="D3238" s="5" t="s">
        <v>464</v>
      </c>
      <c r="E3238" s="3"/>
      <c r="F3238" s="3"/>
      <c r="G3238" s="57" t="str">
        <f t="shared" si="50"/>
        <v>-</v>
      </c>
      <c r="H3238" s="19">
        <v>92500</v>
      </c>
      <c r="I3238" s="19" t="s">
        <v>465</v>
      </c>
    </row>
    <row r="3239" spans="1:9" s="1" customFormat="1" x14ac:dyDescent="0.2">
      <c r="A3239" s="1" t="s">
        <v>6</v>
      </c>
      <c r="B3239" s="2" t="s">
        <v>218</v>
      </c>
      <c r="C3239" s="5"/>
      <c r="D3239" s="5" t="s">
        <v>464</v>
      </c>
      <c r="E3239" s="3"/>
      <c r="F3239" s="3"/>
      <c r="G3239" s="57" t="str">
        <f t="shared" si="50"/>
        <v>-</v>
      </c>
      <c r="H3239" s="19">
        <v>92500</v>
      </c>
      <c r="I3239" s="19" t="s">
        <v>465</v>
      </c>
    </row>
    <row r="3240" spans="1:9" s="1" customFormat="1" x14ac:dyDescent="0.2">
      <c r="A3240" s="1" t="s">
        <v>6</v>
      </c>
      <c r="B3240" s="2" t="s">
        <v>218</v>
      </c>
      <c r="C3240" s="5"/>
      <c r="D3240" s="5" t="s">
        <v>464</v>
      </c>
      <c r="E3240" s="3"/>
      <c r="F3240" s="3"/>
      <c r="G3240" s="57" t="str">
        <f t="shared" si="50"/>
        <v>-</v>
      </c>
      <c r="H3240" s="19">
        <v>97500</v>
      </c>
      <c r="I3240" s="19" t="s">
        <v>465</v>
      </c>
    </row>
    <row r="3241" spans="1:9" s="1" customFormat="1" x14ac:dyDescent="0.2">
      <c r="A3241" s="1" t="s">
        <v>6</v>
      </c>
      <c r="B3241" s="2" t="s">
        <v>218</v>
      </c>
      <c r="C3241" s="5"/>
      <c r="D3241" s="5" t="s">
        <v>464</v>
      </c>
      <c r="E3241" s="3"/>
      <c r="F3241" s="3"/>
      <c r="G3241" s="57" t="str">
        <f t="shared" si="50"/>
        <v>-</v>
      </c>
      <c r="H3241" s="19">
        <v>97500</v>
      </c>
      <c r="I3241" s="19" t="s">
        <v>465</v>
      </c>
    </row>
    <row r="3242" spans="1:9" s="1" customFormat="1" x14ac:dyDescent="0.2">
      <c r="A3242" s="1" t="s">
        <v>6</v>
      </c>
      <c r="B3242" s="2" t="s">
        <v>218</v>
      </c>
      <c r="C3242" s="5"/>
      <c r="D3242" s="5" t="s">
        <v>464</v>
      </c>
      <c r="E3242" s="3"/>
      <c r="F3242" s="3"/>
      <c r="G3242" s="57" t="str">
        <f t="shared" si="50"/>
        <v>-</v>
      </c>
      <c r="H3242" s="19">
        <v>97500</v>
      </c>
      <c r="I3242" s="19" t="s">
        <v>465</v>
      </c>
    </row>
    <row r="3243" spans="1:9" s="1" customFormat="1" x14ac:dyDescent="0.2">
      <c r="A3243" s="1" t="s">
        <v>6</v>
      </c>
      <c r="B3243" s="2" t="s">
        <v>218</v>
      </c>
      <c r="C3243" s="5"/>
      <c r="D3243" s="5" t="s">
        <v>464</v>
      </c>
      <c r="E3243" s="3"/>
      <c r="F3243" s="3"/>
      <c r="G3243" s="57" t="str">
        <f t="shared" si="50"/>
        <v>-</v>
      </c>
      <c r="H3243" s="19">
        <v>97500</v>
      </c>
      <c r="I3243" s="19" t="s">
        <v>465</v>
      </c>
    </row>
    <row r="3244" spans="1:9" s="1" customFormat="1" x14ac:dyDescent="0.2">
      <c r="A3244" s="1" t="s">
        <v>6</v>
      </c>
      <c r="B3244" s="2" t="s">
        <v>218</v>
      </c>
      <c r="C3244" s="5"/>
      <c r="D3244" s="5" t="s">
        <v>464</v>
      </c>
      <c r="E3244" s="3"/>
      <c r="F3244" s="3"/>
      <c r="G3244" s="57" t="str">
        <f t="shared" si="50"/>
        <v>-</v>
      </c>
      <c r="H3244" s="19">
        <v>97500</v>
      </c>
      <c r="I3244" s="19" t="s">
        <v>465</v>
      </c>
    </row>
    <row r="3245" spans="1:9" s="1" customFormat="1" x14ac:dyDescent="0.2">
      <c r="A3245" s="1" t="s">
        <v>6</v>
      </c>
      <c r="B3245" s="2" t="s">
        <v>218</v>
      </c>
      <c r="C3245" s="5"/>
      <c r="D3245" s="5" t="s">
        <v>464</v>
      </c>
      <c r="E3245" s="3"/>
      <c r="F3245" s="3"/>
      <c r="G3245" s="57" t="str">
        <f t="shared" si="50"/>
        <v>-</v>
      </c>
      <c r="H3245" s="19">
        <v>97500</v>
      </c>
      <c r="I3245" s="32" t="s">
        <v>465</v>
      </c>
    </row>
    <row r="3246" spans="1:9" s="1" customFormat="1" x14ac:dyDescent="0.2">
      <c r="A3246" s="1" t="s">
        <v>6</v>
      </c>
      <c r="B3246" s="2" t="s">
        <v>218</v>
      </c>
      <c r="C3246" s="5"/>
      <c r="D3246" s="5" t="s">
        <v>464</v>
      </c>
      <c r="E3246" s="3"/>
      <c r="F3246" s="3"/>
      <c r="G3246" s="57" t="str">
        <f t="shared" si="50"/>
        <v>-</v>
      </c>
      <c r="H3246" s="19">
        <v>97500</v>
      </c>
      <c r="I3246" s="19" t="s">
        <v>465</v>
      </c>
    </row>
    <row r="3247" spans="1:9" s="1" customFormat="1" x14ac:dyDescent="0.2">
      <c r="A3247" s="1" t="s">
        <v>6</v>
      </c>
      <c r="B3247" s="2" t="s">
        <v>218</v>
      </c>
      <c r="C3247" s="5"/>
      <c r="D3247" s="5" t="s">
        <v>464</v>
      </c>
      <c r="E3247" s="3"/>
      <c r="F3247" s="3"/>
      <c r="G3247" s="57" t="str">
        <f t="shared" si="50"/>
        <v>-</v>
      </c>
      <c r="H3247" s="19">
        <v>97500</v>
      </c>
      <c r="I3247" s="19" t="s">
        <v>465</v>
      </c>
    </row>
    <row r="3248" spans="1:9" s="1" customFormat="1" x14ac:dyDescent="0.2">
      <c r="A3248" s="1" t="s">
        <v>6</v>
      </c>
      <c r="B3248" s="2" t="s">
        <v>218</v>
      </c>
      <c r="C3248" s="5"/>
      <c r="D3248" s="5" t="s">
        <v>464</v>
      </c>
      <c r="E3248" s="3">
        <v>102500</v>
      </c>
      <c r="F3248" s="3" t="s">
        <v>465</v>
      </c>
      <c r="G3248" s="57" t="str">
        <f t="shared" si="50"/>
        <v>-</v>
      </c>
      <c r="H3248" s="19"/>
      <c r="I3248" s="19"/>
    </row>
    <row r="3249" spans="1:10" x14ac:dyDescent="0.2">
      <c r="A3249" s="1" t="s">
        <v>6</v>
      </c>
      <c r="B3249" s="2" t="s">
        <v>218</v>
      </c>
      <c r="D3249" s="5" t="s">
        <v>464</v>
      </c>
      <c r="E3249" s="3">
        <v>102500</v>
      </c>
      <c r="F3249" s="3" t="s">
        <v>465</v>
      </c>
      <c r="G3249" s="57" t="str">
        <f t="shared" si="50"/>
        <v>-</v>
      </c>
    </row>
    <row r="3250" spans="1:10" x14ac:dyDescent="0.2">
      <c r="A3250" s="1" t="s">
        <v>6</v>
      </c>
      <c r="B3250" s="2" t="s">
        <v>218</v>
      </c>
      <c r="D3250" s="5" t="s">
        <v>464</v>
      </c>
      <c r="E3250" s="3">
        <v>102500</v>
      </c>
      <c r="F3250" s="3" t="s">
        <v>465</v>
      </c>
      <c r="G3250" s="57" t="str">
        <f t="shared" si="50"/>
        <v>-</v>
      </c>
    </row>
    <row r="3251" spans="1:10" x14ac:dyDescent="0.2">
      <c r="A3251" s="1" t="s">
        <v>6</v>
      </c>
      <c r="B3251" s="2" t="s">
        <v>218</v>
      </c>
      <c r="D3251" s="5" t="s">
        <v>464</v>
      </c>
      <c r="E3251" s="3">
        <v>102500</v>
      </c>
      <c r="F3251" s="3" t="s">
        <v>465</v>
      </c>
      <c r="G3251" s="57" t="str">
        <f t="shared" si="50"/>
        <v>-</v>
      </c>
    </row>
    <row r="3252" spans="1:10" x14ac:dyDescent="0.2">
      <c r="A3252" s="1" t="s">
        <v>6</v>
      </c>
      <c r="B3252" s="2" t="s">
        <v>218</v>
      </c>
      <c r="D3252" s="5" t="s">
        <v>464</v>
      </c>
      <c r="E3252" s="3">
        <v>107500</v>
      </c>
      <c r="F3252" s="3" t="s">
        <v>465</v>
      </c>
      <c r="G3252" s="57" t="str">
        <f t="shared" si="50"/>
        <v>-</v>
      </c>
    </row>
    <row r="3253" spans="1:10" x14ac:dyDescent="0.2">
      <c r="A3253" s="1" t="s">
        <v>6</v>
      </c>
      <c r="B3253" s="2" t="s">
        <v>218</v>
      </c>
      <c r="D3253" s="5" t="s">
        <v>464</v>
      </c>
      <c r="E3253" s="3">
        <v>107500</v>
      </c>
      <c r="F3253" s="3" t="s">
        <v>465</v>
      </c>
      <c r="G3253" s="57" t="str">
        <f t="shared" si="50"/>
        <v>-</v>
      </c>
    </row>
    <row r="3254" spans="1:10" x14ac:dyDescent="0.2">
      <c r="A3254" s="1" t="s">
        <v>6</v>
      </c>
      <c r="B3254" s="2" t="s">
        <v>218</v>
      </c>
      <c r="D3254" s="5" t="s">
        <v>464</v>
      </c>
      <c r="E3254" s="3">
        <v>117500</v>
      </c>
      <c r="F3254" s="3" t="s">
        <v>465</v>
      </c>
      <c r="G3254" s="57" t="str">
        <f t="shared" si="50"/>
        <v>-</v>
      </c>
    </row>
    <row r="3255" spans="1:10" x14ac:dyDescent="0.2">
      <c r="A3255" s="1" t="s">
        <v>6</v>
      </c>
      <c r="B3255" s="2" t="s">
        <v>218</v>
      </c>
      <c r="D3255" s="5" t="s">
        <v>464</v>
      </c>
      <c r="E3255" s="3">
        <v>152500</v>
      </c>
      <c r="F3255" s="3" t="s">
        <v>465</v>
      </c>
      <c r="G3255" s="57" t="str">
        <f t="shared" si="50"/>
        <v>-</v>
      </c>
    </row>
    <row r="3256" spans="1:10" ht="25.5" x14ac:dyDescent="0.2">
      <c r="A3256" s="1" t="s">
        <v>6</v>
      </c>
      <c r="B3256" s="2" t="s">
        <v>219</v>
      </c>
      <c r="C3256" s="5" t="s">
        <v>1285</v>
      </c>
      <c r="D3256" s="5" t="s">
        <v>450</v>
      </c>
      <c r="E3256" s="3">
        <v>128000</v>
      </c>
      <c r="F3256" s="3">
        <v>129000</v>
      </c>
      <c r="G3256" s="57">
        <f t="shared" si="50"/>
        <v>7.8125E-3</v>
      </c>
      <c r="J3256" s="5" t="s">
        <v>3277</v>
      </c>
    </row>
    <row r="3257" spans="1:10" ht="51" x14ac:dyDescent="0.2">
      <c r="A3257" s="1" t="s">
        <v>6</v>
      </c>
      <c r="B3257" s="2" t="s">
        <v>219</v>
      </c>
      <c r="C3257" s="5" t="s">
        <v>1286</v>
      </c>
      <c r="D3257" s="5" t="s">
        <v>1287</v>
      </c>
      <c r="E3257" s="3">
        <v>67000</v>
      </c>
      <c r="F3257" s="3">
        <v>135000</v>
      </c>
      <c r="G3257" s="57">
        <f t="shared" si="50"/>
        <v>1.0149253731343284</v>
      </c>
      <c r="J3257" s="5" t="s">
        <v>4663</v>
      </c>
    </row>
    <row r="3258" spans="1:10" ht="51" x14ac:dyDescent="0.2">
      <c r="A3258" s="1" t="s">
        <v>6</v>
      </c>
      <c r="B3258" s="2" t="s">
        <v>219</v>
      </c>
      <c r="C3258" s="5" t="s">
        <v>1288</v>
      </c>
      <c r="D3258" s="5" t="s">
        <v>1289</v>
      </c>
      <c r="E3258" s="3">
        <v>68000</v>
      </c>
      <c r="F3258" s="3">
        <v>125000</v>
      </c>
      <c r="G3258" s="57">
        <f t="shared" si="50"/>
        <v>0.83823529411764708</v>
      </c>
      <c r="J3258" s="5" t="s">
        <v>3278</v>
      </c>
    </row>
    <row r="3259" spans="1:10" ht="51" x14ac:dyDescent="0.2">
      <c r="A3259" s="1" t="s">
        <v>6</v>
      </c>
      <c r="B3259" s="2" t="s">
        <v>219</v>
      </c>
      <c r="C3259" s="5" t="s">
        <v>1290</v>
      </c>
      <c r="D3259" s="5" t="s">
        <v>1291</v>
      </c>
      <c r="E3259" s="3">
        <v>93000</v>
      </c>
      <c r="F3259" s="3">
        <v>136000</v>
      </c>
      <c r="G3259" s="57">
        <f t="shared" si="50"/>
        <v>0.46236559139784944</v>
      </c>
      <c r="J3259" s="5" t="s">
        <v>3279</v>
      </c>
    </row>
    <row r="3260" spans="1:10" ht="51" x14ac:dyDescent="0.2">
      <c r="A3260" s="1" t="s">
        <v>6</v>
      </c>
      <c r="B3260" s="2" t="s">
        <v>219</v>
      </c>
      <c r="C3260" s="5" t="s">
        <v>1292</v>
      </c>
      <c r="D3260" s="5" t="s">
        <v>1293</v>
      </c>
      <c r="E3260" s="3">
        <v>93000</v>
      </c>
      <c r="F3260" s="3">
        <v>141000</v>
      </c>
      <c r="G3260" s="57">
        <f t="shared" si="50"/>
        <v>0.5161290322580645</v>
      </c>
      <c r="J3260" s="5" t="s">
        <v>3280</v>
      </c>
    </row>
    <row r="3261" spans="1:10" x14ac:dyDescent="0.2">
      <c r="A3261" s="1" t="s">
        <v>6</v>
      </c>
      <c r="B3261" s="2" t="s">
        <v>219</v>
      </c>
      <c r="C3261" s="5" t="s">
        <v>3282</v>
      </c>
      <c r="D3261" s="5" t="s">
        <v>3026</v>
      </c>
      <c r="E3261" s="3">
        <v>129000</v>
      </c>
      <c r="F3261" s="3" t="s">
        <v>465</v>
      </c>
      <c r="G3261" s="57" t="str">
        <f t="shared" si="50"/>
        <v>-</v>
      </c>
      <c r="J3261" s="5" t="s">
        <v>3285</v>
      </c>
    </row>
    <row r="3262" spans="1:10" x14ac:dyDescent="0.2">
      <c r="A3262" s="1" t="s">
        <v>6</v>
      </c>
      <c r="B3262" s="2" t="s">
        <v>219</v>
      </c>
      <c r="C3262" s="5" t="s">
        <v>3283</v>
      </c>
      <c r="D3262" s="5" t="s">
        <v>3281</v>
      </c>
      <c r="E3262" s="3">
        <v>131000</v>
      </c>
      <c r="F3262" s="3" t="s">
        <v>465</v>
      </c>
      <c r="G3262" s="57" t="str">
        <f t="shared" si="50"/>
        <v>-</v>
      </c>
      <c r="J3262" s="5" t="s">
        <v>3285</v>
      </c>
    </row>
    <row r="3263" spans="1:10" x14ac:dyDescent="0.2">
      <c r="A3263" s="1" t="s">
        <v>6</v>
      </c>
      <c r="B3263" s="2" t="s">
        <v>219</v>
      </c>
      <c r="C3263" s="5" t="s">
        <v>3284</v>
      </c>
      <c r="D3263" s="5" t="s">
        <v>4664</v>
      </c>
      <c r="E3263" s="3">
        <v>128000</v>
      </c>
      <c r="F3263" s="3" t="s">
        <v>465</v>
      </c>
      <c r="G3263" s="57" t="str">
        <f t="shared" si="50"/>
        <v>-</v>
      </c>
      <c r="J3263" s="5" t="s">
        <v>3285</v>
      </c>
    </row>
    <row r="3264" spans="1:10" ht="25.5" x14ac:dyDescent="0.2">
      <c r="A3264" s="1" t="s">
        <v>11</v>
      </c>
      <c r="B3264" s="2" t="s">
        <v>220</v>
      </c>
      <c r="C3264" s="29" t="s">
        <v>2697</v>
      </c>
      <c r="G3264" s="57" t="str">
        <f t="shared" si="50"/>
        <v>-</v>
      </c>
    </row>
    <row r="3265" spans="1:10" ht="25.5" x14ac:dyDescent="0.2">
      <c r="A3265" s="1" t="s">
        <v>28</v>
      </c>
      <c r="B3265" s="2" t="s">
        <v>221</v>
      </c>
      <c r="C3265" s="5" t="s">
        <v>1277</v>
      </c>
      <c r="D3265" s="5" t="s">
        <v>450</v>
      </c>
      <c r="E3265" s="9" t="s">
        <v>465</v>
      </c>
      <c r="F3265" s="9">
        <v>130173</v>
      </c>
      <c r="G3265" s="57" t="str">
        <f t="shared" si="50"/>
        <v>-</v>
      </c>
      <c r="J3265" s="5" t="s">
        <v>3266</v>
      </c>
    </row>
    <row r="3266" spans="1:10" ht="25.5" x14ac:dyDescent="0.2">
      <c r="A3266" s="1" t="s">
        <v>28</v>
      </c>
      <c r="B3266" s="2" t="s">
        <v>221</v>
      </c>
      <c r="C3266" s="5" t="s">
        <v>3264</v>
      </c>
      <c r="D3266" s="5" t="s">
        <v>450</v>
      </c>
      <c r="E3266" s="9">
        <v>222122</v>
      </c>
      <c r="F3266" s="9">
        <v>87316</v>
      </c>
      <c r="G3266" s="57">
        <f t="shared" si="50"/>
        <v>-0.60690071222121178</v>
      </c>
      <c r="J3266" s="5" t="s">
        <v>3265</v>
      </c>
    </row>
    <row r="3267" spans="1:10" ht="25.5" x14ac:dyDescent="0.2">
      <c r="A3267" s="1" t="s">
        <v>28</v>
      </c>
      <c r="B3267" s="2" t="s">
        <v>221</v>
      </c>
      <c r="C3267" s="5" t="s">
        <v>1278</v>
      </c>
      <c r="D3267" s="5" t="s">
        <v>1279</v>
      </c>
      <c r="E3267" s="9">
        <v>44137</v>
      </c>
      <c r="F3267" s="9">
        <v>184686</v>
      </c>
      <c r="G3267" s="57">
        <f t="shared" ref="G3267:G3330" si="51">IF(ISERROR((F3267-E3267)/E3267),"-",(F3267-E3267)/E3267)</f>
        <v>3.1843804517751546</v>
      </c>
      <c r="J3267" s="5" t="s">
        <v>3273</v>
      </c>
    </row>
    <row r="3268" spans="1:10" x14ac:dyDescent="0.2">
      <c r="A3268" s="1" t="s">
        <v>28</v>
      </c>
      <c r="B3268" s="2" t="s">
        <v>221</v>
      </c>
      <c r="C3268" s="5" t="s">
        <v>3271</v>
      </c>
      <c r="D3268" s="5" t="s">
        <v>455</v>
      </c>
      <c r="E3268" s="9">
        <v>136175</v>
      </c>
      <c r="F3268" s="9" t="s">
        <v>465</v>
      </c>
      <c r="G3268" s="57" t="str">
        <f t="shared" si="51"/>
        <v>-</v>
      </c>
      <c r="J3268" s="5" t="s">
        <v>3272</v>
      </c>
    </row>
    <row r="3269" spans="1:10" x14ac:dyDescent="0.2">
      <c r="A3269" s="1" t="s">
        <v>28</v>
      </c>
      <c r="B3269" s="2" t="s">
        <v>221</v>
      </c>
      <c r="D3269" s="5" t="s">
        <v>463</v>
      </c>
      <c r="E3269" s="9">
        <v>121424</v>
      </c>
      <c r="F3269" s="9" t="s">
        <v>465</v>
      </c>
      <c r="G3269" s="57" t="str">
        <f t="shared" si="51"/>
        <v>-</v>
      </c>
      <c r="J3269" s="5" t="s">
        <v>3272</v>
      </c>
    </row>
    <row r="3270" spans="1:10" ht="25.5" x14ac:dyDescent="0.2">
      <c r="A3270" s="1" t="s">
        <v>28</v>
      </c>
      <c r="B3270" s="2" t="s">
        <v>221</v>
      </c>
      <c r="D3270" s="5" t="s">
        <v>1280</v>
      </c>
      <c r="E3270" s="9">
        <v>134930</v>
      </c>
      <c r="F3270" s="9">
        <v>138835</v>
      </c>
      <c r="G3270" s="57">
        <f t="shared" si="51"/>
        <v>2.8940932335284962E-2</v>
      </c>
      <c r="J3270" s="5" t="s">
        <v>3267</v>
      </c>
    </row>
    <row r="3271" spans="1:10" ht="25.5" x14ac:dyDescent="0.2">
      <c r="A3271" s="1" t="s">
        <v>28</v>
      </c>
      <c r="B3271" s="2" t="s">
        <v>221</v>
      </c>
      <c r="D3271" s="5" t="s">
        <v>1281</v>
      </c>
      <c r="E3271" s="9">
        <v>140584</v>
      </c>
      <c r="F3271" s="9">
        <v>325592</v>
      </c>
      <c r="G3271" s="57">
        <f t="shared" si="51"/>
        <v>1.3159961304273602</v>
      </c>
      <c r="J3271" s="5" t="s">
        <v>3268</v>
      </c>
    </row>
    <row r="3272" spans="1:10" ht="25.5" x14ac:dyDescent="0.2">
      <c r="A3272" s="1" t="s">
        <v>28</v>
      </c>
      <c r="B3272" s="2" t="s">
        <v>221</v>
      </c>
      <c r="D3272" s="5" t="s">
        <v>1282</v>
      </c>
      <c r="E3272" s="9">
        <v>162194</v>
      </c>
      <c r="F3272" s="9">
        <v>166865</v>
      </c>
      <c r="G3272" s="57">
        <f t="shared" si="51"/>
        <v>2.879884582660271E-2</v>
      </c>
      <c r="J3272" s="5" t="s">
        <v>3269</v>
      </c>
    </row>
    <row r="3273" spans="1:10" ht="25.5" x14ac:dyDescent="0.2">
      <c r="A3273" s="1" t="s">
        <v>28</v>
      </c>
      <c r="B3273" s="2" t="s">
        <v>221</v>
      </c>
      <c r="C3273" s="5" t="s">
        <v>1283</v>
      </c>
      <c r="D3273" s="5" t="s">
        <v>1284</v>
      </c>
      <c r="E3273" s="9">
        <v>162203</v>
      </c>
      <c r="F3273" s="9">
        <v>172243</v>
      </c>
      <c r="G3273" s="57">
        <f t="shared" si="51"/>
        <v>6.1897745417778954E-2</v>
      </c>
      <c r="J3273" s="5" t="s">
        <v>3270</v>
      </c>
    </row>
    <row r="3274" spans="1:10" ht="25.5" x14ac:dyDescent="0.2">
      <c r="A3274" s="1" t="s">
        <v>28</v>
      </c>
      <c r="B3274" s="2" t="s">
        <v>221</v>
      </c>
      <c r="D3274" s="5" t="s">
        <v>3274</v>
      </c>
      <c r="E3274" s="9">
        <v>163866</v>
      </c>
      <c r="F3274" s="9">
        <v>60878</v>
      </c>
      <c r="G3274" s="57">
        <f t="shared" si="51"/>
        <v>-0.6284891313634311</v>
      </c>
      <c r="J3274" s="5" t="s">
        <v>3275</v>
      </c>
    </row>
    <row r="3275" spans="1:10" x14ac:dyDescent="0.2">
      <c r="A3275" s="1" t="s">
        <v>28</v>
      </c>
      <c r="B3275" s="2" t="s">
        <v>221</v>
      </c>
      <c r="D3275" s="5" t="s">
        <v>562</v>
      </c>
      <c r="E3275" s="9">
        <v>169874</v>
      </c>
      <c r="F3275" s="9" t="s">
        <v>465</v>
      </c>
      <c r="G3275" s="57" t="str">
        <f t="shared" si="51"/>
        <v>-</v>
      </c>
      <c r="J3275" s="5" t="s">
        <v>3272</v>
      </c>
    </row>
    <row r="3276" spans="1:10" ht="38.25" x14ac:dyDescent="0.2">
      <c r="A3276" s="1" t="s">
        <v>28</v>
      </c>
      <c r="B3276" s="2" t="s">
        <v>221</v>
      </c>
      <c r="D3276" s="5" t="s">
        <v>464</v>
      </c>
      <c r="G3276" s="57" t="str">
        <f t="shared" si="51"/>
        <v>-</v>
      </c>
      <c r="H3276" s="19">
        <v>92500</v>
      </c>
      <c r="I3276" s="19" t="s">
        <v>465</v>
      </c>
      <c r="J3276" s="5" t="s">
        <v>3276</v>
      </c>
    </row>
    <row r="3277" spans="1:10" x14ac:dyDescent="0.2">
      <c r="A3277" s="1" t="s">
        <v>28</v>
      </c>
      <c r="B3277" s="2" t="s">
        <v>221</v>
      </c>
      <c r="D3277" s="5" t="s">
        <v>464</v>
      </c>
      <c r="G3277" s="57" t="str">
        <f t="shared" si="51"/>
        <v>-</v>
      </c>
      <c r="H3277" s="19">
        <v>92500</v>
      </c>
      <c r="I3277" s="19" t="s">
        <v>465</v>
      </c>
    </row>
    <row r="3278" spans="1:10" x14ac:dyDescent="0.2">
      <c r="A3278" s="1" t="s">
        <v>28</v>
      </c>
      <c r="B3278" s="2" t="s">
        <v>221</v>
      </c>
      <c r="D3278" s="5" t="s">
        <v>464</v>
      </c>
      <c r="G3278" s="57" t="str">
        <f t="shared" si="51"/>
        <v>-</v>
      </c>
      <c r="H3278" s="19">
        <v>92500</v>
      </c>
      <c r="I3278" s="19" t="s">
        <v>465</v>
      </c>
    </row>
    <row r="3279" spans="1:10" x14ac:dyDescent="0.2">
      <c r="A3279" s="1" t="s">
        <v>28</v>
      </c>
      <c r="B3279" s="2" t="s">
        <v>221</v>
      </c>
      <c r="D3279" s="5" t="s">
        <v>464</v>
      </c>
      <c r="G3279" s="57" t="str">
        <f t="shared" si="51"/>
        <v>-</v>
      </c>
      <c r="H3279" s="19">
        <v>92500</v>
      </c>
      <c r="I3279" s="19" t="s">
        <v>465</v>
      </c>
    </row>
    <row r="3280" spans="1:10" x14ac:dyDescent="0.2">
      <c r="A3280" s="1" t="s">
        <v>28</v>
      </c>
      <c r="B3280" s="2" t="s">
        <v>221</v>
      </c>
      <c r="D3280" s="5" t="s">
        <v>464</v>
      </c>
      <c r="G3280" s="57" t="str">
        <f t="shared" si="51"/>
        <v>-</v>
      </c>
      <c r="H3280" s="19" t="s">
        <v>465</v>
      </c>
      <c r="I3280" s="19">
        <v>92500</v>
      </c>
    </row>
    <row r="3281" spans="1:9" s="1" customFormat="1" x14ac:dyDescent="0.2">
      <c r="A3281" s="1" t="s">
        <v>28</v>
      </c>
      <c r="B3281" s="2" t="s">
        <v>221</v>
      </c>
      <c r="C3281" s="5"/>
      <c r="D3281" s="5" t="s">
        <v>464</v>
      </c>
      <c r="E3281" s="3"/>
      <c r="F3281" s="3"/>
      <c r="G3281" s="57" t="str">
        <f t="shared" si="51"/>
        <v>-</v>
      </c>
      <c r="H3281" s="19" t="s">
        <v>465</v>
      </c>
      <c r="I3281" s="19">
        <v>92500</v>
      </c>
    </row>
    <row r="3282" spans="1:9" s="1" customFormat="1" x14ac:dyDescent="0.2">
      <c r="A3282" s="1" t="s">
        <v>28</v>
      </c>
      <c r="B3282" s="2" t="s">
        <v>221</v>
      </c>
      <c r="C3282" s="5"/>
      <c r="D3282" s="5" t="s">
        <v>464</v>
      </c>
      <c r="E3282" s="3"/>
      <c r="F3282" s="3"/>
      <c r="G3282" s="57" t="str">
        <f t="shared" si="51"/>
        <v>-</v>
      </c>
      <c r="H3282" s="19" t="s">
        <v>465</v>
      </c>
      <c r="I3282" s="19">
        <v>92500</v>
      </c>
    </row>
    <row r="3283" spans="1:9" s="1" customFormat="1" x14ac:dyDescent="0.2">
      <c r="A3283" s="1" t="s">
        <v>28</v>
      </c>
      <c r="B3283" s="2" t="s">
        <v>221</v>
      </c>
      <c r="C3283" s="5"/>
      <c r="D3283" s="5" t="s">
        <v>464</v>
      </c>
      <c r="E3283" s="3"/>
      <c r="F3283" s="3"/>
      <c r="G3283" s="57" t="str">
        <f t="shared" si="51"/>
        <v>-</v>
      </c>
      <c r="H3283" s="19" t="s">
        <v>465</v>
      </c>
      <c r="I3283" s="19">
        <v>92500</v>
      </c>
    </row>
    <row r="3284" spans="1:9" s="1" customFormat="1" x14ac:dyDescent="0.2">
      <c r="A3284" s="1" t="s">
        <v>28</v>
      </c>
      <c r="B3284" s="2" t="s">
        <v>221</v>
      </c>
      <c r="C3284" s="5"/>
      <c r="D3284" s="5" t="s">
        <v>464</v>
      </c>
      <c r="E3284" s="3"/>
      <c r="F3284" s="3"/>
      <c r="G3284" s="57" t="str">
        <f t="shared" si="51"/>
        <v>-</v>
      </c>
      <c r="H3284" s="19" t="s">
        <v>465</v>
      </c>
      <c r="I3284" s="19">
        <v>92500</v>
      </c>
    </row>
    <row r="3285" spans="1:9" s="1" customFormat="1" x14ac:dyDescent="0.2">
      <c r="A3285" s="1" t="s">
        <v>28</v>
      </c>
      <c r="B3285" s="2" t="s">
        <v>221</v>
      </c>
      <c r="C3285" s="5"/>
      <c r="D3285" s="5" t="s">
        <v>464</v>
      </c>
      <c r="E3285" s="3"/>
      <c r="F3285" s="3"/>
      <c r="G3285" s="57" t="str">
        <f t="shared" si="51"/>
        <v>-</v>
      </c>
      <c r="H3285" s="19" t="s">
        <v>465</v>
      </c>
      <c r="I3285" s="19">
        <v>92500</v>
      </c>
    </row>
    <row r="3286" spans="1:9" s="1" customFormat="1" x14ac:dyDescent="0.2">
      <c r="A3286" s="1" t="s">
        <v>28</v>
      </c>
      <c r="B3286" s="2" t="s">
        <v>221</v>
      </c>
      <c r="C3286" s="5"/>
      <c r="D3286" s="5" t="s">
        <v>464</v>
      </c>
      <c r="E3286" s="3"/>
      <c r="F3286" s="3"/>
      <c r="G3286" s="57" t="str">
        <f t="shared" si="51"/>
        <v>-</v>
      </c>
      <c r="H3286" s="19" t="s">
        <v>465</v>
      </c>
      <c r="I3286" s="19">
        <v>92500</v>
      </c>
    </row>
    <row r="3287" spans="1:9" s="1" customFormat="1" x14ac:dyDescent="0.2">
      <c r="A3287" s="1" t="s">
        <v>28</v>
      </c>
      <c r="B3287" s="2" t="s">
        <v>221</v>
      </c>
      <c r="C3287" s="5"/>
      <c r="D3287" s="5" t="s">
        <v>464</v>
      </c>
      <c r="E3287" s="3"/>
      <c r="F3287" s="3"/>
      <c r="G3287" s="57" t="str">
        <f t="shared" si="51"/>
        <v>-</v>
      </c>
      <c r="H3287" s="19" t="s">
        <v>465</v>
      </c>
      <c r="I3287" s="19">
        <v>92500</v>
      </c>
    </row>
    <row r="3288" spans="1:9" s="1" customFormat="1" x14ac:dyDescent="0.2">
      <c r="A3288" s="1" t="s">
        <v>28</v>
      </c>
      <c r="B3288" s="2" t="s">
        <v>221</v>
      </c>
      <c r="C3288" s="5"/>
      <c r="D3288" s="5" t="s">
        <v>464</v>
      </c>
      <c r="E3288" s="3"/>
      <c r="F3288" s="3"/>
      <c r="G3288" s="57" t="str">
        <f t="shared" si="51"/>
        <v>-</v>
      </c>
      <c r="H3288" s="19" t="s">
        <v>465</v>
      </c>
      <c r="I3288" s="19">
        <v>92500</v>
      </c>
    </row>
    <row r="3289" spans="1:9" s="1" customFormat="1" x14ac:dyDescent="0.2">
      <c r="A3289" s="1" t="s">
        <v>28</v>
      </c>
      <c r="B3289" s="2" t="s">
        <v>221</v>
      </c>
      <c r="C3289" s="5"/>
      <c r="D3289" s="5" t="s">
        <v>464</v>
      </c>
      <c r="E3289" s="3"/>
      <c r="F3289" s="3"/>
      <c r="G3289" s="57" t="str">
        <f t="shared" si="51"/>
        <v>-</v>
      </c>
      <c r="H3289" s="19">
        <v>97500</v>
      </c>
      <c r="I3289" s="19" t="s">
        <v>465</v>
      </c>
    </row>
    <row r="3290" spans="1:9" s="1" customFormat="1" x14ac:dyDescent="0.2">
      <c r="A3290" s="1" t="s">
        <v>28</v>
      </c>
      <c r="B3290" s="2" t="s">
        <v>221</v>
      </c>
      <c r="C3290" s="5"/>
      <c r="D3290" s="5" t="s">
        <v>464</v>
      </c>
      <c r="E3290" s="3"/>
      <c r="F3290" s="3"/>
      <c r="G3290" s="57" t="str">
        <f t="shared" si="51"/>
        <v>-</v>
      </c>
      <c r="H3290" s="19">
        <v>97500</v>
      </c>
      <c r="I3290" s="19" t="s">
        <v>465</v>
      </c>
    </row>
    <row r="3291" spans="1:9" s="1" customFormat="1" x14ac:dyDescent="0.2">
      <c r="A3291" s="1" t="s">
        <v>28</v>
      </c>
      <c r="B3291" s="2" t="s">
        <v>221</v>
      </c>
      <c r="C3291" s="5"/>
      <c r="D3291" s="5" t="s">
        <v>464</v>
      </c>
      <c r="E3291" s="3"/>
      <c r="F3291" s="3"/>
      <c r="G3291" s="57" t="str">
        <f t="shared" si="51"/>
        <v>-</v>
      </c>
      <c r="H3291" s="19">
        <v>97500</v>
      </c>
      <c r="I3291" s="19" t="s">
        <v>465</v>
      </c>
    </row>
    <row r="3292" spans="1:9" s="1" customFormat="1" x14ac:dyDescent="0.2">
      <c r="A3292" s="1" t="s">
        <v>28</v>
      </c>
      <c r="B3292" s="2" t="s">
        <v>221</v>
      </c>
      <c r="C3292" s="5"/>
      <c r="D3292" s="5" t="s">
        <v>464</v>
      </c>
      <c r="E3292" s="3"/>
      <c r="F3292" s="3"/>
      <c r="G3292" s="57" t="str">
        <f t="shared" si="51"/>
        <v>-</v>
      </c>
      <c r="H3292" s="19" t="s">
        <v>465</v>
      </c>
      <c r="I3292" s="19">
        <v>97500</v>
      </c>
    </row>
    <row r="3293" spans="1:9" s="1" customFormat="1" x14ac:dyDescent="0.2">
      <c r="A3293" s="1" t="s">
        <v>28</v>
      </c>
      <c r="B3293" s="2" t="s">
        <v>221</v>
      </c>
      <c r="C3293" s="5"/>
      <c r="D3293" s="5" t="s">
        <v>464</v>
      </c>
      <c r="E3293" s="3"/>
      <c r="F3293" s="3"/>
      <c r="G3293" s="57" t="str">
        <f t="shared" si="51"/>
        <v>-</v>
      </c>
      <c r="H3293" s="19" t="s">
        <v>465</v>
      </c>
      <c r="I3293" s="19">
        <v>97500</v>
      </c>
    </row>
    <row r="3294" spans="1:9" s="1" customFormat="1" x14ac:dyDescent="0.2">
      <c r="A3294" s="1" t="s">
        <v>28</v>
      </c>
      <c r="B3294" s="2" t="s">
        <v>221</v>
      </c>
      <c r="C3294" s="5"/>
      <c r="D3294" s="5" t="s">
        <v>464</v>
      </c>
      <c r="E3294" s="3"/>
      <c r="F3294" s="3"/>
      <c r="G3294" s="57" t="str">
        <f t="shared" si="51"/>
        <v>-</v>
      </c>
      <c r="H3294" s="19" t="s">
        <v>465</v>
      </c>
      <c r="I3294" s="19">
        <v>97500</v>
      </c>
    </row>
    <row r="3295" spans="1:9" s="1" customFormat="1" x14ac:dyDescent="0.2">
      <c r="A3295" s="1" t="s">
        <v>28</v>
      </c>
      <c r="B3295" s="2" t="s">
        <v>221</v>
      </c>
      <c r="C3295" s="5"/>
      <c r="D3295" s="5" t="s">
        <v>464</v>
      </c>
      <c r="E3295" s="3"/>
      <c r="F3295" s="3"/>
      <c r="G3295" s="57" t="str">
        <f t="shared" si="51"/>
        <v>-</v>
      </c>
      <c r="H3295" s="19" t="s">
        <v>465</v>
      </c>
      <c r="I3295" s="19">
        <v>97500</v>
      </c>
    </row>
    <row r="3296" spans="1:9" s="1" customFormat="1" x14ac:dyDescent="0.2">
      <c r="A3296" s="1" t="s">
        <v>28</v>
      </c>
      <c r="B3296" s="2" t="s">
        <v>221</v>
      </c>
      <c r="C3296" s="5"/>
      <c r="D3296" s="5" t="s">
        <v>464</v>
      </c>
      <c r="E3296" s="3"/>
      <c r="F3296" s="3"/>
      <c r="G3296" s="57" t="str">
        <f t="shared" si="51"/>
        <v>-</v>
      </c>
      <c r="H3296" s="19" t="s">
        <v>465</v>
      </c>
      <c r="I3296" s="19">
        <v>97500</v>
      </c>
    </row>
    <row r="3297" spans="1:10" x14ac:dyDescent="0.2">
      <c r="A3297" s="1" t="s">
        <v>28</v>
      </c>
      <c r="B3297" s="2" t="s">
        <v>221</v>
      </c>
      <c r="D3297" s="5" t="s">
        <v>464</v>
      </c>
      <c r="G3297" s="57" t="str">
        <f t="shared" si="51"/>
        <v>-</v>
      </c>
      <c r="H3297" s="19" t="s">
        <v>465</v>
      </c>
      <c r="I3297" s="19">
        <v>97500</v>
      </c>
    </row>
    <row r="3298" spans="1:10" x14ac:dyDescent="0.2">
      <c r="A3298" s="1" t="s">
        <v>28</v>
      </c>
      <c r="B3298" s="2" t="s">
        <v>221</v>
      </c>
      <c r="D3298" s="5" t="s">
        <v>464</v>
      </c>
      <c r="G3298" s="57" t="str">
        <f t="shared" si="51"/>
        <v>-</v>
      </c>
      <c r="H3298" s="19" t="s">
        <v>465</v>
      </c>
      <c r="I3298" s="19">
        <v>97500</v>
      </c>
    </row>
    <row r="3299" spans="1:10" x14ac:dyDescent="0.2">
      <c r="A3299" s="1" t="s">
        <v>28</v>
      </c>
      <c r="B3299" s="2" t="s">
        <v>221</v>
      </c>
      <c r="D3299" s="5" t="s">
        <v>464</v>
      </c>
      <c r="E3299" s="3">
        <v>102500</v>
      </c>
      <c r="F3299" s="3" t="s">
        <v>465</v>
      </c>
      <c r="G3299" s="57" t="str">
        <f t="shared" si="51"/>
        <v>-</v>
      </c>
    </row>
    <row r="3300" spans="1:10" x14ac:dyDescent="0.2">
      <c r="A3300" s="1" t="s">
        <v>28</v>
      </c>
      <c r="B3300" s="2" t="s">
        <v>221</v>
      </c>
      <c r="D3300" s="5" t="s">
        <v>464</v>
      </c>
      <c r="E3300" s="3" t="s">
        <v>465</v>
      </c>
      <c r="F3300" s="3">
        <v>102500</v>
      </c>
      <c r="G3300" s="57" t="str">
        <f t="shared" si="51"/>
        <v>-</v>
      </c>
    </row>
    <row r="3301" spans="1:10" x14ac:dyDescent="0.2">
      <c r="A3301" s="1" t="s">
        <v>28</v>
      </c>
      <c r="B3301" s="2" t="s">
        <v>221</v>
      </c>
      <c r="D3301" s="5" t="s">
        <v>464</v>
      </c>
      <c r="E3301" s="3" t="s">
        <v>465</v>
      </c>
      <c r="F3301" s="3">
        <v>102500</v>
      </c>
      <c r="G3301" s="57" t="str">
        <f t="shared" si="51"/>
        <v>-</v>
      </c>
    </row>
    <row r="3302" spans="1:10" x14ac:dyDescent="0.2">
      <c r="A3302" s="1" t="s">
        <v>28</v>
      </c>
      <c r="B3302" s="2" t="s">
        <v>221</v>
      </c>
      <c r="D3302" s="5" t="s">
        <v>464</v>
      </c>
      <c r="E3302" s="3">
        <v>107500</v>
      </c>
      <c r="F3302" s="3" t="s">
        <v>465</v>
      </c>
      <c r="G3302" s="57" t="str">
        <f t="shared" si="51"/>
        <v>-</v>
      </c>
    </row>
    <row r="3303" spans="1:10" x14ac:dyDescent="0.2">
      <c r="A3303" s="1" t="s">
        <v>28</v>
      </c>
      <c r="B3303" s="2" t="s">
        <v>221</v>
      </c>
      <c r="D3303" s="5" t="s">
        <v>464</v>
      </c>
      <c r="E3303" s="3">
        <v>107500</v>
      </c>
      <c r="F3303" s="3" t="s">
        <v>465</v>
      </c>
      <c r="G3303" s="57" t="str">
        <f t="shared" si="51"/>
        <v>-</v>
      </c>
    </row>
    <row r="3304" spans="1:10" x14ac:dyDescent="0.2">
      <c r="A3304" s="1" t="s">
        <v>28</v>
      </c>
      <c r="B3304" s="2" t="s">
        <v>221</v>
      </c>
      <c r="D3304" s="5" t="s">
        <v>464</v>
      </c>
      <c r="E3304" s="3" t="s">
        <v>465</v>
      </c>
      <c r="F3304" s="3">
        <v>107500</v>
      </c>
      <c r="G3304" s="57" t="str">
        <f t="shared" si="51"/>
        <v>-</v>
      </c>
    </row>
    <row r="3305" spans="1:10" x14ac:dyDescent="0.2">
      <c r="A3305" s="1" t="s">
        <v>28</v>
      </c>
      <c r="B3305" s="2" t="s">
        <v>221</v>
      </c>
      <c r="D3305" s="5" t="s">
        <v>464</v>
      </c>
      <c r="E3305" s="3" t="s">
        <v>465</v>
      </c>
      <c r="F3305" s="3">
        <v>107500</v>
      </c>
      <c r="G3305" s="57" t="str">
        <f t="shared" si="51"/>
        <v>-</v>
      </c>
    </row>
    <row r="3306" spans="1:10" x14ac:dyDescent="0.2">
      <c r="A3306" s="1" t="s">
        <v>28</v>
      </c>
      <c r="B3306" s="2" t="s">
        <v>221</v>
      </c>
      <c r="D3306" s="5" t="s">
        <v>464</v>
      </c>
      <c r="E3306" s="3" t="s">
        <v>465</v>
      </c>
      <c r="F3306" s="3">
        <v>107500</v>
      </c>
      <c r="G3306" s="57" t="str">
        <f t="shared" si="51"/>
        <v>-</v>
      </c>
    </row>
    <row r="3307" spans="1:10" x14ac:dyDescent="0.2">
      <c r="A3307" s="1" t="s">
        <v>28</v>
      </c>
      <c r="B3307" s="2" t="s">
        <v>221</v>
      </c>
      <c r="D3307" s="5" t="s">
        <v>464</v>
      </c>
      <c r="E3307" s="3" t="s">
        <v>465</v>
      </c>
      <c r="F3307" s="3">
        <v>122500</v>
      </c>
      <c r="G3307" s="57" t="str">
        <f t="shared" si="51"/>
        <v>-</v>
      </c>
    </row>
    <row r="3308" spans="1:10" x14ac:dyDescent="0.2">
      <c r="A3308" s="1" t="s">
        <v>28</v>
      </c>
      <c r="B3308" s="2" t="s">
        <v>221</v>
      </c>
      <c r="D3308" s="5" t="s">
        <v>464</v>
      </c>
      <c r="E3308" s="3">
        <v>137500</v>
      </c>
      <c r="F3308" s="3" t="s">
        <v>465</v>
      </c>
      <c r="G3308" s="57" t="str">
        <f t="shared" si="51"/>
        <v>-</v>
      </c>
    </row>
    <row r="3309" spans="1:10" x14ac:dyDescent="0.2">
      <c r="A3309" s="1" t="s">
        <v>28</v>
      </c>
      <c r="B3309" s="2" t="s">
        <v>221</v>
      </c>
      <c r="D3309" s="5" t="s">
        <v>464</v>
      </c>
      <c r="E3309" s="3" t="s">
        <v>465</v>
      </c>
      <c r="F3309" s="3">
        <v>137500</v>
      </c>
      <c r="G3309" s="57" t="str">
        <f t="shared" si="51"/>
        <v>-</v>
      </c>
    </row>
    <row r="3310" spans="1:10" x14ac:dyDescent="0.2">
      <c r="A3310" s="1" t="s">
        <v>28</v>
      </c>
      <c r="B3310" s="2" t="s">
        <v>221</v>
      </c>
      <c r="D3310" s="5" t="s">
        <v>464</v>
      </c>
      <c r="E3310" s="3" t="s">
        <v>465</v>
      </c>
      <c r="F3310" s="3">
        <v>157500</v>
      </c>
      <c r="G3310" s="57" t="str">
        <f t="shared" si="51"/>
        <v>-</v>
      </c>
    </row>
    <row r="3311" spans="1:10" ht="38.25" x14ac:dyDescent="0.2">
      <c r="A3311" s="1" t="s">
        <v>8</v>
      </c>
      <c r="B3311" s="2" t="s">
        <v>222</v>
      </c>
      <c r="D3311" s="5" t="s">
        <v>1271</v>
      </c>
      <c r="E3311" s="3">
        <v>26325</v>
      </c>
      <c r="F3311" s="3">
        <v>116696</v>
      </c>
      <c r="G3311" s="57">
        <f t="shared" si="51"/>
        <v>3.4328964862298195</v>
      </c>
      <c r="J3311" s="5" t="s">
        <v>4361</v>
      </c>
    </row>
    <row r="3312" spans="1:10" ht="25.5" x14ac:dyDescent="0.2">
      <c r="A3312" s="1" t="s">
        <v>8</v>
      </c>
      <c r="B3312" s="2" t="s">
        <v>222</v>
      </c>
      <c r="D3312" s="5" t="s">
        <v>949</v>
      </c>
      <c r="E3312" s="3">
        <v>98350</v>
      </c>
      <c r="F3312" s="3">
        <v>102262</v>
      </c>
      <c r="G3312" s="57">
        <f t="shared" si="51"/>
        <v>3.9776309100152514E-2</v>
      </c>
      <c r="J3312" s="5" t="s">
        <v>3259</v>
      </c>
    </row>
    <row r="3313" spans="1:10" ht="25.5" x14ac:dyDescent="0.2">
      <c r="A3313" s="1" t="s">
        <v>8</v>
      </c>
      <c r="B3313" s="2" t="s">
        <v>222</v>
      </c>
      <c r="D3313" s="5" t="s">
        <v>1272</v>
      </c>
      <c r="E3313" s="3">
        <v>105625</v>
      </c>
      <c r="F3313" s="3">
        <v>114655</v>
      </c>
      <c r="G3313" s="57">
        <f t="shared" si="51"/>
        <v>8.5491124260355031E-2</v>
      </c>
      <c r="J3313" s="5" t="s">
        <v>3258</v>
      </c>
    </row>
    <row r="3314" spans="1:10" ht="38.25" x14ac:dyDescent="0.2">
      <c r="A3314" s="1" t="s">
        <v>8</v>
      </c>
      <c r="B3314" s="2" t="s">
        <v>222</v>
      </c>
      <c r="D3314" s="5" t="s">
        <v>1273</v>
      </c>
      <c r="E3314" s="3">
        <v>111717</v>
      </c>
      <c r="F3314" s="3">
        <v>142185</v>
      </c>
      <c r="G3314" s="57">
        <f t="shared" si="51"/>
        <v>0.27272483149386395</v>
      </c>
      <c r="J3314" s="5" t="s">
        <v>4360</v>
      </c>
    </row>
    <row r="3315" spans="1:10" ht="25.5" x14ac:dyDescent="0.2">
      <c r="A3315" s="1" t="s">
        <v>8</v>
      </c>
      <c r="B3315" s="2" t="s">
        <v>222</v>
      </c>
      <c r="D3315" s="5" t="s">
        <v>611</v>
      </c>
      <c r="E3315" s="3">
        <v>112968</v>
      </c>
      <c r="F3315" s="3">
        <v>118484</v>
      </c>
      <c r="G3315" s="57">
        <f t="shared" si="51"/>
        <v>4.8827986686495288E-2</v>
      </c>
      <c r="J3315" s="5" t="s">
        <v>3260</v>
      </c>
    </row>
    <row r="3316" spans="1:10" ht="25.5" x14ac:dyDescent="0.2">
      <c r="A3316" s="1" t="s">
        <v>8</v>
      </c>
      <c r="B3316" s="2" t="s">
        <v>222</v>
      </c>
      <c r="D3316" s="5" t="s">
        <v>1274</v>
      </c>
      <c r="E3316" s="3">
        <v>128194</v>
      </c>
      <c r="F3316" s="3">
        <v>137466</v>
      </c>
      <c r="G3316" s="57">
        <f t="shared" si="51"/>
        <v>7.2327878059815595E-2</v>
      </c>
      <c r="J3316" s="5" t="s">
        <v>3261</v>
      </c>
    </row>
    <row r="3317" spans="1:10" ht="25.5" x14ac:dyDescent="0.2">
      <c r="A3317" s="1" t="s">
        <v>8</v>
      </c>
      <c r="B3317" s="2" t="s">
        <v>222</v>
      </c>
      <c r="D3317" s="5" t="s">
        <v>4665</v>
      </c>
      <c r="E3317" s="3">
        <v>140209</v>
      </c>
      <c r="F3317" s="3">
        <v>147261</v>
      </c>
      <c r="G3317" s="57">
        <f t="shared" si="51"/>
        <v>5.029634331604961E-2</v>
      </c>
      <c r="J3317" s="5" t="s">
        <v>3262</v>
      </c>
    </row>
    <row r="3318" spans="1:10" ht="25.5" x14ac:dyDescent="0.2">
      <c r="A3318" s="1" t="s">
        <v>8</v>
      </c>
      <c r="B3318" s="2" t="s">
        <v>222</v>
      </c>
      <c r="D3318" s="5" t="s">
        <v>1275</v>
      </c>
      <c r="E3318" s="3">
        <v>161022</v>
      </c>
      <c r="F3318" s="3">
        <v>159977</v>
      </c>
      <c r="G3318" s="57">
        <f t="shared" si="51"/>
        <v>-6.4897964253331844E-3</v>
      </c>
      <c r="J3318" s="5" t="s">
        <v>3263</v>
      </c>
    </row>
    <row r="3319" spans="1:10" ht="25.5" x14ac:dyDescent="0.2">
      <c r="A3319" s="1" t="s">
        <v>8</v>
      </c>
      <c r="B3319" s="2" t="s">
        <v>222</v>
      </c>
      <c r="C3319" s="5" t="s">
        <v>1276</v>
      </c>
      <c r="D3319" s="5" t="s">
        <v>450</v>
      </c>
      <c r="E3319" s="3">
        <v>208127</v>
      </c>
      <c r="F3319" s="3">
        <v>208322</v>
      </c>
      <c r="G3319" s="57">
        <f t="shared" si="51"/>
        <v>9.3692793342526443E-4</v>
      </c>
      <c r="J3319" s="5" t="s">
        <v>4666</v>
      </c>
    </row>
    <row r="3320" spans="1:10" x14ac:dyDescent="0.2">
      <c r="A3320" s="1" t="s">
        <v>8</v>
      </c>
      <c r="B3320" s="2" t="s">
        <v>222</v>
      </c>
      <c r="D3320" s="5" t="s">
        <v>464</v>
      </c>
      <c r="G3320" s="57" t="str">
        <f t="shared" si="51"/>
        <v>-</v>
      </c>
      <c r="H3320" s="19">
        <v>92500</v>
      </c>
      <c r="I3320" s="19" t="s">
        <v>465</v>
      </c>
    </row>
    <row r="3321" spans="1:10" x14ac:dyDescent="0.2">
      <c r="A3321" s="1" t="s">
        <v>8</v>
      </c>
      <c r="B3321" s="2" t="s">
        <v>222</v>
      </c>
      <c r="D3321" s="5" t="s">
        <v>464</v>
      </c>
      <c r="G3321" s="57" t="str">
        <f t="shared" si="51"/>
        <v>-</v>
      </c>
      <c r="H3321" s="19">
        <v>92500</v>
      </c>
      <c r="I3321" s="19" t="s">
        <v>465</v>
      </c>
    </row>
    <row r="3322" spans="1:10" x14ac:dyDescent="0.2">
      <c r="A3322" s="1" t="s">
        <v>8</v>
      </c>
      <c r="B3322" s="2" t="s">
        <v>222</v>
      </c>
      <c r="D3322" s="5" t="s">
        <v>464</v>
      </c>
      <c r="G3322" s="57" t="str">
        <f t="shared" si="51"/>
        <v>-</v>
      </c>
      <c r="H3322" s="19">
        <v>92500</v>
      </c>
      <c r="I3322" s="19" t="s">
        <v>465</v>
      </c>
    </row>
    <row r="3323" spans="1:10" x14ac:dyDescent="0.2">
      <c r="A3323" s="1" t="s">
        <v>8</v>
      </c>
      <c r="B3323" s="2" t="s">
        <v>222</v>
      </c>
      <c r="D3323" s="5" t="s">
        <v>464</v>
      </c>
      <c r="G3323" s="57" t="str">
        <f t="shared" si="51"/>
        <v>-</v>
      </c>
      <c r="H3323" s="19">
        <v>92500</v>
      </c>
      <c r="I3323" s="19" t="s">
        <v>465</v>
      </c>
    </row>
    <row r="3324" spans="1:10" x14ac:dyDescent="0.2">
      <c r="A3324" s="1" t="s">
        <v>8</v>
      </c>
      <c r="B3324" s="2" t="s">
        <v>222</v>
      </c>
      <c r="D3324" s="5" t="s">
        <v>464</v>
      </c>
      <c r="G3324" s="57" t="str">
        <f t="shared" si="51"/>
        <v>-</v>
      </c>
      <c r="H3324" s="19">
        <v>92500</v>
      </c>
      <c r="I3324" s="19" t="s">
        <v>465</v>
      </c>
    </row>
    <row r="3325" spans="1:10" x14ac:dyDescent="0.2">
      <c r="A3325" s="1" t="s">
        <v>8</v>
      </c>
      <c r="B3325" s="2" t="s">
        <v>222</v>
      </c>
      <c r="D3325" s="5" t="s">
        <v>464</v>
      </c>
      <c r="G3325" s="57" t="str">
        <f t="shared" si="51"/>
        <v>-</v>
      </c>
      <c r="H3325" s="19">
        <v>92500</v>
      </c>
      <c r="I3325" s="19" t="s">
        <v>465</v>
      </c>
    </row>
    <row r="3326" spans="1:10" x14ac:dyDescent="0.2">
      <c r="A3326" s="1" t="s">
        <v>8</v>
      </c>
      <c r="B3326" s="2" t="s">
        <v>222</v>
      </c>
      <c r="D3326" s="5" t="s">
        <v>464</v>
      </c>
      <c r="G3326" s="57" t="str">
        <f t="shared" si="51"/>
        <v>-</v>
      </c>
      <c r="H3326" s="19" t="s">
        <v>465</v>
      </c>
      <c r="I3326" s="19">
        <v>92500</v>
      </c>
    </row>
    <row r="3327" spans="1:10" x14ac:dyDescent="0.2">
      <c r="A3327" s="1" t="s">
        <v>8</v>
      </c>
      <c r="B3327" s="2" t="s">
        <v>222</v>
      </c>
      <c r="D3327" s="5" t="s">
        <v>464</v>
      </c>
      <c r="G3327" s="57" t="str">
        <f t="shared" si="51"/>
        <v>-</v>
      </c>
      <c r="H3327" s="19" t="s">
        <v>465</v>
      </c>
      <c r="I3327" s="19">
        <v>92500</v>
      </c>
    </row>
    <row r="3328" spans="1:10" x14ac:dyDescent="0.2">
      <c r="A3328" s="1" t="s">
        <v>8</v>
      </c>
      <c r="B3328" s="2" t="s">
        <v>222</v>
      </c>
      <c r="D3328" s="5" t="s">
        <v>464</v>
      </c>
      <c r="G3328" s="57" t="str">
        <f t="shared" si="51"/>
        <v>-</v>
      </c>
      <c r="H3328" s="19" t="s">
        <v>465</v>
      </c>
      <c r="I3328" s="19">
        <v>92500</v>
      </c>
    </row>
    <row r="3329" spans="1:9" s="1" customFormat="1" x14ac:dyDescent="0.2">
      <c r="A3329" s="1" t="s">
        <v>8</v>
      </c>
      <c r="B3329" s="2" t="s">
        <v>222</v>
      </c>
      <c r="C3329" s="5"/>
      <c r="D3329" s="5" t="s">
        <v>464</v>
      </c>
      <c r="E3329" s="3"/>
      <c r="F3329" s="3"/>
      <c r="G3329" s="57" t="str">
        <f t="shared" si="51"/>
        <v>-</v>
      </c>
      <c r="H3329" s="19" t="s">
        <v>465</v>
      </c>
      <c r="I3329" s="19">
        <v>92500</v>
      </c>
    </row>
    <row r="3330" spans="1:9" s="1" customFormat="1" x14ac:dyDescent="0.2">
      <c r="A3330" s="1" t="s">
        <v>8</v>
      </c>
      <c r="B3330" s="2" t="s">
        <v>222</v>
      </c>
      <c r="C3330" s="5"/>
      <c r="D3330" s="5" t="s">
        <v>464</v>
      </c>
      <c r="E3330" s="3"/>
      <c r="F3330" s="3"/>
      <c r="G3330" s="57" t="str">
        <f t="shared" si="51"/>
        <v>-</v>
      </c>
      <c r="H3330" s="19" t="s">
        <v>465</v>
      </c>
      <c r="I3330" s="19">
        <v>92500</v>
      </c>
    </row>
    <row r="3331" spans="1:9" s="1" customFormat="1" x14ac:dyDescent="0.2">
      <c r="A3331" s="1" t="s">
        <v>8</v>
      </c>
      <c r="B3331" s="2" t="s">
        <v>222</v>
      </c>
      <c r="C3331" s="5"/>
      <c r="D3331" s="5" t="s">
        <v>464</v>
      </c>
      <c r="E3331" s="3"/>
      <c r="F3331" s="3"/>
      <c r="G3331" s="57" t="str">
        <f t="shared" ref="G3331:G3394" si="52">IF(ISERROR((F3331-E3331)/E3331),"-",(F3331-E3331)/E3331)</f>
        <v>-</v>
      </c>
      <c r="H3331" s="19" t="s">
        <v>465</v>
      </c>
      <c r="I3331" s="19">
        <v>92500</v>
      </c>
    </row>
    <row r="3332" spans="1:9" s="1" customFormat="1" x14ac:dyDescent="0.2">
      <c r="A3332" s="1" t="s">
        <v>8</v>
      </c>
      <c r="B3332" s="2" t="s">
        <v>222</v>
      </c>
      <c r="C3332" s="5"/>
      <c r="D3332" s="5" t="s">
        <v>464</v>
      </c>
      <c r="E3332" s="3"/>
      <c r="F3332" s="3"/>
      <c r="G3332" s="57" t="str">
        <f t="shared" si="52"/>
        <v>-</v>
      </c>
      <c r="H3332" s="19" t="s">
        <v>465</v>
      </c>
      <c r="I3332" s="19">
        <v>92500</v>
      </c>
    </row>
    <row r="3333" spans="1:9" s="1" customFormat="1" x14ac:dyDescent="0.2">
      <c r="A3333" s="1" t="s">
        <v>8</v>
      </c>
      <c r="B3333" s="2" t="s">
        <v>222</v>
      </c>
      <c r="C3333" s="5"/>
      <c r="D3333" s="5" t="s">
        <v>464</v>
      </c>
      <c r="E3333" s="3"/>
      <c r="F3333" s="3"/>
      <c r="G3333" s="57" t="str">
        <f t="shared" si="52"/>
        <v>-</v>
      </c>
      <c r="H3333" s="19">
        <v>97500</v>
      </c>
      <c r="I3333" s="19" t="s">
        <v>465</v>
      </c>
    </row>
    <row r="3334" spans="1:9" s="1" customFormat="1" x14ac:dyDescent="0.2">
      <c r="A3334" s="1" t="s">
        <v>8</v>
      </c>
      <c r="B3334" s="2" t="s">
        <v>222</v>
      </c>
      <c r="C3334" s="5"/>
      <c r="D3334" s="5" t="s">
        <v>464</v>
      </c>
      <c r="E3334" s="3"/>
      <c r="F3334" s="3"/>
      <c r="G3334" s="57" t="str">
        <f t="shared" si="52"/>
        <v>-</v>
      </c>
      <c r="H3334" s="19">
        <v>97500</v>
      </c>
      <c r="I3334" s="19" t="s">
        <v>465</v>
      </c>
    </row>
    <row r="3335" spans="1:9" s="1" customFormat="1" x14ac:dyDescent="0.2">
      <c r="A3335" s="1" t="s">
        <v>8</v>
      </c>
      <c r="B3335" s="2" t="s">
        <v>222</v>
      </c>
      <c r="C3335" s="5"/>
      <c r="D3335" s="5" t="s">
        <v>464</v>
      </c>
      <c r="E3335" s="3"/>
      <c r="F3335" s="3"/>
      <c r="G3335" s="57" t="str">
        <f t="shared" si="52"/>
        <v>-</v>
      </c>
      <c r="H3335" s="19">
        <v>97500</v>
      </c>
      <c r="I3335" s="19" t="s">
        <v>465</v>
      </c>
    </row>
    <row r="3336" spans="1:9" s="1" customFormat="1" x14ac:dyDescent="0.2">
      <c r="A3336" s="1" t="s">
        <v>8</v>
      </c>
      <c r="B3336" s="2" t="s">
        <v>222</v>
      </c>
      <c r="C3336" s="5"/>
      <c r="D3336" s="5" t="s">
        <v>464</v>
      </c>
      <c r="E3336" s="3"/>
      <c r="F3336" s="3"/>
      <c r="G3336" s="57" t="str">
        <f t="shared" si="52"/>
        <v>-</v>
      </c>
      <c r="H3336" s="19" t="s">
        <v>465</v>
      </c>
      <c r="I3336" s="19">
        <v>97500</v>
      </c>
    </row>
    <row r="3337" spans="1:9" s="1" customFormat="1" x14ac:dyDescent="0.2">
      <c r="A3337" s="1" t="s">
        <v>8</v>
      </c>
      <c r="B3337" s="2" t="s">
        <v>222</v>
      </c>
      <c r="C3337" s="5"/>
      <c r="D3337" s="5" t="s">
        <v>464</v>
      </c>
      <c r="E3337" s="3"/>
      <c r="F3337" s="3"/>
      <c r="G3337" s="57" t="str">
        <f t="shared" si="52"/>
        <v>-</v>
      </c>
      <c r="H3337" s="19" t="s">
        <v>465</v>
      </c>
      <c r="I3337" s="19">
        <v>97500</v>
      </c>
    </row>
    <row r="3338" spans="1:9" s="1" customFormat="1" x14ac:dyDescent="0.2">
      <c r="A3338" s="1" t="s">
        <v>8</v>
      </c>
      <c r="B3338" s="2" t="s">
        <v>222</v>
      </c>
      <c r="C3338" s="5"/>
      <c r="D3338" s="5" t="s">
        <v>464</v>
      </c>
      <c r="E3338" s="3"/>
      <c r="F3338" s="3"/>
      <c r="G3338" s="57" t="str">
        <f t="shared" si="52"/>
        <v>-</v>
      </c>
      <c r="H3338" s="19" t="s">
        <v>465</v>
      </c>
      <c r="I3338" s="19">
        <v>97500</v>
      </c>
    </row>
    <row r="3339" spans="1:9" s="1" customFormat="1" x14ac:dyDescent="0.2">
      <c r="A3339" s="1" t="s">
        <v>8</v>
      </c>
      <c r="B3339" s="2" t="s">
        <v>222</v>
      </c>
      <c r="C3339" s="5"/>
      <c r="D3339" s="5" t="s">
        <v>464</v>
      </c>
      <c r="E3339" s="3"/>
      <c r="F3339" s="3"/>
      <c r="G3339" s="57" t="str">
        <f t="shared" si="52"/>
        <v>-</v>
      </c>
      <c r="H3339" s="19" t="s">
        <v>465</v>
      </c>
      <c r="I3339" s="19">
        <v>97500</v>
      </c>
    </row>
    <row r="3340" spans="1:9" s="1" customFormat="1" x14ac:dyDescent="0.2">
      <c r="A3340" s="1" t="s">
        <v>8</v>
      </c>
      <c r="B3340" s="2" t="s">
        <v>222</v>
      </c>
      <c r="C3340" s="5"/>
      <c r="D3340" s="5" t="s">
        <v>464</v>
      </c>
      <c r="E3340" s="3"/>
      <c r="F3340" s="3"/>
      <c r="G3340" s="57" t="str">
        <f t="shared" si="52"/>
        <v>-</v>
      </c>
      <c r="H3340" s="19" t="s">
        <v>465</v>
      </c>
      <c r="I3340" s="19">
        <v>97500</v>
      </c>
    </row>
    <row r="3341" spans="1:9" s="1" customFormat="1" x14ac:dyDescent="0.2">
      <c r="A3341" s="1" t="s">
        <v>8</v>
      </c>
      <c r="B3341" s="2" t="s">
        <v>222</v>
      </c>
      <c r="C3341" s="5"/>
      <c r="D3341" s="5" t="s">
        <v>464</v>
      </c>
      <c r="E3341" s="3"/>
      <c r="F3341" s="3"/>
      <c r="G3341" s="57" t="str">
        <f t="shared" si="52"/>
        <v>-</v>
      </c>
      <c r="H3341" s="19" t="s">
        <v>465</v>
      </c>
      <c r="I3341" s="19">
        <v>97500</v>
      </c>
    </row>
    <row r="3342" spans="1:9" s="1" customFormat="1" x14ac:dyDescent="0.2">
      <c r="A3342" s="1" t="s">
        <v>8</v>
      </c>
      <c r="B3342" s="2" t="s">
        <v>222</v>
      </c>
      <c r="C3342" s="5"/>
      <c r="D3342" s="5" t="s">
        <v>464</v>
      </c>
      <c r="E3342" s="3">
        <v>102500</v>
      </c>
      <c r="F3342" s="3" t="s">
        <v>465</v>
      </c>
      <c r="G3342" s="57" t="str">
        <f t="shared" si="52"/>
        <v>-</v>
      </c>
      <c r="H3342" s="19"/>
      <c r="I3342" s="19"/>
    </row>
    <row r="3343" spans="1:9" s="1" customFormat="1" x14ac:dyDescent="0.2">
      <c r="A3343" s="1" t="s">
        <v>8</v>
      </c>
      <c r="B3343" s="2" t="s">
        <v>222</v>
      </c>
      <c r="C3343" s="5"/>
      <c r="D3343" s="5" t="s">
        <v>464</v>
      </c>
      <c r="E3343" s="3">
        <v>102500</v>
      </c>
      <c r="F3343" s="3" t="s">
        <v>465</v>
      </c>
      <c r="G3343" s="57" t="str">
        <f t="shared" si="52"/>
        <v>-</v>
      </c>
      <c r="H3343" s="19"/>
      <c r="I3343" s="19"/>
    </row>
    <row r="3344" spans="1:9" s="1" customFormat="1" x14ac:dyDescent="0.2">
      <c r="A3344" s="1" t="s">
        <v>8</v>
      </c>
      <c r="B3344" s="2" t="s">
        <v>222</v>
      </c>
      <c r="C3344" s="5"/>
      <c r="D3344" s="5" t="s">
        <v>464</v>
      </c>
      <c r="E3344" s="3" t="s">
        <v>465</v>
      </c>
      <c r="F3344" s="3">
        <v>102500</v>
      </c>
      <c r="G3344" s="57" t="str">
        <f t="shared" si="52"/>
        <v>-</v>
      </c>
      <c r="H3344" s="19"/>
      <c r="I3344" s="19"/>
    </row>
    <row r="3345" spans="1:9" s="1" customFormat="1" x14ac:dyDescent="0.2">
      <c r="A3345" s="1" t="s">
        <v>8</v>
      </c>
      <c r="B3345" s="2" t="s">
        <v>222</v>
      </c>
      <c r="C3345" s="5"/>
      <c r="D3345" s="5" t="s">
        <v>464</v>
      </c>
      <c r="E3345" s="3" t="s">
        <v>465</v>
      </c>
      <c r="F3345" s="3">
        <v>102500</v>
      </c>
      <c r="G3345" s="57" t="str">
        <f t="shared" si="52"/>
        <v>-</v>
      </c>
      <c r="H3345" s="4"/>
      <c r="I3345" s="4"/>
    </row>
    <row r="3346" spans="1:9" s="1" customFormat="1" x14ac:dyDescent="0.2">
      <c r="A3346" s="1" t="s">
        <v>8</v>
      </c>
      <c r="B3346" s="2" t="s">
        <v>222</v>
      </c>
      <c r="C3346" s="5"/>
      <c r="D3346" s="5" t="s">
        <v>464</v>
      </c>
      <c r="E3346" s="3" t="s">
        <v>465</v>
      </c>
      <c r="F3346" s="3">
        <v>102500</v>
      </c>
      <c r="G3346" s="57" t="str">
        <f t="shared" si="52"/>
        <v>-</v>
      </c>
      <c r="H3346" s="4"/>
      <c r="I3346" s="4"/>
    </row>
    <row r="3347" spans="1:9" s="1" customFormat="1" x14ac:dyDescent="0.2">
      <c r="A3347" s="1" t="s">
        <v>8</v>
      </c>
      <c r="B3347" s="2" t="s">
        <v>222</v>
      </c>
      <c r="C3347" s="5"/>
      <c r="D3347" s="5" t="s">
        <v>464</v>
      </c>
      <c r="E3347" s="3" t="s">
        <v>465</v>
      </c>
      <c r="F3347" s="3">
        <v>102500</v>
      </c>
      <c r="G3347" s="57" t="str">
        <f t="shared" si="52"/>
        <v>-</v>
      </c>
      <c r="H3347" s="4"/>
      <c r="I3347" s="4"/>
    </row>
    <row r="3348" spans="1:9" s="1" customFormat="1" x14ac:dyDescent="0.2">
      <c r="A3348" s="1" t="s">
        <v>8</v>
      </c>
      <c r="B3348" s="2" t="s">
        <v>222</v>
      </c>
      <c r="C3348" s="5"/>
      <c r="D3348" s="5" t="s">
        <v>464</v>
      </c>
      <c r="E3348" s="3">
        <v>107500</v>
      </c>
      <c r="F3348" s="3" t="s">
        <v>465</v>
      </c>
      <c r="G3348" s="57" t="str">
        <f t="shared" si="52"/>
        <v>-</v>
      </c>
      <c r="H3348" s="4"/>
      <c r="I3348" s="4"/>
    </row>
    <row r="3349" spans="1:9" s="1" customFormat="1" x14ac:dyDescent="0.2">
      <c r="A3349" s="1" t="s">
        <v>8</v>
      </c>
      <c r="B3349" s="2" t="s">
        <v>222</v>
      </c>
      <c r="C3349" s="5"/>
      <c r="D3349" s="5" t="s">
        <v>464</v>
      </c>
      <c r="E3349" s="3">
        <v>107500</v>
      </c>
      <c r="F3349" s="3" t="s">
        <v>465</v>
      </c>
      <c r="G3349" s="57" t="str">
        <f t="shared" si="52"/>
        <v>-</v>
      </c>
      <c r="H3349" s="4"/>
      <c r="I3349" s="4"/>
    </row>
    <row r="3350" spans="1:9" s="1" customFormat="1" x14ac:dyDescent="0.2">
      <c r="A3350" s="1" t="s">
        <v>8</v>
      </c>
      <c r="B3350" s="2" t="s">
        <v>222</v>
      </c>
      <c r="C3350" s="5"/>
      <c r="D3350" s="5" t="s">
        <v>464</v>
      </c>
      <c r="E3350" s="3">
        <v>112500</v>
      </c>
      <c r="F3350" s="3" t="s">
        <v>465</v>
      </c>
      <c r="G3350" s="57" t="str">
        <f t="shared" si="52"/>
        <v>-</v>
      </c>
      <c r="H3350" s="4"/>
      <c r="I3350" s="4"/>
    </row>
    <row r="3351" spans="1:9" s="1" customFormat="1" x14ac:dyDescent="0.2">
      <c r="A3351" s="1" t="s">
        <v>8</v>
      </c>
      <c r="B3351" s="2" t="s">
        <v>222</v>
      </c>
      <c r="C3351" s="5"/>
      <c r="D3351" s="5" t="s">
        <v>464</v>
      </c>
      <c r="E3351" s="3">
        <v>112500</v>
      </c>
      <c r="F3351" s="3" t="s">
        <v>465</v>
      </c>
      <c r="G3351" s="57" t="str">
        <f t="shared" si="52"/>
        <v>-</v>
      </c>
      <c r="H3351" s="4"/>
      <c r="I3351" s="4"/>
    </row>
    <row r="3352" spans="1:9" s="1" customFormat="1" x14ac:dyDescent="0.2">
      <c r="A3352" s="1" t="s">
        <v>8</v>
      </c>
      <c r="B3352" s="2" t="s">
        <v>222</v>
      </c>
      <c r="C3352" s="5"/>
      <c r="D3352" s="5" t="s">
        <v>464</v>
      </c>
      <c r="E3352" s="3">
        <v>117500</v>
      </c>
      <c r="F3352" s="3" t="s">
        <v>465</v>
      </c>
      <c r="G3352" s="57" t="str">
        <f t="shared" si="52"/>
        <v>-</v>
      </c>
      <c r="H3352" s="4"/>
      <c r="I3352" s="4"/>
    </row>
    <row r="3353" spans="1:9" s="1" customFormat="1" x14ac:dyDescent="0.2">
      <c r="A3353" s="1" t="s">
        <v>8</v>
      </c>
      <c r="B3353" s="2" t="s">
        <v>222</v>
      </c>
      <c r="C3353" s="5"/>
      <c r="D3353" s="5" t="s">
        <v>464</v>
      </c>
      <c r="E3353" s="3" t="s">
        <v>465</v>
      </c>
      <c r="F3353" s="3">
        <v>117500</v>
      </c>
      <c r="G3353" s="57" t="str">
        <f t="shared" si="52"/>
        <v>-</v>
      </c>
      <c r="H3353" s="4"/>
      <c r="I3353" s="4"/>
    </row>
    <row r="3354" spans="1:9" s="1" customFormat="1" x14ac:dyDescent="0.2">
      <c r="A3354" s="1" t="s">
        <v>8</v>
      </c>
      <c r="B3354" s="2" t="s">
        <v>222</v>
      </c>
      <c r="C3354" s="5"/>
      <c r="D3354" s="5" t="s">
        <v>464</v>
      </c>
      <c r="E3354" s="3" t="s">
        <v>465</v>
      </c>
      <c r="F3354" s="3">
        <v>117500</v>
      </c>
      <c r="G3354" s="57" t="str">
        <f t="shared" si="52"/>
        <v>-</v>
      </c>
      <c r="H3354" s="4"/>
      <c r="I3354" s="4"/>
    </row>
    <row r="3355" spans="1:9" s="1" customFormat="1" x14ac:dyDescent="0.2">
      <c r="A3355" s="1" t="s">
        <v>8</v>
      </c>
      <c r="B3355" s="2" t="s">
        <v>222</v>
      </c>
      <c r="C3355" s="5"/>
      <c r="D3355" s="5" t="s">
        <v>464</v>
      </c>
      <c r="E3355" s="3" t="s">
        <v>465</v>
      </c>
      <c r="F3355" s="3">
        <v>122500</v>
      </c>
      <c r="G3355" s="57" t="str">
        <f t="shared" si="52"/>
        <v>-</v>
      </c>
      <c r="H3355" s="4"/>
      <c r="I3355" s="4"/>
    </row>
    <row r="3356" spans="1:9" s="1" customFormat="1" x14ac:dyDescent="0.2">
      <c r="A3356" s="1" t="s">
        <v>8</v>
      </c>
      <c r="B3356" s="2" t="s">
        <v>222</v>
      </c>
      <c r="C3356" s="5"/>
      <c r="D3356" s="5" t="s">
        <v>464</v>
      </c>
      <c r="E3356" s="3">
        <v>127500</v>
      </c>
      <c r="F3356" s="3" t="s">
        <v>465</v>
      </c>
      <c r="G3356" s="57" t="str">
        <f t="shared" si="52"/>
        <v>-</v>
      </c>
      <c r="H3356" s="4"/>
      <c r="I3356" s="4"/>
    </row>
    <row r="3357" spans="1:9" s="1" customFormat="1" x14ac:dyDescent="0.2">
      <c r="A3357" s="1" t="s">
        <v>8</v>
      </c>
      <c r="B3357" s="2" t="s">
        <v>222</v>
      </c>
      <c r="C3357" s="5"/>
      <c r="D3357" s="5" t="s">
        <v>464</v>
      </c>
      <c r="E3357" s="3">
        <v>132500</v>
      </c>
      <c r="F3357" s="3" t="s">
        <v>465</v>
      </c>
      <c r="G3357" s="57" t="str">
        <f t="shared" si="52"/>
        <v>-</v>
      </c>
      <c r="H3357" s="4"/>
      <c r="I3357" s="4"/>
    </row>
    <row r="3358" spans="1:9" s="1" customFormat="1" x14ac:dyDescent="0.2">
      <c r="A3358" s="1" t="s">
        <v>8</v>
      </c>
      <c r="B3358" s="2" t="s">
        <v>222</v>
      </c>
      <c r="C3358" s="5"/>
      <c r="D3358" s="5" t="s">
        <v>464</v>
      </c>
      <c r="E3358" s="3" t="s">
        <v>465</v>
      </c>
      <c r="F3358" s="3">
        <v>132500</v>
      </c>
      <c r="G3358" s="57" t="str">
        <f t="shared" si="52"/>
        <v>-</v>
      </c>
      <c r="H3358" s="4"/>
      <c r="I3358" s="4"/>
    </row>
    <row r="3359" spans="1:9" s="1" customFormat="1" x14ac:dyDescent="0.2">
      <c r="A3359" s="1" t="s">
        <v>8</v>
      </c>
      <c r="B3359" s="2" t="s">
        <v>222</v>
      </c>
      <c r="C3359" s="5"/>
      <c r="D3359" s="5" t="s">
        <v>464</v>
      </c>
      <c r="E3359" s="3" t="s">
        <v>465</v>
      </c>
      <c r="F3359" s="3">
        <v>137500</v>
      </c>
      <c r="G3359" s="57" t="str">
        <f t="shared" si="52"/>
        <v>-</v>
      </c>
      <c r="H3359" s="4"/>
      <c r="I3359" s="4"/>
    </row>
    <row r="3360" spans="1:9" s="1" customFormat="1" x14ac:dyDescent="0.2">
      <c r="A3360" s="1" t="s">
        <v>8</v>
      </c>
      <c r="B3360" s="2" t="s">
        <v>222</v>
      </c>
      <c r="C3360" s="5"/>
      <c r="D3360" s="5" t="s">
        <v>464</v>
      </c>
      <c r="E3360" s="3">
        <v>142500</v>
      </c>
      <c r="F3360" s="3" t="s">
        <v>465</v>
      </c>
      <c r="G3360" s="57" t="str">
        <f t="shared" si="52"/>
        <v>-</v>
      </c>
      <c r="H3360" s="4"/>
      <c r="I3360" s="4"/>
    </row>
    <row r="3361" spans="1:10" ht="25.5" x14ac:dyDescent="0.2">
      <c r="A3361" s="1" t="s">
        <v>8</v>
      </c>
      <c r="B3361" s="2" t="s">
        <v>223</v>
      </c>
      <c r="C3361" s="5" t="s">
        <v>1265</v>
      </c>
      <c r="D3361" s="5" t="s">
        <v>450</v>
      </c>
      <c r="E3361" s="3">
        <v>231000</v>
      </c>
      <c r="F3361" s="3">
        <v>230000</v>
      </c>
      <c r="G3361" s="57">
        <f t="shared" si="52"/>
        <v>-4.329004329004329E-3</v>
      </c>
      <c r="J3361" s="5" t="s">
        <v>3248</v>
      </c>
    </row>
    <row r="3362" spans="1:10" ht="25.5" x14ac:dyDescent="0.2">
      <c r="A3362" s="1" t="s">
        <v>8</v>
      </c>
      <c r="B3362" s="2" t="s">
        <v>223</v>
      </c>
      <c r="D3362" s="5" t="s">
        <v>854</v>
      </c>
      <c r="E3362" s="3">
        <v>176000</v>
      </c>
      <c r="F3362" s="3">
        <v>176000</v>
      </c>
      <c r="G3362" s="57">
        <f t="shared" si="52"/>
        <v>0</v>
      </c>
      <c r="J3362" s="5" t="s">
        <v>3249</v>
      </c>
    </row>
    <row r="3363" spans="1:10" ht="25.5" x14ac:dyDescent="0.2">
      <c r="A3363" s="1" t="s">
        <v>8</v>
      </c>
      <c r="B3363" s="2" t="s">
        <v>223</v>
      </c>
      <c r="C3363" s="5" t="s">
        <v>1270</v>
      </c>
      <c r="D3363" s="5" t="s">
        <v>1266</v>
      </c>
      <c r="E3363" s="3">
        <v>198000</v>
      </c>
      <c r="F3363" s="3">
        <v>157000</v>
      </c>
      <c r="G3363" s="57">
        <f t="shared" si="52"/>
        <v>-0.20707070707070707</v>
      </c>
      <c r="J3363" s="5" t="s">
        <v>3250</v>
      </c>
    </row>
    <row r="3364" spans="1:10" ht="25.5" x14ac:dyDescent="0.2">
      <c r="A3364" s="1" t="s">
        <v>8</v>
      </c>
      <c r="B3364" s="2" t="s">
        <v>223</v>
      </c>
      <c r="D3364" s="5" t="s">
        <v>1267</v>
      </c>
      <c r="E3364" s="3">
        <v>157000</v>
      </c>
      <c r="F3364" s="3">
        <v>158000</v>
      </c>
      <c r="G3364" s="57">
        <f t="shared" si="52"/>
        <v>6.369426751592357E-3</v>
      </c>
      <c r="J3364" s="5" t="s">
        <v>3251</v>
      </c>
    </row>
    <row r="3365" spans="1:10" ht="25.5" x14ac:dyDescent="0.2">
      <c r="A3365" s="1" t="s">
        <v>8</v>
      </c>
      <c r="B3365" s="2" t="s">
        <v>223</v>
      </c>
      <c r="D3365" s="5" t="s">
        <v>1268</v>
      </c>
      <c r="E3365" s="3">
        <v>157000</v>
      </c>
      <c r="F3365" s="3">
        <v>156000</v>
      </c>
      <c r="G3365" s="57">
        <f t="shared" si="52"/>
        <v>-6.369426751592357E-3</v>
      </c>
      <c r="J3365" s="5" t="s">
        <v>3252</v>
      </c>
    </row>
    <row r="3366" spans="1:10" x14ac:dyDescent="0.2">
      <c r="A3366" s="1" t="s">
        <v>8</v>
      </c>
      <c r="B3366" s="2" t="s">
        <v>223</v>
      </c>
      <c r="D3366" s="5" t="s">
        <v>855</v>
      </c>
      <c r="E3366" s="3">
        <v>244000</v>
      </c>
      <c r="F3366" s="3" t="s">
        <v>465</v>
      </c>
      <c r="G3366" s="57" t="str">
        <f t="shared" si="52"/>
        <v>-</v>
      </c>
      <c r="J3366" s="5" t="s">
        <v>3257</v>
      </c>
    </row>
    <row r="3367" spans="1:10" ht="25.5" x14ac:dyDescent="0.2">
      <c r="A3367" s="1" t="s">
        <v>8</v>
      </c>
      <c r="B3367" s="2" t="s">
        <v>223</v>
      </c>
      <c r="D3367" s="5" t="s">
        <v>1269</v>
      </c>
      <c r="E3367" s="3">
        <v>139000</v>
      </c>
      <c r="F3367" s="3">
        <v>140000</v>
      </c>
      <c r="G3367" s="57">
        <f t="shared" si="52"/>
        <v>7.1942446043165471E-3</v>
      </c>
      <c r="J3367" s="5" t="s">
        <v>3253</v>
      </c>
    </row>
    <row r="3368" spans="1:10" ht="25.5" x14ac:dyDescent="0.2">
      <c r="A3368" s="1" t="s">
        <v>8</v>
      </c>
      <c r="B3368" s="2" t="s">
        <v>223</v>
      </c>
      <c r="D3368" s="5" t="s">
        <v>451</v>
      </c>
      <c r="E3368" s="3">
        <v>115000</v>
      </c>
      <c r="F3368" s="3">
        <v>116000</v>
      </c>
      <c r="G3368" s="57">
        <f t="shared" si="52"/>
        <v>8.6956521739130436E-3</v>
      </c>
      <c r="J3368" s="5" t="s">
        <v>3255</v>
      </c>
    </row>
    <row r="3369" spans="1:10" ht="25.5" x14ac:dyDescent="0.2">
      <c r="A3369" s="1" t="s">
        <v>8</v>
      </c>
      <c r="B3369" s="2" t="s">
        <v>223</v>
      </c>
      <c r="D3369" s="5" t="s">
        <v>3256</v>
      </c>
      <c r="E3369" s="3">
        <v>109000</v>
      </c>
      <c r="F3369" s="3">
        <v>109000</v>
      </c>
      <c r="G3369" s="57">
        <f t="shared" si="52"/>
        <v>0</v>
      </c>
      <c r="J3369" s="5" t="s">
        <v>3254</v>
      </c>
    </row>
    <row r="3370" spans="1:10" x14ac:dyDescent="0.2">
      <c r="A3370" s="1" t="s">
        <v>8</v>
      </c>
      <c r="B3370" s="2" t="s">
        <v>223</v>
      </c>
      <c r="D3370" s="5" t="s">
        <v>464</v>
      </c>
      <c r="G3370" s="57" t="str">
        <f t="shared" si="52"/>
        <v>-</v>
      </c>
      <c r="H3370" s="19">
        <v>92500</v>
      </c>
      <c r="I3370" s="19" t="s">
        <v>465</v>
      </c>
    </row>
    <row r="3371" spans="1:10" x14ac:dyDescent="0.2">
      <c r="A3371" s="1" t="s">
        <v>8</v>
      </c>
      <c r="B3371" s="2" t="s">
        <v>223</v>
      </c>
      <c r="D3371" s="5" t="s">
        <v>464</v>
      </c>
      <c r="G3371" s="57" t="str">
        <f t="shared" si="52"/>
        <v>-</v>
      </c>
      <c r="H3371" s="19">
        <v>92500</v>
      </c>
      <c r="I3371" s="19" t="s">
        <v>465</v>
      </c>
    </row>
    <row r="3372" spans="1:10" x14ac:dyDescent="0.2">
      <c r="A3372" s="1" t="s">
        <v>8</v>
      </c>
      <c r="B3372" s="2" t="s">
        <v>223</v>
      </c>
      <c r="D3372" s="5" t="s">
        <v>464</v>
      </c>
      <c r="G3372" s="57" t="str">
        <f t="shared" si="52"/>
        <v>-</v>
      </c>
      <c r="H3372" s="19">
        <v>92500</v>
      </c>
      <c r="I3372" s="19" t="s">
        <v>465</v>
      </c>
    </row>
    <row r="3373" spans="1:10" x14ac:dyDescent="0.2">
      <c r="A3373" s="1" t="s">
        <v>8</v>
      </c>
      <c r="B3373" s="2" t="s">
        <v>223</v>
      </c>
      <c r="D3373" s="5" t="s">
        <v>464</v>
      </c>
      <c r="G3373" s="57" t="str">
        <f t="shared" si="52"/>
        <v>-</v>
      </c>
      <c r="H3373" s="19">
        <v>92500</v>
      </c>
      <c r="I3373" s="19" t="s">
        <v>465</v>
      </c>
    </row>
    <row r="3374" spans="1:10" x14ac:dyDescent="0.2">
      <c r="A3374" s="1" t="s">
        <v>8</v>
      </c>
      <c r="B3374" s="2" t="s">
        <v>223</v>
      </c>
      <c r="D3374" s="5" t="s">
        <v>464</v>
      </c>
      <c r="G3374" s="57" t="str">
        <f t="shared" si="52"/>
        <v>-</v>
      </c>
      <c r="H3374" s="19">
        <v>92500</v>
      </c>
      <c r="I3374" s="19" t="s">
        <v>465</v>
      </c>
    </row>
    <row r="3375" spans="1:10" x14ac:dyDescent="0.2">
      <c r="A3375" s="1" t="s">
        <v>8</v>
      </c>
      <c r="B3375" s="2" t="s">
        <v>223</v>
      </c>
      <c r="D3375" s="5" t="s">
        <v>464</v>
      </c>
      <c r="G3375" s="57" t="str">
        <f t="shared" si="52"/>
        <v>-</v>
      </c>
      <c r="H3375" s="19" t="s">
        <v>465</v>
      </c>
      <c r="I3375" s="19">
        <v>92500</v>
      </c>
    </row>
    <row r="3376" spans="1:10" x14ac:dyDescent="0.2">
      <c r="A3376" s="1" t="s">
        <v>8</v>
      </c>
      <c r="B3376" s="2" t="s">
        <v>223</v>
      </c>
      <c r="D3376" s="5" t="s">
        <v>464</v>
      </c>
      <c r="G3376" s="57" t="str">
        <f t="shared" si="52"/>
        <v>-</v>
      </c>
      <c r="H3376" s="19" t="s">
        <v>465</v>
      </c>
      <c r="I3376" s="19">
        <v>92500</v>
      </c>
    </row>
    <row r="3377" spans="1:9" s="1" customFormat="1" x14ac:dyDescent="0.2">
      <c r="A3377" s="1" t="s">
        <v>8</v>
      </c>
      <c r="B3377" s="2" t="s">
        <v>223</v>
      </c>
      <c r="C3377" s="5"/>
      <c r="D3377" s="5" t="s">
        <v>464</v>
      </c>
      <c r="E3377" s="3"/>
      <c r="F3377" s="3"/>
      <c r="G3377" s="57" t="str">
        <f t="shared" si="52"/>
        <v>-</v>
      </c>
      <c r="H3377" s="19" t="s">
        <v>465</v>
      </c>
      <c r="I3377" s="19">
        <v>92500</v>
      </c>
    </row>
    <row r="3378" spans="1:9" s="1" customFormat="1" x14ac:dyDescent="0.2">
      <c r="A3378" s="1" t="s">
        <v>8</v>
      </c>
      <c r="B3378" s="2" t="s">
        <v>223</v>
      </c>
      <c r="C3378" s="5"/>
      <c r="D3378" s="5" t="s">
        <v>464</v>
      </c>
      <c r="E3378" s="3"/>
      <c r="F3378" s="3"/>
      <c r="G3378" s="57" t="str">
        <f t="shared" si="52"/>
        <v>-</v>
      </c>
      <c r="H3378" s="19" t="s">
        <v>465</v>
      </c>
      <c r="I3378" s="19">
        <v>92500</v>
      </c>
    </row>
    <row r="3379" spans="1:9" s="1" customFormat="1" x14ac:dyDescent="0.2">
      <c r="A3379" s="1" t="s">
        <v>8</v>
      </c>
      <c r="B3379" s="2" t="s">
        <v>223</v>
      </c>
      <c r="C3379" s="5"/>
      <c r="D3379" s="5" t="s">
        <v>464</v>
      </c>
      <c r="E3379" s="3"/>
      <c r="F3379" s="3"/>
      <c r="G3379" s="57" t="str">
        <f t="shared" si="52"/>
        <v>-</v>
      </c>
      <c r="H3379" s="19" t="s">
        <v>465</v>
      </c>
      <c r="I3379" s="19">
        <v>92500</v>
      </c>
    </row>
    <row r="3380" spans="1:9" s="1" customFormat="1" x14ac:dyDescent="0.2">
      <c r="A3380" s="1" t="s">
        <v>8</v>
      </c>
      <c r="B3380" s="2" t="s">
        <v>223</v>
      </c>
      <c r="C3380" s="5"/>
      <c r="D3380" s="5" t="s">
        <v>464</v>
      </c>
      <c r="E3380" s="3"/>
      <c r="F3380" s="3"/>
      <c r="G3380" s="57" t="str">
        <f t="shared" si="52"/>
        <v>-</v>
      </c>
      <c r="H3380" s="19" t="s">
        <v>465</v>
      </c>
      <c r="I3380" s="19">
        <v>92500</v>
      </c>
    </row>
    <row r="3381" spans="1:9" s="1" customFormat="1" x14ac:dyDescent="0.2">
      <c r="A3381" s="1" t="s">
        <v>8</v>
      </c>
      <c r="B3381" s="2" t="s">
        <v>223</v>
      </c>
      <c r="C3381" s="5"/>
      <c r="D3381" s="5" t="s">
        <v>464</v>
      </c>
      <c r="E3381" s="3"/>
      <c r="F3381" s="3"/>
      <c r="G3381" s="57" t="str">
        <f t="shared" si="52"/>
        <v>-</v>
      </c>
      <c r="H3381" s="19">
        <v>97500</v>
      </c>
      <c r="I3381" s="19" t="s">
        <v>465</v>
      </c>
    </row>
    <row r="3382" spans="1:9" s="1" customFormat="1" x14ac:dyDescent="0.2">
      <c r="A3382" s="1" t="s">
        <v>8</v>
      </c>
      <c r="B3382" s="2" t="s">
        <v>223</v>
      </c>
      <c r="C3382" s="5"/>
      <c r="D3382" s="5" t="s">
        <v>464</v>
      </c>
      <c r="E3382" s="3"/>
      <c r="F3382" s="3"/>
      <c r="G3382" s="57" t="str">
        <f t="shared" si="52"/>
        <v>-</v>
      </c>
      <c r="H3382" s="19">
        <v>97500</v>
      </c>
      <c r="I3382" s="19" t="s">
        <v>465</v>
      </c>
    </row>
    <row r="3383" spans="1:9" s="1" customFormat="1" x14ac:dyDescent="0.2">
      <c r="A3383" s="1" t="s">
        <v>8</v>
      </c>
      <c r="B3383" s="2" t="s">
        <v>223</v>
      </c>
      <c r="C3383" s="5"/>
      <c r="D3383" s="5" t="s">
        <v>464</v>
      </c>
      <c r="E3383" s="3"/>
      <c r="F3383" s="3"/>
      <c r="G3383" s="57" t="str">
        <f t="shared" si="52"/>
        <v>-</v>
      </c>
      <c r="H3383" s="19">
        <v>97500</v>
      </c>
      <c r="I3383" s="19" t="s">
        <v>465</v>
      </c>
    </row>
    <row r="3384" spans="1:9" s="1" customFormat="1" x14ac:dyDescent="0.2">
      <c r="A3384" s="1" t="s">
        <v>8</v>
      </c>
      <c r="B3384" s="2" t="s">
        <v>223</v>
      </c>
      <c r="C3384" s="5"/>
      <c r="D3384" s="5" t="s">
        <v>464</v>
      </c>
      <c r="E3384" s="3"/>
      <c r="F3384" s="3"/>
      <c r="G3384" s="57" t="str">
        <f t="shared" si="52"/>
        <v>-</v>
      </c>
      <c r="H3384" s="19">
        <v>97500</v>
      </c>
      <c r="I3384" s="19" t="s">
        <v>465</v>
      </c>
    </row>
    <row r="3385" spans="1:9" s="1" customFormat="1" x14ac:dyDescent="0.2">
      <c r="A3385" s="1" t="s">
        <v>8</v>
      </c>
      <c r="B3385" s="2" t="s">
        <v>223</v>
      </c>
      <c r="C3385" s="5"/>
      <c r="D3385" s="5" t="s">
        <v>464</v>
      </c>
      <c r="E3385" s="3"/>
      <c r="F3385" s="3"/>
      <c r="G3385" s="57" t="str">
        <f t="shared" si="52"/>
        <v>-</v>
      </c>
      <c r="H3385" s="19" t="s">
        <v>465</v>
      </c>
      <c r="I3385" s="19">
        <v>97500</v>
      </c>
    </row>
    <row r="3386" spans="1:9" s="1" customFormat="1" x14ac:dyDescent="0.2">
      <c r="A3386" s="1" t="s">
        <v>8</v>
      </c>
      <c r="B3386" s="2" t="s">
        <v>223</v>
      </c>
      <c r="C3386" s="5"/>
      <c r="D3386" s="5" t="s">
        <v>464</v>
      </c>
      <c r="E3386" s="3"/>
      <c r="F3386" s="3"/>
      <c r="G3386" s="57" t="str">
        <f t="shared" si="52"/>
        <v>-</v>
      </c>
      <c r="H3386" s="19" t="s">
        <v>465</v>
      </c>
      <c r="I3386" s="19">
        <v>97500</v>
      </c>
    </row>
    <row r="3387" spans="1:9" s="1" customFormat="1" x14ac:dyDescent="0.2">
      <c r="A3387" s="1" t="s">
        <v>8</v>
      </c>
      <c r="B3387" s="2" t="s">
        <v>223</v>
      </c>
      <c r="C3387" s="5"/>
      <c r="D3387" s="5" t="s">
        <v>464</v>
      </c>
      <c r="E3387" s="3"/>
      <c r="F3387" s="3"/>
      <c r="G3387" s="57" t="str">
        <f t="shared" si="52"/>
        <v>-</v>
      </c>
      <c r="H3387" s="19" t="s">
        <v>465</v>
      </c>
      <c r="I3387" s="19">
        <v>97500</v>
      </c>
    </row>
    <row r="3388" spans="1:9" s="1" customFormat="1" x14ac:dyDescent="0.2">
      <c r="A3388" s="1" t="s">
        <v>8</v>
      </c>
      <c r="B3388" s="2" t="s">
        <v>223</v>
      </c>
      <c r="C3388" s="5"/>
      <c r="D3388" s="5" t="s">
        <v>464</v>
      </c>
      <c r="E3388" s="3"/>
      <c r="F3388" s="3"/>
      <c r="G3388" s="57" t="str">
        <f t="shared" si="52"/>
        <v>-</v>
      </c>
      <c r="H3388" s="19" t="s">
        <v>465</v>
      </c>
      <c r="I3388" s="19">
        <v>97500</v>
      </c>
    </row>
    <row r="3389" spans="1:9" s="1" customFormat="1" x14ac:dyDescent="0.2">
      <c r="A3389" s="1" t="s">
        <v>8</v>
      </c>
      <c r="B3389" s="2" t="s">
        <v>223</v>
      </c>
      <c r="C3389" s="5"/>
      <c r="D3389" s="5" t="s">
        <v>464</v>
      </c>
      <c r="E3389" s="3">
        <v>102500</v>
      </c>
      <c r="F3389" s="3" t="s">
        <v>465</v>
      </c>
      <c r="G3389" s="57" t="str">
        <f t="shared" si="52"/>
        <v>-</v>
      </c>
      <c r="H3389" s="19"/>
      <c r="I3389" s="19"/>
    </row>
    <row r="3390" spans="1:9" s="1" customFormat="1" x14ac:dyDescent="0.2">
      <c r="A3390" s="1" t="s">
        <v>8</v>
      </c>
      <c r="B3390" s="2" t="s">
        <v>223</v>
      </c>
      <c r="C3390" s="5"/>
      <c r="D3390" s="5" t="s">
        <v>464</v>
      </c>
      <c r="E3390" s="3">
        <v>102500</v>
      </c>
      <c r="F3390" s="3" t="s">
        <v>465</v>
      </c>
      <c r="G3390" s="57" t="str">
        <f t="shared" si="52"/>
        <v>-</v>
      </c>
      <c r="H3390" s="19"/>
      <c r="I3390" s="19"/>
    </row>
    <row r="3391" spans="1:9" s="1" customFormat="1" x14ac:dyDescent="0.2">
      <c r="A3391" s="1" t="s">
        <v>8</v>
      </c>
      <c r="B3391" s="2" t="s">
        <v>223</v>
      </c>
      <c r="C3391" s="5"/>
      <c r="D3391" s="5" t="s">
        <v>464</v>
      </c>
      <c r="E3391" s="3">
        <v>102500</v>
      </c>
      <c r="F3391" s="3" t="s">
        <v>465</v>
      </c>
      <c r="G3391" s="57" t="str">
        <f t="shared" si="52"/>
        <v>-</v>
      </c>
      <c r="H3391" s="19"/>
      <c r="I3391" s="19"/>
    </row>
    <row r="3392" spans="1:9" s="1" customFormat="1" x14ac:dyDescent="0.2">
      <c r="A3392" s="1" t="s">
        <v>8</v>
      </c>
      <c r="B3392" s="2" t="s">
        <v>223</v>
      </c>
      <c r="C3392" s="5"/>
      <c r="D3392" s="5" t="s">
        <v>464</v>
      </c>
      <c r="E3392" s="3" t="s">
        <v>465</v>
      </c>
      <c r="F3392" s="3">
        <v>102500</v>
      </c>
      <c r="G3392" s="57" t="str">
        <f t="shared" si="52"/>
        <v>-</v>
      </c>
      <c r="H3392" s="19"/>
      <c r="I3392" s="19"/>
    </row>
    <row r="3393" spans="1:9" s="1" customFormat="1" x14ac:dyDescent="0.2">
      <c r="A3393" s="1" t="s">
        <v>8</v>
      </c>
      <c r="B3393" s="2" t="s">
        <v>223</v>
      </c>
      <c r="C3393" s="5"/>
      <c r="D3393" s="5" t="s">
        <v>464</v>
      </c>
      <c r="E3393" s="3" t="s">
        <v>465</v>
      </c>
      <c r="F3393" s="3">
        <v>102500</v>
      </c>
      <c r="G3393" s="57" t="str">
        <f t="shared" si="52"/>
        <v>-</v>
      </c>
      <c r="H3393" s="4"/>
      <c r="I3393" s="4"/>
    </row>
    <row r="3394" spans="1:9" s="1" customFormat="1" x14ac:dyDescent="0.2">
      <c r="A3394" s="1" t="s">
        <v>8</v>
      </c>
      <c r="B3394" s="2" t="s">
        <v>223</v>
      </c>
      <c r="C3394" s="5"/>
      <c r="D3394" s="5" t="s">
        <v>464</v>
      </c>
      <c r="E3394" s="3">
        <v>107500</v>
      </c>
      <c r="F3394" s="3" t="s">
        <v>465</v>
      </c>
      <c r="G3394" s="57" t="str">
        <f t="shared" si="52"/>
        <v>-</v>
      </c>
      <c r="H3394" s="4"/>
      <c r="I3394" s="4"/>
    </row>
    <row r="3395" spans="1:9" s="1" customFormat="1" x14ac:dyDescent="0.2">
      <c r="A3395" s="1" t="s">
        <v>8</v>
      </c>
      <c r="B3395" s="2" t="s">
        <v>223</v>
      </c>
      <c r="C3395" s="5"/>
      <c r="D3395" s="5" t="s">
        <v>464</v>
      </c>
      <c r="E3395" s="3">
        <v>107500</v>
      </c>
      <c r="F3395" s="3" t="s">
        <v>465</v>
      </c>
      <c r="G3395" s="57" t="str">
        <f t="shared" ref="G3395:G3458" si="53">IF(ISERROR((F3395-E3395)/E3395),"-",(F3395-E3395)/E3395)</f>
        <v>-</v>
      </c>
      <c r="H3395" s="4"/>
      <c r="I3395" s="4"/>
    </row>
    <row r="3396" spans="1:9" s="1" customFormat="1" x14ac:dyDescent="0.2">
      <c r="A3396" s="1" t="s">
        <v>8</v>
      </c>
      <c r="B3396" s="2" t="s">
        <v>223</v>
      </c>
      <c r="C3396" s="5"/>
      <c r="D3396" s="5" t="s">
        <v>464</v>
      </c>
      <c r="E3396" s="3" t="s">
        <v>465</v>
      </c>
      <c r="F3396" s="3">
        <v>107500</v>
      </c>
      <c r="G3396" s="57" t="str">
        <f t="shared" si="53"/>
        <v>-</v>
      </c>
      <c r="H3396" s="4"/>
      <c r="I3396" s="4"/>
    </row>
    <row r="3397" spans="1:9" s="1" customFormat="1" x14ac:dyDescent="0.2">
      <c r="A3397" s="1" t="s">
        <v>8</v>
      </c>
      <c r="B3397" s="2" t="s">
        <v>223</v>
      </c>
      <c r="C3397" s="5"/>
      <c r="D3397" s="5" t="s">
        <v>464</v>
      </c>
      <c r="E3397" s="3" t="s">
        <v>465</v>
      </c>
      <c r="F3397" s="3">
        <v>107500</v>
      </c>
      <c r="G3397" s="57" t="str">
        <f t="shared" si="53"/>
        <v>-</v>
      </c>
      <c r="H3397" s="4"/>
      <c r="I3397" s="4"/>
    </row>
    <row r="3398" spans="1:9" s="1" customFormat="1" x14ac:dyDescent="0.2">
      <c r="A3398" s="1" t="s">
        <v>8</v>
      </c>
      <c r="B3398" s="2" t="s">
        <v>223</v>
      </c>
      <c r="C3398" s="5"/>
      <c r="D3398" s="5" t="s">
        <v>464</v>
      </c>
      <c r="E3398" s="3">
        <v>112500</v>
      </c>
      <c r="F3398" s="3" t="s">
        <v>465</v>
      </c>
      <c r="G3398" s="57" t="str">
        <f t="shared" si="53"/>
        <v>-</v>
      </c>
      <c r="H3398" s="4"/>
      <c r="I3398" s="4"/>
    </row>
    <row r="3399" spans="1:9" s="1" customFormat="1" x14ac:dyDescent="0.2">
      <c r="A3399" s="1" t="s">
        <v>8</v>
      </c>
      <c r="B3399" s="2" t="s">
        <v>223</v>
      </c>
      <c r="C3399" s="5"/>
      <c r="D3399" s="5" t="s">
        <v>464</v>
      </c>
      <c r="E3399" s="3" t="s">
        <v>465</v>
      </c>
      <c r="F3399" s="3">
        <v>112500</v>
      </c>
      <c r="G3399" s="57" t="str">
        <f t="shared" si="53"/>
        <v>-</v>
      </c>
      <c r="H3399" s="4"/>
      <c r="I3399" s="4"/>
    </row>
    <row r="3400" spans="1:9" s="1" customFormat="1" x14ac:dyDescent="0.2">
      <c r="A3400" s="1" t="s">
        <v>8</v>
      </c>
      <c r="B3400" s="2" t="s">
        <v>223</v>
      </c>
      <c r="C3400" s="5"/>
      <c r="D3400" s="5" t="s">
        <v>464</v>
      </c>
      <c r="E3400" s="3" t="s">
        <v>465</v>
      </c>
      <c r="F3400" s="3">
        <v>112500</v>
      </c>
      <c r="G3400" s="57" t="str">
        <f t="shared" si="53"/>
        <v>-</v>
      </c>
      <c r="H3400" s="4"/>
      <c r="I3400" s="4"/>
    </row>
    <row r="3401" spans="1:9" s="1" customFormat="1" x14ac:dyDescent="0.2">
      <c r="A3401" s="1" t="s">
        <v>8</v>
      </c>
      <c r="B3401" s="2" t="s">
        <v>223</v>
      </c>
      <c r="C3401" s="5"/>
      <c r="D3401" s="5" t="s">
        <v>464</v>
      </c>
      <c r="E3401" s="3" t="s">
        <v>465</v>
      </c>
      <c r="F3401" s="3">
        <v>112500</v>
      </c>
      <c r="G3401" s="57" t="str">
        <f t="shared" si="53"/>
        <v>-</v>
      </c>
      <c r="H3401" s="4"/>
      <c r="I3401" s="4"/>
    </row>
    <row r="3402" spans="1:9" s="1" customFormat="1" x14ac:dyDescent="0.2">
      <c r="A3402" s="1" t="s">
        <v>8</v>
      </c>
      <c r="B3402" s="2" t="s">
        <v>223</v>
      </c>
      <c r="C3402" s="5"/>
      <c r="D3402" s="5" t="s">
        <v>464</v>
      </c>
      <c r="E3402" s="3">
        <v>117500</v>
      </c>
      <c r="F3402" s="3" t="s">
        <v>465</v>
      </c>
      <c r="G3402" s="57" t="str">
        <f t="shared" si="53"/>
        <v>-</v>
      </c>
      <c r="H3402" s="4"/>
      <c r="I3402" s="4"/>
    </row>
    <row r="3403" spans="1:9" s="1" customFormat="1" x14ac:dyDescent="0.2">
      <c r="A3403" s="1" t="s">
        <v>8</v>
      </c>
      <c r="B3403" s="2" t="s">
        <v>223</v>
      </c>
      <c r="C3403" s="5"/>
      <c r="D3403" s="5" t="s">
        <v>464</v>
      </c>
      <c r="E3403" s="3">
        <v>117500</v>
      </c>
      <c r="F3403" s="3" t="s">
        <v>465</v>
      </c>
      <c r="G3403" s="57" t="str">
        <f t="shared" si="53"/>
        <v>-</v>
      </c>
      <c r="H3403" s="4"/>
      <c r="I3403" s="4"/>
    </row>
    <row r="3404" spans="1:9" s="1" customFormat="1" x14ac:dyDescent="0.2">
      <c r="A3404" s="1" t="s">
        <v>8</v>
      </c>
      <c r="B3404" s="2" t="s">
        <v>223</v>
      </c>
      <c r="C3404" s="5"/>
      <c r="D3404" s="5" t="s">
        <v>464</v>
      </c>
      <c r="E3404" s="3">
        <v>122500</v>
      </c>
      <c r="F3404" s="3" t="s">
        <v>465</v>
      </c>
      <c r="G3404" s="57" t="str">
        <f t="shared" si="53"/>
        <v>-</v>
      </c>
      <c r="H3404" s="4"/>
      <c r="I3404" s="4"/>
    </row>
    <row r="3405" spans="1:9" s="1" customFormat="1" x14ac:dyDescent="0.2">
      <c r="A3405" s="1" t="s">
        <v>8</v>
      </c>
      <c r="B3405" s="2" t="s">
        <v>223</v>
      </c>
      <c r="C3405" s="5"/>
      <c r="D3405" s="5" t="s">
        <v>464</v>
      </c>
      <c r="E3405" s="3" t="s">
        <v>465</v>
      </c>
      <c r="F3405" s="3">
        <v>122500</v>
      </c>
      <c r="G3405" s="57" t="str">
        <f t="shared" si="53"/>
        <v>-</v>
      </c>
      <c r="H3405" s="4"/>
      <c r="I3405" s="4"/>
    </row>
    <row r="3406" spans="1:9" s="1" customFormat="1" x14ac:dyDescent="0.2">
      <c r="A3406" s="1" t="s">
        <v>8</v>
      </c>
      <c r="B3406" s="2" t="s">
        <v>223</v>
      </c>
      <c r="C3406" s="5"/>
      <c r="D3406" s="5" t="s">
        <v>464</v>
      </c>
      <c r="E3406" s="3" t="s">
        <v>465</v>
      </c>
      <c r="F3406" s="3">
        <v>132500</v>
      </c>
      <c r="G3406" s="57" t="str">
        <f t="shared" si="53"/>
        <v>-</v>
      </c>
      <c r="H3406" s="4"/>
      <c r="I3406" s="4"/>
    </row>
    <row r="3407" spans="1:9" s="1" customFormat="1" x14ac:dyDescent="0.2">
      <c r="A3407" s="1" t="s">
        <v>8</v>
      </c>
      <c r="B3407" s="2" t="s">
        <v>223</v>
      </c>
      <c r="C3407" s="5"/>
      <c r="D3407" s="5" t="s">
        <v>464</v>
      </c>
      <c r="E3407" s="3" t="s">
        <v>465</v>
      </c>
      <c r="F3407" s="3">
        <v>142500</v>
      </c>
      <c r="G3407" s="57" t="str">
        <f t="shared" si="53"/>
        <v>-</v>
      </c>
      <c r="H3407" s="4"/>
      <c r="I3407" s="4"/>
    </row>
    <row r="3408" spans="1:9" s="1" customFormat="1" x14ac:dyDescent="0.2">
      <c r="A3408" s="1" t="s">
        <v>8</v>
      </c>
      <c r="B3408" s="2" t="s">
        <v>223</v>
      </c>
      <c r="C3408" s="5"/>
      <c r="D3408" s="5" t="s">
        <v>464</v>
      </c>
      <c r="E3408" s="3" t="s">
        <v>465</v>
      </c>
      <c r="F3408" s="3">
        <v>172500</v>
      </c>
      <c r="G3408" s="57" t="str">
        <f t="shared" si="53"/>
        <v>-</v>
      </c>
      <c r="H3408" s="4"/>
      <c r="I3408" s="4"/>
    </row>
    <row r="3409" spans="1:10" ht="25.5" x14ac:dyDescent="0.2">
      <c r="A3409" s="1" t="s">
        <v>4</v>
      </c>
      <c r="B3409" s="2" t="s">
        <v>224</v>
      </c>
      <c r="D3409" s="5" t="s">
        <v>450</v>
      </c>
      <c r="E3409" s="3">
        <v>130266</v>
      </c>
      <c r="F3409" s="3">
        <v>36892</v>
      </c>
      <c r="G3409" s="57">
        <f t="shared" si="53"/>
        <v>-0.71679486588979469</v>
      </c>
      <c r="J3409" s="5" t="s">
        <v>3246</v>
      </c>
    </row>
    <row r="3410" spans="1:10" ht="25.5" x14ac:dyDescent="0.2">
      <c r="A3410" s="1" t="s">
        <v>4</v>
      </c>
      <c r="B3410" s="2" t="s">
        <v>224</v>
      </c>
      <c r="D3410" s="5" t="s">
        <v>1263</v>
      </c>
      <c r="E3410" s="3">
        <v>109571</v>
      </c>
      <c r="F3410" s="3">
        <v>107820</v>
      </c>
      <c r="G3410" s="57">
        <f t="shared" si="53"/>
        <v>-1.5980505790765806E-2</v>
      </c>
      <c r="J3410" s="5" t="s">
        <v>3245</v>
      </c>
    </row>
    <row r="3411" spans="1:10" ht="25.5" x14ac:dyDescent="0.2">
      <c r="A3411" s="1" t="s">
        <v>4</v>
      </c>
      <c r="B3411" s="2" t="s">
        <v>224</v>
      </c>
      <c r="D3411" s="5" t="s">
        <v>1264</v>
      </c>
      <c r="E3411" s="3">
        <v>110061</v>
      </c>
      <c r="F3411" s="3">
        <v>107585</v>
      </c>
      <c r="G3411" s="57">
        <f t="shared" si="53"/>
        <v>-2.2496615513215398E-2</v>
      </c>
      <c r="J3411" s="5" t="s">
        <v>3247</v>
      </c>
    </row>
    <row r="3412" spans="1:10" x14ac:dyDescent="0.2">
      <c r="A3412" s="1" t="s">
        <v>4</v>
      </c>
      <c r="B3412" s="2" t="s">
        <v>224</v>
      </c>
      <c r="D3412" s="5" t="s">
        <v>464</v>
      </c>
      <c r="E3412" s="3" t="s">
        <v>465</v>
      </c>
      <c r="F3412" s="3">
        <v>102500</v>
      </c>
      <c r="G3412" s="57" t="str">
        <f t="shared" si="53"/>
        <v>-</v>
      </c>
    </row>
    <row r="3413" spans="1:10" ht="25.5" x14ac:dyDescent="0.2">
      <c r="A3413" s="1" t="s">
        <v>25</v>
      </c>
      <c r="B3413" s="2" t="s">
        <v>225</v>
      </c>
      <c r="C3413" s="5" t="s">
        <v>1255</v>
      </c>
      <c r="D3413" s="5" t="s">
        <v>450</v>
      </c>
      <c r="E3413" s="3">
        <v>229902</v>
      </c>
      <c r="F3413" s="3">
        <v>230864</v>
      </c>
      <c r="G3413" s="57">
        <f t="shared" si="53"/>
        <v>4.1843916103383181E-3</v>
      </c>
      <c r="J3413" s="5" t="s">
        <v>3239</v>
      </c>
    </row>
    <row r="3414" spans="1:10" ht="25.5" x14ac:dyDescent="0.2">
      <c r="A3414" s="1" t="s">
        <v>25</v>
      </c>
      <c r="B3414" s="2" t="s">
        <v>225</v>
      </c>
      <c r="D3414" s="5" t="s">
        <v>1257</v>
      </c>
      <c r="E3414" s="3">
        <v>168642</v>
      </c>
      <c r="F3414" s="3">
        <v>169348</v>
      </c>
      <c r="G3414" s="57">
        <f t="shared" si="53"/>
        <v>4.1863829888165466E-3</v>
      </c>
      <c r="J3414" s="5" t="s">
        <v>3240</v>
      </c>
    </row>
    <row r="3415" spans="1:10" ht="25.5" x14ac:dyDescent="0.2">
      <c r="A3415" s="1" t="s">
        <v>25</v>
      </c>
      <c r="B3415" s="2" t="s">
        <v>225</v>
      </c>
      <c r="D3415" s="5" t="s">
        <v>1256</v>
      </c>
      <c r="E3415" s="3">
        <v>168642</v>
      </c>
      <c r="F3415" s="3">
        <v>169348</v>
      </c>
      <c r="G3415" s="57">
        <f t="shared" si="53"/>
        <v>4.1863829888165466E-3</v>
      </c>
      <c r="J3415" s="5" t="s">
        <v>3240</v>
      </c>
    </row>
    <row r="3416" spans="1:10" ht="25.5" x14ac:dyDescent="0.2">
      <c r="A3416" s="1" t="s">
        <v>25</v>
      </c>
      <c r="B3416" s="2" t="s">
        <v>225</v>
      </c>
      <c r="D3416" s="5" t="s">
        <v>1258</v>
      </c>
      <c r="E3416" s="3">
        <v>165502</v>
      </c>
      <c r="F3416" s="3">
        <v>169348</v>
      </c>
      <c r="G3416" s="57">
        <f t="shared" si="53"/>
        <v>2.3238389868400381E-2</v>
      </c>
      <c r="J3416" s="5" t="s">
        <v>3240</v>
      </c>
    </row>
    <row r="3417" spans="1:10" ht="25.5" x14ac:dyDescent="0.2">
      <c r="A3417" s="1" t="s">
        <v>25</v>
      </c>
      <c r="B3417" s="2" t="s">
        <v>225</v>
      </c>
      <c r="D3417" s="5" t="s">
        <v>1259</v>
      </c>
      <c r="E3417" s="3">
        <v>162361</v>
      </c>
      <c r="F3417" s="3">
        <v>166194</v>
      </c>
      <c r="G3417" s="57">
        <f t="shared" si="53"/>
        <v>2.3607886130289909E-2</v>
      </c>
      <c r="J3417" s="5" t="s">
        <v>3241</v>
      </c>
    </row>
    <row r="3418" spans="1:10" ht="25.5" x14ac:dyDescent="0.2">
      <c r="A3418" s="1" t="s">
        <v>25</v>
      </c>
      <c r="B3418" s="2" t="s">
        <v>225</v>
      </c>
      <c r="D3418" s="5" t="s">
        <v>1260</v>
      </c>
      <c r="E3418" s="3">
        <v>130898</v>
      </c>
      <c r="F3418" s="3">
        <v>131446</v>
      </c>
      <c r="G3418" s="57">
        <f t="shared" si="53"/>
        <v>4.1864657977967578E-3</v>
      </c>
      <c r="J3418" s="5" t="s">
        <v>3242</v>
      </c>
    </row>
    <row r="3419" spans="1:10" ht="25.5" x14ac:dyDescent="0.2">
      <c r="A3419" s="1" t="s">
        <v>25</v>
      </c>
      <c r="B3419" s="2" t="s">
        <v>225</v>
      </c>
      <c r="D3419" s="5" t="s">
        <v>1261</v>
      </c>
      <c r="E3419" s="3">
        <v>128508</v>
      </c>
      <c r="F3419" s="3">
        <v>129046</v>
      </c>
      <c r="G3419" s="57">
        <f t="shared" si="53"/>
        <v>4.1865097892738196E-3</v>
      </c>
      <c r="J3419" s="5" t="s">
        <v>3243</v>
      </c>
    </row>
    <row r="3420" spans="1:10" ht="25.5" x14ac:dyDescent="0.2">
      <c r="A3420" s="1" t="s">
        <v>25</v>
      </c>
      <c r="B3420" s="2" t="s">
        <v>225</v>
      </c>
      <c r="D3420" s="5" t="s">
        <v>1262</v>
      </c>
      <c r="E3420" s="3">
        <v>130898</v>
      </c>
      <c r="F3420" s="3">
        <v>113084</v>
      </c>
      <c r="G3420" s="57">
        <f t="shared" si="53"/>
        <v>-0.1360906965729041</v>
      </c>
      <c r="J3420" s="5" t="s">
        <v>3244</v>
      </c>
    </row>
    <row r="3421" spans="1:10" x14ac:dyDescent="0.2">
      <c r="A3421" s="1" t="s">
        <v>25</v>
      </c>
      <c r="B3421" s="2" t="s">
        <v>225</v>
      </c>
      <c r="D3421" s="5" t="s">
        <v>464</v>
      </c>
      <c r="G3421" s="57" t="str">
        <f t="shared" si="53"/>
        <v>-</v>
      </c>
      <c r="H3421" s="19" t="s">
        <v>465</v>
      </c>
      <c r="I3421" s="19">
        <v>92500</v>
      </c>
      <c r="J3421" s="5" t="s">
        <v>1241</v>
      </c>
    </row>
    <row r="3422" spans="1:10" x14ac:dyDescent="0.2">
      <c r="A3422" s="1" t="s">
        <v>25</v>
      </c>
      <c r="B3422" s="2" t="s">
        <v>225</v>
      </c>
      <c r="D3422" s="5" t="s">
        <v>464</v>
      </c>
      <c r="G3422" s="57" t="str">
        <f t="shared" si="53"/>
        <v>-</v>
      </c>
      <c r="H3422" s="19" t="s">
        <v>465</v>
      </c>
      <c r="I3422" s="19">
        <v>92500</v>
      </c>
      <c r="J3422" s="5" t="s">
        <v>1241</v>
      </c>
    </row>
    <row r="3423" spans="1:10" x14ac:dyDescent="0.2">
      <c r="A3423" s="1" t="s">
        <v>25</v>
      </c>
      <c r="B3423" s="2" t="s">
        <v>225</v>
      </c>
      <c r="D3423" s="5" t="s">
        <v>464</v>
      </c>
      <c r="G3423" s="57" t="str">
        <f t="shared" si="53"/>
        <v>-</v>
      </c>
      <c r="H3423" s="19" t="s">
        <v>465</v>
      </c>
      <c r="I3423" s="19">
        <v>92500</v>
      </c>
    </row>
    <row r="3424" spans="1:10" x14ac:dyDescent="0.2">
      <c r="A3424" s="1" t="s">
        <v>25</v>
      </c>
      <c r="B3424" s="2" t="s">
        <v>225</v>
      </c>
      <c r="D3424" s="5" t="s">
        <v>464</v>
      </c>
      <c r="G3424" s="57" t="str">
        <f t="shared" si="53"/>
        <v>-</v>
      </c>
      <c r="H3424" s="19" t="s">
        <v>465</v>
      </c>
      <c r="I3424" s="19">
        <v>92500</v>
      </c>
    </row>
    <row r="3425" spans="1:9" s="1" customFormat="1" x14ac:dyDescent="0.2">
      <c r="A3425" s="1" t="s">
        <v>25</v>
      </c>
      <c r="B3425" s="2" t="s">
        <v>225</v>
      </c>
      <c r="C3425" s="5"/>
      <c r="D3425" s="5" t="s">
        <v>464</v>
      </c>
      <c r="E3425" s="3"/>
      <c r="F3425" s="3"/>
      <c r="G3425" s="57" t="str">
        <f t="shared" si="53"/>
        <v>-</v>
      </c>
      <c r="H3425" s="19" t="s">
        <v>465</v>
      </c>
      <c r="I3425" s="19">
        <v>92500</v>
      </c>
    </row>
    <row r="3426" spans="1:9" s="1" customFormat="1" x14ac:dyDescent="0.2">
      <c r="A3426" s="1" t="s">
        <v>25</v>
      </c>
      <c r="B3426" s="2" t="s">
        <v>225</v>
      </c>
      <c r="C3426" s="5"/>
      <c r="D3426" s="5" t="s">
        <v>464</v>
      </c>
      <c r="E3426" s="3"/>
      <c r="F3426" s="3"/>
      <c r="G3426" s="57" t="str">
        <f t="shared" si="53"/>
        <v>-</v>
      </c>
      <c r="H3426" s="19" t="s">
        <v>465</v>
      </c>
      <c r="I3426" s="19">
        <v>92500</v>
      </c>
    </row>
    <row r="3427" spans="1:9" s="1" customFormat="1" x14ac:dyDescent="0.2">
      <c r="A3427" s="1" t="s">
        <v>25</v>
      </c>
      <c r="B3427" s="2" t="s">
        <v>225</v>
      </c>
      <c r="C3427" s="5"/>
      <c r="D3427" s="5" t="s">
        <v>464</v>
      </c>
      <c r="E3427" s="3"/>
      <c r="F3427" s="3"/>
      <c r="G3427" s="57" t="str">
        <f t="shared" si="53"/>
        <v>-</v>
      </c>
      <c r="H3427" s="19" t="s">
        <v>465</v>
      </c>
      <c r="I3427" s="19">
        <v>92500</v>
      </c>
    </row>
    <row r="3428" spans="1:9" s="1" customFormat="1" x14ac:dyDescent="0.2">
      <c r="A3428" s="1" t="s">
        <v>25</v>
      </c>
      <c r="B3428" s="2" t="s">
        <v>225</v>
      </c>
      <c r="C3428" s="5"/>
      <c r="D3428" s="5" t="s">
        <v>464</v>
      </c>
      <c r="E3428" s="3"/>
      <c r="F3428" s="3"/>
      <c r="G3428" s="57" t="str">
        <f t="shared" si="53"/>
        <v>-</v>
      </c>
      <c r="H3428" s="19" t="s">
        <v>465</v>
      </c>
      <c r="I3428" s="19">
        <v>92500</v>
      </c>
    </row>
    <row r="3429" spans="1:9" s="1" customFormat="1" x14ac:dyDescent="0.2">
      <c r="A3429" s="1" t="s">
        <v>25</v>
      </c>
      <c r="B3429" s="2" t="s">
        <v>225</v>
      </c>
      <c r="C3429" s="5"/>
      <c r="D3429" s="5" t="s">
        <v>464</v>
      </c>
      <c r="E3429" s="3"/>
      <c r="F3429" s="3"/>
      <c r="G3429" s="57" t="str">
        <f t="shared" si="53"/>
        <v>-</v>
      </c>
      <c r="H3429" s="19">
        <v>92500</v>
      </c>
      <c r="I3429" s="19" t="s">
        <v>465</v>
      </c>
    </row>
    <row r="3430" spans="1:9" s="1" customFormat="1" x14ac:dyDescent="0.2">
      <c r="A3430" s="1" t="s">
        <v>25</v>
      </c>
      <c r="B3430" s="2" t="s">
        <v>225</v>
      </c>
      <c r="C3430" s="5"/>
      <c r="D3430" s="5" t="s">
        <v>464</v>
      </c>
      <c r="E3430" s="3"/>
      <c r="F3430" s="3"/>
      <c r="G3430" s="57" t="str">
        <f t="shared" si="53"/>
        <v>-</v>
      </c>
      <c r="H3430" s="19">
        <v>92500</v>
      </c>
      <c r="I3430" s="19" t="s">
        <v>465</v>
      </c>
    </row>
    <row r="3431" spans="1:9" s="1" customFormat="1" x14ac:dyDescent="0.2">
      <c r="A3431" s="1" t="s">
        <v>25</v>
      </c>
      <c r="B3431" s="2" t="s">
        <v>225</v>
      </c>
      <c r="C3431" s="5"/>
      <c r="D3431" s="5" t="s">
        <v>464</v>
      </c>
      <c r="E3431" s="3"/>
      <c r="F3431" s="3"/>
      <c r="G3431" s="57" t="str">
        <f t="shared" si="53"/>
        <v>-</v>
      </c>
      <c r="H3431" s="19">
        <v>92500</v>
      </c>
      <c r="I3431" s="19" t="s">
        <v>465</v>
      </c>
    </row>
    <row r="3432" spans="1:9" s="1" customFormat="1" x14ac:dyDescent="0.2">
      <c r="A3432" s="1" t="s">
        <v>25</v>
      </c>
      <c r="B3432" s="2" t="s">
        <v>225</v>
      </c>
      <c r="C3432" s="5"/>
      <c r="D3432" s="5" t="s">
        <v>464</v>
      </c>
      <c r="E3432" s="3"/>
      <c r="F3432" s="3"/>
      <c r="G3432" s="57" t="str">
        <f t="shared" si="53"/>
        <v>-</v>
      </c>
      <c r="H3432" s="19">
        <v>92500</v>
      </c>
      <c r="I3432" s="19" t="s">
        <v>465</v>
      </c>
    </row>
    <row r="3433" spans="1:9" s="1" customFormat="1" x14ac:dyDescent="0.2">
      <c r="A3433" s="1" t="s">
        <v>25</v>
      </c>
      <c r="B3433" s="2" t="s">
        <v>225</v>
      </c>
      <c r="C3433" s="5"/>
      <c r="D3433" s="5" t="s">
        <v>464</v>
      </c>
      <c r="E3433" s="3"/>
      <c r="F3433" s="3"/>
      <c r="G3433" s="57" t="str">
        <f t="shared" si="53"/>
        <v>-</v>
      </c>
      <c r="H3433" s="19">
        <v>92500</v>
      </c>
      <c r="I3433" s="19" t="s">
        <v>465</v>
      </c>
    </row>
    <row r="3434" spans="1:9" s="1" customFormat="1" x14ac:dyDescent="0.2">
      <c r="A3434" s="1" t="s">
        <v>25</v>
      </c>
      <c r="B3434" s="2" t="s">
        <v>225</v>
      </c>
      <c r="C3434" s="5"/>
      <c r="D3434" s="5" t="s">
        <v>464</v>
      </c>
      <c r="E3434" s="3"/>
      <c r="F3434" s="3"/>
      <c r="G3434" s="57" t="str">
        <f t="shared" si="53"/>
        <v>-</v>
      </c>
      <c r="H3434" s="19" t="s">
        <v>465</v>
      </c>
      <c r="I3434" s="19">
        <v>97500</v>
      </c>
    </row>
    <row r="3435" spans="1:9" s="1" customFormat="1" x14ac:dyDescent="0.2">
      <c r="A3435" s="1" t="s">
        <v>25</v>
      </c>
      <c r="B3435" s="2" t="s">
        <v>225</v>
      </c>
      <c r="C3435" s="5"/>
      <c r="D3435" s="5" t="s">
        <v>464</v>
      </c>
      <c r="E3435" s="3"/>
      <c r="F3435" s="3"/>
      <c r="G3435" s="57" t="str">
        <f t="shared" si="53"/>
        <v>-</v>
      </c>
      <c r="H3435" s="19" t="s">
        <v>465</v>
      </c>
      <c r="I3435" s="19">
        <v>97500</v>
      </c>
    </row>
    <row r="3436" spans="1:9" s="1" customFormat="1" x14ac:dyDescent="0.2">
      <c r="A3436" s="1" t="s">
        <v>25</v>
      </c>
      <c r="B3436" s="2" t="s">
        <v>225</v>
      </c>
      <c r="C3436" s="5"/>
      <c r="D3436" s="5" t="s">
        <v>464</v>
      </c>
      <c r="E3436" s="3"/>
      <c r="F3436" s="3"/>
      <c r="G3436" s="57" t="str">
        <f t="shared" si="53"/>
        <v>-</v>
      </c>
      <c r="H3436" s="19">
        <v>97500</v>
      </c>
      <c r="I3436" s="19" t="s">
        <v>465</v>
      </c>
    </row>
    <row r="3437" spans="1:9" s="1" customFormat="1" x14ac:dyDescent="0.2">
      <c r="A3437" s="1" t="s">
        <v>25</v>
      </c>
      <c r="B3437" s="2" t="s">
        <v>225</v>
      </c>
      <c r="C3437" s="5"/>
      <c r="D3437" s="5" t="s">
        <v>464</v>
      </c>
      <c r="E3437" s="3"/>
      <c r="F3437" s="3"/>
      <c r="G3437" s="57" t="str">
        <f t="shared" si="53"/>
        <v>-</v>
      </c>
      <c r="H3437" s="19">
        <v>97500</v>
      </c>
      <c r="I3437" s="19" t="s">
        <v>465</v>
      </c>
    </row>
    <row r="3438" spans="1:9" s="1" customFormat="1" x14ac:dyDescent="0.2">
      <c r="A3438" s="1" t="s">
        <v>25</v>
      </c>
      <c r="B3438" s="2" t="s">
        <v>225</v>
      </c>
      <c r="C3438" s="5"/>
      <c r="D3438" s="5" t="s">
        <v>464</v>
      </c>
      <c r="E3438" s="3" t="s">
        <v>465</v>
      </c>
      <c r="F3438" s="3">
        <v>102500</v>
      </c>
      <c r="G3438" s="57" t="str">
        <f t="shared" si="53"/>
        <v>-</v>
      </c>
      <c r="H3438" s="19"/>
      <c r="I3438" s="19"/>
    </row>
    <row r="3439" spans="1:9" s="1" customFormat="1" x14ac:dyDescent="0.2">
      <c r="A3439" s="1" t="s">
        <v>25</v>
      </c>
      <c r="B3439" s="2" t="s">
        <v>225</v>
      </c>
      <c r="C3439" s="5"/>
      <c r="D3439" s="5" t="s">
        <v>464</v>
      </c>
      <c r="E3439" s="3" t="s">
        <v>465</v>
      </c>
      <c r="F3439" s="3">
        <v>102500</v>
      </c>
      <c r="G3439" s="57" t="str">
        <f t="shared" si="53"/>
        <v>-</v>
      </c>
      <c r="H3439" s="19"/>
      <c r="I3439" s="19"/>
    </row>
    <row r="3440" spans="1:9" s="1" customFormat="1" x14ac:dyDescent="0.2">
      <c r="A3440" s="1" t="s">
        <v>25</v>
      </c>
      <c r="B3440" s="2" t="s">
        <v>225</v>
      </c>
      <c r="C3440" s="5"/>
      <c r="D3440" s="5" t="s">
        <v>464</v>
      </c>
      <c r="E3440" s="3" t="s">
        <v>465</v>
      </c>
      <c r="F3440" s="3">
        <v>102500</v>
      </c>
      <c r="G3440" s="57" t="str">
        <f t="shared" si="53"/>
        <v>-</v>
      </c>
      <c r="H3440" s="19"/>
      <c r="I3440" s="19"/>
    </row>
    <row r="3441" spans="1:10" x14ac:dyDescent="0.2">
      <c r="A3441" s="1" t="s">
        <v>25</v>
      </c>
      <c r="B3441" s="2" t="s">
        <v>225</v>
      </c>
      <c r="D3441" s="5" t="s">
        <v>464</v>
      </c>
      <c r="E3441" s="3" t="s">
        <v>465</v>
      </c>
      <c r="F3441" s="3">
        <v>102500</v>
      </c>
      <c r="G3441" s="57" t="str">
        <f t="shared" si="53"/>
        <v>-</v>
      </c>
    </row>
    <row r="3442" spans="1:10" x14ac:dyDescent="0.2">
      <c r="A3442" s="1" t="s">
        <v>25</v>
      </c>
      <c r="B3442" s="2" t="s">
        <v>225</v>
      </c>
      <c r="D3442" s="5" t="s">
        <v>464</v>
      </c>
      <c r="E3442" s="3">
        <v>102500</v>
      </c>
      <c r="F3442" s="3" t="s">
        <v>465</v>
      </c>
      <c r="G3442" s="57" t="str">
        <f t="shared" si="53"/>
        <v>-</v>
      </c>
    </row>
    <row r="3443" spans="1:10" x14ac:dyDescent="0.2">
      <c r="A3443" s="1" t="s">
        <v>25</v>
      </c>
      <c r="B3443" s="2" t="s">
        <v>225</v>
      </c>
      <c r="D3443" s="5" t="s">
        <v>464</v>
      </c>
      <c r="E3443" s="3">
        <v>102500</v>
      </c>
      <c r="F3443" s="3" t="s">
        <v>465</v>
      </c>
      <c r="G3443" s="57" t="str">
        <f t="shared" si="53"/>
        <v>-</v>
      </c>
    </row>
    <row r="3444" spans="1:10" ht="25.5" x14ac:dyDescent="0.2">
      <c r="A3444" s="1" t="s">
        <v>39</v>
      </c>
      <c r="B3444" s="2" t="s">
        <v>226</v>
      </c>
      <c r="D3444" s="5" t="s">
        <v>450</v>
      </c>
      <c r="E3444" s="3">
        <v>126476</v>
      </c>
      <c r="F3444" s="3">
        <v>126708</v>
      </c>
      <c r="G3444" s="57">
        <f t="shared" si="53"/>
        <v>1.834340111958E-3</v>
      </c>
      <c r="J3444" s="5" t="s">
        <v>3238</v>
      </c>
    </row>
    <row r="3445" spans="1:10" x14ac:dyDescent="0.2">
      <c r="A3445" s="1" t="s">
        <v>11</v>
      </c>
      <c r="B3445" s="2" t="s">
        <v>227</v>
      </c>
      <c r="D3445" s="5" t="s">
        <v>464</v>
      </c>
      <c r="E3445" s="3" t="s">
        <v>465</v>
      </c>
      <c r="F3445" s="3">
        <v>95000</v>
      </c>
      <c r="G3445" s="57" t="str">
        <f t="shared" si="53"/>
        <v>-</v>
      </c>
    </row>
    <row r="3446" spans="1:10" ht="25.5" x14ac:dyDescent="0.2">
      <c r="A3446" s="1" t="s">
        <v>8</v>
      </c>
      <c r="B3446" s="2" t="s">
        <v>228</v>
      </c>
      <c r="D3446" s="5" t="s">
        <v>450</v>
      </c>
      <c r="E3446" s="3">
        <v>146153</v>
      </c>
      <c r="F3446" s="3">
        <v>149445</v>
      </c>
      <c r="G3446" s="57">
        <f t="shared" si="53"/>
        <v>2.2524340930394859E-2</v>
      </c>
      <c r="J3446" s="5" t="s">
        <v>3234</v>
      </c>
    </row>
    <row r="3447" spans="1:10" ht="25.5" x14ac:dyDescent="0.2">
      <c r="A3447" s="1" t="s">
        <v>8</v>
      </c>
      <c r="B3447" s="2" t="s">
        <v>228</v>
      </c>
      <c r="D3447" s="5" t="s">
        <v>1253</v>
      </c>
      <c r="E3447" s="3">
        <v>108616</v>
      </c>
      <c r="F3447" s="3">
        <v>108169</v>
      </c>
      <c r="G3447" s="57">
        <f t="shared" si="53"/>
        <v>-4.1154157766811516E-3</v>
      </c>
      <c r="J3447" s="5" t="s">
        <v>3235</v>
      </c>
    </row>
    <row r="3448" spans="1:10" ht="25.5" x14ac:dyDescent="0.2">
      <c r="A3448" s="1" t="s">
        <v>8</v>
      </c>
      <c r="B3448" s="2" t="s">
        <v>228</v>
      </c>
      <c r="D3448" s="5" t="s">
        <v>1254</v>
      </c>
      <c r="E3448" s="3">
        <v>108466</v>
      </c>
      <c r="F3448" s="3">
        <v>108313</v>
      </c>
      <c r="G3448" s="57">
        <f t="shared" si="53"/>
        <v>-1.4105802740029133E-3</v>
      </c>
      <c r="J3448" s="5" t="s">
        <v>3236</v>
      </c>
    </row>
    <row r="3449" spans="1:10" ht="25.5" x14ac:dyDescent="0.2">
      <c r="A3449" s="1" t="s">
        <v>8</v>
      </c>
      <c r="B3449" s="2" t="s">
        <v>228</v>
      </c>
      <c r="D3449" s="5" t="s">
        <v>463</v>
      </c>
      <c r="E3449" s="3">
        <v>107670</v>
      </c>
      <c r="F3449" s="3">
        <v>108934</v>
      </c>
      <c r="G3449" s="57">
        <f t="shared" si="53"/>
        <v>1.1739574626172564E-2</v>
      </c>
      <c r="J3449" s="5" t="s">
        <v>3237</v>
      </c>
    </row>
    <row r="3450" spans="1:10" x14ac:dyDescent="0.2">
      <c r="A3450" s="1" t="s">
        <v>8</v>
      </c>
      <c r="B3450" s="2" t="s">
        <v>228</v>
      </c>
      <c r="D3450" s="5" t="s">
        <v>464</v>
      </c>
      <c r="E3450" s="3" t="s">
        <v>465</v>
      </c>
      <c r="F3450" s="3">
        <v>102500</v>
      </c>
      <c r="G3450" s="57" t="str">
        <f t="shared" si="53"/>
        <v>-</v>
      </c>
    </row>
    <row r="3451" spans="1:10" ht="25.5" x14ac:dyDescent="0.2">
      <c r="A3451" s="1" t="s">
        <v>8</v>
      </c>
      <c r="B3451" s="2" t="s">
        <v>229</v>
      </c>
      <c r="C3451" s="5" t="s">
        <v>1248</v>
      </c>
      <c r="D3451" s="5" t="s">
        <v>450</v>
      </c>
      <c r="E3451" s="3">
        <v>206059</v>
      </c>
      <c r="F3451" s="3">
        <v>207113</v>
      </c>
      <c r="G3451" s="57">
        <f t="shared" si="53"/>
        <v>5.1150398672224944E-3</v>
      </c>
      <c r="J3451" s="5" t="s">
        <v>3225</v>
      </c>
    </row>
    <row r="3452" spans="1:10" ht="25.5" x14ac:dyDescent="0.2">
      <c r="A3452" s="1" t="s">
        <v>8</v>
      </c>
      <c r="B3452" s="2" t="s">
        <v>229</v>
      </c>
      <c r="D3452" s="5" t="s">
        <v>3226</v>
      </c>
      <c r="E3452" s="3">
        <v>150948</v>
      </c>
      <c r="F3452" s="3">
        <v>57118</v>
      </c>
      <c r="G3452" s="57">
        <f t="shared" si="53"/>
        <v>-0.6216047910538729</v>
      </c>
      <c r="J3452" s="5" t="s">
        <v>3227</v>
      </c>
    </row>
    <row r="3453" spans="1:10" ht="25.5" x14ac:dyDescent="0.2">
      <c r="A3453" s="1" t="s">
        <v>8</v>
      </c>
      <c r="B3453" s="2" t="s">
        <v>229</v>
      </c>
      <c r="D3453" s="5" t="s">
        <v>1249</v>
      </c>
      <c r="E3453" s="3">
        <v>150975</v>
      </c>
      <c r="F3453" s="3">
        <v>156938</v>
      </c>
      <c r="G3453" s="57">
        <f t="shared" si="53"/>
        <v>3.949660539824474E-2</v>
      </c>
      <c r="J3453" s="5" t="s">
        <v>3228</v>
      </c>
    </row>
    <row r="3454" spans="1:10" ht="25.5" x14ac:dyDescent="0.2">
      <c r="A3454" s="1" t="s">
        <v>8</v>
      </c>
      <c r="B3454" s="2" t="s">
        <v>229</v>
      </c>
      <c r="D3454" s="5" t="s">
        <v>1250</v>
      </c>
      <c r="E3454" s="3">
        <v>150567</v>
      </c>
      <c r="F3454" s="3">
        <v>150535</v>
      </c>
      <c r="G3454" s="57">
        <f t="shared" si="53"/>
        <v>-2.1252997004655736E-4</v>
      </c>
      <c r="J3454" s="5" t="s">
        <v>3229</v>
      </c>
    </row>
    <row r="3455" spans="1:10" ht="25.5" x14ac:dyDescent="0.2">
      <c r="A3455" s="1" t="s">
        <v>8</v>
      </c>
      <c r="B3455" s="2" t="s">
        <v>229</v>
      </c>
      <c r="D3455" s="5" t="s">
        <v>1251</v>
      </c>
      <c r="E3455" s="3">
        <v>150954</v>
      </c>
      <c r="F3455" s="3">
        <v>150895</v>
      </c>
      <c r="G3455" s="57">
        <f t="shared" si="53"/>
        <v>-3.9084754296010704E-4</v>
      </c>
      <c r="J3455" s="5" t="s">
        <v>3232</v>
      </c>
    </row>
    <row r="3456" spans="1:10" ht="25.5" x14ac:dyDescent="0.2">
      <c r="A3456" s="1" t="s">
        <v>8</v>
      </c>
      <c r="B3456" s="2" t="s">
        <v>229</v>
      </c>
      <c r="D3456" s="5" t="s">
        <v>451</v>
      </c>
      <c r="E3456" s="3">
        <v>136129</v>
      </c>
      <c r="F3456" s="3">
        <v>141039</v>
      </c>
      <c r="G3456" s="57">
        <f t="shared" si="53"/>
        <v>3.606872892623908E-2</v>
      </c>
      <c r="J3456" s="5" t="s">
        <v>3230</v>
      </c>
    </row>
    <row r="3457" spans="1:10" ht="25.5" x14ac:dyDescent="0.2">
      <c r="A3457" s="1" t="s">
        <v>8</v>
      </c>
      <c r="B3457" s="2" t="s">
        <v>229</v>
      </c>
      <c r="D3457" s="5" t="s">
        <v>1252</v>
      </c>
      <c r="E3457" s="3">
        <v>130378</v>
      </c>
      <c r="F3457" s="3">
        <v>150802</v>
      </c>
      <c r="G3457" s="57">
        <f t="shared" si="53"/>
        <v>0.15665219592262497</v>
      </c>
      <c r="J3457" s="5" t="s">
        <v>3231</v>
      </c>
    </row>
    <row r="3458" spans="1:10" ht="25.5" x14ac:dyDescent="0.2">
      <c r="A3458" s="1" t="s">
        <v>8</v>
      </c>
      <c r="B3458" s="2" t="s">
        <v>229</v>
      </c>
      <c r="D3458" s="5" t="s">
        <v>604</v>
      </c>
      <c r="E3458" s="3">
        <v>135824</v>
      </c>
      <c r="F3458" s="3">
        <v>106908</v>
      </c>
      <c r="G3458" s="57">
        <f t="shared" si="53"/>
        <v>-0.21289315584874544</v>
      </c>
      <c r="J3458" s="5" t="s">
        <v>3233</v>
      </c>
    </row>
    <row r="3459" spans="1:10" x14ac:dyDescent="0.2">
      <c r="A3459" s="1" t="s">
        <v>8</v>
      </c>
      <c r="B3459" s="2" t="s">
        <v>229</v>
      </c>
      <c r="D3459" s="5" t="s">
        <v>464</v>
      </c>
      <c r="G3459" s="57" t="str">
        <f t="shared" ref="G3459:G3522" si="54">IF(ISERROR((F3459-E3459)/E3459),"-",(F3459-E3459)/E3459)</f>
        <v>-</v>
      </c>
      <c r="H3459" s="19">
        <v>92500</v>
      </c>
      <c r="I3459" s="19" t="s">
        <v>465</v>
      </c>
    </row>
    <row r="3460" spans="1:10" x14ac:dyDescent="0.2">
      <c r="A3460" s="1" t="s">
        <v>8</v>
      </c>
      <c r="B3460" s="2" t="s">
        <v>229</v>
      </c>
      <c r="D3460" s="5" t="s">
        <v>464</v>
      </c>
      <c r="G3460" s="57" t="str">
        <f t="shared" si="54"/>
        <v>-</v>
      </c>
      <c r="H3460" s="19" t="s">
        <v>465</v>
      </c>
      <c r="I3460" s="19">
        <v>92500</v>
      </c>
    </row>
    <row r="3461" spans="1:10" x14ac:dyDescent="0.2">
      <c r="A3461" s="1" t="s">
        <v>8</v>
      </c>
      <c r="B3461" s="2" t="s">
        <v>229</v>
      </c>
      <c r="D3461" s="5" t="s">
        <v>464</v>
      </c>
      <c r="G3461" s="57" t="str">
        <f t="shared" si="54"/>
        <v>-</v>
      </c>
      <c r="H3461" s="19" t="s">
        <v>465</v>
      </c>
      <c r="I3461" s="19">
        <v>92500</v>
      </c>
      <c r="J3461" s="5" t="s">
        <v>539</v>
      </c>
    </row>
    <row r="3462" spans="1:10" x14ac:dyDescent="0.2">
      <c r="A3462" s="1" t="s">
        <v>8</v>
      </c>
      <c r="B3462" s="2" t="s">
        <v>229</v>
      </c>
      <c r="D3462" s="5" t="s">
        <v>464</v>
      </c>
      <c r="G3462" s="57" t="str">
        <f t="shared" si="54"/>
        <v>-</v>
      </c>
      <c r="H3462" s="19" t="s">
        <v>465</v>
      </c>
      <c r="I3462" s="19">
        <v>97500</v>
      </c>
      <c r="J3462" s="5" t="s">
        <v>539</v>
      </c>
    </row>
    <row r="3463" spans="1:10" x14ac:dyDescent="0.2">
      <c r="A3463" s="1" t="s">
        <v>8</v>
      </c>
      <c r="B3463" s="2" t="s">
        <v>229</v>
      </c>
      <c r="D3463" s="5" t="s">
        <v>464</v>
      </c>
      <c r="G3463" s="57" t="str">
        <f t="shared" si="54"/>
        <v>-</v>
      </c>
      <c r="H3463" s="19" t="s">
        <v>465</v>
      </c>
      <c r="I3463" s="19">
        <v>97500</v>
      </c>
      <c r="J3463" s="5" t="s">
        <v>539</v>
      </c>
    </row>
    <row r="3464" spans="1:10" x14ac:dyDescent="0.2">
      <c r="A3464" s="1" t="s">
        <v>8</v>
      </c>
      <c r="B3464" s="2" t="s">
        <v>229</v>
      </c>
      <c r="D3464" s="5" t="s">
        <v>464</v>
      </c>
      <c r="E3464" s="3" t="s">
        <v>465</v>
      </c>
      <c r="F3464" s="3">
        <v>112500</v>
      </c>
      <c r="G3464" s="57" t="str">
        <f t="shared" si="54"/>
        <v>-</v>
      </c>
      <c r="J3464" s="5" t="s">
        <v>539</v>
      </c>
    </row>
    <row r="3465" spans="1:10" x14ac:dyDescent="0.2">
      <c r="A3465" s="1" t="s">
        <v>8</v>
      </c>
      <c r="B3465" s="2" t="s">
        <v>229</v>
      </c>
      <c r="D3465" s="5" t="s">
        <v>464</v>
      </c>
      <c r="E3465" s="3" t="s">
        <v>465</v>
      </c>
      <c r="F3465" s="3">
        <v>117500</v>
      </c>
      <c r="G3465" s="57" t="str">
        <f t="shared" si="54"/>
        <v>-</v>
      </c>
      <c r="J3465" s="5" t="s">
        <v>539</v>
      </c>
    </row>
    <row r="3466" spans="1:10" x14ac:dyDescent="0.2">
      <c r="A3466" s="1" t="s">
        <v>8</v>
      </c>
      <c r="B3466" s="2" t="s">
        <v>229</v>
      </c>
      <c r="D3466" s="5" t="s">
        <v>464</v>
      </c>
      <c r="E3466" s="3" t="s">
        <v>465</v>
      </c>
      <c r="F3466" s="3">
        <v>137500</v>
      </c>
      <c r="G3466" s="57" t="str">
        <f t="shared" si="54"/>
        <v>-</v>
      </c>
      <c r="J3466" s="5" t="s">
        <v>539</v>
      </c>
    </row>
    <row r="3467" spans="1:10" x14ac:dyDescent="0.2">
      <c r="A3467" s="1" t="s">
        <v>8</v>
      </c>
      <c r="B3467" s="2" t="s">
        <v>229</v>
      </c>
      <c r="D3467" s="5" t="s">
        <v>464</v>
      </c>
      <c r="E3467" s="3" t="s">
        <v>465</v>
      </c>
      <c r="F3467" s="3">
        <v>142500</v>
      </c>
      <c r="G3467" s="57" t="str">
        <f t="shared" si="54"/>
        <v>-</v>
      </c>
      <c r="J3467" s="5" t="s">
        <v>539</v>
      </c>
    </row>
    <row r="3468" spans="1:10" x14ac:dyDescent="0.2">
      <c r="A3468" s="1" t="s">
        <v>8</v>
      </c>
      <c r="B3468" s="2" t="s">
        <v>229</v>
      </c>
      <c r="D3468" s="5" t="s">
        <v>464</v>
      </c>
      <c r="E3468" s="3" t="s">
        <v>465</v>
      </c>
      <c r="F3468" s="3">
        <v>142500</v>
      </c>
      <c r="G3468" s="57" t="str">
        <f t="shared" si="54"/>
        <v>-</v>
      </c>
      <c r="J3468" s="5" t="s">
        <v>539</v>
      </c>
    </row>
    <row r="3469" spans="1:10" x14ac:dyDescent="0.2">
      <c r="A3469" s="1" t="s">
        <v>8</v>
      </c>
      <c r="B3469" s="2" t="s">
        <v>229</v>
      </c>
      <c r="D3469" s="5" t="s">
        <v>464</v>
      </c>
      <c r="E3469" s="3" t="s">
        <v>465</v>
      </c>
      <c r="F3469" s="3">
        <v>142500</v>
      </c>
      <c r="G3469" s="57" t="str">
        <f t="shared" si="54"/>
        <v>-</v>
      </c>
      <c r="J3469" s="5" t="s">
        <v>539</v>
      </c>
    </row>
    <row r="3470" spans="1:10" x14ac:dyDescent="0.2">
      <c r="A3470" s="1" t="s">
        <v>8</v>
      </c>
      <c r="B3470" s="2" t="s">
        <v>229</v>
      </c>
      <c r="D3470" s="5" t="s">
        <v>464</v>
      </c>
      <c r="E3470" s="3" t="s">
        <v>465</v>
      </c>
      <c r="F3470" s="3">
        <v>147500</v>
      </c>
      <c r="G3470" s="57" t="str">
        <f t="shared" si="54"/>
        <v>-</v>
      </c>
      <c r="J3470" s="5" t="s">
        <v>539</v>
      </c>
    </row>
    <row r="3471" spans="1:10" x14ac:dyDescent="0.2">
      <c r="A3471" s="1" t="s">
        <v>8</v>
      </c>
      <c r="B3471" s="2" t="s">
        <v>229</v>
      </c>
      <c r="D3471" s="5" t="s">
        <v>464</v>
      </c>
      <c r="E3471" s="3" t="s">
        <v>465</v>
      </c>
      <c r="F3471" s="3">
        <v>147500</v>
      </c>
      <c r="G3471" s="57" t="str">
        <f t="shared" si="54"/>
        <v>-</v>
      </c>
      <c r="J3471" s="5" t="s">
        <v>539</v>
      </c>
    </row>
    <row r="3472" spans="1:10" x14ac:dyDescent="0.2">
      <c r="A3472" s="1" t="s">
        <v>8</v>
      </c>
      <c r="B3472" s="2" t="s">
        <v>229</v>
      </c>
      <c r="D3472" s="5" t="s">
        <v>464</v>
      </c>
      <c r="E3472" s="3" t="s">
        <v>465</v>
      </c>
      <c r="F3472" s="3">
        <v>172500</v>
      </c>
      <c r="G3472" s="57" t="str">
        <f t="shared" si="54"/>
        <v>-</v>
      </c>
      <c r="J3472" s="5" t="s">
        <v>539</v>
      </c>
    </row>
    <row r="3473" spans="1:10" x14ac:dyDescent="0.2">
      <c r="A3473" s="1" t="s">
        <v>11</v>
      </c>
      <c r="B3473" s="2" t="s">
        <v>230</v>
      </c>
      <c r="D3473" s="5" t="s">
        <v>464</v>
      </c>
      <c r="E3473" s="3" t="s">
        <v>465</v>
      </c>
      <c r="F3473" s="3">
        <v>95000</v>
      </c>
      <c r="G3473" s="57" t="str">
        <f t="shared" si="54"/>
        <v>-</v>
      </c>
    </row>
    <row r="3474" spans="1:10" ht="25.5" x14ac:dyDescent="0.2">
      <c r="A3474" s="1" t="s">
        <v>6</v>
      </c>
      <c r="B3474" s="12" t="s">
        <v>231</v>
      </c>
      <c r="C3474" s="5" t="s">
        <v>1242</v>
      </c>
      <c r="D3474" s="5" t="s">
        <v>505</v>
      </c>
      <c r="E3474" s="9" t="s">
        <v>465</v>
      </c>
      <c r="F3474" s="9">
        <f>102679+22076</f>
        <v>124755</v>
      </c>
      <c r="G3474" s="57" t="str">
        <f t="shared" si="54"/>
        <v>-</v>
      </c>
      <c r="J3474" s="5" t="s">
        <v>3217</v>
      </c>
    </row>
    <row r="3475" spans="1:10" ht="38.25" x14ac:dyDescent="0.2">
      <c r="A3475" s="1" t="s">
        <v>6</v>
      </c>
      <c r="B3475" s="12" t="s">
        <v>231</v>
      </c>
      <c r="C3475" s="5" t="s">
        <v>1243</v>
      </c>
      <c r="D3475" s="5" t="s">
        <v>450</v>
      </c>
      <c r="E3475" s="9">
        <f>229555+49159</f>
        <v>278714</v>
      </c>
      <c r="F3475" s="9">
        <f>169768+12959</f>
        <v>182727</v>
      </c>
      <c r="G3475" s="57">
        <f t="shared" si="54"/>
        <v>-0.34439245965398224</v>
      </c>
      <c r="J3475" s="5" t="s">
        <v>3216</v>
      </c>
    </row>
    <row r="3476" spans="1:10" ht="38.25" x14ac:dyDescent="0.2">
      <c r="A3476" s="1" t="s">
        <v>6</v>
      </c>
      <c r="B3476" s="12" t="s">
        <v>231</v>
      </c>
      <c r="C3476" s="5" t="s">
        <v>1244</v>
      </c>
      <c r="D3476" s="5" t="s">
        <v>529</v>
      </c>
      <c r="E3476" s="9">
        <f>201795+41191</f>
        <v>242986</v>
      </c>
      <c r="F3476" s="9">
        <f>349581+34516</f>
        <v>384097</v>
      </c>
      <c r="G3476" s="57">
        <f t="shared" si="54"/>
        <v>0.58073716181179158</v>
      </c>
      <c r="J3476" s="5" t="s">
        <v>3218</v>
      </c>
    </row>
    <row r="3477" spans="1:10" ht="38.25" x14ac:dyDescent="0.2">
      <c r="A3477" s="1" t="s">
        <v>6</v>
      </c>
      <c r="B3477" s="12" t="s">
        <v>231</v>
      </c>
      <c r="C3477" s="5" t="s">
        <v>1245</v>
      </c>
      <c r="D3477" s="5" t="s">
        <v>529</v>
      </c>
      <c r="E3477" s="9">
        <f>201828+43198</f>
        <v>245026</v>
      </c>
      <c r="F3477" s="9">
        <f>208929+14278</f>
        <v>223207</v>
      </c>
      <c r="G3477" s="57">
        <f t="shared" si="54"/>
        <v>-8.9047692897896547E-2</v>
      </c>
      <c r="J3477" s="5" t="s">
        <v>3219</v>
      </c>
    </row>
    <row r="3478" spans="1:10" ht="38.25" x14ac:dyDescent="0.2">
      <c r="A3478" s="1" t="s">
        <v>6</v>
      </c>
      <c r="B3478" s="12" t="s">
        <v>231</v>
      </c>
      <c r="C3478" s="5" t="s">
        <v>1246</v>
      </c>
      <c r="D3478" s="5" t="s">
        <v>529</v>
      </c>
      <c r="E3478" s="9">
        <f>175043+37634</f>
        <v>212677</v>
      </c>
      <c r="F3478" s="9">
        <f>216484+21669</f>
        <v>238153</v>
      </c>
      <c r="G3478" s="57">
        <f t="shared" si="54"/>
        <v>0.11978728306304866</v>
      </c>
      <c r="J3478" s="5" t="s">
        <v>3220</v>
      </c>
    </row>
    <row r="3479" spans="1:10" x14ac:dyDescent="0.2">
      <c r="A3479" s="1" t="s">
        <v>6</v>
      </c>
      <c r="B3479" s="12" t="s">
        <v>231</v>
      </c>
      <c r="D3479" s="5" t="s">
        <v>1247</v>
      </c>
      <c r="E3479" s="9">
        <f>126106+27113</f>
        <v>153219</v>
      </c>
      <c r="F3479" s="9">
        <f>117816+25330</f>
        <v>143146</v>
      </c>
      <c r="G3479" s="57">
        <f t="shared" si="54"/>
        <v>-6.5742499298389892E-2</v>
      </c>
      <c r="J3479" s="5" t="s">
        <v>3221</v>
      </c>
    </row>
    <row r="3480" spans="1:10" ht="38.25" x14ac:dyDescent="0.2">
      <c r="A3480" s="1" t="s">
        <v>6</v>
      </c>
      <c r="B3480" s="12" t="s">
        <v>231</v>
      </c>
      <c r="D3480" s="5" t="s">
        <v>451</v>
      </c>
      <c r="E3480" s="9">
        <f>145424+31266</f>
        <v>176690</v>
      </c>
      <c r="F3480" s="9">
        <f>156321+8459</f>
        <v>164780</v>
      </c>
      <c r="G3480" s="57">
        <f t="shared" si="54"/>
        <v>-6.7406191635067073E-2</v>
      </c>
      <c r="J3480" s="5" t="s">
        <v>3222</v>
      </c>
    </row>
    <row r="3481" spans="1:10" ht="25.5" x14ac:dyDescent="0.2">
      <c r="A3481" s="1" t="s">
        <v>6</v>
      </c>
      <c r="B3481" s="12" t="s">
        <v>231</v>
      </c>
      <c r="D3481" s="5" t="s">
        <v>3223</v>
      </c>
      <c r="E3481" s="9">
        <f>145424+31266</f>
        <v>176690</v>
      </c>
      <c r="F3481" s="9">
        <f>73986+8459</f>
        <v>82445</v>
      </c>
      <c r="G3481" s="57">
        <f t="shared" si="54"/>
        <v>-0.53339181617522213</v>
      </c>
      <c r="J3481" s="5" t="s">
        <v>3224</v>
      </c>
    </row>
    <row r="3482" spans="1:10" x14ac:dyDescent="0.2">
      <c r="A3482" s="1" t="s">
        <v>6</v>
      </c>
      <c r="B3482" s="12" t="s">
        <v>231</v>
      </c>
      <c r="D3482" s="5" t="s">
        <v>464</v>
      </c>
      <c r="G3482" s="57" t="str">
        <f t="shared" si="54"/>
        <v>-</v>
      </c>
      <c r="H3482" s="19">
        <v>92500</v>
      </c>
      <c r="I3482" s="19" t="s">
        <v>465</v>
      </c>
    </row>
    <row r="3483" spans="1:10" x14ac:dyDescent="0.2">
      <c r="A3483" s="1" t="s">
        <v>6</v>
      </c>
      <c r="B3483" s="12" t="s">
        <v>231</v>
      </c>
      <c r="D3483" s="5" t="s">
        <v>464</v>
      </c>
      <c r="G3483" s="57" t="str">
        <f t="shared" si="54"/>
        <v>-</v>
      </c>
      <c r="H3483" s="19">
        <v>92500</v>
      </c>
      <c r="I3483" s="19" t="s">
        <v>465</v>
      </c>
    </row>
    <row r="3484" spans="1:10" x14ac:dyDescent="0.2">
      <c r="A3484" s="1" t="s">
        <v>6</v>
      </c>
      <c r="B3484" s="12" t="s">
        <v>231</v>
      </c>
      <c r="D3484" s="5" t="s">
        <v>464</v>
      </c>
      <c r="G3484" s="57" t="str">
        <f t="shared" si="54"/>
        <v>-</v>
      </c>
      <c r="H3484" s="19">
        <v>92500</v>
      </c>
      <c r="I3484" s="19" t="s">
        <v>465</v>
      </c>
    </row>
    <row r="3485" spans="1:10" x14ac:dyDescent="0.2">
      <c r="A3485" s="1" t="s">
        <v>6</v>
      </c>
      <c r="B3485" s="12" t="s">
        <v>231</v>
      </c>
      <c r="D3485" s="5" t="s">
        <v>464</v>
      </c>
      <c r="G3485" s="57" t="str">
        <f t="shared" si="54"/>
        <v>-</v>
      </c>
      <c r="H3485" s="19">
        <v>92500</v>
      </c>
      <c r="I3485" s="19" t="s">
        <v>465</v>
      </c>
    </row>
    <row r="3486" spans="1:10" x14ac:dyDescent="0.2">
      <c r="A3486" s="1" t="s">
        <v>6</v>
      </c>
      <c r="B3486" s="12" t="s">
        <v>231</v>
      </c>
      <c r="D3486" s="5" t="s">
        <v>464</v>
      </c>
      <c r="G3486" s="57" t="str">
        <f t="shared" si="54"/>
        <v>-</v>
      </c>
      <c r="H3486" s="19">
        <v>92500</v>
      </c>
      <c r="I3486" s="19" t="s">
        <v>465</v>
      </c>
    </row>
    <row r="3487" spans="1:10" x14ac:dyDescent="0.2">
      <c r="A3487" s="1" t="s">
        <v>6</v>
      </c>
      <c r="B3487" s="12" t="s">
        <v>231</v>
      </c>
      <c r="D3487" s="5" t="s">
        <v>464</v>
      </c>
      <c r="G3487" s="57" t="str">
        <f t="shared" si="54"/>
        <v>-</v>
      </c>
      <c r="H3487" s="19">
        <v>92500</v>
      </c>
      <c r="I3487" s="19" t="s">
        <v>465</v>
      </c>
    </row>
    <row r="3488" spans="1:10" x14ac:dyDescent="0.2">
      <c r="A3488" s="1" t="s">
        <v>6</v>
      </c>
      <c r="B3488" s="12" t="s">
        <v>231</v>
      </c>
      <c r="D3488" s="5" t="s">
        <v>464</v>
      </c>
      <c r="G3488" s="57" t="str">
        <f t="shared" si="54"/>
        <v>-</v>
      </c>
      <c r="H3488" s="19" t="s">
        <v>465</v>
      </c>
      <c r="I3488" s="19">
        <v>92500</v>
      </c>
    </row>
    <row r="3489" spans="1:9" s="1" customFormat="1" x14ac:dyDescent="0.2">
      <c r="A3489" s="1" t="s">
        <v>6</v>
      </c>
      <c r="B3489" s="12" t="s">
        <v>231</v>
      </c>
      <c r="C3489" s="5"/>
      <c r="D3489" s="5" t="s">
        <v>464</v>
      </c>
      <c r="E3489" s="3"/>
      <c r="F3489" s="3"/>
      <c r="G3489" s="57" t="str">
        <f t="shared" si="54"/>
        <v>-</v>
      </c>
      <c r="H3489" s="19" t="s">
        <v>465</v>
      </c>
      <c r="I3489" s="19">
        <v>92500</v>
      </c>
    </row>
    <row r="3490" spans="1:9" s="1" customFormat="1" x14ac:dyDescent="0.2">
      <c r="A3490" s="1" t="s">
        <v>6</v>
      </c>
      <c r="B3490" s="12" t="s">
        <v>231</v>
      </c>
      <c r="C3490" s="5"/>
      <c r="D3490" s="5" t="s">
        <v>464</v>
      </c>
      <c r="E3490" s="3"/>
      <c r="F3490" s="3"/>
      <c r="G3490" s="57" t="str">
        <f t="shared" si="54"/>
        <v>-</v>
      </c>
      <c r="H3490" s="19" t="s">
        <v>465</v>
      </c>
      <c r="I3490" s="19">
        <v>92500</v>
      </c>
    </row>
    <row r="3491" spans="1:9" s="1" customFormat="1" x14ac:dyDescent="0.2">
      <c r="A3491" s="1" t="s">
        <v>6</v>
      </c>
      <c r="B3491" s="12" t="s">
        <v>231</v>
      </c>
      <c r="C3491" s="5"/>
      <c r="D3491" s="5" t="s">
        <v>464</v>
      </c>
      <c r="E3491" s="3"/>
      <c r="F3491" s="3"/>
      <c r="G3491" s="57" t="str">
        <f t="shared" si="54"/>
        <v>-</v>
      </c>
      <c r="H3491" s="19" t="s">
        <v>465</v>
      </c>
      <c r="I3491" s="19">
        <v>92500</v>
      </c>
    </row>
    <row r="3492" spans="1:9" s="1" customFormat="1" x14ac:dyDescent="0.2">
      <c r="A3492" s="1" t="s">
        <v>6</v>
      </c>
      <c r="B3492" s="12" t="s">
        <v>231</v>
      </c>
      <c r="C3492" s="5"/>
      <c r="D3492" s="5" t="s">
        <v>464</v>
      </c>
      <c r="E3492" s="3"/>
      <c r="F3492" s="3"/>
      <c r="G3492" s="57" t="str">
        <f t="shared" si="54"/>
        <v>-</v>
      </c>
      <c r="H3492" s="19" t="s">
        <v>465</v>
      </c>
      <c r="I3492" s="19">
        <v>92500</v>
      </c>
    </row>
    <row r="3493" spans="1:9" s="1" customFormat="1" x14ac:dyDescent="0.2">
      <c r="A3493" s="1" t="s">
        <v>6</v>
      </c>
      <c r="B3493" s="12" t="s">
        <v>231</v>
      </c>
      <c r="C3493" s="5"/>
      <c r="D3493" s="5" t="s">
        <v>464</v>
      </c>
      <c r="E3493" s="3"/>
      <c r="F3493" s="3"/>
      <c r="G3493" s="57" t="str">
        <f t="shared" si="54"/>
        <v>-</v>
      </c>
      <c r="H3493" s="19" t="s">
        <v>465</v>
      </c>
      <c r="I3493" s="19">
        <v>92500</v>
      </c>
    </row>
    <row r="3494" spans="1:9" s="1" customFormat="1" x14ac:dyDescent="0.2">
      <c r="A3494" s="1" t="s">
        <v>6</v>
      </c>
      <c r="B3494" s="12" t="s">
        <v>231</v>
      </c>
      <c r="C3494" s="5"/>
      <c r="D3494" s="5" t="s">
        <v>464</v>
      </c>
      <c r="E3494" s="3"/>
      <c r="F3494" s="3"/>
      <c r="G3494" s="57" t="str">
        <f t="shared" si="54"/>
        <v>-</v>
      </c>
      <c r="H3494" s="19" t="s">
        <v>465</v>
      </c>
      <c r="I3494" s="19">
        <v>92500</v>
      </c>
    </row>
    <row r="3495" spans="1:9" s="1" customFormat="1" x14ac:dyDescent="0.2">
      <c r="A3495" s="1" t="s">
        <v>6</v>
      </c>
      <c r="B3495" s="12" t="s">
        <v>231</v>
      </c>
      <c r="C3495" s="5"/>
      <c r="D3495" s="5" t="s">
        <v>464</v>
      </c>
      <c r="E3495" s="3"/>
      <c r="F3495" s="3"/>
      <c r="G3495" s="57" t="str">
        <f t="shared" si="54"/>
        <v>-</v>
      </c>
      <c r="H3495" s="19" t="s">
        <v>465</v>
      </c>
      <c r="I3495" s="19">
        <v>92500</v>
      </c>
    </row>
    <row r="3496" spans="1:9" s="1" customFormat="1" x14ac:dyDescent="0.2">
      <c r="A3496" s="1" t="s">
        <v>6</v>
      </c>
      <c r="B3496" s="12" t="s">
        <v>231</v>
      </c>
      <c r="C3496" s="5"/>
      <c r="D3496" s="5" t="s">
        <v>464</v>
      </c>
      <c r="E3496" s="3"/>
      <c r="F3496" s="3"/>
      <c r="G3496" s="57" t="str">
        <f t="shared" si="54"/>
        <v>-</v>
      </c>
      <c r="H3496" s="19" t="s">
        <v>465</v>
      </c>
      <c r="I3496" s="19">
        <v>92500</v>
      </c>
    </row>
    <row r="3497" spans="1:9" s="1" customFormat="1" x14ac:dyDescent="0.2">
      <c r="A3497" s="1" t="s">
        <v>6</v>
      </c>
      <c r="B3497" s="12" t="s">
        <v>231</v>
      </c>
      <c r="C3497" s="5"/>
      <c r="D3497" s="5" t="s">
        <v>464</v>
      </c>
      <c r="E3497" s="3"/>
      <c r="F3497" s="3"/>
      <c r="G3497" s="57" t="str">
        <f t="shared" si="54"/>
        <v>-</v>
      </c>
      <c r="H3497" s="19">
        <v>97500</v>
      </c>
      <c r="I3497" s="19" t="s">
        <v>465</v>
      </c>
    </row>
    <row r="3498" spans="1:9" s="1" customFormat="1" x14ac:dyDescent="0.2">
      <c r="A3498" s="1" t="s">
        <v>6</v>
      </c>
      <c r="B3498" s="12" t="s">
        <v>231</v>
      </c>
      <c r="C3498" s="5"/>
      <c r="D3498" s="5" t="s">
        <v>464</v>
      </c>
      <c r="E3498" s="3"/>
      <c r="F3498" s="3"/>
      <c r="G3498" s="57" t="str">
        <f t="shared" si="54"/>
        <v>-</v>
      </c>
      <c r="H3498" s="19" t="s">
        <v>465</v>
      </c>
      <c r="I3498" s="19">
        <v>97500</v>
      </c>
    </row>
    <row r="3499" spans="1:9" s="1" customFormat="1" x14ac:dyDescent="0.2">
      <c r="A3499" s="1" t="s">
        <v>6</v>
      </c>
      <c r="B3499" s="12" t="s">
        <v>231</v>
      </c>
      <c r="C3499" s="5"/>
      <c r="D3499" s="5" t="s">
        <v>464</v>
      </c>
      <c r="E3499" s="3"/>
      <c r="F3499" s="3"/>
      <c r="G3499" s="57" t="str">
        <f t="shared" si="54"/>
        <v>-</v>
      </c>
      <c r="H3499" s="19" t="s">
        <v>465</v>
      </c>
      <c r="I3499" s="19">
        <v>97500</v>
      </c>
    </row>
    <row r="3500" spans="1:9" s="1" customFormat="1" x14ac:dyDescent="0.2">
      <c r="A3500" s="1" t="s">
        <v>6</v>
      </c>
      <c r="B3500" s="12" t="s">
        <v>231</v>
      </c>
      <c r="C3500" s="5"/>
      <c r="D3500" s="5" t="s">
        <v>464</v>
      </c>
      <c r="E3500" s="3"/>
      <c r="F3500" s="3"/>
      <c r="G3500" s="57" t="str">
        <f t="shared" si="54"/>
        <v>-</v>
      </c>
      <c r="H3500" s="19" t="s">
        <v>465</v>
      </c>
      <c r="I3500" s="19">
        <v>97500</v>
      </c>
    </row>
    <row r="3501" spans="1:9" s="1" customFormat="1" x14ac:dyDescent="0.2">
      <c r="A3501" s="1" t="s">
        <v>6</v>
      </c>
      <c r="B3501" s="12" t="s">
        <v>231</v>
      </c>
      <c r="C3501" s="5"/>
      <c r="D3501" s="5" t="s">
        <v>464</v>
      </c>
      <c r="E3501" s="3"/>
      <c r="F3501" s="3"/>
      <c r="G3501" s="57" t="str">
        <f t="shared" si="54"/>
        <v>-</v>
      </c>
      <c r="H3501" s="19" t="s">
        <v>465</v>
      </c>
      <c r="I3501" s="19">
        <v>97500</v>
      </c>
    </row>
    <row r="3502" spans="1:9" s="1" customFormat="1" x14ac:dyDescent="0.2">
      <c r="A3502" s="1" t="s">
        <v>6</v>
      </c>
      <c r="B3502" s="12" t="s">
        <v>231</v>
      </c>
      <c r="C3502" s="5"/>
      <c r="D3502" s="5" t="s">
        <v>464</v>
      </c>
      <c r="E3502" s="3"/>
      <c r="F3502" s="3"/>
      <c r="G3502" s="57" t="str">
        <f t="shared" si="54"/>
        <v>-</v>
      </c>
      <c r="H3502" s="19" t="s">
        <v>465</v>
      </c>
      <c r="I3502" s="19">
        <v>97500</v>
      </c>
    </row>
    <row r="3503" spans="1:9" s="1" customFormat="1" x14ac:dyDescent="0.2">
      <c r="A3503" s="1" t="s">
        <v>6</v>
      </c>
      <c r="B3503" s="12" t="s">
        <v>231</v>
      </c>
      <c r="C3503" s="5"/>
      <c r="D3503" s="5" t="s">
        <v>464</v>
      </c>
      <c r="E3503" s="3">
        <v>102500</v>
      </c>
      <c r="F3503" s="3" t="s">
        <v>465</v>
      </c>
      <c r="G3503" s="57" t="str">
        <f t="shared" si="54"/>
        <v>-</v>
      </c>
      <c r="H3503" s="19"/>
      <c r="I3503" s="19"/>
    </row>
    <row r="3504" spans="1:9" s="1" customFormat="1" x14ac:dyDescent="0.2">
      <c r="A3504" s="1" t="s">
        <v>6</v>
      </c>
      <c r="B3504" s="12" t="s">
        <v>231</v>
      </c>
      <c r="C3504" s="5"/>
      <c r="D3504" s="5" t="s">
        <v>464</v>
      </c>
      <c r="E3504" s="3" t="s">
        <v>465</v>
      </c>
      <c r="F3504" s="3">
        <v>102500</v>
      </c>
      <c r="G3504" s="57" t="str">
        <f t="shared" si="54"/>
        <v>-</v>
      </c>
      <c r="H3504" s="19"/>
      <c r="I3504" s="19"/>
    </row>
    <row r="3505" spans="1:9" s="1" customFormat="1" x14ac:dyDescent="0.2">
      <c r="A3505" s="1" t="s">
        <v>6</v>
      </c>
      <c r="B3505" s="12" t="s">
        <v>231</v>
      </c>
      <c r="C3505" s="5"/>
      <c r="D3505" s="5" t="s">
        <v>464</v>
      </c>
      <c r="E3505" s="3" t="s">
        <v>465</v>
      </c>
      <c r="F3505" s="3">
        <v>102500</v>
      </c>
      <c r="G3505" s="57" t="str">
        <f t="shared" si="54"/>
        <v>-</v>
      </c>
      <c r="H3505" s="4"/>
      <c r="I3505" s="4"/>
    </row>
    <row r="3506" spans="1:9" s="1" customFormat="1" x14ac:dyDescent="0.2">
      <c r="A3506" s="1" t="s">
        <v>6</v>
      </c>
      <c r="B3506" s="12" t="s">
        <v>231</v>
      </c>
      <c r="C3506" s="5"/>
      <c r="D3506" s="5" t="s">
        <v>464</v>
      </c>
      <c r="E3506" s="3" t="s">
        <v>465</v>
      </c>
      <c r="F3506" s="3">
        <v>102500</v>
      </c>
      <c r="G3506" s="57" t="str">
        <f t="shared" si="54"/>
        <v>-</v>
      </c>
      <c r="H3506" s="4"/>
      <c r="I3506" s="4"/>
    </row>
    <row r="3507" spans="1:9" s="1" customFormat="1" x14ac:dyDescent="0.2">
      <c r="A3507" s="1" t="s">
        <v>6</v>
      </c>
      <c r="B3507" s="12" t="s">
        <v>231</v>
      </c>
      <c r="C3507" s="5"/>
      <c r="D3507" s="5" t="s">
        <v>464</v>
      </c>
      <c r="E3507" s="3" t="s">
        <v>465</v>
      </c>
      <c r="F3507" s="3">
        <v>102500</v>
      </c>
      <c r="G3507" s="57" t="str">
        <f t="shared" si="54"/>
        <v>-</v>
      </c>
      <c r="H3507" s="4"/>
      <c r="I3507" s="4"/>
    </row>
    <row r="3508" spans="1:9" s="1" customFormat="1" x14ac:dyDescent="0.2">
      <c r="A3508" s="1" t="s">
        <v>6</v>
      </c>
      <c r="B3508" s="12" t="s">
        <v>231</v>
      </c>
      <c r="C3508" s="5"/>
      <c r="D3508" s="5" t="s">
        <v>464</v>
      </c>
      <c r="E3508" s="3" t="s">
        <v>465</v>
      </c>
      <c r="F3508" s="3">
        <v>102500</v>
      </c>
      <c r="G3508" s="57" t="str">
        <f t="shared" si="54"/>
        <v>-</v>
      </c>
      <c r="H3508" s="4"/>
      <c r="I3508" s="4"/>
    </row>
    <row r="3509" spans="1:9" s="1" customFormat="1" x14ac:dyDescent="0.2">
      <c r="A3509" s="1" t="s">
        <v>6</v>
      </c>
      <c r="B3509" s="12" t="s">
        <v>231</v>
      </c>
      <c r="C3509" s="5"/>
      <c r="D3509" s="5" t="s">
        <v>464</v>
      </c>
      <c r="E3509" s="3" t="s">
        <v>465</v>
      </c>
      <c r="F3509" s="3">
        <v>102500</v>
      </c>
      <c r="G3509" s="57" t="str">
        <f t="shared" si="54"/>
        <v>-</v>
      </c>
      <c r="H3509" s="4"/>
      <c r="I3509" s="4"/>
    </row>
    <row r="3510" spans="1:9" s="1" customFormat="1" x14ac:dyDescent="0.2">
      <c r="A3510" s="1" t="s">
        <v>6</v>
      </c>
      <c r="B3510" s="12" t="s">
        <v>231</v>
      </c>
      <c r="C3510" s="5"/>
      <c r="D3510" s="5" t="s">
        <v>464</v>
      </c>
      <c r="E3510" s="3" t="s">
        <v>465</v>
      </c>
      <c r="F3510" s="3">
        <v>102500</v>
      </c>
      <c r="G3510" s="57" t="str">
        <f t="shared" si="54"/>
        <v>-</v>
      </c>
      <c r="H3510" s="4"/>
      <c r="I3510" s="4"/>
    </row>
    <row r="3511" spans="1:9" s="1" customFormat="1" x14ac:dyDescent="0.2">
      <c r="A3511" s="1" t="s">
        <v>6</v>
      </c>
      <c r="B3511" s="12" t="s">
        <v>231</v>
      </c>
      <c r="C3511" s="5"/>
      <c r="D3511" s="5" t="s">
        <v>464</v>
      </c>
      <c r="E3511" s="3" t="s">
        <v>465</v>
      </c>
      <c r="F3511" s="3">
        <v>102500</v>
      </c>
      <c r="G3511" s="57" t="str">
        <f t="shared" si="54"/>
        <v>-</v>
      </c>
      <c r="H3511" s="4"/>
      <c r="I3511" s="4"/>
    </row>
    <row r="3512" spans="1:9" s="1" customFormat="1" x14ac:dyDescent="0.2">
      <c r="A3512" s="1" t="s">
        <v>6</v>
      </c>
      <c r="B3512" s="12" t="s">
        <v>231</v>
      </c>
      <c r="C3512" s="5"/>
      <c r="D3512" s="5" t="s">
        <v>464</v>
      </c>
      <c r="E3512" s="3" t="s">
        <v>465</v>
      </c>
      <c r="F3512" s="3">
        <v>102500</v>
      </c>
      <c r="G3512" s="57" t="str">
        <f t="shared" si="54"/>
        <v>-</v>
      </c>
      <c r="H3512" s="4"/>
      <c r="I3512" s="4"/>
    </row>
    <row r="3513" spans="1:9" s="1" customFormat="1" x14ac:dyDescent="0.2">
      <c r="A3513" s="1" t="s">
        <v>6</v>
      </c>
      <c r="B3513" s="12" t="s">
        <v>231</v>
      </c>
      <c r="C3513" s="5"/>
      <c r="D3513" s="5" t="s">
        <v>464</v>
      </c>
      <c r="E3513" s="3" t="s">
        <v>465</v>
      </c>
      <c r="F3513" s="3">
        <v>107500</v>
      </c>
      <c r="G3513" s="57" t="str">
        <f t="shared" si="54"/>
        <v>-</v>
      </c>
      <c r="H3513" s="4"/>
      <c r="I3513" s="4"/>
    </row>
    <row r="3514" spans="1:9" s="1" customFormat="1" x14ac:dyDescent="0.2">
      <c r="A3514" s="1" t="s">
        <v>6</v>
      </c>
      <c r="B3514" s="12" t="s">
        <v>231</v>
      </c>
      <c r="C3514" s="5"/>
      <c r="D3514" s="5" t="s">
        <v>464</v>
      </c>
      <c r="E3514" s="3" t="s">
        <v>465</v>
      </c>
      <c r="F3514" s="3">
        <v>107500</v>
      </c>
      <c r="G3514" s="57" t="str">
        <f t="shared" si="54"/>
        <v>-</v>
      </c>
      <c r="H3514" s="4"/>
      <c r="I3514" s="4"/>
    </row>
    <row r="3515" spans="1:9" s="1" customFormat="1" x14ac:dyDescent="0.2">
      <c r="A3515" s="1" t="s">
        <v>6</v>
      </c>
      <c r="B3515" s="12" t="s">
        <v>231</v>
      </c>
      <c r="C3515" s="5"/>
      <c r="D3515" s="5" t="s">
        <v>464</v>
      </c>
      <c r="E3515" s="3" t="s">
        <v>465</v>
      </c>
      <c r="F3515" s="3">
        <v>107500</v>
      </c>
      <c r="G3515" s="57" t="str">
        <f t="shared" si="54"/>
        <v>-</v>
      </c>
      <c r="H3515" s="4"/>
      <c r="I3515" s="4"/>
    </row>
    <row r="3516" spans="1:9" s="1" customFormat="1" x14ac:dyDescent="0.2">
      <c r="A3516" s="1" t="s">
        <v>6</v>
      </c>
      <c r="B3516" s="12" t="s">
        <v>231</v>
      </c>
      <c r="C3516" s="5"/>
      <c r="D3516" s="5" t="s">
        <v>464</v>
      </c>
      <c r="E3516" s="3" t="s">
        <v>465</v>
      </c>
      <c r="F3516" s="3">
        <v>107500</v>
      </c>
      <c r="G3516" s="57" t="str">
        <f t="shared" si="54"/>
        <v>-</v>
      </c>
      <c r="H3516" s="4"/>
      <c r="I3516" s="4"/>
    </row>
    <row r="3517" spans="1:9" s="1" customFormat="1" x14ac:dyDescent="0.2">
      <c r="A3517" s="1" t="s">
        <v>6</v>
      </c>
      <c r="B3517" s="12" t="s">
        <v>231</v>
      </c>
      <c r="C3517" s="5"/>
      <c r="D3517" s="5" t="s">
        <v>464</v>
      </c>
      <c r="E3517" s="3" t="s">
        <v>465</v>
      </c>
      <c r="F3517" s="3">
        <v>112500</v>
      </c>
      <c r="G3517" s="57" t="str">
        <f t="shared" si="54"/>
        <v>-</v>
      </c>
      <c r="H3517" s="4"/>
      <c r="I3517" s="4"/>
    </row>
    <row r="3518" spans="1:9" s="1" customFormat="1" x14ac:dyDescent="0.2">
      <c r="A3518" s="1" t="s">
        <v>6</v>
      </c>
      <c r="B3518" s="12" t="s">
        <v>231</v>
      </c>
      <c r="C3518" s="5"/>
      <c r="D3518" s="5" t="s">
        <v>464</v>
      </c>
      <c r="E3518" s="3">
        <v>117500</v>
      </c>
      <c r="F3518" s="3" t="s">
        <v>465</v>
      </c>
      <c r="G3518" s="57" t="str">
        <f t="shared" si="54"/>
        <v>-</v>
      </c>
      <c r="H3518" s="4"/>
      <c r="I3518" s="4"/>
    </row>
    <row r="3519" spans="1:9" s="1" customFormat="1" x14ac:dyDescent="0.2">
      <c r="A3519" s="1" t="s">
        <v>6</v>
      </c>
      <c r="B3519" s="12" t="s">
        <v>231</v>
      </c>
      <c r="C3519" s="5"/>
      <c r="D3519" s="5" t="s">
        <v>464</v>
      </c>
      <c r="E3519" s="3">
        <v>117500</v>
      </c>
      <c r="F3519" s="3" t="s">
        <v>465</v>
      </c>
      <c r="G3519" s="57" t="str">
        <f t="shared" si="54"/>
        <v>-</v>
      </c>
      <c r="H3519" s="4"/>
      <c r="I3519" s="4"/>
    </row>
    <row r="3520" spans="1:9" s="1" customFormat="1" x14ac:dyDescent="0.2">
      <c r="A3520" s="1" t="s">
        <v>6</v>
      </c>
      <c r="B3520" s="12" t="s">
        <v>231</v>
      </c>
      <c r="C3520" s="5"/>
      <c r="D3520" s="5" t="s">
        <v>464</v>
      </c>
      <c r="E3520" s="3">
        <v>117500</v>
      </c>
      <c r="F3520" s="3" t="s">
        <v>465</v>
      </c>
      <c r="G3520" s="57" t="str">
        <f t="shared" si="54"/>
        <v>-</v>
      </c>
      <c r="H3520" s="4"/>
      <c r="I3520" s="4"/>
    </row>
    <row r="3521" spans="1:9" s="1" customFormat="1" x14ac:dyDescent="0.2">
      <c r="A3521" s="1" t="s">
        <v>6</v>
      </c>
      <c r="B3521" s="12" t="s">
        <v>231</v>
      </c>
      <c r="C3521" s="5"/>
      <c r="D3521" s="5" t="s">
        <v>464</v>
      </c>
      <c r="E3521" s="3">
        <v>117500</v>
      </c>
      <c r="F3521" s="3" t="s">
        <v>465</v>
      </c>
      <c r="G3521" s="57" t="str">
        <f t="shared" si="54"/>
        <v>-</v>
      </c>
      <c r="H3521" s="4"/>
      <c r="I3521" s="4"/>
    </row>
    <row r="3522" spans="1:9" s="1" customFormat="1" x14ac:dyDescent="0.2">
      <c r="A3522" s="1" t="s">
        <v>6</v>
      </c>
      <c r="B3522" s="12" t="s">
        <v>231</v>
      </c>
      <c r="C3522" s="5"/>
      <c r="D3522" s="5" t="s">
        <v>464</v>
      </c>
      <c r="E3522" s="3">
        <v>117500</v>
      </c>
      <c r="F3522" s="3" t="s">
        <v>465</v>
      </c>
      <c r="G3522" s="57" t="str">
        <f t="shared" si="54"/>
        <v>-</v>
      </c>
      <c r="H3522" s="4"/>
      <c r="I3522" s="4"/>
    </row>
    <row r="3523" spans="1:9" s="1" customFormat="1" x14ac:dyDescent="0.2">
      <c r="A3523" s="1" t="s">
        <v>6</v>
      </c>
      <c r="B3523" s="12" t="s">
        <v>231</v>
      </c>
      <c r="C3523" s="5"/>
      <c r="D3523" s="5" t="s">
        <v>464</v>
      </c>
      <c r="E3523" s="3">
        <v>117500</v>
      </c>
      <c r="F3523" s="3" t="s">
        <v>465</v>
      </c>
      <c r="G3523" s="57" t="str">
        <f t="shared" ref="G3523:G3548" si="55">IF(ISERROR((F3523-E3523)/E3523),"-",(F3523-E3523)/E3523)</f>
        <v>-</v>
      </c>
      <c r="H3523" s="4"/>
      <c r="I3523" s="4"/>
    </row>
    <row r="3524" spans="1:9" s="1" customFormat="1" x14ac:dyDescent="0.2">
      <c r="A3524" s="1" t="s">
        <v>6</v>
      </c>
      <c r="B3524" s="12" t="s">
        <v>231</v>
      </c>
      <c r="C3524" s="5"/>
      <c r="D3524" s="5" t="s">
        <v>464</v>
      </c>
      <c r="E3524" s="3">
        <v>117500</v>
      </c>
      <c r="F3524" s="3" t="s">
        <v>465</v>
      </c>
      <c r="G3524" s="57" t="str">
        <f t="shared" si="55"/>
        <v>-</v>
      </c>
      <c r="H3524" s="4"/>
      <c r="I3524" s="4"/>
    </row>
    <row r="3525" spans="1:9" s="1" customFormat="1" x14ac:dyDescent="0.2">
      <c r="A3525" s="1" t="s">
        <v>6</v>
      </c>
      <c r="B3525" s="12" t="s">
        <v>231</v>
      </c>
      <c r="C3525" s="5"/>
      <c r="D3525" s="5" t="s">
        <v>464</v>
      </c>
      <c r="E3525" s="3" t="s">
        <v>465</v>
      </c>
      <c r="F3525" s="3">
        <v>117500</v>
      </c>
      <c r="G3525" s="57" t="str">
        <f t="shared" si="55"/>
        <v>-</v>
      </c>
      <c r="H3525" s="4"/>
      <c r="I3525" s="4"/>
    </row>
    <row r="3526" spans="1:9" s="1" customFormat="1" x14ac:dyDescent="0.2">
      <c r="A3526" s="1" t="s">
        <v>6</v>
      </c>
      <c r="B3526" s="12" t="s">
        <v>231</v>
      </c>
      <c r="C3526" s="5"/>
      <c r="D3526" s="5" t="s">
        <v>464</v>
      </c>
      <c r="E3526" s="3" t="s">
        <v>465</v>
      </c>
      <c r="F3526" s="3">
        <v>117500</v>
      </c>
      <c r="G3526" s="57" t="str">
        <f t="shared" si="55"/>
        <v>-</v>
      </c>
      <c r="H3526" s="4"/>
      <c r="I3526" s="4"/>
    </row>
    <row r="3527" spans="1:9" s="1" customFormat="1" x14ac:dyDescent="0.2">
      <c r="A3527" s="1" t="s">
        <v>6</v>
      </c>
      <c r="B3527" s="12" t="s">
        <v>231</v>
      </c>
      <c r="C3527" s="5"/>
      <c r="D3527" s="5" t="s">
        <v>464</v>
      </c>
      <c r="E3527" s="3">
        <v>122500</v>
      </c>
      <c r="F3527" s="3" t="s">
        <v>465</v>
      </c>
      <c r="G3527" s="57" t="str">
        <f t="shared" si="55"/>
        <v>-</v>
      </c>
      <c r="H3527" s="4"/>
      <c r="I3527" s="4"/>
    </row>
    <row r="3528" spans="1:9" s="1" customFormat="1" x14ac:dyDescent="0.2">
      <c r="A3528" s="1" t="s">
        <v>6</v>
      </c>
      <c r="B3528" s="12" t="s">
        <v>231</v>
      </c>
      <c r="C3528" s="5"/>
      <c r="D3528" s="5" t="s">
        <v>464</v>
      </c>
      <c r="E3528" s="3">
        <v>122500</v>
      </c>
      <c r="F3528" s="3" t="s">
        <v>465</v>
      </c>
      <c r="G3528" s="57" t="str">
        <f t="shared" si="55"/>
        <v>-</v>
      </c>
      <c r="H3528" s="4"/>
      <c r="I3528" s="4"/>
    </row>
    <row r="3529" spans="1:9" s="1" customFormat="1" x14ac:dyDescent="0.2">
      <c r="A3529" s="1" t="s">
        <v>6</v>
      </c>
      <c r="B3529" s="12" t="s">
        <v>231</v>
      </c>
      <c r="C3529" s="5"/>
      <c r="D3529" s="5" t="s">
        <v>464</v>
      </c>
      <c r="E3529" s="3">
        <v>122500</v>
      </c>
      <c r="F3529" s="3" t="s">
        <v>465</v>
      </c>
      <c r="G3529" s="57" t="str">
        <f t="shared" si="55"/>
        <v>-</v>
      </c>
      <c r="H3529" s="4"/>
      <c r="I3529" s="4"/>
    </row>
    <row r="3530" spans="1:9" s="1" customFormat="1" x14ac:dyDescent="0.2">
      <c r="A3530" s="1" t="s">
        <v>6</v>
      </c>
      <c r="B3530" s="12" t="s">
        <v>231</v>
      </c>
      <c r="C3530" s="5"/>
      <c r="D3530" s="5" t="s">
        <v>464</v>
      </c>
      <c r="E3530" s="3">
        <v>122500</v>
      </c>
      <c r="F3530" s="3" t="s">
        <v>465</v>
      </c>
      <c r="G3530" s="57" t="str">
        <f t="shared" si="55"/>
        <v>-</v>
      </c>
      <c r="H3530" s="4"/>
      <c r="I3530" s="4"/>
    </row>
    <row r="3531" spans="1:9" s="1" customFormat="1" x14ac:dyDescent="0.2">
      <c r="A3531" s="1" t="s">
        <v>6</v>
      </c>
      <c r="B3531" s="12" t="s">
        <v>231</v>
      </c>
      <c r="C3531" s="5"/>
      <c r="D3531" s="5" t="s">
        <v>464</v>
      </c>
      <c r="E3531" s="3">
        <v>122500</v>
      </c>
      <c r="F3531" s="3" t="s">
        <v>465</v>
      </c>
      <c r="G3531" s="57" t="str">
        <f t="shared" si="55"/>
        <v>-</v>
      </c>
      <c r="H3531" s="4"/>
      <c r="I3531" s="4"/>
    </row>
    <row r="3532" spans="1:9" s="1" customFormat="1" x14ac:dyDescent="0.2">
      <c r="A3532" s="1" t="s">
        <v>6</v>
      </c>
      <c r="B3532" s="12" t="s">
        <v>231</v>
      </c>
      <c r="C3532" s="5"/>
      <c r="D3532" s="5" t="s">
        <v>464</v>
      </c>
      <c r="E3532" s="3">
        <v>122500</v>
      </c>
      <c r="F3532" s="3" t="s">
        <v>465</v>
      </c>
      <c r="G3532" s="57" t="str">
        <f t="shared" si="55"/>
        <v>-</v>
      </c>
      <c r="H3532" s="4"/>
      <c r="I3532" s="4"/>
    </row>
    <row r="3533" spans="1:9" s="1" customFormat="1" x14ac:dyDescent="0.2">
      <c r="A3533" s="1" t="s">
        <v>6</v>
      </c>
      <c r="B3533" s="12" t="s">
        <v>231</v>
      </c>
      <c r="C3533" s="5"/>
      <c r="D3533" s="5" t="s">
        <v>464</v>
      </c>
      <c r="E3533" s="3">
        <v>122500</v>
      </c>
      <c r="F3533" s="3" t="s">
        <v>465</v>
      </c>
      <c r="G3533" s="57" t="str">
        <f t="shared" si="55"/>
        <v>-</v>
      </c>
      <c r="H3533" s="4"/>
      <c r="I3533" s="4"/>
    </row>
    <row r="3534" spans="1:9" s="1" customFormat="1" x14ac:dyDescent="0.2">
      <c r="A3534" s="1" t="s">
        <v>6</v>
      </c>
      <c r="B3534" s="12" t="s">
        <v>231</v>
      </c>
      <c r="C3534" s="5"/>
      <c r="D3534" s="5" t="s">
        <v>464</v>
      </c>
      <c r="E3534" s="3" t="s">
        <v>465</v>
      </c>
      <c r="F3534" s="3">
        <v>122500</v>
      </c>
      <c r="G3534" s="57" t="str">
        <f t="shared" si="55"/>
        <v>-</v>
      </c>
      <c r="H3534" s="4"/>
      <c r="I3534" s="4"/>
    </row>
    <row r="3535" spans="1:9" s="1" customFormat="1" x14ac:dyDescent="0.2">
      <c r="A3535" s="1" t="s">
        <v>6</v>
      </c>
      <c r="B3535" s="12" t="s">
        <v>231</v>
      </c>
      <c r="C3535" s="5"/>
      <c r="D3535" s="5" t="s">
        <v>464</v>
      </c>
      <c r="E3535" s="3" t="s">
        <v>465</v>
      </c>
      <c r="F3535" s="3">
        <v>122500</v>
      </c>
      <c r="G3535" s="57" t="str">
        <f t="shared" si="55"/>
        <v>-</v>
      </c>
      <c r="H3535" s="4"/>
      <c r="I3535" s="4"/>
    </row>
    <row r="3536" spans="1:9" s="1" customFormat="1" x14ac:dyDescent="0.2">
      <c r="A3536" s="1" t="s">
        <v>6</v>
      </c>
      <c r="B3536" s="12" t="s">
        <v>231</v>
      </c>
      <c r="C3536" s="5"/>
      <c r="D3536" s="5" t="s">
        <v>464</v>
      </c>
      <c r="E3536" s="3" t="s">
        <v>465</v>
      </c>
      <c r="F3536" s="3">
        <v>132500</v>
      </c>
      <c r="G3536" s="57" t="str">
        <f t="shared" si="55"/>
        <v>-</v>
      </c>
      <c r="H3536" s="4"/>
      <c r="I3536" s="4"/>
    </row>
    <row r="3537" spans="1:10" x14ac:dyDescent="0.2">
      <c r="A3537" s="1" t="s">
        <v>6</v>
      </c>
      <c r="B3537" s="12" t="s">
        <v>231</v>
      </c>
      <c r="D3537" s="5" t="s">
        <v>464</v>
      </c>
      <c r="E3537" s="3" t="s">
        <v>465</v>
      </c>
      <c r="F3537" s="3">
        <v>137500</v>
      </c>
      <c r="G3537" s="57" t="str">
        <f t="shared" si="55"/>
        <v>-</v>
      </c>
    </row>
    <row r="3538" spans="1:10" x14ac:dyDescent="0.2">
      <c r="A3538" s="1" t="s">
        <v>6</v>
      </c>
      <c r="B3538" s="12" t="s">
        <v>231</v>
      </c>
      <c r="D3538" s="5" t="s">
        <v>464</v>
      </c>
      <c r="E3538" s="3" t="s">
        <v>465</v>
      </c>
      <c r="F3538" s="3">
        <v>207500</v>
      </c>
      <c r="G3538" s="57" t="str">
        <f t="shared" si="55"/>
        <v>-</v>
      </c>
    </row>
    <row r="3539" spans="1:10" ht="25.5" x14ac:dyDescent="0.2">
      <c r="A3539" s="1" t="s">
        <v>20</v>
      </c>
      <c r="B3539" s="2" t="s">
        <v>232</v>
      </c>
      <c r="C3539" s="5" t="s">
        <v>1236</v>
      </c>
      <c r="D3539" s="5" t="s">
        <v>450</v>
      </c>
      <c r="E3539" s="3" t="s">
        <v>465</v>
      </c>
      <c r="F3539" s="3">
        <v>144630</v>
      </c>
      <c r="G3539" s="57" t="str">
        <f t="shared" si="55"/>
        <v>-</v>
      </c>
      <c r="J3539" s="5" t="s">
        <v>3206</v>
      </c>
    </row>
    <row r="3540" spans="1:10" x14ac:dyDescent="0.2">
      <c r="A3540" s="1" t="s">
        <v>20</v>
      </c>
      <c r="B3540" s="2" t="s">
        <v>232</v>
      </c>
      <c r="C3540" s="5" t="s">
        <v>3214</v>
      </c>
      <c r="D3540" s="5" t="s">
        <v>450</v>
      </c>
      <c r="E3540" s="3">
        <v>164158</v>
      </c>
      <c r="F3540" s="3" t="s">
        <v>465</v>
      </c>
      <c r="G3540" s="57" t="str">
        <f t="shared" si="55"/>
        <v>-</v>
      </c>
      <c r="J3540" s="5" t="s">
        <v>3215</v>
      </c>
    </row>
    <row r="3541" spans="1:10" ht="25.5" x14ac:dyDescent="0.2">
      <c r="A3541" s="1" t="s">
        <v>20</v>
      </c>
      <c r="B3541" s="2" t="s">
        <v>232</v>
      </c>
      <c r="D3541" s="15" t="s">
        <v>1237</v>
      </c>
      <c r="E3541" s="9" t="s">
        <v>465</v>
      </c>
      <c r="F3541" s="9">
        <v>121342</v>
      </c>
      <c r="G3541" s="57" t="str">
        <f t="shared" si="55"/>
        <v>-</v>
      </c>
      <c r="J3541" s="5" t="s">
        <v>3207</v>
      </c>
    </row>
    <row r="3542" spans="1:10" ht="25.5" x14ac:dyDescent="0.2">
      <c r="A3542" s="1" t="s">
        <v>20</v>
      </c>
      <c r="B3542" s="2" t="s">
        <v>232</v>
      </c>
      <c r="D3542" s="15" t="s">
        <v>3209</v>
      </c>
      <c r="E3542" s="9">
        <v>142570</v>
      </c>
      <c r="F3542" s="9">
        <v>15330</v>
      </c>
      <c r="G3542" s="57">
        <f t="shared" si="55"/>
        <v>-0.89247387248369225</v>
      </c>
      <c r="J3542" s="5" t="s">
        <v>3210</v>
      </c>
    </row>
    <row r="3543" spans="1:10" ht="38.25" x14ac:dyDescent="0.2">
      <c r="A3543" s="1" t="s">
        <v>20</v>
      </c>
      <c r="B3543" s="2" t="s">
        <v>232</v>
      </c>
      <c r="D3543" s="15" t="s">
        <v>1238</v>
      </c>
      <c r="E3543" s="9">
        <v>142570</v>
      </c>
      <c r="F3543" s="9">
        <v>142680</v>
      </c>
      <c r="G3543" s="57">
        <f t="shared" si="55"/>
        <v>7.7155081714245632E-4</v>
      </c>
      <c r="J3543" s="5" t="s">
        <v>3213</v>
      </c>
    </row>
    <row r="3544" spans="1:10" ht="25.5" x14ac:dyDescent="0.2">
      <c r="A3544" s="1" t="s">
        <v>20</v>
      </c>
      <c r="B3544" s="2" t="s">
        <v>232</v>
      </c>
      <c r="D3544" s="15" t="s">
        <v>3211</v>
      </c>
      <c r="E3544" s="9">
        <v>142570</v>
      </c>
      <c r="F3544" s="9">
        <v>50590</v>
      </c>
      <c r="G3544" s="57">
        <f t="shared" si="55"/>
        <v>-0.6451567650978467</v>
      </c>
      <c r="J3544" s="5" t="s">
        <v>3212</v>
      </c>
    </row>
    <row r="3545" spans="1:10" ht="38.25" x14ac:dyDescent="0.2">
      <c r="A3545" s="1" t="s">
        <v>20</v>
      </c>
      <c r="B3545" s="2" t="s">
        <v>232</v>
      </c>
      <c r="D3545" s="15" t="s">
        <v>1239</v>
      </c>
      <c r="E3545" s="9">
        <v>142544</v>
      </c>
      <c r="F3545" s="9">
        <v>142680</v>
      </c>
      <c r="G3545" s="57">
        <f t="shared" si="55"/>
        <v>9.540913682792682E-4</v>
      </c>
      <c r="J3545" s="5" t="s">
        <v>3213</v>
      </c>
    </row>
    <row r="3546" spans="1:10" ht="25.5" x14ac:dyDescent="0.2">
      <c r="A3546" s="1" t="s">
        <v>20</v>
      </c>
      <c r="B3546" s="2" t="s">
        <v>232</v>
      </c>
      <c r="D3546" s="15" t="s">
        <v>1240</v>
      </c>
      <c r="E3546" s="9" t="s">
        <v>465</v>
      </c>
      <c r="F3546" s="9">
        <v>117136</v>
      </c>
      <c r="G3546" s="57" t="str">
        <f t="shared" si="55"/>
        <v>-</v>
      </c>
      <c r="J3546" s="5" t="s">
        <v>3208</v>
      </c>
    </row>
    <row r="3547" spans="1:10" s="13" customFormat="1" x14ac:dyDescent="0.2">
      <c r="A3547" s="1" t="s">
        <v>20</v>
      </c>
      <c r="B3547" s="12" t="s">
        <v>232</v>
      </c>
      <c r="C3547" s="7"/>
      <c r="D3547" s="7" t="s">
        <v>464</v>
      </c>
      <c r="E3547" s="6"/>
      <c r="F3547" s="6"/>
      <c r="G3547" s="57" t="str">
        <f t="shared" si="55"/>
        <v>-</v>
      </c>
      <c r="H3547" s="21">
        <v>97500</v>
      </c>
      <c r="I3547" s="21" t="s">
        <v>465</v>
      </c>
      <c r="J3547" s="7"/>
    </row>
    <row r="3548" spans="1:10" s="13" customFormat="1" x14ac:dyDescent="0.2">
      <c r="A3548" s="1" t="s">
        <v>20</v>
      </c>
      <c r="B3548" s="12" t="s">
        <v>232</v>
      </c>
      <c r="C3548" s="7"/>
      <c r="D3548" s="7" t="s">
        <v>464</v>
      </c>
      <c r="E3548" s="6"/>
      <c r="F3548" s="6"/>
      <c r="G3548" s="57" t="str">
        <f t="shared" si="55"/>
        <v>-</v>
      </c>
      <c r="H3548" s="21">
        <v>97500</v>
      </c>
      <c r="I3548" s="21" t="s">
        <v>465</v>
      </c>
      <c r="J3548" s="7"/>
    </row>
    <row r="3549" spans="1:10" s="13" customFormat="1" x14ac:dyDescent="0.2">
      <c r="A3549" s="1" t="s">
        <v>20</v>
      </c>
      <c r="B3549" s="12" t="s">
        <v>232</v>
      </c>
      <c r="C3549" s="7"/>
      <c r="D3549" s="7" t="s">
        <v>464</v>
      </c>
      <c r="E3549" s="21">
        <v>102500</v>
      </c>
      <c r="F3549" s="6"/>
      <c r="G3549" s="57" t="str">
        <f>IF(ISERROR((F3549-#REF!)/#REF!),"-",(F3549-#REF!)/#REF!)</f>
        <v>-</v>
      </c>
      <c r="H3549" s="8"/>
      <c r="I3549" s="21"/>
      <c r="J3549" s="7"/>
    </row>
    <row r="3550" spans="1:10" ht="25.5" x14ac:dyDescent="0.2">
      <c r="A3550" s="1" t="s">
        <v>11</v>
      </c>
      <c r="B3550" s="2" t="s">
        <v>233</v>
      </c>
      <c r="C3550" s="29" t="s">
        <v>2697</v>
      </c>
      <c r="G3550" s="57" t="str">
        <f t="shared" ref="G3550:G3613" si="56">IF(ISERROR((F3550-E3550)/E3550),"-",(F3550-E3550)/E3550)</f>
        <v>-</v>
      </c>
    </row>
    <row r="3551" spans="1:10" ht="25.5" x14ac:dyDescent="0.2">
      <c r="A3551" s="1" t="s">
        <v>4</v>
      </c>
      <c r="B3551" s="2" t="s">
        <v>234</v>
      </c>
      <c r="D3551" s="5" t="s">
        <v>450</v>
      </c>
      <c r="E3551" s="3" t="s">
        <v>465</v>
      </c>
      <c r="F3551" s="3">
        <v>136000</v>
      </c>
      <c r="G3551" s="57" t="str">
        <f t="shared" si="56"/>
        <v>-</v>
      </c>
      <c r="J3551" s="5" t="s">
        <v>3200</v>
      </c>
    </row>
    <row r="3552" spans="1:10" x14ac:dyDescent="0.2">
      <c r="A3552" s="1" t="s">
        <v>4</v>
      </c>
      <c r="B3552" s="2" t="s">
        <v>234</v>
      </c>
      <c r="D3552" s="5" t="s">
        <v>450</v>
      </c>
      <c r="E3552" s="3">
        <v>168000</v>
      </c>
      <c r="F3552" s="3" t="s">
        <v>465</v>
      </c>
      <c r="G3552" s="57" t="str">
        <f t="shared" si="56"/>
        <v>-</v>
      </c>
    </row>
    <row r="3553" spans="1:10" x14ac:dyDescent="0.2">
      <c r="A3553" s="1" t="s">
        <v>4</v>
      </c>
      <c r="B3553" s="2" t="s">
        <v>234</v>
      </c>
      <c r="D3553" s="5" t="s">
        <v>3203</v>
      </c>
      <c r="E3553" s="3">
        <v>125000</v>
      </c>
      <c r="F3553" s="3" t="s">
        <v>465</v>
      </c>
      <c r="G3553" s="57" t="str">
        <f t="shared" si="56"/>
        <v>-</v>
      </c>
    </row>
    <row r="3554" spans="1:10" ht="25.5" x14ac:dyDescent="0.2">
      <c r="A3554" s="1" t="s">
        <v>4</v>
      </c>
      <c r="B3554" s="2" t="s">
        <v>234</v>
      </c>
      <c r="D3554" s="5" t="s">
        <v>1234</v>
      </c>
      <c r="E3554" s="3" t="s">
        <v>465</v>
      </c>
      <c r="F3554" s="3">
        <v>126000</v>
      </c>
      <c r="G3554" s="57" t="str">
        <f t="shared" si="56"/>
        <v>-</v>
      </c>
      <c r="J3554" s="5" t="s">
        <v>3201</v>
      </c>
    </row>
    <row r="3555" spans="1:10" ht="25.5" x14ac:dyDescent="0.2">
      <c r="A3555" s="1" t="s">
        <v>4</v>
      </c>
      <c r="B3555" s="2" t="s">
        <v>234</v>
      </c>
      <c r="D3555" s="5" t="s">
        <v>1235</v>
      </c>
      <c r="E3555" s="3" t="s">
        <v>465</v>
      </c>
      <c r="F3555" s="3">
        <v>123000</v>
      </c>
      <c r="G3555" s="57" t="str">
        <f t="shared" si="56"/>
        <v>-</v>
      </c>
      <c r="J3555" s="5" t="s">
        <v>3202</v>
      </c>
    </row>
    <row r="3556" spans="1:10" x14ac:dyDescent="0.2">
      <c r="A3556" s="1" t="s">
        <v>4</v>
      </c>
      <c r="B3556" s="2" t="s">
        <v>234</v>
      </c>
      <c r="D3556" s="5" t="s">
        <v>3205</v>
      </c>
      <c r="E3556" s="3">
        <v>117000</v>
      </c>
      <c r="F3556" s="3" t="s">
        <v>465</v>
      </c>
      <c r="G3556" s="57" t="str">
        <f t="shared" si="56"/>
        <v>-</v>
      </c>
    </row>
    <row r="3557" spans="1:10" x14ac:dyDescent="0.2">
      <c r="A3557" s="1" t="s">
        <v>4</v>
      </c>
      <c r="B3557" s="2" t="s">
        <v>234</v>
      </c>
      <c r="D3557" s="5" t="s">
        <v>3204</v>
      </c>
      <c r="E3557" s="3">
        <v>125000</v>
      </c>
      <c r="F3557" s="3" t="s">
        <v>465</v>
      </c>
      <c r="G3557" s="57" t="str">
        <f t="shared" si="56"/>
        <v>-</v>
      </c>
    </row>
    <row r="3558" spans="1:10" x14ac:dyDescent="0.2">
      <c r="A3558" s="1" t="s">
        <v>4</v>
      </c>
      <c r="B3558" s="2" t="s">
        <v>234</v>
      </c>
      <c r="D3558" s="5" t="s">
        <v>464</v>
      </c>
      <c r="G3558" s="57" t="str">
        <f t="shared" si="56"/>
        <v>-</v>
      </c>
      <c r="H3558" s="19">
        <v>92500</v>
      </c>
      <c r="I3558" s="19" t="s">
        <v>465</v>
      </c>
    </row>
    <row r="3559" spans="1:10" ht="25.5" x14ac:dyDescent="0.2">
      <c r="A3559" s="1" t="s">
        <v>20</v>
      </c>
      <c r="B3559" s="2" t="s">
        <v>235</v>
      </c>
      <c r="D3559" s="5" t="s">
        <v>450</v>
      </c>
      <c r="E3559" s="6">
        <v>47000</v>
      </c>
      <c r="F3559" s="3">
        <v>104000</v>
      </c>
      <c r="G3559" s="57">
        <f t="shared" si="56"/>
        <v>1.2127659574468086</v>
      </c>
      <c r="J3559" s="5" t="s">
        <v>3199</v>
      </c>
    </row>
    <row r="3560" spans="1:10" x14ac:dyDescent="0.2">
      <c r="A3560" s="1" t="s">
        <v>39</v>
      </c>
      <c r="B3560" s="12" t="s">
        <v>236</v>
      </c>
      <c r="D3560" s="5" t="s">
        <v>450</v>
      </c>
      <c r="E3560" s="3">
        <v>122939</v>
      </c>
      <c r="F3560" s="3">
        <v>130725</v>
      </c>
      <c r="G3560" s="57">
        <f t="shared" si="56"/>
        <v>6.3332221670909961E-2</v>
      </c>
      <c r="J3560" s="5" t="s">
        <v>3198</v>
      </c>
    </row>
    <row r="3561" spans="1:10" ht="38.25" x14ac:dyDescent="0.2">
      <c r="A3561" s="1" t="s">
        <v>6</v>
      </c>
      <c r="B3561" s="2" t="s">
        <v>237</v>
      </c>
      <c r="C3561" s="5" t="s">
        <v>1224</v>
      </c>
      <c r="D3561" s="14" t="s">
        <v>1225</v>
      </c>
      <c r="E3561" s="10">
        <f>203934+657+27735</f>
        <v>232326</v>
      </c>
      <c r="F3561" s="10">
        <f>203934+741+27735</f>
        <v>232410</v>
      </c>
      <c r="G3561" s="57">
        <f t="shared" si="56"/>
        <v>3.6156091010046231E-4</v>
      </c>
      <c r="J3561" s="5" t="s">
        <v>3186</v>
      </c>
    </row>
    <row r="3562" spans="1:10" ht="38.25" x14ac:dyDescent="0.2">
      <c r="A3562" s="1" t="s">
        <v>6</v>
      </c>
      <c r="B3562" s="2" t="s">
        <v>237</v>
      </c>
      <c r="C3562" s="5" t="s">
        <v>1226</v>
      </c>
      <c r="D3562" s="14" t="s">
        <v>1227</v>
      </c>
      <c r="E3562" s="10">
        <f>154914+1400+21068</f>
        <v>177382</v>
      </c>
      <c r="F3562" s="10">
        <f>154914+1416+21068</f>
        <v>177398</v>
      </c>
      <c r="G3562" s="57">
        <f t="shared" si="56"/>
        <v>9.0200809552265729E-5</v>
      </c>
      <c r="J3562" s="5" t="s">
        <v>3187</v>
      </c>
    </row>
    <row r="3563" spans="1:10" ht="25.5" x14ac:dyDescent="0.2">
      <c r="A3563" s="1" t="s">
        <v>6</v>
      </c>
      <c r="B3563" s="2" t="s">
        <v>237</v>
      </c>
      <c r="D3563" s="14" t="s">
        <v>562</v>
      </c>
      <c r="E3563" s="10">
        <f>138066+151+18777</f>
        <v>156994</v>
      </c>
      <c r="F3563" s="10">
        <f>138066+18777+99295</f>
        <v>256138</v>
      </c>
      <c r="G3563" s="57">
        <f t="shared" si="56"/>
        <v>0.63151458017503859</v>
      </c>
      <c r="J3563" s="5" t="s">
        <v>3188</v>
      </c>
    </row>
    <row r="3564" spans="1:10" ht="38.25" x14ac:dyDescent="0.2">
      <c r="A3564" s="1" t="s">
        <v>6</v>
      </c>
      <c r="B3564" s="2" t="s">
        <v>237</v>
      </c>
      <c r="D3564" s="14" t="s">
        <v>1228</v>
      </c>
      <c r="E3564" s="10">
        <f>138233+1170+18777</f>
        <v>158180</v>
      </c>
      <c r="F3564" s="10">
        <f>138066+1239+18777+95238+95510</f>
        <v>348830</v>
      </c>
      <c r="G3564" s="57">
        <f t="shared" si="56"/>
        <v>1.2052724743962575</v>
      </c>
      <c r="J3564" s="5" t="s">
        <v>3189</v>
      </c>
    </row>
    <row r="3565" spans="1:10" x14ac:dyDescent="0.2">
      <c r="A3565" s="1" t="s">
        <v>6</v>
      </c>
      <c r="B3565" s="2" t="s">
        <v>237</v>
      </c>
      <c r="D3565" s="14" t="s">
        <v>1229</v>
      </c>
      <c r="E3565" s="10">
        <f>130002+18109</f>
        <v>148111</v>
      </c>
      <c r="F3565" s="10">
        <f>130002+17680</f>
        <v>147682</v>
      </c>
      <c r="G3565" s="57">
        <f t="shared" si="56"/>
        <v>-2.8964762914300761E-3</v>
      </c>
      <c r="J3565" s="5" t="s">
        <v>3190</v>
      </c>
    </row>
    <row r="3566" spans="1:10" x14ac:dyDescent="0.2">
      <c r="A3566" s="1" t="s">
        <v>6</v>
      </c>
      <c r="B3566" s="2" t="s">
        <v>237</v>
      </c>
      <c r="D3566" s="14" t="s">
        <v>1230</v>
      </c>
      <c r="E3566" s="10">
        <f>120894+906+16442</f>
        <v>138242</v>
      </c>
      <c r="F3566" s="10">
        <f>120894+963+16442</f>
        <v>138299</v>
      </c>
      <c r="G3566" s="57">
        <f t="shared" si="56"/>
        <v>4.1232042360498256E-4</v>
      </c>
      <c r="J3566" s="5" t="s">
        <v>3191</v>
      </c>
    </row>
    <row r="3567" spans="1:10" ht="25.5" x14ac:dyDescent="0.2">
      <c r="A3567" s="1" t="s">
        <v>6</v>
      </c>
      <c r="B3567" s="2" t="s">
        <v>237</v>
      </c>
      <c r="D3567" s="14" t="s">
        <v>1231</v>
      </c>
      <c r="E3567" s="10">
        <f>29032+3520+3948</f>
        <v>36500</v>
      </c>
      <c r="F3567" s="10">
        <f>120000+3365+16320</f>
        <v>139685</v>
      </c>
      <c r="G3567" s="57">
        <f t="shared" si="56"/>
        <v>2.8269863013698631</v>
      </c>
      <c r="J3567" s="5" t="s">
        <v>3192</v>
      </c>
    </row>
    <row r="3568" spans="1:10" x14ac:dyDescent="0.2">
      <c r="A3568" s="1" t="s">
        <v>6</v>
      </c>
      <c r="B3568" s="2" t="s">
        <v>237</v>
      </c>
      <c r="D3568" s="14" t="s">
        <v>3196</v>
      </c>
      <c r="E3568" s="10">
        <f>106013+4516</f>
        <v>110529</v>
      </c>
      <c r="F3568" s="10" t="s">
        <v>465</v>
      </c>
      <c r="G3568" s="57" t="str">
        <f t="shared" si="56"/>
        <v>-</v>
      </c>
      <c r="J3568" s="5" t="s">
        <v>3197</v>
      </c>
    </row>
    <row r="3569" spans="1:10" x14ac:dyDescent="0.2">
      <c r="A3569" s="1" t="s">
        <v>6</v>
      </c>
      <c r="B3569" s="2" t="s">
        <v>237</v>
      </c>
      <c r="D3569" s="14" t="s">
        <v>1232</v>
      </c>
      <c r="E3569" s="10">
        <f>120660+16467</f>
        <v>137127</v>
      </c>
      <c r="F3569" s="10">
        <f>120000+16320</f>
        <v>136320</v>
      </c>
      <c r="G3569" s="57">
        <f t="shared" si="56"/>
        <v>-5.8850554595375089E-3</v>
      </c>
      <c r="J3569" s="5" t="s">
        <v>3193</v>
      </c>
    </row>
    <row r="3570" spans="1:10" ht="38.25" x14ac:dyDescent="0.2">
      <c r="A3570" s="1" t="s">
        <v>6</v>
      </c>
      <c r="B3570" s="2" t="s">
        <v>237</v>
      </c>
      <c r="D3570" s="14" t="s">
        <v>1233</v>
      </c>
      <c r="E3570" s="10">
        <f>112488+15298</f>
        <v>127786</v>
      </c>
      <c r="F3570" s="10">
        <f>116238+15808</f>
        <v>132046</v>
      </c>
      <c r="G3570" s="57">
        <f t="shared" si="56"/>
        <v>3.3336985272252047E-2</v>
      </c>
      <c r="J3570" s="5" t="s">
        <v>3194</v>
      </c>
    </row>
    <row r="3571" spans="1:10" ht="25.5" x14ac:dyDescent="0.2">
      <c r="A3571" s="1" t="s">
        <v>6</v>
      </c>
      <c r="B3571" s="2" t="s">
        <v>237</v>
      </c>
      <c r="D3571" s="14" t="s">
        <v>454</v>
      </c>
      <c r="E3571" s="10">
        <f>119312+986+15883</f>
        <v>136181</v>
      </c>
      <c r="F3571" s="10">
        <f>120000+1045+16320</f>
        <v>137365</v>
      </c>
      <c r="G3571" s="57">
        <f t="shared" si="56"/>
        <v>8.6943112475308601E-3</v>
      </c>
      <c r="J3571" s="5" t="s">
        <v>3195</v>
      </c>
    </row>
    <row r="3572" spans="1:10" x14ac:dyDescent="0.2">
      <c r="A3572" s="1" t="s">
        <v>6</v>
      </c>
      <c r="B3572" s="2" t="s">
        <v>237</v>
      </c>
      <c r="D3572" s="7" t="s">
        <v>464</v>
      </c>
      <c r="E3572" s="6"/>
      <c r="F3572" s="6"/>
      <c r="G3572" s="57" t="str">
        <f t="shared" si="56"/>
        <v>-</v>
      </c>
      <c r="H3572" s="21">
        <v>92500</v>
      </c>
      <c r="I3572" s="21" t="s">
        <v>465</v>
      </c>
      <c r="J3572" s="7"/>
    </row>
    <row r="3573" spans="1:10" x14ac:dyDescent="0.2">
      <c r="A3573" s="1" t="s">
        <v>6</v>
      </c>
      <c r="B3573" s="2" t="s">
        <v>237</v>
      </c>
      <c r="D3573" s="7" t="s">
        <v>464</v>
      </c>
      <c r="E3573" s="6"/>
      <c r="F3573" s="6"/>
      <c r="G3573" s="57" t="str">
        <f t="shared" si="56"/>
        <v>-</v>
      </c>
      <c r="H3573" s="21">
        <v>97500</v>
      </c>
      <c r="I3573" s="21" t="s">
        <v>465</v>
      </c>
      <c r="J3573" s="7"/>
    </row>
    <row r="3574" spans="1:10" x14ac:dyDescent="0.2">
      <c r="A3574" s="1" t="s">
        <v>6</v>
      </c>
      <c r="B3574" s="2" t="s">
        <v>237</v>
      </c>
      <c r="D3574" s="7" t="s">
        <v>464</v>
      </c>
      <c r="E3574" s="6">
        <v>102500</v>
      </c>
      <c r="F3574" s="6" t="s">
        <v>465</v>
      </c>
      <c r="G3574" s="57" t="str">
        <f t="shared" si="56"/>
        <v>-</v>
      </c>
      <c r="H3574" s="21"/>
      <c r="I3574" s="21"/>
      <c r="J3574" s="7"/>
    </row>
    <row r="3575" spans="1:10" x14ac:dyDescent="0.2">
      <c r="A3575" s="1" t="s">
        <v>6</v>
      </c>
      <c r="B3575" s="2" t="s">
        <v>237</v>
      </c>
      <c r="D3575" s="7" t="s">
        <v>464</v>
      </c>
      <c r="E3575" s="6">
        <v>102500</v>
      </c>
      <c r="F3575" s="6" t="s">
        <v>465</v>
      </c>
      <c r="G3575" s="57" t="str">
        <f t="shared" si="56"/>
        <v>-</v>
      </c>
      <c r="H3575" s="21"/>
      <c r="I3575" s="21"/>
      <c r="J3575" s="7"/>
    </row>
    <row r="3576" spans="1:10" x14ac:dyDescent="0.2">
      <c r="A3576" s="1" t="s">
        <v>6</v>
      </c>
      <c r="B3576" s="2" t="s">
        <v>237</v>
      </c>
      <c r="D3576" s="7" t="s">
        <v>464</v>
      </c>
      <c r="E3576" s="6">
        <v>102500</v>
      </c>
      <c r="F3576" s="6" t="s">
        <v>465</v>
      </c>
      <c r="G3576" s="57" t="str">
        <f t="shared" si="56"/>
        <v>-</v>
      </c>
      <c r="H3576" s="21"/>
      <c r="I3576" s="21"/>
      <c r="J3576" s="7"/>
    </row>
    <row r="3577" spans="1:10" x14ac:dyDescent="0.2">
      <c r="A3577" s="1" t="s">
        <v>6</v>
      </c>
      <c r="B3577" s="2" t="s">
        <v>237</v>
      </c>
      <c r="D3577" s="7" t="s">
        <v>464</v>
      </c>
      <c r="E3577" s="6">
        <v>107500</v>
      </c>
      <c r="F3577" s="6" t="s">
        <v>465</v>
      </c>
      <c r="G3577" s="57" t="str">
        <f t="shared" si="56"/>
        <v>-</v>
      </c>
      <c r="H3577" s="21"/>
      <c r="I3577" s="21"/>
      <c r="J3577" s="7"/>
    </row>
    <row r="3578" spans="1:10" x14ac:dyDescent="0.2">
      <c r="A3578" s="1" t="s">
        <v>6</v>
      </c>
      <c r="B3578" s="2" t="s">
        <v>237</v>
      </c>
      <c r="D3578" s="7" t="s">
        <v>464</v>
      </c>
      <c r="E3578" s="6">
        <v>112500</v>
      </c>
      <c r="F3578" s="6" t="s">
        <v>465</v>
      </c>
      <c r="G3578" s="57" t="str">
        <f t="shared" si="56"/>
        <v>-</v>
      </c>
      <c r="H3578" s="21"/>
      <c r="I3578" s="21"/>
      <c r="J3578" s="7"/>
    </row>
    <row r="3579" spans="1:10" x14ac:dyDescent="0.2">
      <c r="A3579" s="1" t="s">
        <v>6</v>
      </c>
      <c r="B3579" s="2" t="s">
        <v>237</v>
      </c>
      <c r="D3579" s="7" t="s">
        <v>464</v>
      </c>
      <c r="E3579" s="6">
        <v>117500</v>
      </c>
      <c r="F3579" s="6" t="s">
        <v>465</v>
      </c>
      <c r="G3579" s="57" t="str">
        <f t="shared" si="56"/>
        <v>-</v>
      </c>
      <c r="H3579" s="21"/>
      <c r="I3579" s="21"/>
      <c r="J3579" s="7"/>
    </row>
    <row r="3580" spans="1:10" x14ac:dyDescent="0.2">
      <c r="A3580" s="1" t="s">
        <v>6</v>
      </c>
      <c r="B3580" s="2" t="s">
        <v>237</v>
      </c>
      <c r="D3580" s="7" t="s">
        <v>464</v>
      </c>
      <c r="E3580" s="6">
        <v>102500</v>
      </c>
      <c r="F3580" s="6" t="s">
        <v>465</v>
      </c>
      <c r="G3580" s="57" t="str">
        <f t="shared" si="56"/>
        <v>-</v>
      </c>
      <c r="H3580" s="21"/>
      <c r="I3580" s="21"/>
      <c r="J3580" s="7" t="s">
        <v>539</v>
      </c>
    </row>
    <row r="3581" spans="1:10" x14ac:dyDescent="0.2">
      <c r="A3581" s="1" t="s">
        <v>6</v>
      </c>
      <c r="B3581" s="2" t="s">
        <v>237</v>
      </c>
      <c r="D3581" s="7" t="s">
        <v>464</v>
      </c>
      <c r="E3581" s="6">
        <v>112500</v>
      </c>
      <c r="F3581" s="6" t="s">
        <v>465</v>
      </c>
      <c r="G3581" s="57" t="str">
        <f t="shared" si="56"/>
        <v>-</v>
      </c>
      <c r="H3581" s="21"/>
      <c r="I3581" s="21"/>
      <c r="J3581" s="7" t="s">
        <v>539</v>
      </c>
    </row>
    <row r="3582" spans="1:10" x14ac:dyDescent="0.2">
      <c r="A3582" s="1" t="s">
        <v>6</v>
      </c>
      <c r="B3582" s="2" t="s">
        <v>237</v>
      </c>
      <c r="D3582" s="7" t="s">
        <v>464</v>
      </c>
      <c r="E3582" s="6"/>
      <c r="F3582" s="6"/>
      <c r="G3582" s="57" t="str">
        <f t="shared" si="56"/>
        <v>-</v>
      </c>
      <c r="H3582" s="21" t="s">
        <v>465</v>
      </c>
      <c r="I3582" s="21">
        <v>92500</v>
      </c>
      <c r="J3582" s="7"/>
    </row>
    <row r="3583" spans="1:10" x14ac:dyDescent="0.2">
      <c r="A3583" s="1" t="s">
        <v>6</v>
      </c>
      <c r="B3583" s="2" t="s">
        <v>237</v>
      </c>
      <c r="D3583" s="7" t="s">
        <v>464</v>
      </c>
      <c r="E3583" s="6"/>
      <c r="F3583" s="6"/>
      <c r="G3583" s="57" t="str">
        <f t="shared" si="56"/>
        <v>-</v>
      </c>
      <c r="H3583" s="21" t="s">
        <v>465</v>
      </c>
      <c r="I3583" s="21">
        <v>92500</v>
      </c>
      <c r="J3583" s="7"/>
    </row>
    <row r="3584" spans="1:10" x14ac:dyDescent="0.2">
      <c r="A3584" s="1" t="s">
        <v>6</v>
      </c>
      <c r="B3584" s="2" t="s">
        <v>237</v>
      </c>
      <c r="D3584" s="7" t="s">
        <v>464</v>
      </c>
      <c r="E3584" s="6"/>
      <c r="F3584" s="6"/>
      <c r="G3584" s="57" t="str">
        <f t="shared" si="56"/>
        <v>-</v>
      </c>
      <c r="H3584" s="21" t="s">
        <v>465</v>
      </c>
      <c r="I3584" s="21">
        <v>92500</v>
      </c>
      <c r="J3584" s="7"/>
    </row>
    <row r="3585" spans="1:10" x14ac:dyDescent="0.2">
      <c r="A3585" s="1" t="s">
        <v>6</v>
      </c>
      <c r="B3585" s="2" t="s">
        <v>237</v>
      </c>
      <c r="D3585" s="7" t="s">
        <v>464</v>
      </c>
      <c r="E3585" s="6"/>
      <c r="F3585" s="6"/>
      <c r="G3585" s="57" t="str">
        <f t="shared" si="56"/>
        <v>-</v>
      </c>
      <c r="H3585" s="21" t="s">
        <v>465</v>
      </c>
      <c r="I3585" s="21">
        <v>92500</v>
      </c>
      <c r="J3585" s="7"/>
    </row>
    <row r="3586" spans="1:10" x14ac:dyDescent="0.2">
      <c r="A3586" s="1" t="s">
        <v>6</v>
      </c>
      <c r="B3586" s="2" t="s">
        <v>237</v>
      </c>
      <c r="D3586" s="7" t="s">
        <v>464</v>
      </c>
      <c r="E3586" s="6"/>
      <c r="F3586" s="6"/>
      <c r="G3586" s="57" t="str">
        <f t="shared" si="56"/>
        <v>-</v>
      </c>
      <c r="H3586" s="21" t="s">
        <v>465</v>
      </c>
      <c r="I3586" s="21">
        <v>92500</v>
      </c>
      <c r="J3586" s="7"/>
    </row>
    <row r="3587" spans="1:10" x14ac:dyDescent="0.2">
      <c r="A3587" s="1" t="s">
        <v>6</v>
      </c>
      <c r="B3587" s="2" t="s">
        <v>237</v>
      </c>
      <c r="D3587" s="7" t="s">
        <v>464</v>
      </c>
      <c r="E3587" s="6"/>
      <c r="F3587" s="6"/>
      <c r="G3587" s="57" t="str">
        <f t="shared" si="56"/>
        <v>-</v>
      </c>
      <c r="H3587" s="21" t="s">
        <v>465</v>
      </c>
      <c r="I3587" s="21">
        <v>97500</v>
      </c>
      <c r="J3587" s="7"/>
    </row>
    <row r="3588" spans="1:10" x14ac:dyDescent="0.2">
      <c r="A3588" s="1" t="s">
        <v>6</v>
      </c>
      <c r="B3588" s="2" t="s">
        <v>237</v>
      </c>
      <c r="D3588" s="7" t="s">
        <v>464</v>
      </c>
      <c r="E3588" s="6"/>
      <c r="F3588" s="6"/>
      <c r="G3588" s="57" t="str">
        <f t="shared" si="56"/>
        <v>-</v>
      </c>
      <c r="H3588" s="21" t="s">
        <v>465</v>
      </c>
      <c r="I3588" s="21">
        <v>97500</v>
      </c>
      <c r="J3588" s="7"/>
    </row>
    <row r="3589" spans="1:10" x14ac:dyDescent="0.2">
      <c r="A3589" s="1" t="s">
        <v>6</v>
      </c>
      <c r="B3589" s="2" t="s">
        <v>237</v>
      </c>
      <c r="D3589" s="7" t="s">
        <v>464</v>
      </c>
      <c r="E3589" s="6"/>
      <c r="F3589" s="6"/>
      <c r="G3589" s="57" t="str">
        <f t="shared" si="56"/>
        <v>-</v>
      </c>
      <c r="H3589" s="21" t="s">
        <v>465</v>
      </c>
      <c r="I3589" s="21">
        <v>97500</v>
      </c>
      <c r="J3589" s="7"/>
    </row>
    <row r="3590" spans="1:10" x14ac:dyDescent="0.2">
      <c r="A3590" s="1" t="s">
        <v>6</v>
      </c>
      <c r="B3590" s="2" t="s">
        <v>237</v>
      </c>
      <c r="D3590" s="7" t="s">
        <v>464</v>
      </c>
      <c r="E3590" s="6"/>
      <c r="F3590" s="6"/>
      <c r="G3590" s="57" t="str">
        <f t="shared" si="56"/>
        <v>-</v>
      </c>
      <c r="H3590" s="21" t="s">
        <v>465</v>
      </c>
      <c r="I3590" s="21">
        <v>97500</v>
      </c>
      <c r="J3590" s="7"/>
    </row>
    <row r="3591" spans="1:10" x14ac:dyDescent="0.2">
      <c r="A3591" s="1" t="s">
        <v>6</v>
      </c>
      <c r="B3591" s="2" t="s">
        <v>237</v>
      </c>
      <c r="D3591" s="7" t="s">
        <v>464</v>
      </c>
      <c r="E3591" s="6" t="s">
        <v>465</v>
      </c>
      <c r="F3591" s="6">
        <v>107500</v>
      </c>
      <c r="G3591" s="57" t="str">
        <f t="shared" si="56"/>
        <v>-</v>
      </c>
      <c r="H3591" s="21"/>
      <c r="I3591" s="21"/>
      <c r="J3591" s="7"/>
    </row>
    <row r="3592" spans="1:10" x14ac:dyDescent="0.2">
      <c r="A3592" s="1" t="s">
        <v>6</v>
      </c>
      <c r="B3592" s="2" t="s">
        <v>237</v>
      </c>
      <c r="D3592" s="7" t="s">
        <v>464</v>
      </c>
      <c r="E3592" s="6" t="s">
        <v>465</v>
      </c>
      <c r="F3592" s="6">
        <v>107500</v>
      </c>
      <c r="G3592" s="57" t="str">
        <f t="shared" si="56"/>
        <v>-</v>
      </c>
      <c r="H3592" s="21"/>
      <c r="I3592" s="21"/>
      <c r="J3592" s="7"/>
    </row>
    <row r="3593" spans="1:10" x14ac:dyDescent="0.2">
      <c r="A3593" s="1" t="s">
        <v>6</v>
      </c>
      <c r="B3593" s="2" t="s">
        <v>237</v>
      </c>
      <c r="D3593" s="7" t="s">
        <v>464</v>
      </c>
      <c r="E3593" s="6"/>
      <c r="F3593" s="6"/>
      <c r="G3593" s="57" t="str">
        <f t="shared" si="56"/>
        <v>-</v>
      </c>
      <c r="H3593" s="21" t="s">
        <v>465</v>
      </c>
      <c r="I3593" s="21">
        <v>92500</v>
      </c>
      <c r="J3593" s="7" t="s">
        <v>539</v>
      </c>
    </row>
    <row r="3594" spans="1:10" x14ac:dyDescent="0.2">
      <c r="A3594" s="1" t="s">
        <v>6</v>
      </c>
      <c r="B3594" s="2" t="s">
        <v>237</v>
      </c>
      <c r="D3594" s="7" t="s">
        <v>464</v>
      </c>
      <c r="E3594" s="6"/>
      <c r="F3594" s="6"/>
      <c r="G3594" s="57" t="str">
        <f t="shared" si="56"/>
        <v>-</v>
      </c>
      <c r="H3594" s="21" t="s">
        <v>465</v>
      </c>
      <c r="I3594" s="21">
        <v>92500</v>
      </c>
      <c r="J3594" s="7" t="s">
        <v>539</v>
      </c>
    </row>
    <row r="3595" spans="1:10" x14ac:dyDescent="0.2">
      <c r="A3595" s="1" t="s">
        <v>6</v>
      </c>
      <c r="B3595" s="2" t="s">
        <v>237</v>
      </c>
      <c r="D3595" s="7" t="s">
        <v>464</v>
      </c>
      <c r="E3595" s="6"/>
      <c r="F3595" s="6"/>
      <c r="G3595" s="57" t="str">
        <f t="shared" si="56"/>
        <v>-</v>
      </c>
      <c r="H3595" s="21" t="s">
        <v>465</v>
      </c>
      <c r="I3595" s="21">
        <v>92500</v>
      </c>
      <c r="J3595" s="7" t="s">
        <v>539</v>
      </c>
    </row>
    <row r="3596" spans="1:10" x14ac:dyDescent="0.2">
      <c r="A3596" s="1" t="s">
        <v>6</v>
      </c>
      <c r="B3596" s="2" t="s">
        <v>237</v>
      </c>
      <c r="D3596" s="7" t="s">
        <v>464</v>
      </c>
      <c r="E3596" s="6"/>
      <c r="F3596" s="6"/>
      <c r="G3596" s="57" t="str">
        <f t="shared" si="56"/>
        <v>-</v>
      </c>
      <c r="H3596" s="21" t="s">
        <v>465</v>
      </c>
      <c r="I3596" s="21">
        <v>92500</v>
      </c>
      <c r="J3596" s="7" t="s">
        <v>539</v>
      </c>
    </row>
    <row r="3597" spans="1:10" x14ac:dyDescent="0.2">
      <c r="A3597" s="1" t="s">
        <v>6</v>
      </c>
      <c r="B3597" s="2" t="s">
        <v>237</v>
      </c>
      <c r="D3597" s="7" t="s">
        <v>464</v>
      </c>
      <c r="E3597" s="6"/>
      <c r="F3597" s="6"/>
      <c r="G3597" s="57" t="str">
        <f t="shared" si="56"/>
        <v>-</v>
      </c>
      <c r="H3597" s="21" t="s">
        <v>465</v>
      </c>
      <c r="I3597" s="21">
        <v>92500</v>
      </c>
      <c r="J3597" s="7" t="s">
        <v>539</v>
      </c>
    </row>
    <row r="3598" spans="1:10" x14ac:dyDescent="0.2">
      <c r="A3598" s="1" t="s">
        <v>6</v>
      </c>
      <c r="B3598" s="2" t="s">
        <v>237</v>
      </c>
      <c r="D3598" s="7" t="s">
        <v>464</v>
      </c>
      <c r="E3598" s="6"/>
      <c r="F3598" s="6"/>
      <c r="G3598" s="57" t="str">
        <f t="shared" si="56"/>
        <v>-</v>
      </c>
      <c r="H3598" s="21" t="s">
        <v>465</v>
      </c>
      <c r="I3598" s="21">
        <v>92500</v>
      </c>
      <c r="J3598" s="7" t="s">
        <v>539</v>
      </c>
    </row>
    <row r="3599" spans="1:10" x14ac:dyDescent="0.2">
      <c r="A3599" s="1" t="s">
        <v>6</v>
      </c>
      <c r="B3599" s="2" t="s">
        <v>237</v>
      </c>
      <c r="D3599" s="7" t="s">
        <v>464</v>
      </c>
      <c r="E3599" s="6"/>
      <c r="F3599" s="6"/>
      <c r="G3599" s="57" t="str">
        <f t="shared" si="56"/>
        <v>-</v>
      </c>
      <c r="H3599" s="21" t="s">
        <v>465</v>
      </c>
      <c r="I3599" s="21">
        <v>97500</v>
      </c>
      <c r="J3599" s="7" t="s">
        <v>539</v>
      </c>
    </row>
    <row r="3600" spans="1:10" x14ac:dyDescent="0.2">
      <c r="A3600" s="1" t="s">
        <v>6</v>
      </c>
      <c r="B3600" s="2" t="s">
        <v>237</v>
      </c>
      <c r="D3600" s="7" t="s">
        <v>464</v>
      </c>
      <c r="E3600" s="6"/>
      <c r="F3600" s="6"/>
      <c r="G3600" s="57" t="str">
        <f t="shared" si="56"/>
        <v>-</v>
      </c>
      <c r="H3600" s="21" t="s">
        <v>465</v>
      </c>
      <c r="I3600" s="21">
        <v>97500</v>
      </c>
      <c r="J3600" s="7" t="s">
        <v>539</v>
      </c>
    </row>
    <row r="3601" spans="1:10" x14ac:dyDescent="0.2">
      <c r="A3601" s="1" t="s">
        <v>6</v>
      </c>
      <c r="B3601" s="2" t="s">
        <v>237</v>
      </c>
      <c r="D3601" s="7" t="s">
        <v>464</v>
      </c>
      <c r="E3601" s="6"/>
      <c r="F3601" s="6"/>
      <c r="G3601" s="57" t="str">
        <f t="shared" si="56"/>
        <v>-</v>
      </c>
      <c r="H3601" s="21" t="s">
        <v>465</v>
      </c>
      <c r="I3601" s="21">
        <v>97500</v>
      </c>
      <c r="J3601" s="7" t="s">
        <v>539</v>
      </c>
    </row>
    <row r="3602" spans="1:10" x14ac:dyDescent="0.2">
      <c r="A3602" s="1" t="s">
        <v>6</v>
      </c>
      <c r="B3602" s="2" t="s">
        <v>237</v>
      </c>
      <c r="D3602" s="7" t="s">
        <v>464</v>
      </c>
      <c r="E3602" s="6"/>
      <c r="F3602" s="6"/>
      <c r="G3602" s="57" t="str">
        <f t="shared" si="56"/>
        <v>-</v>
      </c>
      <c r="H3602" s="21" t="s">
        <v>465</v>
      </c>
      <c r="I3602" s="21">
        <v>97500</v>
      </c>
      <c r="J3602" s="7" t="s">
        <v>539</v>
      </c>
    </row>
    <row r="3603" spans="1:10" x14ac:dyDescent="0.2">
      <c r="A3603" s="1" t="s">
        <v>6</v>
      </c>
      <c r="B3603" s="2" t="s">
        <v>237</v>
      </c>
      <c r="D3603" s="7" t="s">
        <v>464</v>
      </c>
      <c r="E3603" s="6"/>
      <c r="F3603" s="6"/>
      <c r="G3603" s="57" t="str">
        <f t="shared" si="56"/>
        <v>-</v>
      </c>
      <c r="H3603" s="21" t="s">
        <v>465</v>
      </c>
      <c r="I3603" s="21">
        <v>97500</v>
      </c>
      <c r="J3603" s="7" t="s">
        <v>539</v>
      </c>
    </row>
    <row r="3604" spans="1:10" x14ac:dyDescent="0.2">
      <c r="A3604" s="1" t="s">
        <v>6</v>
      </c>
      <c r="B3604" s="2" t="s">
        <v>237</v>
      </c>
      <c r="D3604" s="7" t="s">
        <v>464</v>
      </c>
      <c r="E3604" s="6"/>
      <c r="F3604" s="6"/>
      <c r="G3604" s="57" t="str">
        <f t="shared" si="56"/>
        <v>-</v>
      </c>
      <c r="H3604" s="21" t="s">
        <v>465</v>
      </c>
      <c r="I3604" s="21">
        <v>97500</v>
      </c>
      <c r="J3604" s="7" t="s">
        <v>539</v>
      </c>
    </row>
    <row r="3605" spans="1:10" x14ac:dyDescent="0.2">
      <c r="A3605" s="1" t="s">
        <v>6</v>
      </c>
      <c r="B3605" s="2" t="s">
        <v>237</v>
      </c>
      <c r="D3605" s="7" t="s">
        <v>464</v>
      </c>
      <c r="E3605" s="6" t="s">
        <v>465</v>
      </c>
      <c r="F3605" s="6">
        <v>102500</v>
      </c>
      <c r="G3605" s="57" t="str">
        <f t="shared" si="56"/>
        <v>-</v>
      </c>
      <c r="H3605" s="21"/>
      <c r="I3605" s="21"/>
      <c r="J3605" s="7" t="s">
        <v>539</v>
      </c>
    </row>
    <row r="3606" spans="1:10" x14ac:dyDescent="0.2">
      <c r="A3606" s="1" t="s">
        <v>6</v>
      </c>
      <c r="B3606" s="2" t="s">
        <v>237</v>
      </c>
      <c r="D3606" s="7" t="s">
        <v>464</v>
      </c>
      <c r="E3606" s="6" t="s">
        <v>465</v>
      </c>
      <c r="F3606" s="6">
        <v>102500</v>
      </c>
      <c r="G3606" s="57" t="str">
        <f t="shared" si="56"/>
        <v>-</v>
      </c>
      <c r="H3606" s="21"/>
      <c r="I3606" s="21"/>
      <c r="J3606" s="7" t="s">
        <v>539</v>
      </c>
    </row>
    <row r="3607" spans="1:10" x14ac:dyDescent="0.2">
      <c r="A3607" s="1" t="s">
        <v>6</v>
      </c>
      <c r="B3607" s="2" t="s">
        <v>237</v>
      </c>
      <c r="D3607" s="7" t="s">
        <v>464</v>
      </c>
      <c r="E3607" s="6" t="s">
        <v>465</v>
      </c>
      <c r="F3607" s="6">
        <v>102500</v>
      </c>
      <c r="G3607" s="57" t="str">
        <f t="shared" si="56"/>
        <v>-</v>
      </c>
      <c r="H3607" s="21"/>
      <c r="I3607" s="21"/>
      <c r="J3607" s="7" t="s">
        <v>539</v>
      </c>
    </row>
    <row r="3608" spans="1:10" x14ac:dyDescent="0.2">
      <c r="A3608" s="1" t="s">
        <v>6</v>
      </c>
      <c r="B3608" s="2" t="s">
        <v>237</v>
      </c>
      <c r="D3608" s="7" t="s">
        <v>464</v>
      </c>
      <c r="E3608" s="6" t="s">
        <v>465</v>
      </c>
      <c r="F3608" s="6">
        <v>102500</v>
      </c>
      <c r="G3608" s="57" t="str">
        <f t="shared" si="56"/>
        <v>-</v>
      </c>
      <c r="H3608" s="21"/>
      <c r="I3608" s="21"/>
      <c r="J3608" s="7" t="s">
        <v>539</v>
      </c>
    </row>
    <row r="3609" spans="1:10" x14ac:dyDescent="0.2">
      <c r="A3609" s="1" t="s">
        <v>6</v>
      </c>
      <c r="B3609" s="2" t="s">
        <v>237</v>
      </c>
      <c r="D3609" s="7" t="s">
        <v>464</v>
      </c>
      <c r="E3609" s="6" t="s">
        <v>465</v>
      </c>
      <c r="F3609" s="6">
        <v>102500</v>
      </c>
      <c r="G3609" s="57" t="str">
        <f t="shared" si="56"/>
        <v>-</v>
      </c>
      <c r="H3609" s="21"/>
      <c r="I3609" s="21"/>
      <c r="J3609" s="7" t="s">
        <v>539</v>
      </c>
    </row>
    <row r="3610" spans="1:10" x14ac:dyDescent="0.2">
      <c r="A3610" s="1" t="s">
        <v>6</v>
      </c>
      <c r="B3610" s="2" t="s">
        <v>237</v>
      </c>
      <c r="D3610" s="7" t="s">
        <v>464</v>
      </c>
      <c r="E3610" s="6" t="s">
        <v>465</v>
      </c>
      <c r="F3610" s="6">
        <v>102500</v>
      </c>
      <c r="G3610" s="57" t="str">
        <f t="shared" si="56"/>
        <v>-</v>
      </c>
      <c r="H3610" s="21"/>
      <c r="I3610" s="21"/>
      <c r="J3610" s="7" t="s">
        <v>539</v>
      </c>
    </row>
    <row r="3611" spans="1:10" x14ac:dyDescent="0.2">
      <c r="A3611" s="1" t="s">
        <v>6</v>
      </c>
      <c r="B3611" s="2" t="s">
        <v>237</v>
      </c>
      <c r="D3611" s="7" t="s">
        <v>464</v>
      </c>
      <c r="E3611" s="6" t="s">
        <v>465</v>
      </c>
      <c r="F3611" s="6">
        <v>107500</v>
      </c>
      <c r="G3611" s="57" t="str">
        <f t="shared" si="56"/>
        <v>-</v>
      </c>
      <c r="H3611" s="21"/>
      <c r="I3611" s="21"/>
      <c r="J3611" s="7" t="s">
        <v>539</v>
      </c>
    </row>
    <row r="3612" spans="1:10" x14ac:dyDescent="0.2">
      <c r="A3612" s="1" t="s">
        <v>6</v>
      </c>
      <c r="B3612" s="2" t="s">
        <v>237</v>
      </c>
      <c r="D3612" s="7" t="s">
        <v>464</v>
      </c>
      <c r="E3612" s="6" t="s">
        <v>465</v>
      </c>
      <c r="F3612" s="6">
        <v>107500</v>
      </c>
      <c r="G3612" s="57" t="str">
        <f t="shared" si="56"/>
        <v>-</v>
      </c>
      <c r="H3612" s="21"/>
      <c r="I3612" s="21"/>
      <c r="J3612" s="7" t="s">
        <v>539</v>
      </c>
    </row>
    <row r="3613" spans="1:10" x14ac:dyDescent="0.2">
      <c r="A3613" s="1" t="s">
        <v>6</v>
      </c>
      <c r="B3613" s="2" t="s">
        <v>237</v>
      </c>
      <c r="D3613" s="7" t="s">
        <v>464</v>
      </c>
      <c r="E3613" s="6" t="s">
        <v>465</v>
      </c>
      <c r="F3613" s="6">
        <v>107500</v>
      </c>
      <c r="G3613" s="57" t="str">
        <f t="shared" si="56"/>
        <v>-</v>
      </c>
      <c r="H3613" s="21"/>
      <c r="I3613" s="21"/>
      <c r="J3613" s="7" t="s">
        <v>539</v>
      </c>
    </row>
    <row r="3614" spans="1:10" x14ac:dyDescent="0.2">
      <c r="A3614" s="1" t="s">
        <v>6</v>
      </c>
      <c r="B3614" s="2" t="s">
        <v>237</v>
      </c>
      <c r="D3614" s="7" t="s">
        <v>464</v>
      </c>
      <c r="E3614" s="6" t="s">
        <v>465</v>
      </c>
      <c r="F3614" s="6">
        <v>107500</v>
      </c>
      <c r="G3614" s="57" t="str">
        <f t="shared" ref="G3614:G3677" si="57">IF(ISERROR((F3614-E3614)/E3614),"-",(F3614-E3614)/E3614)</f>
        <v>-</v>
      </c>
      <c r="H3614" s="21"/>
      <c r="I3614" s="21"/>
      <c r="J3614" s="7" t="s">
        <v>539</v>
      </c>
    </row>
    <row r="3615" spans="1:10" x14ac:dyDescent="0.2">
      <c r="A3615" s="1" t="s">
        <v>6</v>
      </c>
      <c r="B3615" s="2" t="s">
        <v>237</v>
      </c>
      <c r="D3615" s="7" t="s">
        <v>464</v>
      </c>
      <c r="E3615" s="6" t="s">
        <v>465</v>
      </c>
      <c r="F3615" s="6">
        <v>112500</v>
      </c>
      <c r="G3615" s="57" t="str">
        <f t="shared" si="57"/>
        <v>-</v>
      </c>
      <c r="H3615" s="21"/>
      <c r="I3615" s="21"/>
      <c r="J3615" s="7" t="s">
        <v>539</v>
      </c>
    </row>
    <row r="3616" spans="1:10" x14ac:dyDescent="0.2">
      <c r="A3616" s="1" t="s">
        <v>6</v>
      </c>
      <c r="B3616" s="2" t="s">
        <v>237</v>
      </c>
      <c r="D3616" s="7" t="s">
        <v>464</v>
      </c>
      <c r="E3616" s="6" t="s">
        <v>465</v>
      </c>
      <c r="F3616" s="6">
        <v>112500</v>
      </c>
      <c r="G3616" s="57" t="str">
        <f t="shared" si="57"/>
        <v>-</v>
      </c>
      <c r="H3616" s="21"/>
      <c r="I3616" s="21"/>
      <c r="J3616" s="7" t="s">
        <v>539</v>
      </c>
    </row>
    <row r="3617" spans="1:10" x14ac:dyDescent="0.2">
      <c r="A3617" s="1" t="s">
        <v>6</v>
      </c>
      <c r="B3617" s="2" t="s">
        <v>237</v>
      </c>
      <c r="D3617" s="7" t="s">
        <v>464</v>
      </c>
      <c r="E3617" s="6" t="s">
        <v>465</v>
      </c>
      <c r="F3617" s="6">
        <v>112500</v>
      </c>
      <c r="G3617" s="57" t="str">
        <f t="shared" si="57"/>
        <v>-</v>
      </c>
      <c r="H3617" s="21"/>
      <c r="I3617" s="21"/>
      <c r="J3617" s="7" t="s">
        <v>539</v>
      </c>
    </row>
    <row r="3618" spans="1:10" x14ac:dyDescent="0.2">
      <c r="A3618" s="1" t="s">
        <v>6</v>
      </c>
      <c r="B3618" s="2" t="s">
        <v>237</v>
      </c>
      <c r="D3618" s="7" t="s">
        <v>464</v>
      </c>
      <c r="E3618" s="6" t="s">
        <v>465</v>
      </c>
      <c r="F3618" s="6">
        <v>127500</v>
      </c>
      <c r="G3618" s="57" t="str">
        <f t="shared" si="57"/>
        <v>-</v>
      </c>
      <c r="H3618" s="21"/>
      <c r="I3618" s="21"/>
      <c r="J3618" s="7" t="s">
        <v>539</v>
      </c>
    </row>
    <row r="3619" spans="1:10" x14ac:dyDescent="0.2">
      <c r="A3619" s="1" t="s">
        <v>6</v>
      </c>
      <c r="B3619" s="2" t="s">
        <v>237</v>
      </c>
      <c r="D3619" s="7" t="s">
        <v>464</v>
      </c>
      <c r="E3619" s="6" t="s">
        <v>465</v>
      </c>
      <c r="F3619" s="6">
        <v>132500</v>
      </c>
      <c r="G3619" s="57" t="str">
        <f t="shared" si="57"/>
        <v>-</v>
      </c>
      <c r="H3619" s="21"/>
      <c r="I3619" s="21"/>
      <c r="J3619" s="7" t="s">
        <v>539</v>
      </c>
    </row>
    <row r="3620" spans="1:10" x14ac:dyDescent="0.2">
      <c r="A3620" s="1" t="s">
        <v>6</v>
      </c>
      <c r="B3620" s="2" t="s">
        <v>237</v>
      </c>
      <c r="D3620" s="7" t="s">
        <v>464</v>
      </c>
      <c r="E3620" s="6" t="s">
        <v>465</v>
      </c>
      <c r="F3620" s="6">
        <v>147500</v>
      </c>
      <c r="G3620" s="57" t="str">
        <f t="shared" si="57"/>
        <v>-</v>
      </c>
      <c r="H3620" s="21"/>
      <c r="I3620" s="21"/>
      <c r="J3620" s="7" t="s">
        <v>539</v>
      </c>
    </row>
    <row r="3621" spans="1:10" ht="25.5" x14ac:dyDescent="0.2">
      <c r="A3621" s="1" t="s">
        <v>8</v>
      </c>
      <c r="B3621" s="2" t="s">
        <v>238</v>
      </c>
      <c r="D3621" s="5" t="s">
        <v>470</v>
      </c>
      <c r="E3621" s="3">
        <v>132000</v>
      </c>
      <c r="F3621" s="3">
        <v>131000</v>
      </c>
      <c r="G3621" s="57">
        <f t="shared" si="57"/>
        <v>-7.575757575757576E-3</v>
      </c>
      <c r="J3621" s="5" t="s">
        <v>3185</v>
      </c>
    </row>
    <row r="3622" spans="1:10" ht="25.5" x14ac:dyDescent="0.2">
      <c r="A3622" s="1" t="s">
        <v>4</v>
      </c>
      <c r="B3622" s="2" t="s">
        <v>239</v>
      </c>
      <c r="D3622" s="5" t="s">
        <v>450</v>
      </c>
      <c r="E3622" s="3">
        <v>185146</v>
      </c>
      <c r="F3622" s="3">
        <v>186587</v>
      </c>
      <c r="G3622" s="57">
        <f t="shared" si="57"/>
        <v>7.7830468927225002E-3</v>
      </c>
      <c r="J3622" s="5" t="s">
        <v>3172</v>
      </c>
    </row>
    <row r="3623" spans="1:10" ht="25.5" x14ac:dyDescent="0.2">
      <c r="A3623" s="1" t="s">
        <v>4</v>
      </c>
      <c r="B3623" s="2" t="s">
        <v>239</v>
      </c>
      <c r="D3623" s="5" t="s">
        <v>562</v>
      </c>
      <c r="E3623" s="3">
        <v>153005</v>
      </c>
      <c r="F3623" s="3">
        <v>158097</v>
      </c>
      <c r="G3623" s="57">
        <f t="shared" si="57"/>
        <v>3.3279958171301589E-2</v>
      </c>
      <c r="J3623" s="5" t="s">
        <v>3173</v>
      </c>
    </row>
    <row r="3624" spans="1:10" ht="25.5" x14ac:dyDescent="0.2">
      <c r="A3624" s="1" t="s">
        <v>4</v>
      </c>
      <c r="B3624" s="2" t="s">
        <v>239</v>
      </c>
      <c r="D3624" s="5" t="s">
        <v>1214</v>
      </c>
      <c r="E3624" s="3">
        <v>147219</v>
      </c>
      <c r="F3624" s="3">
        <v>153708</v>
      </c>
      <c r="G3624" s="57">
        <f t="shared" si="57"/>
        <v>4.4077191123428359E-2</v>
      </c>
      <c r="J3624" s="5" t="s">
        <v>3174</v>
      </c>
    </row>
    <row r="3625" spans="1:10" ht="25.5" x14ac:dyDescent="0.2">
      <c r="A3625" s="1" t="s">
        <v>4</v>
      </c>
      <c r="B3625" s="2" t="s">
        <v>239</v>
      </c>
      <c r="D3625" s="5" t="s">
        <v>1215</v>
      </c>
      <c r="E3625" s="3">
        <v>114453</v>
      </c>
      <c r="F3625" s="3">
        <v>114826</v>
      </c>
      <c r="G3625" s="57">
        <f t="shared" si="57"/>
        <v>3.2589796685102181E-3</v>
      </c>
      <c r="J3625" s="5" t="s">
        <v>3175</v>
      </c>
    </row>
    <row r="3626" spans="1:10" ht="25.5" x14ac:dyDescent="0.2">
      <c r="A3626" s="1" t="s">
        <v>4</v>
      </c>
      <c r="B3626" s="2" t="s">
        <v>239</v>
      </c>
      <c r="D3626" s="5" t="s">
        <v>1216</v>
      </c>
      <c r="E3626" s="3">
        <v>119458</v>
      </c>
      <c r="F3626" s="3">
        <v>106267</v>
      </c>
      <c r="G3626" s="57">
        <f t="shared" si="57"/>
        <v>-0.11042374725845067</v>
      </c>
      <c r="J3626" s="5" t="s">
        <v>3176</v>
      </c>
    </row>
    <row r="3627" spans="1:10" ht="25.5" x14ac:dyDescent="0.2">
      <c r="A3627" s="1" t="s">
        <v>4</v>
      </c>
      <c r="B3627" s="2" t="s">
        <v>239</v>
      </c>
      <c r="D3627" s="5" t="s">
        <v>1217</v>
      </c>
      <c r="E3627" s="3">
        <v>106421</v>
      </c>
      <c r="F3627" s="3">
        <v>108494</v>
      </c>
      <c r="G3627" s="57">
        <f t="shared" si="57"/>
        <v>1.9479238120295807E-2</v>
      </c>
      <c r="J3627" s="5" t="s">
        <v>3177</v>
      </c>
    </row>
    <row r="3628" spans="1:10" ht="25.5" x14ac:dyDescent="0.2">
      <c r="A3628" s="1" t="s">
        <v>4</v>
      </c>
      <c r="B3628" s="2" t="s">
        <v>239</v>
      </c>
      <c r="D3628" s="5" t="s">
        <v>1218</v>
      </c>
      <c r="E3628" s="3">
        <v>106247</v>
      </c>
      <c r="F3628" s="3">
        <v>108438</v>
      </c>
      <c r="G3628" s="57">
        <f t="shared" si="57"/>
        <v>2.0621758732011258E-2</v>
      </c>
      <c r="J3628" s="5" t="s">
        <v>3178</v>
      </c>
    </row>
    <row r="3629" spans="1:10" ht="25.5" x14ac:dyDescent="0.2">
      <c r="A3629" s="1" t="s">
        <v>4</v>
      </c>
      <c r="B3629" s="2" t="s">
        <v>239</v>
      </c>
      <c r="D3629" s="5" t="s">
        <v>1219</v>
      </c>
      <c r="E3629" s="3">
        <v>108561</v>
      </c>
      <c r="F3629" s="3">
        <v>112308</v>
      </c>
      <c r="G3629" s="57">
        <f t="shared" si="57"/>
        <v>3.4515157376958573E-2</v>
      </c>
      <c r="J3629" s="5" t="s">
        <v>3179</v>
      </c>
    </row>
    <row r="3630" spans="1:10" ht="25.5" x14ac:dyDescent="0.2">
      <c r="A3630" s="1" t="s">
        <v>4</v>
      </c>
      <c r="B3630" s="2" t="s">
        <v>239</v>
      </c>
      <c r="D3630" s="5" t="s">
        <v>1220</v>
      </c>
      <c r="E3630" s="3">
        <v>118737</v>
      </c>
      <c r="F3630" s="3">
        <v>124053</v>
      </c>
      <c r="G3630" s="57">
        <f t="shared" si="57"/>
        <v>4.4771217059551782E-2</v>
      </c>
      <c r="J3630" s="5" t="s">
        <v>3180</v>
      </c>
    </row>
    <row r="3631" spans="1:10" ht="25.5" x14ac:dyDescent="0.2">
      <c r="A3631" s="1" t="s">
        <v>4</v>
      </c>
      <c r="B3631" s="2" t="s">
        <v>239</v>
      </c>
      <c r="D3631" s="5" t="s">
        <v>611</v>
      </c>
      <c r="E3631" s="3">
        <v>119819</v>
      </c>
      <c r="F3631" s="3">
        <v>122773</v>
      </c>
      <c r="G3631" s="57">
        <f t="shared" si="57"/>
        <v>2.4653852894782963E-2</v>
      </c>
      <c r="J3631" s="5" t="s">
        <v>3181</v>
      </c>
    </row>
    <row r="3632" spans="1:10" ht="25.5" x14ac:dyDescent="0.2">
      <c r="A3632" s="1" t="s">
        <v>4</v>
      </c>
      <c r="B3632" s="2" t="s">
        <v>239</v>
      </c>
      <c r="D3632" s="5" t="s">
        <v>1221</v>
      </c>
      <c r="E3632" s="3">
        <v>118686</v>
      </c>
      <c r="F3632" s="3">
        <v>121936</v>
      </c>
      <c r="G3632" s="57">
        <f t="shared" si="57"/>
        <v>2.7383179144970762E-2</v>
      </c>
      <c r="J3632" s="5" t="s">
        <v>3182</v>
      </c>
    </row>
    <row r="3633" spans="1:10" ht="25.5" x14ac:dyDescent="0.2">
      <c r="A3633" s="1" t="s">
        <v>4</v>
      </c>
      <c r="B3633" s="2" t="s">
        <v>239</v>
      </c>
      <c r="D3633" s="5" t="s">
        <v>1222</v>
      </c>
      <c r="E3633" s="3">
        <v>105957</v>
      </c>
      <c r="F3633" s="3">
        <v>109459</v>
      </c>
      <c r="G3633" s="57">
        <f t="shared" si="57"/>
        <v>3.3051143388355651E-2</v>
      </c>
      <c r="J3633" s="5" t="s">
        <v>3183</v>
      </c>
    </row>
    <row r="3634" spans="1:10" ht="25.5" x14ac:dyDescent="0.2">
      <c r="A3634" s="1" t="s">
        <v>4</v>
      </c>
      <c r="B3634" s="2" t="s">
        <v>239</v>
      </c>
      <c r="D3634" s="5" t="s">
        <v>1223</v>
      </c>
      <c r="E3634" s="3">
        <v>99458</v>
      </c>
      <c r="F3634" s="3">
        <v>101024</v>
      </c>
      <c r="G3634" s="57">
        <f t="shared" si="57"/>
        <v>1.5745339741398381E-2</v>
      </c>
      <c r="J3634" s="5" t="s">
        <v>3184</v>
      </c>
    </row>
    <row r="3635" spans="1:10" ht="25.5" x14ac:dyDescent="0.2">
      <c r="A3635" s="1" t="s">
        <v>8</v>
      </c>
      <c r="B3635" s="2" t="s">
        <v>240</v>
      </c>
      <c r="D3635" s="5" t="s">
        <v>450</v>
      </c>
      <c r="E3635" s="3">
        <v>101813.51</v>
      </c>
      <c r="F3635" s="3">
        <v>101383.74</v>
      </c>
      <c r="G3635" s="57">
        <f t="shared" si="57"/>
        <v>-4.2211490400437968E-3</v>
      </c>
      <c r="J3635" s="5" t="s">
        <v>3171</v>
      </c>
    </row>
    <row r="3636" spans="1:10" s="13" customFormat="1" x14ac:dyDescent="0.2">
      <c r="A3636" s="1" t="s">
        <v>34</v>
      </c>
      <c r="B3636" s="12" t="s">
        <v>241</v>
      </c>
      <c r="C3636" s="7"/>
      <c r="D3636" s="7" t="s">
        <v>450</v>
      </c>
      <c r="E3636" s="6">
        <v>381122</v>
      </c>
      <c r="F3636" s="6" t="s">
        <v>465</v>
      </c>
      <c r="G3636" s="57" t="str">
        <f t="shared" si="57"/>
        <v>-</v>
      </c>
      <c r="H3636" s="21"/>
      <c r="I3636" s="21"/>
      <c r="J3636" s="7" t="s">
        <v>3167</v>
      </c>
    </row>
    <row r="3637" spans="1:10" s="13" customFormat="1" x14ac:dyDescent="0.2">
      <c r="A3637" s="1" t="s">
        <v>34</v>
      </c>
      <c r="B3637" s="12" t="s">
        <v>241</v>
      </c>
      <c r="C3637" s="7"/>
      <c r="D3637" s="7" t="s">
        <v>3168</v>
      </c>
      <c r="E3637" s="6">
        <v>100946</v>
      </c>
      <c r="F3637" s="6" t="s">
        <v>465</v>
      </c>
      <c r="G3637" s="57" t="str">
        <f t="shared" si="57"/>
        <v>-</v>
      </c>
      <c r="H3637" s="21"/>
      <c r="I3637" s="21"/>
      <c r="J3637" s="7" t="s">
        <v>4362</v>
      </c>
    </row>
    <row r="3638" spans="1:10" s="13" customFormat="1" x14ac:dyDescent="0.2">
      <c r="A3638" s="1" t="s">
        <v>34</v>
      </c>
      <c r="B3638" s="12" t="s">
        <v>241</v>
      </c>
      <c r="C3638" s="7"/>
      <c r="D3638" s="7" t="s">
        <v>3169</v>
      </c>
      <c r="E3638" s="6">
        <v>117956</v>
      </c>
      <c r="F3638" s="6" t="s">
        <v>465</v>
      </c>
      <c r="G3638" s="57" t="str">
        <f t="shared" si="57"/>
        <v>-</v>
      </c>
      <c r="H3638" s="21"/>
      <c r="I3638" s="21"/>
      <c r="J3638" s="7" t="s">
        <v>3170</v>
      </c>
    </row>
    <row r="3639" spans="1:10" ht="25.5" x14ac:dyDescent="0.2">
      <c r="A3639" s="1" t="s">
        <v>34</v>
      </c>
      <c r="B3639" s="2" t="s">
        <v>241</v>
      </c>
      <c r="D3639" s="5" t="s">
        <v>450</v>
      </c>
      <c r="E3639" s="3" t="s">
        <v>465</v>
      </c>
      <c r="F3639" s="3">
        <v>112292</v>
      </c>
      <c r="G3639" s="57" t="str">
        <f t="shared" si="57"/>
        <v>-</v>
      </c>
      <c r="J3639" s="5" t="s">
        <v>4667</v>
      </c>
    </row>
    <row r="3640" spans="1:10" ht="38.25" x14ac:dyDescent="0.2">
      <c r="A3640" s="1" t="s">
        <v>34</v>
      </c>
      <c r="B3640" s="2" t="s">
        <v>241</v>
      </c>
      <c r="D3640" s="5" t="s">
        <v>1212</v>
      </c>
      <c r="E3640" s="3">
        <v>90708</v>
      </c>
      <c r="F3640" s="3">
        <v>145404</v>
      </c>
      <c r="G3640" s="57">
        <f t="shared" si="57"/>
        <v>0.60298981346738989</v>
      </c>
      <c r="J3640" s="5" t="s">
        <v>4363</v>
      </c>
    </row>
    <row r="3641" spans="1:10" ht="25.5" x14ac:dyDescent="0.2">
      <c r="A3641" s="1" t="s">
        <v>34</v>
      </c>
      <c r="B3641" s="2" t="s">
        <v>241</v>
      </c>
      <c r="D3641" s="5" t="s">
        <v>1213</v>
      </c>
      <c r="E3641" s="3">
        <v>63878</v>
      </c>
      <c r="F3641" s="3">
        <v>137016</v>
      </c>
      <c r="G3641" s="57">
        <f t="shared" si="57"/>
        <v>1.1449638373148814</v>
      </c>
      <c r="J3641" s="5" t="s">
        <v>3166</v>
      </c>
    </row>
    <row r="3642" spans="1:10" ht="25.5" x14ac:dyDescent="0.2">
      <c r="A3642" s="1" t="s">
        <v>44</v>
      </c>
      <c r="B3642" s="2" t="s">
        <v>242</v>
      </c>
      <c r="D3642" s="5" t="s">
        <v>450</v>
      </c>
      <c r="E3642" s="3">
        <v>158394</v>
      </c>
      <c r="F3642" s="3">
        <v>125437</v>
      </c>
      <c r="G3642" s="57">
        <f t="shared" si="57"/>
        <v>-0.20806975011679735</v>
      </c>
      <c r="J3642" s="5" t="s">
        <v>3162</v>
      </c>
    </row>
    <row r="3643" spans="1:10" ht="25.5" x14ac:dyDescent="0.2">
      <c r="A3643" s="1" t="s">
        <v>44</v>
      </c>
      <c r="B3643" s="2" t="s">
        <v>242</v>
      </c>
      <c r="D3643" s="5" t="s">
        <v>1210</v>
      </c>
      <c r="E3643" s="6">
        <v>97376</v>
      </c>
      <c r="F3643" s="3">
        <v>100174</v>
      </c>
      <c r="G3643" s="57">
        <f t="shared" si="57"/>
        <v>2.87339796253697E-2</v>
      </c>
      <c r="J3643" s="5" t="s">
        <v>3163</v>
      </c>
    </row>
    <row r="3644" spans="1:10" ht="25.5" x14ac:dyDescent="0.2">
      <c r="A3644" s="1" t="s">
        <v>44</v>
      </c>
      <c r="B3644" s="2" t="s">
        <v>242</v>
      </c>
      <c r="D3644" s="5" t="s">
        <v>1211</v>
      </c>
      <c r="E3644" s="3">
        <v>92389</v>
      </c>
      <c r="F3644" s="3">
        <v>101421</v>
      </c>
      <c r="G3644" s="57">
        <f t="shared" si="57"/>
        <v>9.7760555910335639E-2</v>
      </c>
      <c r="J3644" s="5" t="s">
        <v>3164</v>
      </c>
    </row>
    <row r="3645" spans="1:10" s="13" customFormat="1" x14ac:dyDescent="0.2">
      <c r="A3645" s="1" t="s">
        <v>44</v>
      </c>
      <c r="B3645" s="12" t="s">
        <v>242</v>
      </c>
      <c r="C3645" s="7"/>
      <c r="D3645" s="7" t="s">
        <v>3165</v>
      </c>
      <c r="E3645" s="6">
        <v>104590</v>
      </c>
      <c r="F3645" s="6" t="s">
        <v>465</v>
      </c>
      <c r="G3645" s="57" t="str">
        <f t="shared" si="57"/>
        <v>-</v>
      </c>
      <c r="H3645" s="21"/>
      <c r="I3645" s="21"/>
      <c r="J3645" s="7" t="s">
        <v>4364</v>
      </c>
    </row>
    <row r="3646" spans="1:10" x14ac:dyDescent="0.2">
      <c r="A3646" s="1" t="s">
        <v>25</v>
      </c>
      <c r="B3646" s="2" t="s">
        <v>243</v>
      </c>
      <c r="C3646" s="5" t="s">
        <v>1201</v>
      </c>
      <c r="D3646" s="5" t="s">
        <v>450</v>
      </c>
      <c r="E3646" s="3">
        <v>207689</v>
      </c>
      <c r="F3646" s="3">
        <v>212325</v>
      </c>
      <c r="G3646" s="57">
        <f t="shared" si="57"/>
        <v>2.2321836977403715E-2</v>
      </c>
      <c r="J3646" s="5" t="s">
        <v>3156</v>
      </c>
    </row>
    <row r="3647" spans="1:10" x14ac:dyDescent="0.2">
      <c r="A3647" s="1" t="s">
        <v>25</v>
      </c>
      <c r="B3647" s="2" t="s">
        <v>243</v>
      </c>
      <c r="C3647" s="5" t="s">
        <v>1202</v>
      </c>
      <c r="D3647" s="5" t="s">
        <v>452</v>
      </c>
      <c r="E3647" s="3">
        <v>157560</v>
      </c>
      <c r="F3647" s="3">
        <v>153900</v>
      </c>
      <c r="G3647" s="57">
        <f t="shared" si="57"/>
        <v>-2.3229246001523228E-2</v>
      </c>
      <c r="J3647" s="5" t="s">
        <v>3157</v>
      </c>
    </row>
    <row r="3648" spans="1:10" x14ac:dyDescent="0.2">
      <c r="A3648" s="1" t="s">
        <v>25</v>
      </c>
      <c r="B3648" s="2" t="s">
        <v>243</v>
      </c>
      <c r="C3648" s="5" t="s">
        <v>1203</v>
      </c>
      <c r="D3648" s="5" t="s">
        <v>1204</v>
      </c>
      <c r="E3648" s="3">
        <v>155489</v>
      </c>
      <c r="F3648" s="3">
        <v>155149</v>
      </c>
      <c r="G3648" s="57">
        <f t="shared" si="57"/>
        <v>-2.1866498594755898E-3</v>
      </c>
      <c r="J3648" s="5" t="s">
        <v>3158</v>
      </c>
    </row>
    <row r="3649" spans="1:10" x14ac:dyDescent="0.2">
      <c r="A3649" s="1" t="s">
        <v>25</v>
      </c>
      <c r="B3649" s="2" t="s">
        <v>243</v>
      </c>
      <c r="C3649" s="5" t="s">
        <v>1205</v>
      </c>
      <c r="D3649" s="5" t="s">
        <v>1206</v>
      </c>
      <c r="E3649" s="3">
        <v>142976</v>
      </c>
      <c r="F3649" s="3">
        <v>142894</v>
      </c>
      <c r="G3649" s="57">
        <f t="shared" si="57"/>
        <v>-5.7352282900626677E-4</v>
      </c>
      <c r="J3649" s="5" t="s">
        <v>3159</v>
      </c>
    </row>
    <row r="3650" spans="1:10" ht="25.5" x14ac:dyDescent="0.2">
      <c r="A3650" s="1" t="s">
        <v>25</v>
      </c>
      <c r="B3650" s="2" t="s">
        <v>243</v>
      </c>
      <c r="C3650" s="5" t="s">
        <v>1207</v>
      </c>
      <c r="D3650" s="5" t="s">
        <v>1208</v>
      </c>
      <c r="E3650" s="3">
        <v>107202</v>
      </c>
      <c r="F3650" s="3">
        <v>153393</v>
      </c>
      <c r="G3650" s="57">
        <f t="shared" si="57"/>
        <v>0.43087815525829742</v>
      </c>
      <c r="J3650" s="5" t="s">
        <v>3160</v>
      </c>
    </row>
    <row r="3651" spans="1:10" ht="25.5" x14ac:dyDescent="0.2">
      <c r="A3651" s="1" t="s">
        <v>25</v>
      </c>
      <c r="B3651" s="2" t="s">
        <v>243</v>
      </c>
      <c r="C3651" s="5" t="s">
        <v>1209</v>
      </c>
      <c r="D3651" s="5" t="s">
        <v>501</v>
      </c>
      <c r="E3651" s="3">
        <v>56095</v>
      </c>
      <c r="F3651" s="3">
        <v>128725</v>
      </c>
      <c r="G3651" s="57">
        <f t="shared" si="57"/>
        <v>1.2947678046171673</v>
      </c>
      <c r="J3651" s="5" t="s">
        <v>3161</v>
      </c>
    </row>
    <row r="3652" spans="1:10" x14ac:dyDescent="0.2">
      <c r="A3652" s="1" t="s">
        <v>25</v>
      </c>
      <c r="B3652" s="2" t="s">
        <v>243</v>
      </c>
      <c r="D3652" s="7" t="s">
        <v>464</v>
      </c>
      <c r="E3652" s="6"/>
      <c r="F3652" s="6"/>
      <c r="G3652" s="57" t="str">
        <f t="shared" si="57"/>
        <v>-</v>
      </c>
      <c r="H3652" s="21">
        <v>92500</v>
      </c>
      <c r="I3652" s="21" t="s">
        <v>465</v>
      </c>
      <c r="J3652" s="7"/>
    </row>
    <row r="3653" spans="1:10" x14ac:dyDescent="0.2">
      <c r="A3653" s="1" t="s">
        <v>25</v>
      </c>
      <c r="B3653" s="2" t="s">
        <v>243</v>
      </c>
      <c r="D3653" s="7" t="s">
        <v>464</v>
      </c>
      <c r="E3653" s="6"/>
      <c r="F3653" s="6"/>
      <c r="G3653" s="57" t="str">
        <f t="shared" si="57"/>
        <v>-</v>
      </c>
      <c r="H3653" s="21">
        <v>92500</v>
      </c>
      <c r="I3653" s="21" t="s">
        <v>465</v>
      </c>
      <c r="J3653" s="7"/>
    </row>
    <row r="3654" spans="1:10" x14ac:dyDescent="0.2">
      <c r="A3654" s="1" t="s">
        <v>25</v>
      </c>
      <c r="B3654" s="2" t="s">
        <v>243</v>
      </c>
      <c r="D3654" s="7" t="s">
        <v>464</v>
      </c>
      <c r="E3654" s="6"/>
      <c r="F3654" s="6"/>
      <c r="G3654" s="57" t="str">
        <f t="shared" si="57"/>
        <v>-</v>
      </c>
      <c r="H3654" s="21">
        <v>92500</v>
      </c>
      <c r="I3654" s="21" t="s">
        <v>465</v>
      </c>
      <c r="J3654" s="7" t="s">
        <v>539</v>
      </c>
    </row>
    <row r="3655" spans="1:10" x14ac:dyDescent="0.2">
      <c r="A3655" s="1" t="s">
        <v>25</v>
      </c>
      <c r="B3655" s="2" t="s">
        <v>243</v>
      </c>
      <c r="D3655" s="7" t="s">
        <v>464</v>
      </c>
      <c r="E3655" s="6"/>
      <c r="F3655" s="6"/>
      <c r="G3655" s="57" t="str">
        <f t="shared" si="57"/>
        <v>-</v>
      </c>
      <c r="H3655" s="21">
        <v>92500</v>
      </c>
      <c r="I3655" s="21" t="s">
        <v>465</v>
      </c>
      <c r="J3655" s="7" t="s">
        <v>539</v>
      </c>
    </row>
    <row r="3656" spans="1:10" x14ac:dyDescent="0.2">
      <c r="A3656" s="1" t="s">
        <v>25</v>
      </c>
      <c r="B3656" s="2" t="s">
        <v>243</v>
      </c>
      <c r="D3656" s="7" t="s">
        <v>464</v>
      </c>
      <c r="E3656" s="6"/>
      <c r="F3656" s="6"/>
      <c r="G3656" s="57" t="str">
        <f t="shared" si="57"/>
        <v>-</v>
      </c>
      <c r="H3656" s="21">
        <v>92500</v>
      </c>
      <c r="I3656" s="21" t="s">
        <v>465</v>
      </c>
      <c r="J3656" s="7" t="s">
        <v>539</v>
      </c>
    </row>
    <row r="3657" spans="1:10" x14ac:dyDescent="0.2">
      <c r="A3657" s="1" t="s">
        <v>25</v>
      </c>
      <c r="B3657" s="2" t="s">
        <v>243</v>
      </c>
      <c r="D3657" s="7" t="s">
        <v>464</v>
      </c>
      <c r="E3657" s="6"/>
      <c r="F3657" s="6"/>
      <c r="G3657" s="57" t="str">
        <f t="shared" si="57"/>
        <v>-</v>
      </c>
      <c r="H3657" s="21" t="s">
        <v>465</v>
      </c>
      <c r="I3657" s="21">
        <v>92500</v>
      </c>
      <c r="J3657" s="7" t="s">
        <v>539</v>
      </c>
    </row>
    <row r="3658" spans="1:10" x14ac:dyDescent="0.2">
      <c r="A3658" s="1" t="s">
        <v>25</v>
      </c>
      <c r="B3658" s="2" t="s">
        <v>243</v>
      </c>
      <c r="D3658" s="7" t="s">
        <v>464</v>
      </c>
      <c r="E3658" s="6"/>
      <c r="F3658" s="6"/>
      <c r="G3658" s="57" t="str">
        <f t="shared" si="57"/>
        <v>-</v>
      </c>
      <c r="H3658" s="21">
        <v>97500</v>
      </c>
      <c r="I3658" s="21" t="s">
        <v>465</v>
      </c>
      <c r="J3658" s="7" t="s">
        <v>539</v>
      </c>
    </row>
    <row r="3659" spans="1:10" x14ac:dyDescent="0.2">
      <c r="A3659" s="1" t="s">
        <v>25</v>
      </c>
      <c r="B3659" s="2" t="s">
        <v>243</v>
      </c>
      <c r="D3659" s="7" t="s">
        <v>464</v>
      </c>
      <c r="E3659" s="6"/>
      <c r="F3659" s="6"/>
      <c r="G3659" s="57" t="str">
        <f t="shared" si="57"/>
        <v>-</v>
      </c>
      <c r="H3659" s="21" t="s">
        <v>465</v>
      </c>
      <c r="I3659" s="21">
        <v>97500</v>
      </c>
      <c r="J3659" s="7" t="s">
        <v>539</v>
      </c>
    </row>
    <row r="3660" spans="1:10" x14ac:dyDescent="0.2">
      <c r="A3660" s="1" t="s">
        <v>25</v>
      </c>
      <c r="B3660" s="2" t="s">
        <v>243</v>
      </c>
      <c r="D3660" s="7" t="s">
        <v>464</v>
      </c>
      <c r="E3660" s="6"/>
      <c r="F3660" s="6"/>
      <c r="G3660" s="57" t="str">
        <f t="shared" si="57"/>
        <v>-</v>
      </c>
      <c r="H3660" s="21" t="s">
        <v>465</v>
      </c>
      <c r="I3660" s="21">
        <v>97500</v>
      </c>
      <c r="J3660" s="7"/>
    </row>
    <row r="3661" spans="1:10" x14ac:dyDescent="0.2">
      <c r="A3661" s="1" t="s">
        <v>25</v>
      </c>
      <c r="B3661" s="2" t="s">
        <v>243</v>
      </c>
      <c r="D3661" s="7" t="s">
        <v>464</v>
      </c>
      <c r="E3661" s="6">
        <v>102500</v>
      </c>
      <c r="F3661" s="6" t="s">
        <v>465</v>
      </c>
      <c r="G3661" s="57" t="str">
        <f t="shared" si="57"/>
        <v>-</v>
      </c>
      <c r="H3661" s="21"/>
      <c r="I3661" s="21"/>
      <c r="J3661" s="7" t="s">
        <v>539</v>
      </c>
    </row>
    <row r="3662" spans="1:10" x14ac:dyDescent="0.2">
      <c r="A3662" s="1" t="s">
        <v>25</v>
      </c>
      <c r="B3662" s="2" t="s">
        <v>243</v>
      </c>
      <c r="D3662" s="7" t="s">
        <v>464</v>
      </c>
      <c r="E3662" s="6">
        <v>102500</v>
      </c>
      <c r="F3662" s="6" t="s">
        <v>465</v>
      </c>
      <c r="G3662" s="57" t="str">
        <f t="shared" si="57"/>
        <v>-</v>
      </c>
      <c r="H3662" s="21"/>
      <c r="I3662" s="21"/>
      <c r="J3662" s="7" t="s">
        <v>539</v>
      </c>
    </row>
    <row r="3663" spans="1:10" x14ac:dyDescent="0.2">
      <c r="A3663" s="1" t="s">
        <v>25</v>
      </c>
      <c r="B3663" s="2" t="s">
        <v>243</v>
      </c>
      <c r="D3663" s="7" t="s">
        <v>464</v>
      </c>
      <c r="E3663" s="6">
        <v>102500</v>
      </c>
      <c r="F3663" s="6" t="s">
        <v>465</v>
      </c>
      <c r="G3663" s="57" t="str">
        <f t="shared" si="57"/>
        <v>-</v>
      </c>
      <c r="H3663" s="21"/>
      <c r="I3663" s="21"/>
      <c r="J3663" s="7" t="s">
        <v>539</v>
      </c>
    </row>
    <row r="3664" spans="1:10" x14ac:dyDescent="0.2">
      <c r="A3664" s="1" t="s">
        <v>25</v>
      </c>
      <c r="B3664" s="2" t="s">
        <v>243</v>
      </c>
      <c r="D3664" s="7" t="s">
        <v>464</v>
      </c>
      <c r="E3664" s="6">
        <v>102500</v>
      </c>
      <c r="F3664" s="6" t="s">
        <v>465</v>
      </c>
      <c r="G3664" s="57" t="str">
        <f t="shared" si="57"/>
        <v>-</v>
      </c>
      <c r="H3664" s="21"/>
      <c r="I3664" s="21"/>
      <c r="J3664" s="7"/>
    </row>
    <row r="3665" spans="1:10" x14ac:dyDescent="0.2">
      <c r="A3665" s="1" t="s">
        <v>25</v>
      </c>
      <c r="B3665" s="2" t="s">
        <v>243</v>
      </c>
      <c r="D3665" s="7" t="s">
        <v>464</v>
      </c>
      <c r="E3665" s="6" t="s">
        <v>465</v>
      </c>
      <c r="F3665" s="6">
        <v>102500</v>
      </c>
      <c r="G3665" s="57" t="str">
        <f t="shared" si="57"/>
        <v>-</v>
      </c>
      <c r="H3665" s="21"/>
      <c r="I3665" s="21"/>
      <c r="J3665" s="7" t="s">
        <v>539</v>
      </c>
    </row>
    <row r="3666" spans="1:10" x14ac:dyDescent="0.2">
      <c r="A3666" s="1" t="s">
        <v>25</v>
      </c>
      <c r="B3666" s="2" t="s">
        <v>243</v>
      </c>
      <c r="D3666" s="7" t="s">
        <v>464</v>
      </c>
      <c r="E3666" s="6" t="s">
        <v>465</v>
      </c>
      <c r="F3666" s="6">
        <v>102500</v>
      </c>
      <c r="G3666" s="57" t="str">
        <f t="shared" si="57"/>
        <v>-</v>
      </c>
      <c r="H3666" s="21"/>
      <c r="I3666" s="21"/>
      <c r="J3666" s="7" t="s">
        <v>539</v>
      </c>
    </row>
    <row r="3667" spans="1:10" x14ac:dyDescent="0.2">
      <c r="A3667" s="1" t="s">
        <v>25</v>
      </c>
      <c r="B3667" s="2" t="s">
        <v>243</v>
      </c>
      <c r="D3667" s="7" t="s">
        <v>464</v>
      </c>
      <c r="E3667" s="6" t="s">
        <v>465</v>
      </c>
      <c r="F3667" s="6">
        <v>107500</v>
      </c>
      <c r="G3667" s="57" t="str">
        <f t="shared" si="57"/>
        <v>-</v>
      </c>
      <c r="H3667" s="21"/>
      <c r="I3667" s="21"/>
      <c r="J3667" s="7" t="s">
        <v>539</v>
      </c>
    </row>
    <row r="3668" spans="1:10" x14ac:dyDescent="0.2">
      <c r="A3668" s="1" t="s">
        <v>25</v>
      </c>
      <c r="B3668" s="2" t="s">
        <v>243</v>
      </c>
      <c r="D3668" s="7" t="s">
        <v>464</v>
      </c>
      <c r="E3668" s="6" t="s">
        <v>465</v>
      </c>
      <c r="F3668" s="6">
        <v>107500</v>
      </c>
      <c r="G3668" s="57" t="str">
        <f t="shared" si="57"/>
        <v>-</v>
      </c>
      <c r="H3668" s="21"/>
      <c r="I3668" s="21"/>
      <c r="J3668" s="7" t="s">
        <v>539</v>
      </c>
    </row>
    <row r="3669" spans="1:10" x14ac:dyDescent="0.2">
      <c r="A3669" s="1" t="s">
        <v>25</v>
      </c>
      <c r="B3669" s="2" t="s">
        <v>243</v>
      </c>
      <c r="D3669" s="7" t="s">
        <v>464</v>
      </c>
      <c r="E3669" s="6">
        <v>112500</v>
      </c>
      <c r="F3669" s="6" t="s">
        <v>465</v>
      </c>
      <c r="G3669" s="57" t="str">
        <f t="shared" si="57"/>
        <v>-</v>
      </c>
      <c r="H3669" s="21"/>
      <c r="I3669" s="21"/>
      <c r="J3669" s="7" t="s">
        <v>539</v>
      </c>
    </row>
    <row r="3670" spans="1:10" x14ac:dyDescent="0.2">
      <c r="A3670" s="1" t="s">
        <v>25</v>
      </c>
      <c r="B3670" s="2" t="s">
        <v>243</v>
      </c>
      <c r="D3670" s="7" t="s">
        <v>464</v>
      </c>
      <c r="E3670" s="6" t="s">
        <v>465</v>
      </c>
      <c r="F3670" s="6">
        <v>112500</v>
      </c>
      <c r="G3670" s="57" t="str">
        <f t="shared" si="57"/>
        <v>-</v>
      </c>
      <c r="H3670" s="21"/>
      <c r="I3670" s="21"/>
      <c r="J3670" s="7" t="s">
        <v>539</v>
      </c>
    </row>
    <row r="3671" spans="1:10" x14ac:dyDescent="0.2">
      <c r="A3671" s="1" t="s">
        <v>25</v>
      </c>
      <c r="B3671" s="2" t="s">
        <v>243</v>
      </c>
      <c r="D3671" s="7" t="s">
        <v>464</v>
      </c>
      <c r="E3671" s="6" t="s">
        <v>465</v>
      </c>
      <c r="F3671" s="6">
        <v>112500</v>
      </c>
      <c r="G3671" s="57" t="str">
        <f t="shared" si="57"/>
        <v>-</v>
      </c>
      <c r="H3671" s="21"/>
      <c r="I3671" s="21"/>
      <c r="J3671" s="7" t="s">
        <v>539</v>
      </c>
    </row>
    <row r="3672" spans="1:10" x14ac:dyDescent="0.2">
      <c r="A3672" s="1" t="s">
        <v>25</v>
      </c>
      <c r="B3672" s="2" t="s">
        <v>243</v>
      </c>
      <c r="D3672" s="7" t="s">
        <v>464</v>
      </c>
      <c r="E3672" s="6" t="s">
        <v>465</v>
      </c>
      <c r="F3672" s="6">
        <v>112500</v>
      </c>
      <c r="G3672" s="57" t="str">
        <f t="shared" si="57"/>
        <v>-</v>
      </c>
      <c r="H3672" s="21"/>
      <c r="I3672" s="21"/>
      <c r="J3672" s="7"/>
    </row>
    <row r="3673" spans="1:10" x14ac:dyDescent="0.2">
      <c r="A3673" s="1" t="s">
        <v>25</v>
      </c>
      <c r="B3673" s="2" t="s">
        <v>243</v>
      </c>
      <c r="D3673" s="7" t="s">
        <v>464</v>
      </c>
      <c r="E3673" s="6" t="s">
        <v>465</v>
      </c>
      <c r="F3673" s="6">
        <v>112500</v>
      </c>
      <c r="G3673" s="57" t="str">
        <f t="shared" si="57"/>
        <v>-</v>
      </c>
      <c r="H3673" s="21"/>
      <c r="I3673" s="21"/>
      <c r="J3673" s="7"/>
    </row>
    <row r="3674" spans="1:10" x14ac:dyDescent="0.2">
      <c r="A3674" s="1" t="s">
        <v>25</v>
      </c>
      <c r="B3674" s="2" t="s">
        <v>243</v>
      </c>
      <c r="D3674" s="7" t="s">
        <v>464</v>
      </c>
      <c r="E3674" s="6" t="s">
        <v>465</v>
      </c>
      <c r="F3674" s="6">
        <v>117500</v>
      </c>
      <c r="G3674" s="57" t="str">
        <f t="shared" si="57"/>
        <v>-</v>
      </c>
      <c r="H3674" s="21"/>
      <c r="I3674" s="21"/>
      <c r="J3674" s="7" t="s">
        <v>539</v>
      </c>
    </row>
    <row r="3675" spans="1:10" x14ac:dyDescent="0.2">
      <c r="A3675" s="1" t="s">
        <v>25</v>
      </c>
      <c r="B3675" s="2" t="s">
        <v>243</v>
      </c>
      <c r="D3675" s="7" t="s">
        <v>464</v>
      </c>
      <c r="E3675" s="6">
        <v>127500</v>
      </c>
      <c r="F3675" s="6" t="s">
        <v>465</v>
      </c>
      <c r="G3675" s="57" t="str">
        <f t="shared" si="57"/>
        <v>-</v>
      </c>
      <c r="H3675" s="21"/>
      <c r="I3675" s="21"/>
      <c r="J3675" s="7" t="s">
        <v>539</v>
      </c>
    </row>
    <row r="3676" spans="1:10" x14ac:dyDescent="0.2">
      <c r="A3676" s="1" t="s">
        <v>25</v>
      </c>
      <c r="B3676" s="2" t="s">
        <v>243</v>
      </c>
      <c r="D3676" s="7" t="s">
        <v>464</v>
      </c>
      <c r="E3676" s="6">
        <v>127500</v>
      </c>
      <c r="F3676" s="6" t="s">
        <v>465</v>
      </c>
      <c r="G3676" s="57" t="str">
        <f t="shared" si="57"/>
        <v>-</v>
      </c>
      <c r="H3676" s="21"/>
      <c r="I3676" s="21"/>
      <c r="J3676" s="7"/>
    </row>
    <row r="3677" spans="1:10" x14ac:dyDescent="0.2">
      <c r="A3677" s="1" t="s">
        <v>25</v>
      </c>
      <c r="B3677" s="2" t="s">
        <v>243</v>
      </c>
      <c r="D3677" s="7" t="s">
        <v>464</v>
      </c>
      <c r="E3677" s="6" t="s">
        <v>465</v>
      </c>
      <c r="F3677" s="6">
        <v>127500</v>
      </c>
      <c r="G3677" s="57" t="str">
        <f t="shared" si="57"/>
        <v>-</v>
      </c>
      <c r="H3677" s="21"/>
      <c r="I3677" s="21"/>
      <c r="J3677" s="7" t="s">
        <v>539</v>
      </c>
    </row>
    <row r="3678" spans="1:10" x14ac:dyDescent="0.2">
      <c r="A3678" s="1" t="s">
        <v>25</v>
      </c>
      <c r="B3678" s="2" t="s">
        <v>243</v>
      </c>
      <c r="D3678" s="7" t="s">
        <v>464</v>
      </c>
      <c r="E3678" s="6" t="s">
        <v>465</v>
      </c>
      <c r="F3678" s="6">
        <v>127500</v>
      </c>
      <c r="G3678" s="57" t="str">
        <f t="shared" ref="G3678:G3741" si="58">IF(ISERROR((F3678-E3678)/E3678),"-",(F3678-E3678)/E3678)</f>
        <v>-</v>
      </c>
      <c r="H3678" s="21"/>
      <c r="I3678" s="21"/>
      <c r="J3678" s="7" t="s">
        <v>539</v>
      </c>
    </row>
    <row r="3679" spans="1:10" x14ac:dyDescent="0.2">
      <c r="A3679" s="1" t="s">
        <v>25</v>
      </c>
      <c r="B3679" s="2" t="s">
        <v>243</v>
      </c>
      <c r="D3679" s="7" t="s">
        <v>464</v>
      </c>
      <c r="E3679" s="6" t="s">
        <v>465</v>
      </c>
      <c r="F3679" s="6">
        <v>127500</v>
      </c>
      <c r="G3679" s="57" t="str">
        <f t="shared" si="58"/>
        <v>-</v>
      </c>
      <c r="H3679" s="21"/>
      <c r="I3679" s="21"/>
      <c r="J3679" s="7"/>
    </row>
    <row r="3680" spans="1:10" x14ac:dyDescent="0.2">
      <c r="A3680" s="1" t="s">
        <v>25</v>
      </c>
      <c r="B3680" s="2" t="s">
        <v>243</v>
      </c>
      <c r="D3680" s="7" t="s">
        <v>464</v>
      </c>
      <c r="E3680" s="6" t="s">
        <v>465</v>
      </c>
      <c r="F3680" s="6">
        <v>132500</v>
      </c>
      <c r="G3680" s="57" t="str">
        <f t="shared" si="58"/>
        <v>-</v>
      </c>
      <c r="H3680" s="21"/>
      <c r="I3680" s="21"/>
      <c r="J3680" s="7" t="s">
        <v>539</v>
      </c>
    </row>
    <row r="3681" spans="1:10" x14ac:dyDescent="0.2">
      <c r="A3681" s="1" t="s">
        <v>25</v>
      </c>
      <c r="B3681" s="2" t="s">
        <v>243</v>
      </c>
      <c r="D3681" s="7" t="s">
        <v>464</v>
      </c>
      <c r="E3681" s="6" t="s">
        <v>465</v>
      </c>
      <c r="F3681" s="6">
        <v>132500</v>
      </c>
      <c r="G3681" s="57" t="str">
        <f t="shared" si="58"/>
        <v>-</v>
      </c>
      <c r="H3681" s="21"/>
      <c r="I3681" s="21"/>
      <c r="J3681" s="7"/>
    </row>
    <row r="3682" spans="1:10" x14ac:dyDescent="0.2">
      <c r="A3682" s="1" t="s">
        <v>25</v>
      </c>
      <c r="B3682" s="2" t="s">
        <v>243</v>
      </c>
      <c r="D3682" s="7" t="s">
        <v>464</v>
      </c>
      <c r="E3682" s="6">
        <v>137500</v>
      </c>
      <c r="F3682" s="6" t="s">
        <v>465</v>
      </c>
      <c r="G3682" s="57" t="str">
        <f t="shared" si="58"/>
        <v>-</v>
      </c>
      <c r="H3682" s="21"/>
      <c r="I3682" s="21"/>
      <c r="J3682" s="7" t="s">
        <v>539</v>
      </c>
    </row>
    <row r="3683" spans="1:10" x14ac:dyDescent="0.2">
      <c r="A3683" s="1" t="s">
        <v>25</v>
      </c>
      <c r="B3683" s="2" t="s">
        <v>243</v>
      </c>
      <c r="D3683" s="7" t="s">
        <v>464</v>
      </c>
      <c r="E3683" s="6">
        <v>137500</v>
      </c>
      <c r="F3683" s="6" t="s">
        <v>465</v>
      </c>
      <c r="G3683" s="57" t="str">
        <f t="shared" si="58"/>
        <v>-</v>
      </c>
      <c r="H3683" s="21"/>
      <c r="I3683" s="21"/>
      <c r="J3683" s="7" t="s">
        <v>539</v>
      </c>
    </row>
    <row r="3684" spans="1:10" x14ac:dyDescent="0.2">
      <c r="A3684" s="1" t="s">
        <v>25</v>
      </c>
      <c r="B3684" s="2" t="s">
        <v>243</v>
      </c>
      <c r="D3684" s="7" t="s">
        <v>464</v>
      </c>
      <c r="E3684" s="6">
        <v>137500</v>
      </c>
      <c r="F3684" s="6" t="s">
        <v>465</v>
      </c>
      <c r="G3684" s="57" t="str">
        <f t="shared" si="58"/>
        <v>-</v>
      </c>
      <c r="H3684" s="21"/>
      <c r="I3684" s="21"/>
      <c r="J3684" s="7"/>
    </row>
    <row r="3685" spans="1:10" x14ac:dyDescent="0.2">
      <c r="A3685" s="1" t="s">
        <v>25</v>
      </c>
      <c r="B3685" s="2" t="s">
        <v>243</v>
      </c>
      <c r="D3685" s="7" t="s">
        <v>464</v>
      </c>
      <c r="E3685" s="6">
        <v>137500</v>
      </c>
      <c r="F3685" s="6" t="s">
        <v>465</v>
      </c>
      <c r="G3685" s="57" t="str">
        <f t="shared" si="58"/>
        <v>-</v>
      </c>
      <c r="H3685" s="21"/>
      <c r="I3685" s="21"/>
      <c r="J3685" s="7"/>
    </row>
    <row r="3686" spans="1:10" x14ac:dyDescent="0.2">
      <c r="A3686" s="1" t="s">
        <v>25</v>
      </c>
      <c r="B3686" s="2" t="s">
        <v>243</v>
      </c>
      <c r="D3686" s="7" t="s">
        <v>464</v>
      </c>
      <c r="E3686" s="6" t="s">
        <v>465</v>
      </c>
      <c r="F3686" s="6">
        <v>137500</v>
      </c>
      <c r="G3686" s="57" t="str">
        <f t="shared" si="58"/>
        <v>-</v>
      </c>
      <c r="H3686" s="21"/>
      <c r="I3686" s="21"/>
      <c r="J3686" s="7" t="s">
        <v>539</v>
      </c>
    </row>
    <row r="3687" spans="1:10" x14ac:dyDescent="0.2">
      <c r="A3687" s="1" t="s">
        <v>25</v>
      </c>
      <c r="B3687" s="2" t="s">
        <v>243</v>
      </c>
      <c r="D3687" s="7" t="s">
        <v>464</v>
      </c>
      <c r="E3687" s="6" t="s">
        <v>465</v>
      </c>
      <c r="F3687" s="6">
        <v>137500</v>
      </c>
      <c r="G3687" s="57" t="str">
        <f t="shared" si="58"/>
        <v>-</v>
      </c>
      <c r="H3687" s="21"/>
      <c r="I3687" s="21"/>
      <c r="J3687" s="7" t="s">
        <v>539</v>
      </c>
    </row>
    <row r="3688" spans="1:10" x14ac:dyDescent="0.2">
      <c r="A3688" s="1" t="s">
        <v>25</v>
      </c>
      <c r="B3688" s="2" t="s">
        <v>243</v>
      </c>
      <c r="D3688" s="7" t="s">
        <v>464</v>
      </c>
      <c r="E3688" s="6" t="s">
        <v>465</v>
      </c>
      <c r="F3688" s="6">
        <v>137500</v>
      </c>
      <c r="G3688" s="57" t="str">
        <f t="shared" si="58"/>
        <v>-</v>
      </c>
      <c r="H3688" s="21"/>
      <c r="I3688" s="21"/>
      <c r="J3688" s="7"/>
    </row>
    <row r="3689" spans="1:10" x14ac:dyDescent="0.2">
      <c r="A3689" s="1" t="s">
        <v>25</v>
      </c>
      <c r="B3689" s="2" t="s">
        <v>243</v>
      </c>
      <c r="D3689" s="7" t="s">
        <v>464</v>
      </c>
      <c r="E3689" s="6" t="s">
        <v>465</v>
      </c>
      <c r="F3689" s="6">
        <v>137500</v>
      </c>
      <c r="G3689" s="57" t="str">
        <f t="shared" si="58"/>
        <v>-</v>
      </c>
      <c r="H3689" s="21"/>
      <c r="I3689" s="21"/>
      <c r="J3689" s="7"/>
    </row>
    <row r="3690" spans="1:10" x14ac:dyDescent="0.2">
      <c r="A3690" s="1" t="s">
        <v>25</v>
      </c>
      <c r="B3690" s="2" t="s">
        <v>243</v>
      </c>
      <c r="D3690" s="7" t="s">
        <v>464</v>
      </c>
      <c r="E3690" s="6">
        <v>142500</v>
      </c>
      <c r="F3690" s="6" t="s">
        <v>465</v>
      </c>
      <c r="G3690" s="57" t="str">
        <f t="shared" si="58"/>
        <v>-</v>
      </c>
      <c r="H3690" s="21"/>
      <c r="I3690" s="21"/>
      <c r="J3690" s="7" t="s">
        <v>539</v>
      </c>
    </row>
    <row r="3691" spans="1:10" x14ac:dyDescent="0.2">
      <c r="A3691" s="1" t="s">
        <v>25</v>
      </c>
      <c r="B3691" s="2" t="s">
        <v>243</v>
      </c>
      <c r="D3691" s="7" t="s">
        <v>464</v>
      </c>
      <c r="E3691" s="6">
        <v>182500</v>
      </c>
      <c r="F3691" s="6" t="s">
        <v>465</v>
      </c>
      <c r="G3691" s="57" t="str">
        <f t="shared" si="58"/>
        <v>-</v>
      </c>
      <c r="H3691" s="21"/>
      <c r="I3691" s="21"/>
      <c r="J3691" s="7" t="s">
        <v>539</v>
      </c>
    </row>
    <row r="3692" spans="1:10" x14ac:dyDescent="0.2">
      <c r="A3692" s="1" t="s">
        <v>25</v>
      </c>
      <c r="B3692" s="2" t="s">
        <v>243</v>
      </c>
      <c r="D3692" s="7" t="s">
        <v>464</v>
      </c>
      <c r="E3692" s="6">
        <v>182500</v>
      </c>
      <c r="F3692" s="6" t="s">
        <v>465</v>
      </c>
      <c r="G3692" s="57" t="str">
        <f t="shared" si="58"/>
        <v>-</v>
      </c>
      <c r="H3692" s="21"/>
      <c r="I3692" s="21"/>
      <c r="J3692" s="7"/>
    </row>
    <row r="3693" spans="1:10" x14ac:dyDescent="0.2">
      <c r="A3693" s="1" t="s">
        <v>25</v>
      </c>
      <c r="B3693" s="2" t="s">
        <v>243</v>
      </c>
      <c r="D3693" s="7" t="s">
        <v>464</v>
      </c>
      <c r="E3693" s="6" t="s">
        <v>465</v>
      </c>
      <c r="F3693" s="6">
        <v>187500</v>
      </c>
      <c r="G3693" s="57" t="str">
        <f t="shared" si="58"/>
        <v>-</v>
      </c>
      <c r="H3693" s="21"/>
      <c r="I3693" s="21"/>
      <c r="J3693" s="7"/>
    </row>
    <row r="3694" spans="1:10" x14ac:dyDescent="0.2">
      <c r="A3694" s="1" t="s">
        <v>25</v>
      </c>
      <c r="B3694" s="2" t="s">
        <v>243</v>
      </c>
      <c r="D3694" s="7" t="s">
        <v>464</v>
      </c>
      <c r="E3694" s="6" t="s">
        <v>465</v>
      </c>
      <c r="F3694" s="6">
        <v>187500</v>
      </c>
      <c r="G3694" s="57" t="str">
        <f t="shared" si="58"/>
        <v>-</v>
      </c>
      <c r="H3694" s="21"/>
      <c r="I3694" s="21"/>
      <c r="J3694" s="7" t="s">
        <v>539</v>
      </c>
    </row>
    <row r="3695" spans="1:10" ht="25.5" x14ac:dyDescent="0.2">
      <c r="A3695" s="1" t="s">
        <v>34</v>
      </c>
      <c r="B3695" s="2" t="s">
        <v>244</v>
      </c>
      <c r="D3695" s="5" t="s">
        <v>450</v>
      </c>
      <c r="E3695" s="3">
        <v>113988</v>
      </c>
      <c r="F3695" s="3">
        <v>114833</v>
      </c>
      <c r="G3695" s="57">
        <f t="shared" si="58"/>
        <v>7.4130610239674351E-3</v>
      </c>
      <c r="J3695" s="5" t="s">
        <v>3155</v>
      </c>
    </row>
    <row r="3696" spans="1:10" ht="38.25" customHeight="1" x14ac:dyDescent="0.2">
      <c r="A3696" s="1" t="s">
        <v>20</v>
      </c>
      <c r="B3696" s="2" t="s">
        <v>245</v>
      </c>
      <c r="D3696" s="5" t="s">
        <v>450</v>
      </c>
      <c r="E3696" s="3">
        <v>140946</v>
      </c>
      <c r="F3696" s="3">
        <v>395091</v>
      </c>
      <c r="G3696" s="57">
        <f t="shared" si="58"/>
        <v>1.8031373717593973</v>
      </c>
      <c r="J3696" s="5" t="s">
        <v>3154</v>
      </c>
    </row>
    <row r="3697" spans="1:10" s="13" customFormat="1" x14ac:dyDescent="0.2">
      <c r="A3697" s="1" t="s">
        <v>20</v>
      </c>
      <c r="B3697" s="12" t="s">
        <v>245</v>
      </c>
      <c r="C3697" s="7"/>
      <c r="D3697" s="7" t="s">
        <v>464</v>
      </c>
      <c r="E3697" s="6" t="s">
        <v>465</v>
      </c>
      <c r="F3697" s="6">
        <v>117500</v>
      </c>
      <c r="G3697" s="57" t="str">
        <f t="shared" si="58"/>
        <v>-</v>
      </c>
      <c r="H3697" s="21"/>
      <c r="I3697" s="21"/>
      <c r="J3697" s="7"/>
    </row>
    <row r="3698" spans="1:10" s="13" customFormat="1" ht="51" x14ac:dyDescent="0.2">
      <c r="A3698" s="13" t="s">
        <v>4719</v>
      </c>
      <c r="B3698" s="12" t="s">
        <v>246</v>
      </c>
      <c r="C3698" s="7"/>
      <c r="D3698" s="7" t="s">
        <v>4365</v>
      </c>
      <c r="E3698" s="6">
        <v>116162</v>
      </c>
      <c r="F3698" s="6">
        <f>67802+59299</f>
        <v>127101</v>
      </c>
      <c r="G3698" s="57">
        <f t="shared" si="58"/>
        <v>9.417021056799986E-2</v>
      </c>
      <c r="H3698" s="21"/>
      <c r="I3698" s="21"/>
      <c r="J3698" s="7" t="s">
        <v>4366</v>
      </c>
    </row>
    <row r="3699" spans="1:10" s="13" customFormat="1" ht="27" customHeight="1" x14ac:dyDescent="0.2">
      <c r="A3699" s="13" t="s">
        <v>4719</v>
      </c>
      <c r="B3699" s="2" t="s">
        <v>246</v>
      </c>
      <c r="C3699" s="7" t="s">
        <v>4367</v>
      </c>
      <c r="D3699" s="7" t="s">
        <v>450</v>
      </c>
      <c r="E3699" s="6">
        <v>195759</v>
      </c>
      <c r="F3699" s="6">
        <v>43312</v>
      </c>
      <c r="G3699" s="57">
        <f t="shared" si="58"/>
        <v>-0.77874835895156802</v>
      </c>
      <c r="H3699" s="21"/>
      <c r="I3699" s="21"/>
      <c r="J3699" s="7" t="s">
        <v>4368</v>
      </c>
    </row>
    <row r="3700" spans="1:10" s="13" customFormat="1" x14ac:dyDescent="0.2">
      <c r="A3700" s="13" t="s">
        <v>111</v>
      </c>
      <c r="B3700" s="12" t="s">
        <v>247</v>
      </c>
      <c r="C3700" s="7"/>
      <c r="D3700" s="7" t="s">
        <v>450</v>
      </c>
      <c r="E3700" s="6">
        <v>155644</v>
      </c>
      <c r="F3700" s="6">
        <v>167471</v>
      </c>
      <c r="G3700" s="57">
        <f t="shared" si="58"/>
        <v>7.5987509958623523E-2</v>
      </c>
      <c r="H3700" s="21"/>
      <c r="I3700" s="21"/>
      <c r="J3700" s="7" t="s">
        <v>3147</v>
      </c>
    </row>
    <row r="3701" spans="1:10" ht="25.5" x14ac:dyDescent="0.2">
      <c r="A3701" s="13" t="s">
        <v>111</v>
      </c>
      <c r="B3701" s="2" t="s">
        <v>247</v>
      </c>
      <c r="D3701" s="5" t="s">
        <v>1198</v>
      </c>
      <c r="E3701" s="3">
        <v>134863</v>
      </c>
      <c r="F3701" s="3">
        <v>212672</v>
      </c>
      <c r="G3701" s="57">
        <f t="shared" si="58"/>
        <v>0.57694845880634427</v>
      </c>
      <c r="J3701" s="5" t="s">
        <v>3148</v>
      </c>
    </row>
    <row r="3702" spans="1:10" ht="25.5" x14ac:dyDescent="0.2">
      <c r="A3702" s="13" t="s">
        <v>111</v>
      </c>
      <c r="B3702" s="2" t="s">
        <v>247</v>
      </c>
      <c r="D3702" s="5" t="s">
        <v>1199</v>
      </c>
      <c r="E3702" s="3">
        <v>130837</v>
      </c>
      <c r="F3702" s="3">
        <v>134016</v>
      </c>
      <c r="G3702" s="57">
        <f t="shared" si="58"/>
        <v>2.429740822550196E-2</v>
      </c>
      <c r="J3702" s="5" t="s">
        <v>3149</v>
      </c>
    </row>
    <row r="3703" spans="1:10" x14ac:dyDescent="0.2">
      <c r="A3703" s="13" t="s">
        <v>111</v>
      </c>
      <c r="B3703" s="2" t="s">
        <v>247</v>
      </c>
      <c r="D3703" s="5" t="s">
        <v>942</v>
      </c>
      <c r="E3703" s="3">
        <v>129139</v>
      </c>
      <c r="F3703" s="3">
        <v>133160</v>
      </c>
      <c r="G3703" s="57">
        <f t="shared" si="58"/>
        <v>3.1136991923431341E-2</v>
      </c>
      <c r="J3703" s="5" t="s">
        <v>3150</v>
      </c>
    </row>
    <row r="3704" spans="1:10" ht="25.5" x14ac:dyDescent="0.2">
      <c r="A3704" s="13" t="s">
        <v>111</v>
      </c>
      <c r="B3704" s="2" t="s">
        <v>247</v>
      </c>
      <c r="D3704" s="5" t="s">
        <v>1200</v>
      </c>
      <c r="E3704" s="3">
        <v>120135</v>
      </c>
      <c r="F3704" s="3">
        <v>125715</v>
      </c>
      <c r="G3704" s="57">
        <f t="shared" si="58"/>
        <v>4.6447746285428894E-2</v>
      </c>
      <c r="J3704" s="5" t="s">
        <v>3151</v>
      </c>
    </row>
    <row r="3705" spans="1:10" x14ac:dyDescent="0.2">
      <c r="A3705" s="13" t="s">
        <v>111</v>
      </c>
      <c r="B3705" s="2" t="s">
        <v>247</v>
      </c>
      <c r="D3705" s="5" t="s">
        <v>463</v>
      </c>
      <c r="E3705" s="3">
        <v>106349</v>
      </c>
      <c r="F3705" s="3">
        <v>105660</v>
      </c>
      <c r="G3705" s="57">
        <f t="shared" si="58"/>
        <v>-6.4786692869702586E-3</v>
      </c>
      <c r="J3705" s="5" t="s">
        <v>3152</v>
      </c>
    </row>
    <row r="3706" spans="1:10" x14ac:dyDescent="0.2">
      <c r="A3706" s="13" t="s">
        <v>111</v>
      </c>
      <c r="B3706" s="2" t="s">
        <v>247</v>
      </c>
      <c r="D3706" s="5" t="s">
        <v>949</v>
      </c>
      <c r="E3706" s="3">
        <v>100479</v>
      </c>
      <c r="F3706" s="3">
        <v>230101</v>
      </c>
      <c r="G3706" s="57">
        <f t="shared" si="58"/>
        <v>1.2900407050229401</v>
      </c>
      <c r="J3706" s="5" t="s">
        <v>3153</v>
      </c>
    </row>
    <row r="3707" spans="1:10" s="13" customFormat="1" x14ac:dyDescent="0.2">
      <c r="A3707" s="13" t="s">
        <v>111</v>
      </c>
      <c r="B3707" s="12" t="s">
        <v>247</v>
      </c>
      <c r="C3707" s="7"/>
      <c r="D3707" s="7" t="s">
        <v>464</v>
      </c>
      <c r="E3707" s="6"/>
      <c r="F3707" s="6"/>
      <c r="G3707" s="57" t="str">
        <f t="shared" si="58"/>
        <v>-</v>
      </c>
      <c r="H3707" s="21">
        <v>92500</v>
      </c>
      <c r="I3707" s="21" t="s">
        <v>465</v>
      </c>
      <c r="J3707" s="7"/>
    </row>
    <row r="3708" spans="1:10" s="13" customFormat="1" x14ac:dyDescent="0.2">
      <c r="A3708" s="13" t="s">
        <v>111</v>
      </c>
      <c r="B3708" s="12" t="s">
        <v>247</v>
      </c>
      <c r="C3708" s="7"/>
      <c r="D3708" s="7" t="s">
        <v>464</v>
      </c>
      <c r="E3708" s="6"/>
      <c r="F3708" s="6"/>
      <c r="G3708" s="57" t="str">
        <f t="shared" si="58"/>
        <v>-</v>
      </c>
      <c r="H3708" s="21" t="s">
        <v>465</v>
      </c>
      <c r="I3708" s="21">
        <v>92500</v>
      </c>
      <c r="J3708" s="7"/>
    </row>
    <row r="3709" spans="1:10" s="13" customFormat="1" x14ac:dyDescent="0.2">
      <c r="A3709" s="13" t="s">
        <v>111</v>
      </c>
      <c r="B3709" s="12" t="s">
        <v>247</v>
      </c>
      <c r="C3709" s="7"/>
      <c r="D3709" s="7" t="s">
        <v>464</v>
      </c>
      <c r="E3709" s="6">
        <v>102500</v>
      </c>
      <c r="F3709" s="6" t="s">
        <v>465</v>
      </c>
      <c r="G3709" s="57" t="str">
        <f t="shared" si="58"/>
        <v>-</v>
      </c>
      <c r="H3709" s="21"/>
      <c r="I3709" s="21"/>
      <c r="J3709" s="7"/>
    </row>
    <row r="3710" spans="1:10" s="13" customFormat="1" x14ac:dyDescent="0.2">
      <c r="A3710" s="13" t="s">
        <v>111</v>
      </c>
      <c r="B3710" s="12" t="s">
        <v>247</v>
      </c>
      <c r="C3710" s="7"/>
      <c r="D3710" s="7" t="s">
        <v>464</v>
      </c>
      <c r="E3710" s="6" t="s">
        <v>465</v>
      </c>
      <c r="F3710" s="6">
        <v>107500</v>
      </c>
      <c r="G3710" s="57" t="str">
        <f t="shared" si="58"/>
        <v>-</v>
      </c>
      <c r="H3710" s="21"/>
      <c r="I3710" s="21"/>
      <c r="J3710" s="7"/>
    </row>
    <row r="3711" spans="1:10" s="13" customFormat="1" x14ac:dyDescent="0.2">
      <c r="A3711" s="13" t="s">
        <v>111</v>
      </c>
      <c r="B3711" s="12" t="s">
        <v>247</v>
      </c>
      <c r="C3711" s="7"/>
      <c r="D3711" s="7" t="s">
        <v>464</v>
      </c>
      <c r="E3711" s="6" t="s">
        <v>465</v>
      </c>
      <c r="F3711" s="6">
        <v>107500</v>
      </c>
      <c r="G3711" s="57" t="str">
        <f t="shared" si="58"/>
        <v>-</v>
      </c>
      <c r="H3711" s="21"/>
      <c r="I3711" s="21"/>
      <c r="J3711" s="7"/>
    </row>
    <row r="3712" spans="1:10" s="13" customFormat="1" x14ac:dyDescent="0.2">
      <c r="A3712" s="13" t="s">
        <v>111</v>
      </c>
      <c r="B3712" s="12" t="s">
        <v>247</v>
      </c>
      <c r="C3712" s="7"/>
      <c r="D3712" s="7" t="s">
        <v>464</v>
      </c>
      <c r="E3712" s="6">
        <v>112500</v>
      </c>
      <c r="F3712" s="6" t="s">
        <v>465</v>
      </c>
      <c r="G3712" s="57" t="str">
        <f t="shared" si="58"/>
        <v>-</v>
      </c>
      <c r="H3712" s="21"/>
      <c r="I3712" s="21"/>
      <c r="J3712" s="7"/>
    </row>
    <row r="3713" spans="1:10" s="13" customFormat="1" x14ac:dyDescent="0.2">
      <c r="A3713" s="13" t="s">
        <v>111</v>
      </c>
      <c r="B3713" s="12" t="s">
        <v>247</v>
      </c>
      <c r="C3713" s="7"/>
      <c r="D3713" s="7" t="s">
        <v>464</v>
      </c>
      <c r="E3713" s="6" t="s">
        <v>465</v>
      </c>
      <c r="F3713" s="6">
        <v>112500</v>
      </c>
      <c r="G3713" s="57" t="str">
        <f t="shared" si="58"/>
        <v>-</v>
      </c>
      <c r="H3713" s="21"/>
      <c r="I3713" s="21"/>
      <c r="J3713" s="7"/>
    </row>
    <row r="3714" spans="1:10" s="13" customFormat="1" x14ac:dyDescent="0.2">
      <c r="A3714" s="13" t="s">
        <v>111</v>
      </c>
      <c r="B3714" s="12" t="s">
        <v>247</v>
      </c>
      <c r="C3714" s="7"/>
      <c r="D3714" s="7" t="s">
        <v>464</v>
      </c>
      <c r="E3714" s="6" t="s">
        <v>465</v>
      </c>
      <c r="F3714" s="6">
        <v>112500</v>
      </c>
      <c r="G3714" s="57" t="str">
        <f t="shared" si="58"/>
        <v>-</v>
      </c>
      <c r="H3714" s="21"/>
      <c r="I3714" s="21"/>
      <c r="J3714" s="7"/>
    </row>
    <row r="3715" spans="1:10" s="13" customFormat="1" x14ac:dyDescent="0.2">
      <c r="A3715" s="13" t="s">
        <v>111</v>
      </c>
      <c r="B3715" s="12" t="s">
        <v>247</v>
      </c>
      <c r="C3715" s="7"/>
      <c r="D3715" s="7" t="s">
        <v>464</v>
      </c>
      <c r="E3715" s="6">
        <v>117500</v>
      </c>
      <c r="F3715" s="6" t="s">
        <v>465</v>
      </c>
      <c r="G3715" s="57" t="str">
        <f t="shared" si="58"/>
        <v>-</v>
      </c>
      <c r="H3715" s="21"/>
      <c r="I3715" s="21"/>
      <c r="J3715" s="7"/>
    </row>
    <row r="3716" spans="1:10" s="13" customFormat="1" x14ac:dyDescent="0.2">
      <c r="A3716" s="13" t="s">
        <v>111</v>
      </c>
      <c r="B3716" s="12" t="s">
        <v>247</v>
      </c>
      <c r="C3716" s="7"/>
      <c r="D3716" s="7" t="s">
        <v>464</v>
      </c>
      <c r="E3716" s="6">
        <v>132500</v>
      </c>
      <c r="F3716" s="6" t="s">
        <v>465</v>
      </c>
      <c r="G3716" s="57" t="str">
        <f t="shared" si="58"/>
        <v>-</v>
      </c>
      <c r="H3716" s="21"/>
      <c r="I3716" s="21"/>
      <c r="J3716" s="7"/>
    </row>
    <row r="3717" spans="1:10" s="13" customFormat="1" x14ac:dyDescent="0.2">
      <c r="A3717" s="13" t="s">
        <v>111</v>
      </c>
      <c r="B3717" s="12" t="s">
        <v>247</v>
      </c>
      <c r="C3717" s="7"/>
      <c r="D3717" s="7" t="s">
        <v>464</v>
      </c>
      <c r="E3717" s="6" t="s">
        <v>465</v>
      </c>
      <c r="F3717" s="6">
        <v>142500</v>
      </c>
      <c r="G3717" s="57" t="str">
        <f t="shared" si="58"/>
        <v>-</v>
      </c>
      <c r="H3717" s="21"/>
      <c r="I3717" s="21"/>
      <c r="J3717" s="7"/>
    </row>
    <row r="3718" spans="1:10" ht="38.25" x14ac:dyDescent="0.2">
      <c r="A3718" s="1" t="s">
        <v>1</v>
      </c>
      <c r="B3718" s="2" t="s">
        <v>248</v>
      </c>
      <c r="C3718" s="5" t="s">
        <v>1191</v>
      </c>
      <c r="D3718" s="5" t="s">
        <v>450</v>
      </c>
      <c r="E3718" s="3">
        <f>60908+20657</f>
        <v>81565</v>
      </c>
      <c r="F3718" s="3">
        <f>109198+2948+21286+598</f>
        <v>134030</v>
      </c>
      <c r="G3718" s="57">
        <f t="shared" si="58"/>
        <v>0.64322932630417462</v>
      </c>
      <c r="J3718" s="5" t="s">
        <v>3138</v>
      </c>
    </row>
    <row r="3719" spans="1:10" ht="25.5" x14ac:dyDescent="0.2">
      <c r="A3719" s="1" t="s">
        <v>1</v>
      </c>
      <c r="B3719" s="2" t="s">
        <v>248</v>
      </c>
      <c r="C3719" s="5" t="s">
        <v>1192</v>
      </c>
      <c r="D3719" s="5" t="s">
        <v>1193</v>
      </c>
      <c r="E3719" s="3">
        <f>99222+17494</f>
        <v>116716</v>
      </c>
      <c r="F3719" s="3">
        <f>91022+7983+18477</f>
        <v>117482</v>
      </c>
      <c r="G3719" s="57">
        <f t="shared" si="58"/>
        <v>6.562939100037698E-3</v>
      </c>
      <c r="J3719" s="5" t="s">
        <v>3135</v>
      </c>
    </row>
    <row r="3720" spans="1:10" s="13" customFormat="1" ht="25.5" x14ac:dyDescent="0.2">
      <c r="A3720" s="1" t="s">
        <v>1</v>
      </c>
      <c r="B3720" s="12" t="s">
        <v>248</v>
      </c>
      <c r="C3720" s="7" t="s">
        <v>1194</v>
      </c>
      <c r="D3720" s="7" t="s">
        <v>1195</v>
      </c>
      <c r="E3720" s="6">
        <f>94747+17494</f>
        <v>112241</v>
      </c>
      <c r="F3720" s="6">
        <f>91022+4551+18477</f>
        <v>114050</v>
      </c>
      <c r="G3720" s="57">
        <f t="shared" si="58"/>
        <v>1.6117105157651839E-2</v>
      </c>
      <c r="H3720" s="21"/>
      <c r="I3720" s="21"/>
      <c r="J3720" s="7" t="s">
        <v>3136</v>
      </c>
    </row>
    <row r="3721" spans="1:10" s="13" customFormat="1" ht="25.5" x14ac:dyDescent="0.2">
      <c r="A3721" s="1" t="s">
        <v>1</v>
      </c>
      <c r="B3721" s="12" t="s">
        <v>248</v>
      </c>
      <c r="C3721" s="7" t="s">
        <v>1196</v>
      </c>
      <c r="D3721" s="7" t="s">
        <v>1197</v>
      </c>
      <c r="E3721" s="6">
        <f>93360+17494</f>
        <v>110854</v>
      </c>
      <c r="F3721" s="6">
        <f>91022+4237+18477</f>
        <v>113736</v>
      </c>
      <c r="G3721" s="57">
        <f t="shared" si="58"/>
        <v>2.5998159741642161E-2</v>
      </c>
      <c r="H3721" s="21"/>
      <c r="I3721" s="21"/>
      <c r="J3721" s="7" t="s">
        <v>3137</v>
      </c>
    </row>
    <row r="3722" spans="1:10" s="13" customFormat="1" ht="25.5" x14ac:dyDescent="0.2">
      <c r="A3722" s="1" t="s">
        <v>1</v>
      </c>
      <c r="B3722" s="12" t="s">
        <v>248</v>
      </c>
      <c r="C3722" s="7" t="s">
        <v>3140</v>
      </c>
      <c r="D3722" s="7" t="s">
        <v>3139</v>
      </c>
      <c r="E3722" s="6">
        <f>71169+13269</f>
        <v>84438</v>
      </c>
      <c r="F3722" s="6">
        <f>29155+111665</f>
        <v>140820</v>
      </c>
      <c r="G3722" s="57">
        <f t="shared" si="58"/>
        <v>0.66773253748312367</v>
      </c>
      <c r="H3722" s="21"/>
      <c r="I3722" s="21"/>
      <c r="J3722" s="7" t="s">
        <v>3146</v>
      </c>
    </row>
    <row r="3723" spans="1:10" s="13" customFormat="1" ht="25.5" x14ac:dyDescent="0.2">
      <c r="A3723" s="1" t="s">
        <v>1</v>
      </c>
      <c r="B3723" s="12" t="s">
        <v>248</v>
      </c>
      <c r="C3723" s="7" t="s">
        <v>3141</v>
      </c>
      <c r="D3723" s="7" t="s">
        <v>3142</v>
      </c>
      <c r="E3723" s="6">
        <f>93936+17494</f>
        <v>111430</v>
      </c>
      <c r="F3723" s="6">
        <f>35613+8568</f>
        <v>44181</v>
      </c>
      <c r="G3723" s="57">
        <f t="shared" si="58"/>
        <v>-0.6035089293727004</v>
      </c>
      <c r="H3723" s="21"/>
      <c r="I3723" s="21"/>
      <c r="J3723" s="7" t="s">
        <v>3144</v>
      </c>
    </row>
    <row r="3724" spans="1:10" s="13" customFormat="1" ht="25.5" x14ac:dyDescent="0.2">
      <c r="A3724" s="1" t="s">
        <v>1</v>
      </c>
      <c r="B3724" s="12" t="s">
        <v>248</v>
      </c>
      <c r="C3724" s="7" t="s">
        <v>3143</v>
      </c>
      <c r="D3724" s="7" t="s">
        <v>452</v>
      </c>
      <c r="E3724" s="6">
        <f>98274+18137</f>
        <v>116411</v>
      </c>
      <c r="F3724" s="6">
        <f>39563+177906</f>
        <v>217469</v>
      </c>
      <c r="G3724" s="57">
        <f t="shared" si="58"/>
        <v>0.8681138380393606</v>
      </c>
      <c r="H3724" s="21"/>
      <c r="I3724" s="21"/>
      <c r="J3724" s="7" t="s">
        <v>3145</v>
      </c>
    </row>
    <row r="3725" spans="1:10" ht="25.5" x14ac:dyDescent="0.2">
      <c r="A3725" s="1" t="s">
        <v>4</v>
      </c>
      <c r="B3725" s="2" t="s">
        <v>249</v>
      </c>
      <c r="D3725" s="5" t="s">
        <v>1187</v>
      </c>
      <c r="E3725" s="3">
        <v>149017</v>
      </c>
      <c r="F3725" s="3">
        <v>161017</v>
      </c>
      <c r="G3725" s="57">
        <f t="shared" si="58"/>
        <v>8.0527725024661614E-2</v>
      </c>
      <c r="J3725" s="5" t="s">
        <v>3123</v>
      </c>
    </row>
    <row r="3726" spans="1:10" x14ac:dyDescent="0.2">
      <c r="A3726" s="1" t="s">
        <v>4</v>
      </c>
      <c r="B3726" s="2" t="s">
        <v>249</v>
      </c>
      <c r="D3726" s="5" t="s">
        <v>1188</v>
      </c>
      <c r="E3726" s="3">
        <v>134809</v>
      </c>
      <c r="F3726" s="3">
        <v>147657</v>
      </c>
      <c r="G3726" s="57">
        <f t="shared" si="58"/>
        <v>9.5305209592831341E-2</v>
      </c>
      <c r="J3726" s="5" t="s">
        <v>3124</v>
      </c>
    </row>
    <row r="3727" spans="1:10" ht="25.5" x14ac:dyDescent="0.2">
      <c r="A3727" s="1" t="s">
        <v>4</v>
      </c>
      <c r="B3727" s="2" t="s">
        <v>249</v>
      </c>
      <c r="D3727" s="5" t="s">
        <v>3134</v>
      </c>
      <c r="E3727" s="3">
        <v>124273</v>
      </c>
      <c r="F3727" s="3">
        <v>137895</v>
      </c>
      <c r="G3727" s="57">
        <f t="shared" si="58"/>
        <v>0.10961351218687888</v>
      </c>
      <c r="J3727" s="5" t="s">
        <v>3129</v>
      </c>
    </row>
    <row r="3728" spans="1:10" ht="25.5" x14ac:dyDescent="0.2">
      <c r="A3728" s="1" t="s">
        <v>4</v>
      </c>
      <c r="B3728" s="2" t="s">
        <v>249</v>
      </c>
      <c r="D3728" s="5" t="s">
        <v>1189</v>
      </c>
      <c r="E3728" s="3">
        <v>122426</v>
      </c>
      <c r="F3728" s="3">
        <v>136337</v>
      </c>
      <c r="G3728" s="57">
        <f t="shared" si="58"/>
        <v>0.11362782415499975</v>
      </c>
      <c r="J3728" s="5" t="s">
        <v>3130</v>
      </c>
    </row>
    <row r="3729" spans="1:10" ht="25.5" x14ac:dyDescent="0.2">
      <c r="A3729" s="1" t="s">
        <v>4</v>
      </c>
      <c r="B3729" s="2" t="s">
        <v>249</v>
      </c>
      <c r="D3729" s="5" t="s">
        <v>3133</v>
      </c>
      <c r="E3729" s="3">
        <v>110684</v>
      </c>
      <c r="F3729" s="3">
        <v>155473</v>
      </c>
      <c r="G3729" s="57">
        <f t="shared" si="58"/>
        <v>0.40465649958440242</v>
      </c>
      <c r="J3729" s="5" t="s">
        <v>3131</v>
      </c>
    </row>
    <row r="3730" spans="1:10" ht="25.5" x14ac:dyDescent="0.2">
      <c r="A3730" s="1" t="s">
        <v>4</v>
      </c>
      <c r="B3730" s="2" t="s">
        <v>249</v>
      </c>
      <c r="C3730" s="5" t="s">
        <v>1190</v>
      </c>
      <c r="D3730" s="7" t="s">
        <v>450</v>
      </c>
      <c r="E3730" s="3">
        <v>128725</v>
      </c>
      <c r="F3730" s="3">
        <v>184201</v>
      </c>
      <c r="G3730" s="57">
        <f t="shared" si="58"/>
        <v>0.43096523596814917</v>
      </c>
      <c r="J3730" s="5" t="s">
        <v>3132</v>
      </c>
    </row>
    <row r="3731" spans="1:10" x14ac:dyDescent="0.2">
      <c r="A3731" s="1" t="s">
        <v>4</v>
      </c>
      <c r="B3731" s="12" t="s">
        <v>249</v>
      </c>
      <c r="D3731" s="7" t="s">
        <v>464</v>
      </c>
      <c r="G3731" s="57" t="str">
        <f t="shared" si="58"/>
        <v>-</v>
      </c>
      <c r="H3731" s="19">
        <v>92500</v>
      </c>
      <c r="I3731" s="19" t="s">
        <v>465</v>
      </c>
    </row>
    <row r="3732" spans="1:10" x14ac:dyDescent="0.2">
      <c r="A3732" s="1" t="s">
        <v>4</v>
      </c>
      <c r="B3732" s="12" t="s">
        <v>249</v>
      </c>
      <c r="D3732" s="7" t="s">
        <v>464</v>
      </c>
      <c r="G3732" s="57" t="str">
        <f t="shared" si="58"/>
        <v>-</v>
      </c>
      <c r="H3732" s="19">
        <v>92500</v>
      </c>
      <c r="I3732" s="19" t="s">
        <v>465</v>
      </c>
    </row>
    <row r="3733" spans="1:10" x14ac:dyDescent="0.2">
      <c r="A3733" s="1" t="s">
        <v>4</v>
      </c>
      <c r="B3733" s="12" t="s">
        <v>249</v>
      </c>
      <c r="D3733" s="7" t="s">
        <v>464</v>
      </c>
      <c r="G3733" s="57" t="str">
        <f t="shared" si="58"/>
        <v>-</v>
      </c>
      <c r="H3733" s="19">
        <v>92500</v>
      </c>
      <c r="I3733" s="19" t="s">
        <v>465</v>
      </c>
    </row>
    <row r="3734" spans="1:10" x14ac:dyDescent="0.2">
      <c r="A3734" s="1" t="s">
        <v>4</v>
      </c>
      <c r="B3734" s="12" t="s">
        <v>249</v>
      </c>
      <c r="D3734" s="7" t="s">
        <v>464</v>
      </c>
      <c r="G3734" s="57" t="str">
        <f t="shared" si="58"/>
        <v>-</v>
      </c>
      <c r="H3734" s="19">
        <v>92500</v>
      </c>
      <c r="I3734" s="19" t="s">
        <v>465</v>
      </c>
    </row>
    <row r="3735" spans="1:10" x14ac:dyDescent="0.2">
      <c r="A3735" s="1" t="s">
        <v>4</v>
      </c>
      <c r="B3735" s="12" t="s">
        <v>249</v>
      </c>
      <c r="D3735" s="7" t="s">
        <v>464</v>
      </c>
      <c r="G3735" s="57" t="str">
        <f t="shared" si="58"/>
        <v>-</v>
      </c>
      <c r="H3735" s="19" t="s">
        <v>465</v>
      </c>
      <c r="I3735" s="19">
        <v>92500</v>
      </c>
    </row>
    <row r="3736" spans="1:10" x14ac:dyDescent="0.2">
      <c r="A3736" s="1" t="s">
        <v>4</v>
      </c>
      <c r="B3736" s="12" t="s">
        <v>249</v>
      </c>
      <c r="D3736" s="7" t="s">
        <v>464</v>
      </c>
      <c r="G3736" s="57" t="str">
        <f t="shared" si="58"/>
        <v>-</v>
      </c>
      <c r="H3736" s="19" t="s">
        <v>465</v>
      </c>
      <c r="I3736" s="19">
        <v>92500</v>
      </c>
    </row>
    <row r="3737" spans="1:10" x14ac:dyDescent="0.2">
      <c r="A3737" s="1" t="s">
        <v>4</v>
      </c>
      <c r="B3737" s="12" t="s">
        <v>249</v>
      </c>
      <c r="D3737" s="7" t="s">
        <v>464</v>
      </c>
      <c r="G3737" s="57" t="str">
        <f t="shared" si="58"/>
        <v>-</v>
      </c>
      <c r="H3737" s="19" t="s">
        <v>465</v>
      </c>
      <c r="I3737" s="19">
        <v>92500</v>
      </c>
    </row>
    <row r="3738" spans="1:10" x14ac:dyDescent="0.2">
      <c r="A3738" s="1" t="s">
        <v>4</v>
      </c>
      <c r="B3738" s="12" t="s">
        <v>249</v>
      </c>
      <c r="D3738" s="7" t="s">
        <v>464</v>
      </c>
      <c r="G3738" s="57" t="str">
        <f t="shared" si="58"/>
        <v>-</v>
      </c>
      <c r="H3738" s="19" t="s">
        <v>465</v>
      </c>
      <c r="I3738" s="19">
        <v>92500</v>
      </c>
    </row>
    <row r="3739" spans="1:10" x14ac:dyDescent="0.2">
      <c r="A3739" s="1" t="s">
        <v>4</v>
      </c>
      <c r="B3739" s="12" t="s">
        <v>249</v>
      </c>
      <c r="D3739" s="7" t="s">
        <v>464</v>
      </c>
      <c r="G3739" s="57" t="str">
        <f t="shared" si="58"/>
        <v>-</v>
      </c>
      <c r="H3739" s="19" t="s">
        <v>465</v>
      </c>
      <c r="I3739" s="19">
        <v>92500</v>
      </c>
    </row>
    <row r="3740" spans="1:10" x14ac:dyDescent="0.2">
      <c r="A3740" s="1" t="s">
        <v>4</v>
      </c>
      <c r="B3740" s="12" t="s">
        <v>249</v>
      </c>
      <c r="D3740" s="7" t="s">
        <v>464</v>
      </c>
      <c r="G3740" s="57" t="str">
        <f t="shared" si="58"/>
        <v>-</v>
      </c>
      <c r="H3740" s="19">
        <v>97500</v>
      </c>
      <c r="I3740" s="19" t="s">
        <v>465</v>
      </c>
    </row>
    <row r="3741" spans="1:10" x14ac:dyDescent="0.2">
      <c r="A3741" s="1" t="s">
        <v>4</v>
      </c>
      <c r="B3741" s="12" t="s">
        <v>249</v>
      </c>
      <c r="D3741" s="7" t="s">
        <v>464</v>
      </c>
      <c r="G3741" s="57" t="str">
        <f t="shared" si="58"/>
        <v>-</v>
      </c>
      <c r="H3741" s="19">
        <v>97500</v>
      </c>
      <c r="I3741" s="19" t="s">
        <v>465</v>
      </c>
    </row>
    <row r="3742" spans="1:10" x14ac:dyDescent="0.2">
      <c r="A3742" s="1" t="s">
        <v>4</v>
      </c>
      <c r="B3742" s="12" t="s">
        <v>249</v>
      </c>
      <c r="D3742" s="7" t="s">
        <v>464</v>
      </c>
      <c r="G3742" s="57" t="str">
        <f t="shared" ref="G3742:G3805" si="59">IF(ISERROR((F3742-E3742)/E3742),"-",(F3742-E3742)/E3742)</f>
        <v>-</v>
      </c>
      <c r="H3742" s="19">
        <v>97500</v>
      </c>
      <c r="I3742" s="19" t="s">
        <v>465</v>
      </c>
    </row>
    <row r="3743" spans="1:10" x14ac:dyDescent="0.2">
      <c r="A3743" s="1" t="s">
        <v>4</v>
      </c>
      <c r="B3743" s="12" t="s">
        <v>249</v>
      </c>
      <c r="D3743" s="7" t="s">
        <v>464</v>
      </c>
      <c r="G3743" s="57" t="str">
        <f t="shared" si="59"/>
        <v>-</v>
      </c>
      <c r="H3743" s="19">
        <v>97500</v>
      </c>
      <c r="I3743" s="19" t="s">
        <v>465</v>
      </c>
    </row>
    <row r="3744" spans="1:10" x14ac:dyDescent="0.2">
      <c r="A3744" s="1" t="s">
        <v>4</v>
      </c>
      <c r="B3744" s="12" t="s">
        <v>249</v>
      </c>
      <c r="D3744" s="7" t="s">
        <v>464</v>
      </c>
      <c r="G3744" s="57" t="str">
        <f t="shared" si="59"/>
        <v>-</v>
      </c>
      <c r="H3744" s="19">
        <v>97500</v>
      </c>
      <c r="I3744" s="19" t="s">
        <v>465</v>
      </c>
    </row>
    <row r="3745" spans="1:10" x14ac:dyDescent="0.2">
      <c r="A3745" s="1" t="s">
        <v>4</v>
      </c>
      <c r="B3745" s="12" t="s">
        <v>249</v>
      </c>
      <c r="D3745" s="7" t="s">
        <v>464</v>
      </c>
      <c r="G3745" s="57" t="str">
        <f t="shared" si="59"/>
        <v>-</v>
      </c>
      <c r="H3745" s="19" t="s">
        <v>465</v>
      </c>
      <c r="I3745" s="19">
        <v>97500</v>
      </c>
    </row>
    <row r="3746" spans="1:10" x14ac:dyDescent="0.2">
      <c r="A3746" s="1" t="s">
        <v>4</v>
      </c>
      <c r="B3746" s="12" t="s">
        <v>249</v>
      </c>
      <c r="D3746" s="7" t="s">
        <v>464</v>
      </c>
      <c r="E3746" s="3">
        <v>102500</v>
      </c>
      <c r="F3746" s="3" t="s">
        <v>465</v>
      </c>
      <c r="G3746" s="57" t="str">
        <f t="shared" si="59"/>
        <v>-</v>
      </c>
    </row>
    <row r="3747" spans="1:10" x14ac:dyDescent="0.2">
      <c r="A3747" s="1" t="s">
        <v>4</v>
      </c>
      <c r="B3747" s="12" t="s">
        <v>249</v>
      </c>
      <c r="D3747" s="7" t="s">
        <v>464</v>
      </c>
      <c r="E3747" s="3">
        <v>102500</v>
      </c>
      <c r="F3747" s="3" t="s">
        <v>465</v>
      </c>
      <c r="G3747" s="57" t="str">
        <f t="shared" si="59"/>
        <v>-</v>
      </c>
    </row>
    <row r="3748" spans="1:10" x14ac:dyDescent="0.2">
      <c r="A3748" s="1" t="s">
        <v>4</v>
      </c>
      <c r="B3748" s="12" t="s">
        <v>249</v>
      </c>
      <c r="D3748" s="7" t="s">
        <v>464</v>
      </c>
      <c r="E3748" s="3" t="s">
        <v>465</v>
      </c>
      <c r="F3748" s="3">
        <v>102500</v>
      </c>
      <c r="G3748" s="57" t="str">
        <f t="shared" si="59"/>
        <v>-</v>
      </c>
    </row>
    <row r="3749" spans="1:10" x14ac:dyDescent="0.2">
      <c r="A3749" s="1" t="s">
        <v>4</v>
      </c>
      <c r="B3749" s="12" t="s">
        <v>249</v>
      </c>
      <c r="D3749" s="7" t="s">
        <v>464</v>
      </c>
      <c r="E3749" s="3" t="s">
        <v>465</v>
      </c>
      <c r="F3749" s="3">
        <v>102500</v>
      </c>
      <c r="G3749" s="57" t="str">
        <f t="shared" si="59"/>
        <v>-</v>
      </c>
    </row>
    <row r="3750" spans="1:10" x14ac:dyDescent="0.2">
      <c r="A3750" s="1" t="s">
        <v>4</v>
      </c>
      <c r="B3750" s="12" t="s">
        <v>249</v>
      </c>
      <c r="D3750" s="7" t="s">
        <v>464</v>
      </c>
      <c r="E3750" s="3" t="s">
        <v>465</v>
      </c>
      <c r="F3750" s="3">
        <v>102500</v>
      </c>
      <c r="G3750" s="57" t="str">
        <f t="shared" si="59"/>
        <v>-</v>
      </c>
    </row>
    <row r="3751" spans="1:10" x14ac:dyDescent="0.2">
      <c r="A3751" s="1" t="s">
        <v>4</v>
      </c>
      <c r="B3751" s="12" t="s">
        <v>249</v>
      </c>
      <c r="D3751" s="7" t="s">
        <v>464</v>
      </c>
      <c r="E3751" s="3">
        <v>107500</v>
      </c>
      <c r="F3751" s="3" t="s">
        <v>465</v>
      </c>
      <c r="G3751" s="57" t="str">
        <f t="shared" si="59"/>
        <v>-</v>
      </c>
    </row>
    <row r="3752" spans="1:10" x14ac:dyDescent="0.2">
      <c r="A3752" s="1" t="s">
        <v>4</v>
      </c>
      <c r="B3752" s="12" t="s">
        <v>249</v>
      </c>
      <c r="D3752" s="7" t="s">
        <v>464</v>
      </c>
      <c r="E3752" s="3" t="s">
        <v>465</v>
      </c>
      <c r="F3752" s="3">
        <v>107500</v>
      </c>
      <c r="G3752" s="57" t="str">
        <f t="shared" si="59"/>
        <v>-</v>
      </c>
    </row>
    <row r="3753" spans="1:10" x14ac:dyDescent="0.2">
      <c r="A3753" s="1" t="s">
        <v>4</v>
      </c>
      <c r="B3753" s="12" t="s">
        <v>249</v>
      </c>
      <c r="D3753" s="7" t="s">
        <v>464</v>
      </c>
      <c r="E3753" s="3" t="s">
        <v>465</v>
      </c>
      <c r="F3753" s="3">
        <v>107500</v>
      </c>
      <c r="G3753" s="57" t="str">
        <f t="shared" si="59"/>
        <v>-</v>
      </c>
    </row>
    <row r="3754" spans="1:10" x14ac:dyDescent="0.2">
      <c r="A3754" s="1" t="s">
        <v>4</v>
      </c>
      <c r="B3754" s="12" t="s">
        <v>249</v>
      </c>
      <c r="D3754" s="7" t="s">
        <v>464</v>
      </c>
      <c r="E3754" s="3" t="s">
        <v>465</v>
      </c>
      <c r="F3754" s="3">
        <v>107500</v>
      </c>
      <c r="G3754" s="57" t="str">
        <f t="shared" si="59"/>
        <v>-</v>
      </c>
    </row>
    <row r="3755" spans="1:10" x14ac:dyDescent="0.2">
      <c r="A3755" s="1" t="s">
        <v>4</v>
      </c>
      <c r="B3755" s="12" t="s">
        <v>249</v>
      </c>
      <c r="D3755" s="7" t="s">
        <v>464</v>
      </c>
      <c r="E3755" s="3" t="s">
        <v>465</v>
      </c>
      <c r="F3755" s="3">
        <v>107500</v>
      </c>
      <c r="G3755" s="57" t="str">
        <f t="shared" si="59"/>
        <v>-</v>
      </c>
    </row>
    <row r="3756" spans="1:10" x14ac:dyDescent="0.2">
      <c r="A3756" s="1" t="s">
        <v>4</v>
      </c>
      <c r="B3756" s="12" t="s">
        <v>249</v>
      </c>
      <c r="D3756" s="7" t="s">
        <v>464</v>
      </c>
      <c r="E3756" s="3">
        <v>112500</v>
      </c>
      <c r="F3756" s="3" t="s">
        <v>465</v>
      </c>
      <c r="G3756" s="57" t="str">
        <f t="shared" si="59"/>
        <v>-</v>
      </c>
    </row>
    <row r="3757" spans="1:10" x14ac:dyDescent="0.2">
      <c r="A3757" s="1" t="s">
        <v>4</v>
      </c>
      <c r="B3757" s="12" t="s">
        <v>249</v>
      </c>
      <c r="D3757" s="7" t="s">
        <v>464</v>
      </c>
      <c r="E3757" s="3">
        <v>122500</v>
      </c>
      <c r="F3757" s="3" t="s">
        <v>465</v>
      </c>
      <c r="G3757" s="57" t="str">
        <f t="shared" si="59"/>
        <v>-</v>
      </c>
    </row>
    <row r="3758" spans="1:10" x14ac:dyDescent="0.2">
      <c r="A3758" s="1" t="s">
        <v>4</v>
      </c>
      <c r="B3758" s="12" t="s">
        <v>249</v>
      </c>
      <c r="D3758" s="7" t="s">
        <v>464</v>
      </c>
      <c r="E3758" s="3" t="s">
        <v>465</v>
      </c>
      <c r="F3758" s="3">
        <v>127500</v>
      </c>
      <c r="G3758" s="57" t="str">
        <f t="shared" si="59"/>
        <v>-</v>
      </c>
    </row>
    <row r="3759" spans="1:10" s="13" customFormat="1" ht="25.5" x14ac:dyDescent="0.2">
      <c r="A3759" s="13" t="s">
        <v>4</v>
      </c>
      <c r="B3759" s="12" t="s">
        <v>250</v>
      </c>
      <c r="C3759" s="7"/>
      <c r="D3759" s="7" t="s">
        <v>450</v>
      </c>
      <c r="E3759" s="6">
        <v>129763</v>
      </c>
      <c r="F3759" s="6">
        <v>130919</v>
      </c>
      <c r="G3759" s="57">
        <f t="shared" si="59"/>
        <v>8.908548661791112E-3</v>
      </c>
      <c r="H3759" s="21"/>
      <c r="I3759" s="21"/>
      <c r="J3759" s="7" t="s">
        <v>3125</v>
      </c>
    </row>
    <row r="3760" spans="1:10" ht="25.5" x14ac:dyDescent="0.2">
      <c r="A3760" s="13" t="s">
        <v>4</v>
      </c>
      <c r="B3760" s="2" t="s">
        <v>250</v>
      </c>
      <c r="D3760" s="5" t="s">
        <v>504</v>
      </c>
      <c r="E3760" s="3">
        <v>101078</v>
      </c>
      <c r="F3760" s="3">
        <v>104164</v>
      </c>
      <c r="G3760" s="57">
        <f t="shared" si="59"/>
        <v>3.0530877144383545E-2</v>
      </c>
      <c r="J3760" s="5" t="s">
        <v>3119</v>
      </c>
    </row>
    <row r="3761" spans="1:10" ht="25.5" x14ac:dyDescent="0.2">
      <c r="A3761" s="13" t="s">
        <v>4</v>
      </c>
      <c r="B3761" s="2" t="s">
        <v>250</v>
      </c>
      <c r="D3761" s="5" t="s">
        <v>504</v>
      </c>
      <c r="E3761" s="3">
        <v>98741</v>
      </c>
      <c r="F3761" s="3">
        <v>104069</v>
      </c>
      <c r="G3761" s="57">
        <f t="shared" si="59"/>
        <v>5.3959348193759429E-2</v>
      </c>
      <c r="J3761" s="5" t="s">
        <v>3126</v>
      </c>
    </row>
    <row r="3762" spans="1:10" ht="25.5" x14ac:dyDescent="0.2">
      <c r="A3762" s="13" t="s">
        <v>4</v>
      </c>
      <c r="B3762" s="2" t="s">
        <v>250</v>
      </c>
      <c r="D3762" s="5" t="s">
        <v>520</v>
      </c>
      <c r="E3762" s="3">
        <v>74158</v>
      </c>
      <c r="F3762" s="3">
        <v>154903</v>
      </c>
      <c r="G3762" s="57">
        <f t="shared" si="59"/>
        <v>1.0888238625637152</v>
      </c>
      <c r="J3762" s="5" t="s">
        <v>3120</v>
      </c>
    </row>
    <row r="3763" spans="1:10" x14ac:dyDescent="0.2">
      <c r="A3763" s="13" t="s">
        <v>4</v>
      </c>
      <c r="B3763" s="2" t="s">
        <v>250</v>
      </c>
      <c r="D3763" s="5" t="s">
        <v>3127</v>
      </c>
      <c r="E3763" s="3">
        <v>170430</v>
      </c>
      <c r="F3763" s="3" t="s">
        <v>465</v>
      </c>
      <c r="G3763" s="57" t="str">
        <f t="shared" si="59"/>
        <v>-</v>
      </c>
      <c r="J3763" s="5" t="s">
        <v>3128</v>
      </c>
    </row>
    <row r="3764" spans="1:10" s="13" customFormat="1" x14ac:dyDescent="0.2">
      <c r="A3764" s="13" t="s">
        <v>4</v>
      </c>
      <c r="B3764" s="12" t="s">
        <v>250</v>
      </c>
      <c r="C3764" s="7"/>
      <c r="D3764" s="7" t="s">
        <v>464</v>
      </c>
      <c r="E3764" s="6"/>
      <c r="F3764" s="6"/>
      <c r="G3764" s="57" t="str">
        <f t="shared" si="59"/>
        <v>-</v>
      </c>
      <c r="H3764" s="21" t="s">
        <v>465</v>
      </c>
      <c r="I3764" s="21">
        <v>92500</v>
      </c>
      <c r="J3764" s="7"/>
    </row>
    <row r="3765" spans="1:10" s="13" customFormat="1" x14ac:dyDescent="0.2">
      <c r="A3765" s="13" t="s">
        <v>4</v>
      </c>
      <c r="B3765" s="12" t="s">
        <v>250</v>
      </c>
      <c r="C3765" s="7"/>
      <c r="D3765" s="7" t="s">
        <v>464</v>
      </c>
      <c r="E3765" s="6"/>
      <c r="F3765" s="6"/>
      <c r="G3765" s="57" t="str">
        <f t="shared" si="59"/>
        <v>-</v>
      </c>
      <c r="H3765" s="21" t="s">
        <v>465</v>
      </c>
      <c r="I3765" s="21">
        <v>92500</v>
      </c>
      <c r="J3765" s="7"/>
    </row>
    <row r="3766" spans="1:10" s="13" customFormat="1" x14ac:dyDescent="0.2">
      <c r="A3766" s="13" t="s">
        <v>4</v>
      </c>
      <c r="B3766" s="12" t="s">
        <v>250</v>
      </c>
      <c r="C3766" s="7"/>
      <c r="D3766" s="7" t="s">
        <v>464</v>
      </c>
      <c r="E3766" s="6">
        <v>107500</v>
      </c>
      <c r="F3766" s="6" t="s">
        <v>465</v>
      </c>
      <c r="G3766" s="57" t="str">
        <f t="shared" si="59"/>
        <v>-</v>
      </c>
      <c r="H3766" s="21"/>
      <c r="I3766" s="21"/>
      <c r="J3766" s="7"/>
    </row>
    <row r="3767" spans="1:10" s="13" customFormat="1" x14ac:dyDescent="0.2">
      <c r="A3767" s="13" t="s">
        <v>4</v>
      </c>
      <c r="B3767" s="12" t="s">
        <v>250</v>
      </c>
      <c r="C3767" s="7"/>
      <c r="D3767" s="7" t="s">
        <v>464</v>
      </c>
      <c r="E3767" s="6" t="s">
        <v>465</v>
      </c>
      <c r="F3767" s="6">
        <v>112500</v>
      </c>
      <c r="G3767" s="57" t="str">
        <f t="shared" si="59"/>
        <v>-</v>
      </c>
      <c r="H3767" s="21"/>
      <c r="I3767" s="21"/>
      <c r="J3767" s="7"/>
    </row>
    <row r="3768" spans="1:10" ht="25.5" x14ac:dyDescent="0.2">
      <c r="A3768" s="1" t="s">
        <v>44</v>
      </c>
      <c r="B3768" s="2" t="s">
        <v>251</v>
      </c>
      <c r="D3768" s="5" t="s">
        <v>450</v>
      </c>
      <c r="E3768" s="6">
        <v>119703</v>
      </c>
      <c r="F3768" s="3">
        <v>135439</v>
      </c>
      <c r="G3768" s="57">
        <f t="shared" si="59"/>
        <v>0.13145869359999332</v>
      </c>
      <c r="J3768" s="5" t="s">
        <v>3114</v>
      </c>
    </row>
    <row r="3769" spans="1:10" ht="25.5" x14ac:dyDescent="0.2">
      <c r="A3769" s="1" t="s">
        <v>44</v>
      </c>
      <c r="B3769" s="2" t="s">
        <v>251</v>
      </c>
      <c r="D3769" s="5" t="s">
        <v>1185</v>
      </c>
      <c r="E3769" s="6" t="s">
        <v>465</v>
      </c>
      <c r="F3769" s="3">
        <v>113265</v>
      </c>
      <c r="G3769" s="57" t="str">
        <f t="shared" si="59"/>
        <v>-</v>
      </c>
      <c r="J3769" s="5" t="s">
        <v>3115</v>
      </c>
    </row>
    <row r="3770" spans="1:10" ht="25.5" x14ac:dyDescent="0.2">
      <c r="A3770" s="1" t="s">
        <v>44</v>
      </c>
      <c r="B3770" s="2" t="s">
        <v>251</v>
      </c>
      <c r="D3770" s="5" t="s">
        <v>455</v>
      </c>
      <c r="E3770" s="6" t="s">
        <v>465</v>
      </c>
      <c r="F3770" s="3">
        <v>109553</v>
      </c>
      <c r="G3770" s="57" t="str">
        <f t="shared" si="59"/>
        <v>-</v>
      </c>
      <c r="J3770" s="5" t="s">
        <v>3116</v>
      </c>
    </row>
    <row r="3771" spans="1:10" ht="25.5" x14ac:dyDescent="0.2">
      <c r="A3771" s="1" t="s">
        <v>44</v>
      </c>
      <c r="B3771" s="2" t="s">
        <v>251</v>
      </c>
      <c r="D3771" s="5" t="s">
        <v>1186</v>
      </c>
      <c r="E3771" s="6" t="s">
        <v>465</v>
      </c>
      <c r="F3771" s="3">
        <v>106867</v>
      </c>
      <c r="G3771" s="57" t="str">
        <f t="shared" si="59"/>
        <v>-</v>
      </c>
      <c r="J3771" s="5" t="s">
        <v>3117</v>
      </c>
    </row>
    <row r="3772" spans="1:10" ht="25.5" x14ac:dyDescent="0.2">
      <c r="A3772" s="1" t="s">
        <v>44</v>
      </c>
      <c r="B3772" s="2" t="s">
        <v>251</v>
      </c>
      <c r="D3772" s="5" t="s">
        <v>852</v>
      </c>
      <c r="E3772" s="6" t="s">
        <v>465</v>
      </c>
      <c r="F3772" s="3">
        <v>100187</v>
      </c>
      <c r="G3772" s="57" t="str">
        <f t="shared" si="59"/>
        <v>-</v>
      </c>
      <c r="J3772" s="5" t="s">
        <v>3118</v>
      </c>
    </row>
    <row r="3773" spans="1:10" ht="25.5" x14ac:dyDescent="0.2">
      <c r="A3773" s="1" t="s">
        <v>44</v>
      </c>
      <c r="B3773" s="2" t="s">
        <v>251</v>
      </c>
      <c r="D3773" s="5" t="s">
        <v>3121</v>
      </c>
      <c r="E3773" s="6">
        <v>116704</v>
      </c>
      <c r="F3773" s="3" t="s">
        <v>465</v>
      </c>
      <c r="G3773" s="57" t="str">
        <f t="shared" si="59"/>
        <v>-</v>
      </c>
    </row>
    <row r="3774" spans="1:10" x14ac:dyDescent="0.2">
      <c r="A3774" s="1" t="s">
        <v>44</v>
      </c>
      <c r="B3774" s="2" t="s">
        <v>251</v>
      </c>
      <c r="D3774" s="5" t="s">
        <v>3122</v>
      </c>
      <c r="E3774" s="6">
        <v>106925</v>
      </c>
      <c r="F3774" s="3" t="s">
        <v>465</v>
      </c>
      <c r="G3774" s="57" t="str">
        <f t="shared" si="59"/>
        <v>-</v>
      </c>
    </row>
    <row r="3775" spans="1:10" x14ac:dyDescent="0.2">
      <c r="A3775" s="1" t="s">
        <v>1</v>
      </c>
      <c r="B3775" s="12" t="s">
        <v>252</v>
      </c>
      <c r="D3775" s="5" t="s">
        <v>464</v>
      </c>
      <c r="G3775" s="57" t="str">
        <f t="shared" si="59"/>
        <v>-</v>
      </c>
      <c r="H3775" s="19">
        <v>97500</v>
      </c>
      <c r="I3775" s="19" t="s">
        <v>465</v>
      </c>
    </row>
    <row r="3776" spans="1:10" x14ac:dyDescent="0.2">
      <c r="A3776" s="1" t="s">
        <v>1</v>
      </c>
      <c r="B3776" s="12" t="s">
        <v>252</v>
      </c>
      <c r="D3776" s="5" t="s">
        <v>464</v>
      </c>
      <c r="E3776" s="3">
        <v>102500</v>
      </c>
      <c r="F3776" s="3" t="s">
        <v>465</v>
      </c>
      <c r="G3776" s="57" t="str">
        <f t="shared" si="59"/>
        <v>-</v>
      </c>
    </row>
    <row r="3777" spans="1:10" x14ac:dyDescent="0.2">
      <c r="A3777" s="1" t="s">
        <v>1</v>
      </c>
      <c r="B3777" s="12" t="s">
        <v>252</v>
      </c>
      <c r="D3777" s="5" t="s">
        <v>464</v>
      </c>
      <c r="E3777" s="3" t="s">
        <v>465</v>
      </c>
      <c r="F3777" s="3">
        <v>102500</v>
      </c>
      <c r="G3777" s="57" t="str">
        <f t="shared" si="59"/>
        <v>-</v>
      </c>
    </row>
    <row r="3778" spans="1:10" x14ac:dyDescent="0.2">
      <c r="A3778" s="1" t="s">
        <v>1</v>
      </c>
      <c r="B3778" s="12" t="s">
        <v>252</v>
      </c>
      <c r="D3778" s="5" t="s">
        <v>464</v>
      </c>
      <c r="E3778" s="3" t="s">
        <v>465</v>
      </c>
      <c r="F3778" s="3">
        <v>102500</v>
      </c>
      <c r="G3778" s="57" t="str">
        <f t="shared" si="59"/>
        <v>-</v>
      </c>
    </row>
    <row r="3779" spans="1:10" ht="25.5" x14ac:dyDescent="0.2">
      <c r="A3779" s="1" t="s">
        <v>11</v>
      </c>
      <c r="B3779" s="12" t="s">
        <v>253</v>
      </c>
      <c r="C3779" s="29" t="s">
        <v>2697</v>
      </c>
      <c r="G3779" s="57" t="str">
        <f t="shared" si="59"/>
        <v>-</v>
      </c>
    </row>
    <row r="3780" spans="1:10" ht="25.5" x14ac:dyDescent="0.2">
      <c r="A3780" s="1" t="s">
        <v>44</v>
      </c>
      <c r="B3780" s="2" t="s">
        <v>254</v>
      </c>
      <c r="C3780" s="5" t="s">
        <v>1182</v>
      </c>
      <c r="D3780" s="5" t="s">
        <v>450</v>
      </c>
      <c r="E3780" s="3">
        <v>75601</v>
      </c>
      <c r="F3780" s="3">
        <v>154525</v>
      </c>
      <c r="G3780" s="57">
        <f t="shared" si="59"/>
        <v>1.0439544450470233</v>
      </c>
      <c r="J3780" s="5" t="s">
        <v>3109</v>
      </c>
    </row>
    <row r="3781" spans="1:10" ht="25.5" x14ac:dyDescent="0.2">
      <c r="A3781" s="1" t="s">
        <v>44</v>
      </c>
      <c r="B3781" s="2" t="s">
        <v>254</v>
      </c>
      <c r="D3781" s="5" t="s">
        <v>942</v>
      </c>
      <c r="E3781" s="3" t="s">
        <v>465</v>
      </c>
      <c r="F3781" s="3">
        <v>115418</v>
      </c>
      <c r="G3781" s="57" t="str">
        <f t="shared" si="59"/>
        <v>-</v>
      </c>
      <c r="J3781" s="5" t="s">
        <v>3110</v>
      </c>
    </row>
    <row r="3782" spans="1:10" s="13" customFormat="1" x14ac:dyDescent="0.2">
      <c r="A3782" s="1" t="s">
        <v>44</v>
      </c>
      <c r="B3782" s="12" t="s">
        <v>254</v>
      </c>
      <c r="C3782" s="7"/>
      <c r="D3782" s="7" t="s">
        <v>3107</v>
      </c>
      <c r="E3782" s="6">
        <v>124503</v>
      </c>
      <c r="F3782" s="6" t="s">
        <v>465</v>
      </c>
      <c r="G3782" s="57" t="str">
        <f t="shared" si="59"/>
        <v>-</v>
      </c>
      <c r="H3782" s="21"/>
      <c r="I3782" s="21"/>
      <c r="J3782" s="7" t="s">
        <v>3108</v>
      </c>
    </row>
    <row r="3783" spans="1:10" ht="25.5" x14ac:dyDescent="0.2">
      <c r="A3783" s="1" t="s">
        <v>44</v>
      </c>
      <c r="B3783" s="2" t="s">
        <v>254</v>
      </c>
      <c r="D3783" s="5" t="s">
        <v>1183</v>
      </c>
      <c r="E3783" s="3">
        <v>101322</v>
      </c>
      <c r="F3783" s="3">
        <v>116497</v>
      </c>
      <c r="G3783" s="57">
        <f t="shared" si="59"/>
        <v>0.149770040070271</v>
      </c>
      <c r="J3783" s="5" t="s">
        <v>3111</v>
      </c>
    </row>
    <row r="3784" spans="1:10" ht="25.5" x14ac:dyDescent="0.2">
      <c r="A3784" s="1" t="s">
        <v>44</v>
      </c>
      <c r="B3784" s="2" t="s">
        <v>254</v>
      </c>
      <c r="D3784" s="5" t="s">
        <v>1184</v>
      </c>
      <c r="E3784" s="3">
        <v>126520</v>
      </c>
      <c r="F3784" s="3">
        <v>126047</v>
      </c>
      <c r="G3784" s="57">
        <f t="shared" si="59"/>
        <v>-3.7385393613657918E-3</v>
      </c>
      <c r="J3784" s="5" t="s">
        <v>3112</v>
      </c>
    </row>
    <row r="3785" spans="1:10" ht="25.5" x14ac:dyDescent="0.2">
      <c r="A3785" s="1" t="s">
        <v>44</v>
      </c>
      <c r="B3785" s="2" t="s">
        <v>254</v>
      </c>
      <c r="D3785" s="5" t="s">
        <v>938</v>
      </c>
      <c r="E3785" s="3">
        <v>125515</v>
      </c>
      <c r="F3785" s="3">
        <v>125515</v>
      </c>
      <c r="G3785" s="57">
        <f t="shared" si="59"/>
        <v>0</v>
      </c>
      <c r="J3785" s="5" t="s">
        <v>3113</v>
      </c>
    </row>
    <row r="3786" spans="1:10" ht="25.5" x14ac:dyDescent="0.2">
      <c r="A3786" s="1" t="s">
        <v>4</v>
      </c>
      <c r="B3786" s="2" t="s">
        <v>255</v>
      </c>
      <c r="D3786" s="5" t="s">
        <v>450</v>
      </c>
      <c r="E3786" s="3">
        <v>165412</v>
      </c>
      <c r="F3786" s="3">
        <v>148734</v>
      </c>
      <c r="G3786" s="57">
        <f t="shared" si="59"/>
        <v>-0.10082702585060334</v>
      </c>
      <c r="J3786" s="5" t="s">
        <v>3104</v>
      </c>
    </row>
    <row r="3787" spans="1:10" ht="25.5" x14ac:dyDescent="0.2">
      <c r="A3787" s="1" t="s">
        <v>4</v>
      </c>
      <c r="B3787" s="2" t="s">
        <v>255</v>
      </c>
      <c r="D3787" s="5" t="s">
        <v>529</v>
      </c>
      <c r="E3787" s="3" t="s">
        <v>465</v>
      </c>
      <c r="F3787" s="3">
        <v>110197</v>
      </c>
      <c r="G3787" s="57" t="str">
        <f t="shared" si="59"/>
        <v>-</v>
      </c>
      <c r="J3787" s="5" t="s">
        <v>3105</v>
      </c>
    </row>
    <row r="3788" spans="1:10" ht="25.5" x14ac:dyDescent="0.2">
      <c r="A3788" s="1" t="s">
        <v>4</v>
      </c>
      <c r="B3788" s="2" t="s">
        <v>255</v>
      </c>
      <c r="D3788" s="5" t="s">
        <v>529</v>
      </c>
      <c r="E3788" s="3" t="s">
        <v>465</v>
      </c>
      <c r="F3788" s="3">
        <v>108513</v>
      </c>
      <c r="G3788" s="57" t="str">
        <f t="shared" si="59"/>
        <v>-</v>
      </c>
      <c r="J3788" s="5" t="s">
        <v>3106</v>
      </c>
    </row>
    <row r="3789" spans="1:10" x14ac:dyDescent="0.2">
      <c r="A3789" s="1" t="s">
        <v>4</v>
      </c>
      <c r="B3789" s="2" t="s">
        <v>255</v>
      </c>
      <c r="D3789" s="5" t="s">
        <v>529</v>
      </c>
      <c r="E3789" s="3">
        <v>109874</v>
      </c>
      <c r="F3789" s="3" t="s">
        <v>465</v>
      </c>
      <c r="G3789" s="57" t="str">
        <f t="shared" si="59"/>
        <v>-</v>
      </c>
    </row>
    <row r="3790" spans="1:10" x14ac:dyDescent="0.2">
      <c r="A3790" s="1" t="s">
        <v>4</v>
      </c>
      <c r="B3790" s="2" t="s">
        <v>255</v>
      </c>
      <c r="D3790" s="5" t="s">
        <v>529</v>
      </c>
      <c r="E3790" s="3">
        <v>108074</v>
      </c>
      <c r="F3790" s="3" t="s">
        <v>465</v>
      </c>
      <c r="G3790" s="57" t="str">
        <f t="shared" si="59"/>
        <v>-</v>
      </c>
    </row>
    <row r="3791" spans="1:10" ht="25.5" x14ac:dyDescent="0.2">
      <c r="A3791" s="1" t="s">
        <v>8</v>
      </c>
      <c r="B3791" s="2" t="s">
        <v>256</v>
      </c>
      <c r="D3791" s="5" t="s">
        <v>450</v>
      </c>
      <c r="E3791" s="3">
        <f>113490+2914.85+23832.96</f>
        <v>140237.81</v>
      </c>
      <c r="F3791" s="3">
        <f>113490+2329.45+24854.28</f>
        <v>140673.72999999998</v>
      </c>
      <c r="G3791" s="57">
        <f t="shared" si="59"/>
        <v>3.1084341662208194E-3</v>
      </c>
      <c r="J3791" s="5" t="s">
        <v>3101</v>
      </c>
    </row>
    <row r="3792" spans="1:10" ht="25.5" x14ac:dyDescent="0.2">
      <c r="A3792" s="1" t="s">
        <v>8</v>
      </c>
      <c r="B3792" s="2" t="s">
        <v>256</v>
      </c>
      <c r="D3792" s="5" t="s">
        <v>1181</v>
      </c>
      <c r="E3792" s="3">
        <f>91707.96+2217.62+19258.68</f>
        <v>113184.26000000001</v>
      </c>
      <c r="F3792" s="3">
        <f>91271.15+1494.5+19988.37</f>
        <v>112754.01999999999</v>
      </c>
      <c r="G3792" s="57">
        <f t="shared" si="59"/>
        <v>-3.801235260097294E-3</v>
      </c>
      <c r="J3792" s="5" t="s">
        <v>3102</v>
      </c>
    </row>
    <row r="3793" spans="1:10" ht="25.5" x14ac:dyDescent="0.2">
      <c r="A3793" s="1" t="s">
        <v>8</v>
      </c>
      <c r="B3793" s="2" t="s">
        <v>256</v>
      </c>
      <c r="D3793" s="5" t="s">
        <v>455</v>
      </c>
      <c r="E3793" s="3">
        <f>91707.96+2501.15+19258.68</f>
        <v>113467.79000000001</v>
      </c>
      <c r="F3793" s="3">
        <f>91271.15+1585.96+19988.37</f>
        <v>112845.48</v>
      </c>
      <c r="G3793" s="57">
        <f t="shared" si="59"/>
        <v>-5.4844639170288957E-3</v>
      </c>
      <c r="J3793" s="5" t="s">
        <v>3103</v>
      </c>
    </row>
    <row r="3794" spans="1:10" ht="25.5" x14ac:dyDescent="0.2">
      <c r="A3794" s="1" t="s">
        <v>111</v>
      </c>
      <c r="B3794" s="2" t="s">
        <v>257</v>
      </c>
      <c r="C3794" s="5" t="s">
        <v>1177</v>
      </c>
      <c r="D3794" s="5" t="s">
        <v>450</v>
      </c>
      <c r="E3794" s="3">
        <v>183082</v>
      </c>
      <c r="F3794" s="3">
        <v>199101</v>
      </c>
      <c r="G3794" s="57">
        <f t="shared" si="59"/>
        <v>8.7496313127451084E-2</v>
      </c>
      <c r="J3794" s="5" t="s">
        <v>3094</v>
      </c>
    </row>
    <row r="3795" spans="1:10" ht="25.5" x14ac:dyDescent="0.2">
      <c r="A3795" s="1" t="s">
        <v>111</v>
      </c>
      <c r="B3795" s="2" t="s">
        <v>257</v>
      </c>
      <c r="D3795" s="5" t="s">
        <v>1178</v>
      </c>
      <c r="E3795" s="3">
        <v>150589</v>
      </c>
      <c r="F3795" s="3">
        <v>149847</v>
      </c>
      <c r="G3795" s="57">
        <f t="shared" si="59"/>
        <v>-4.9273187284595817E-3</v>
      </c>
      <c r="J3795" s="5" t="s">
        <v>3095</v>
      </c>
    </row>
    <row r="3796" spans="1:10" ht="25.5" x14ac:dyDescent="0.2">
      <c r="A3796" s="1" t="s">
        <v>111</v>
      </c>
      <c r="B3796" s="2" t="s">
        <v>257</v>
      </c>
      <c r="D3796" s="5" t="s">
        <v>743</v>
      </c>
      <c r="E3796" s="3">
        <v>87247</v>
      </c>
      <c r="F3796" s="3">
        <v>130293</v>
      </c>
      <c r="G3796" s="57">
        <f t="shared" si="59"/>
        <v>0.49338086123305097</v>
      </c>
      <c r="J3796" s="5" t="s">
        <v>3096</v>
      </c>
    </row>
    <row r="3797" spans="1:10" x14ac:dyDescent="0.2">
      <c r="A3797" s="1" t="s">
        <v>111</v>
      </c>
      <c r="B3797" s="2" t="s">
        <v>257</v>
      </c>
      <c r="D3797" s="5" t="s">
        <v>1179</v>
      </c>
      <c r="E3797" s="3">
        <v>129669</v>
      </c>
      <c r="F3797" s="3">
        <v>144938</v>
      </c>
      <c r="G3797" s="57">
        <f t="shared" si="59"/>
        <v>0.11775366510114214</v>
      </c>
      <c r="J3797" s="5" t="s">
        <v>3097</v>
      </c>
    </row>
    <row r="3798" spans="1:10" x14ac:dyDescent="0.2">
      <c r="A3798" s="1" t="s">
        <v>111</v>
      </c>
      <c r="B3798" s="2" t="s">
        <v>257</v>
      </c>
      <c r="D3798" s="5" t="s">
        <v>1180</v>
      </c>
      <c r="E3798" s="3">
        <v>122480</v>
      </c>
      <c r="F3798" s="3">
        <v>123105</v>
      </c>
      <c r="G3798" s="57">
        <f t="shared" si="59"/>
        <v>5.1028739386022211E-3</v>
      </c>
      <c r="J3798" s="5" t="s">
        <v>3098</v>
      </c>
    </row>
    <row r="3799" spans="1:10" s="33" customFormat="1" ht="76.5" x14ac:dyDescent="0.2">
      <c r="A3799" s="1" t="s">
        <v>111</v>
      </c>
      <c r="B3799" s="2" t="s">
        <v>257</v>
      </c>
      <c r="C3799" s="5"/>
      <c r="D3799" s="5" t="s">
        <v>4369</v>
      </c>
      <c r="E3799" s="3">
        <v>84414</v>
      </c>
      <c r="F3799" s="3">
        <v>400917</v>
      </c>
      <c r="G3799" s="57">
        <f t="shared" si="59"/>
        <v>3.7494136043784208</v>
      </c>
      <c r="H3799" s="19"/>
      <c r="I3799" s="19"/>
      <c r="J3799" s="5" t="s">
        <v>4668</v>
      </c>
    </row>
    <row r="3800" spans="1:10" s="34" customFormat="1" x14ac:dyDescent="0.2">
      <c r="A3800" s="1" t="s">
        <v>111</v>
      </c>
      <c r="B3800" s="12" t="s">
        <v>257</v>
      </c>
      <c r="C3800" s="7"/>
      <c r="D3800" s="7" t="s">
        <v>3099</v>
      </c>
      <c r="E3800" s="6">
        <v>110694</v>
      </c>
      <c r="F3800" s="6">
        <v>3442</v>
      </c>
      <c r="G3800" s="57">
        <f t="shared" si="59"/>
        <v>-0.96890527038502539</v>
      </c>
      <c r="H3800" s="21"/>
      <c r="I3800" s="21"/>
      <c r="J3800" s="7" t="s">
        <v>4370</v>
      </c>
    </row>
    <row r="3801" spans="1:10" s="33" customFormat="1" x14ac:dyDescent="0.2">
      <c r="A3801" s="1" t="s">
        <v>111</v>
      </c>
      <c r="B3801" s="12" t="s">
        <v>257</v>
      </c>
      <c r="C3801" s="5"/>
      <c r="D3801" s="5" t="s">
        <v>464</v>
      </c>
      <c r="E3801" s="3"/>
      <c r="F3801" s="3"/>
      <c r="G3801" s="57" t="str">
        <f t="shared" si="59"/>
        <v>-</v>
      </c>
      <c r="H3801" s="19">
        <v>92500</v>
      </c>
      <c r="I3801" s="19" t="s">
        <v>465</v>
      </c>
      <c r="J3801" s="5"/>
    </row>
    <row r="3802" spans="1:10" s="33" customFormat="1" x14ac:dyDescent="0.2">
      <c r="A3802" s="1" t="s">
        <v>111</v>
      </c>
      <c r="B3802" s="12" t="s">
        <v>257</v>
      </c>
      <c r="C3802" s="5"/>
      <c r="D3802" s="5" t="s">
        <v>464</v>
      </c>
      <c r="E3802" s="3"/>
      <c r="F3802" s="3"/>
      <c r="G3802" s="57" t="str">
        <f t="shared" si="59"/>
        <v>-</v>
      </c>
      <c r="H3802" s="19">
        <v>92500</v>
      </c>
      <c r="I3802" s="19" t="s">
        <v>465</v>
      </c>
      <c r="J3802" s="5"/>
    </row>
    <row r="3803" spans="1:10" s="33" customFormat="1" x14ac:dyDescent="0.2">
      <c r="A3803" s="1" t="s">
        <v>111</v>
      </c>
      <c r="B3803" s="12" t="s">
        <v>257</v>
      </c>
      <c r="C3803" s="5"/>
      <c r="D3803" s="5" t="s">
        <v>464</v>
      </c>
      <c r="E3803" s="3"/>
      <c r="F3803" s="3"/>
      <c r="G3803" s="57" t="str">
        <f t="shared" si="59"/>
        <v>-</v>
      </c>
      <c r="H3803" s="19">
        <v>92500</v>
      </c>
      <c r="I3803" s="19" t="s">
        <v>465</v>
      </c>
      <c r="J3803" s="5"/>
    </row>
    <row r="3804" spans="1:10" s="33" customFormat="1" x14ac:dyDescent="0.2">
      <c r="A3804" s="1" t="s">
        <v>111</v>
      </c>
      <c r="B3804" s="12" t="s">
        <v>257</v>
      </c>
      <c r="C3804" s="5"/>
      <c r="D3804" s="5" t="s">
        <v>464</v>
      </c>
      <c r="E3804" s="3"/>
      <c r="F3804" s="3"/>
      <c r="G3804" s="57" t="str">
        <f t="shared" si="59"/>
        <v>-</v>
      </c>
      <c r="H3804" s="19">
        <v>92500</v>
      </c>
      <c r="I3804" s="19" t="s">
        <v>465</v>
      </c>
      <c r="J3804" s="5"/>
    </row>
    <row r="3805" spans="1:10" s="33" customFormat="1" x14ac:dyDescent="0.2">
      <c r="A3805" s="1" t="s">
        <v>111</v>
      </c>
      <c r="B3805" s="12" t="s">
        <v>257</v>
      </c>
      <c r="C3805" s="5"/>
      <c r="D3805" s="5" t="s">
        <v>464</v>
      </c>
      <c r="E3805" s="3"/>
      <c r="F3805" s="3"/>
      <c r="G3805" s="57" t="str">
        <f t="shared" si="59"/>
        <v>-</v>
      </c>
      <c r="H3805" s="19" t="s">
        <v>465</v>
      </c>
      <c r="I3805" s="19">
        <v>92500</v>
      </c>
      <c r="J3805" s="5"/>
    </row>
    <row r="3806" spans="1:10" s="33" customFormat="1" x14ac:dyDescent="0.2">
      <c r="A3806" s="1" t="s">
        <v>111</v>
      </c>
      <c r="B3806" s="12" t="s">
        <v>257</v>
      </c>
      <c r="C3806" s="5"/>
      <c r="D3806" s="5" t="s">
        <v>464</v>
      </c>
      <c r="E3806" s="3"/>
      <c r="F3806" s="3"/>
      <c r="G3806" s="57" t="str">
        <f t="shared" ref="G3806:G3869" si="60">IF(ISERROR((F3806-E3806)/E3806),"-",(F3806-E3806)/E3806)</f>
        <v>-</v>
      </c>
      <c r="H3806" s="19" t="s">
        <v>465</v>
      </c>
      <c r="I3806" s="19">
        <v>92500</v>
      </c>
      <c r="J3806" s="5"/>
    </row>
    <row r="3807" spans="1:10" s="33" customFormat="1" x14ac:dyDescent="0.2">
      <c r="A3807" s="1" t="s">
        <v>111</v>
      </c>
      <c r="B3807" s="12" t="s">
        <v>257</v>
      </c>
      <c r="C3807" s="5"/>
      <c r="D3807" s="5" t="s">
        <v>464</v>
      </c>
      <c r="E3807" s="3"/>
      <c r="F3807" s="3"/>
      <c r="G3807" s="57" t="str">
        <f t="shared" si="60"/>
        <v>-</v>
      </c>
      <c r="H3807" s="19" t="s">
        <v>465</v>
      </c>
      <c r="I3807" s="19">
        <v>92500</v>
      </c>
      <c r="J3807" s="5"/>
    </row>
    <row r="3808" spans="1:10" s="33" customFormat="1" x14ac:dyDescent="0.2">
      <c r="A3808" s="1" t="s">
        <v>111</v>
      </c>
      <c r="B3808" s="12" t="s">
        <v>257</v>
      </c>
      <c r="C3808" s="5"/>
      <c r="D3808" s="5" t="s">
        <v>464</v>
      </c>
      <c r="E3808" s="3"/>
      <c r="F3808" s="3"/>
      <c r="G3808" s="57" t="str">
        <f t="shared" si="60"/>
        <v>-</v>
      </c>
      <c r="H3808" s="19" t="s">
        <v>465</v>
      </c>
      <c r="I3808" s="19">
        <v>92500</v>
      </c>
      <c r="J3808" s="5"/>
    </row>
    <row r="3809" spans="1:10" s="33" customFormat="1" x14ac:dyDescent="0.2">
      <c r="A3809" s="1" t="s">
        <v>111</v>
      </c>
      <c r="B3809" s="12" t="s">
        <v>257</v>
      </c>
      <c r="C3809" s="5"/>
      <c r="D3809" s="5" t="s">
        <v>464</v>
      </c>
      <c r="E3809" s="3"/>
      <c r="F3809" s="3"/>
      <c r="G3809" s="57" t="str">
        <f t="shared" si="60"/>
        <v>-</v>
      </c>
      <c r="H3809" s="19">
        <v>97500</v>
      </c>
      <c r="I3809" s="19" t="s">
        <v>465</v>
      </c>
      <c r="J3809" s="5"/>
    </row>
    <row r="3810" spans="1:10" s="33" customFormat="1" x14ac:dyDescent="0.2">
      <c r="A3810" s="1" t="s">
        <v>111</v>
      </c>
      <c r="B3810" s="12" t="s">
        <v>257</v>
      </c>
      <c r="C3810" s="5"/>
      <c r="D3810" s="5" t="s">
        <v>464</v>
      </c>
      <c r="E3810" s="3"/>
      <c r="F3810" s="3"/>
      <c r="G3810" s="57" t="str">
        <f t="shared" si="60"/>
        <v>-</v>
      </c>
      <c r="H3810" s="19">
        <v>97500</v>
      </c>
      <c r="I3810" s="19" t="s">
        <v>465</v>
      </c>
      <c r="J3810" s="5"/>
    </row>
    <row r="3811" spans="1:10" s="33" customFormat="1" x14ac:dyDescent="0.2">
      <c r="A3811" s="1" t="s">
        <v>111</v>
      </c>
      <c r="B3811" s="12" t="s">
        <v>257</v>
      </c>
      <c r="C3811" s="5"/>
      <c r="D3811" s="5" t="s">
        <v>464</v>
      </c>
      <c r="E3811" s="3"/>
      <c r="F3811" s="3"/>
      <c r="G3811" s="57" t="str">
        <f t="shared" si="60"/>
        <v>-</v>
      </c>
      <c r="H3811" s="19">
        <v>97500</v>
      </c>
      <c r="I3811" s="19" t="s">
        <v>465</v>
      </c>
      <c r="J3811" s="5"/>
    </row>
    <row r="3812" spans="1:10" s="33" customFormat="1" x14ac:dyDescent="0.2">
      <c r="A3812" s="1" t="s">
        <v>111</v>
      </c>
      <c r="B3812" s="12" t="s">
        <v>257</v>
      </c>
      <c r="C3812" s="5"/>
      <c r="D3812" s="5" t="s">
        <v>464</v>
      </c>
      <c r="E3812" s="3"/>
      <c r="F3812" s="3"/>
      <c r="G3812" s="57" t="str">
        <f t="shared" si="60"/>
        <v>-</v>
      </c>
      <c r="H3812" s="19">
        <v>97500</v>
      </c>
      <c r="I3812" s="19" t="s">
        <v>465</v>
      </c>
      <c r="J3812" s="5"/>
    </row>
    <row r="3813" spans="1:10" s="33" customFormat="1" x14ac:dyDescent="0.2">
      <c r="A3813" s="1" t="s">
        <v>111</v>
      </c>
      <c r="B3813" s="12" t="s">
        <v>257</v>
      </c>
      <c r="C3813" s="5"/>
      <c r="D3813" s="5" t="s">
        <v>464</v>
      </c>
      <c r="E3813" s="3"/>
      <c r="F3813" s="3"/>
      <c r="G3813" s="57" t="str">
        <f t="shared" si="60"/>
        <v>-</v>
      </c>
      <c r="H3813" s="19">
        <v>97500</v>
      </c>
      <c r="I3813" s="19" t="s">
        <v>465</v>
      </c>
      <c r="J3813" s="5"/>
    </row>
    <row r="3814" spans="1:10" s="33" customFormat="1" x14ac:dyDescent="0.2">
      <c r="A3814" s="1" t="s">
        <v>111</v>
      </c>
      <c r="B3814" s="12" t="s">
        <v>257</v>
      </c>
      <c r="C3814" s="5"/>
      <c r="D3814" s="5" t="s">
        <v>464</v>
      </c>
      <c r="E3814" s="3"/>
      <c r="F3814" s="3"/>
      <c r="G3814" s="57" t="str">
        <f t="shared" si="60"/>
        <v>-</v>
      </c>
      <c r="H3814" s="19">
        <v>97500</v>
      </c>
      <c r="I3814" s="19" t="s">
        <v>465</v>
      </c>
      <c r="J3814" s="5"/>
    </row>
    <row r="3815" spans="1:10" s="33" customFormat="1" x14ac:dyDescent="0.2">
      <c r="A3815" s="1" t="s">
        <v>111</v>
      </c>
      <c r="B3815" s="12" t="s">
        <v>257</v>
      </c>
      <c r="C3815" s="5"/>
      <c r="D3815" s="5" t="s">
        <v>464</v>
      </c>
      <c r="E3815" s="3"/>
      <c r="F3815" s="3"/>
      <c r="G3815" s="57" t="str">
        <f t="shared" si="60"/>
        <v>-</v>
      </c>
      <c r="H3815" s="19">
        <v>97500</v>
      </c>
      <c r="I3815" s="19" t="s">
        <v>465</v>
      </c>
      <c r="J3815" s="5"/>
    </row>
    <row r="3816" spans="1:10" s="33" customFormat="1" x14ac:dyDescent="0.2">
      <c r="A3816" s="1" t="s">
        <v>111</v>
      </c>
      <c r="B3816" s="12" t="s">
        <v>257</v>
      </c>
      <c r="C3816" s="5"/>
      <c r="D3816" s="5" t="s">
        <v>464</v>
      </c>
      <c r="E3816" s="3"/>
      <c r="F3816" s="3"/>
      <c r="G3816" s="57" t="str">
        <f t="shared" si="60"/>
        <v>-</v>
      </c>
      <c r="H3816" s="19">
        <v>97500</v>
      </c>
      <c r="I3816" s="19" t="s">
        <v>465</v>
      </c>
      <c r="J3816" s="5"/>
    </row>
    <row r="3817" spans="1:10" s="33" customFormat="1" x14ac:dyDescent="0.2">
      <c r="A3817" s="1" t="s">
        <v>111</v>
      </c>
      <c r="B3817" s="12" t="s">
        <v>257</v>
      </c>
      <c r="C3817" s="5"/>
      <c r="D3817" s="5" t="s">
        <v>464</v>
      </c>
      <c r="E3817" s="3"/>
      <c r="F3817" s="3"/>
      <c r="G3817" s="57" t="str">
        <f t="shared" si="60"/>
        <v>-</v>
      </c>
      <c r="H3817" s="19">
        <v>97500</v>
      </c>
      <c r="I3817" s="19" t="s">
        <v>465</v>
      </c>
      <c r="J3817" s="5"/>
    </row>
    <row r="3818" spans="1:10" s="33" customFormat="1" x14ac:dyDescent="0.2">
      <c r="A3818" s="1" t="s">
        <v>111</v>
      </c>
      <c r="B3818" s="12" t="s">
        <v>257</v>
      </c>
      <c r="C3818" s="5"/>
      <c r="D3818" s="5" t="s">
        <v>464</v>
      </c>
      <c r="E3818" s="3"/>
      <c r="F3818" s="3"/>
      <c r="G3818" s="57" t="str">
        <f t="shared" si="60"/>
        <v>-</v>
      </c>
      <c r="H3818" s="19" t="s">
        <v>465</v>
      </c>
      <c r="I3818" s="19">
        <v>97500</v>
      </c>
      <c r="J3818" s="5"/>
    </row>
    <row r="3819" spans="1:10" s="33" customFormat="1" x14ac:dyDescent="0.2">
      <c r="A3819" s="1" t="s">
        <v>111</v>
      </c>
      <c r="B3819" s="12" t="s">
        <v>257</v>
      </c>
      <c r="C3819" s="5"/>
      <c r="D3819" s="5" t="s">
        <v>464</v>
      </c>
      <c r="E3819" s="3">
        <v>102500</v>
      </c>
      <c r="F3819" s="3" t="s">
        <v>465</v>
      </c>
      <c r="G3819" s="57" t="str">
        <f t="shared" si="60"/>
        <v>-</v>
      </c>
      <c r="H3819" s="19"/>
      <c r="I3819" s="19"/>
      <c r="J3819" s="5"/>
    </row>
    <row r="3820" spans="1:10" s="33" customFormat="1" x14ac:dyDescent="0.2">
      <c r="A3820" s="1" t="s">
        <v>111</v>
      </c>
      <c r="B3820" s="12" t="s">
        <v>257</v>
      </c>
      <c r="C3820" s="5"/>
      <c r="D3820" s="5" t="s">
        <v>464</v>
      </c>
      <c r="E3820" s="3">
        <v>102500</v>
      </c>
      <c r="F3820" s="3" t="s">
        <v>465</v>
      </c>
      <c r="G3820" s="57" t="str">
        <f t="shared" si="60"/>
        <v>-</v>
      </c>
      <c r="H3820" s="19"/>
      <c r="I3820" s="19"/>
      <c r="J3820" s="5"/>
    </row>
    <row r="3821" spans="1:10" s="33" customFormat="1" x14ac:dyDescent="0.2">
      <c r="A3821" s="1" t="s">
        <v>111</v>
      </c>
      <c r="B3821" s="12" t="s">
        <v>257</v>
      </c>
      <c r="C3821" s="5"/>
      <c r="D3821" s="5" t="s">
        <v>464</v>
      </c>
      <c r="E3821" s="3">
        <v>102500</v>
      </c>
      <c r="F3821" s="3" t="s">
        <v>465</v>
      </c>
      <c r="G3821" s="57" t="str">
        <f t="shared" si="60"/>
        <v>-</v>
      </c>
      <c r="H3821" s="19"/>
      <c r="I3821" s="19"/>
      <c r="J3821" s="5"/>
    </row>
    <row r="3822" spans="1:10" s="33" customFormat="1" x14ac:dyDescent="0.2">
      <c r="A3822" s="1" t="s">
        <v>111</v>
      </c>
      <c r="B3822" s="12" t="s">
        <v>257</v>
      </c>
      <c r="C3822" s="5"/>
      <c r="D3822" s="5" t="s">
        <v>464</v>
      </c>
      <c r="E3822" s="3">
        <v>102500</v>
      </c>
      <c r="F3822" s="3" t="s">
        <v>465</v>
      </c>
      <c r="G3822" s="57" t="str">
        <f t="shared" si="60"/>
        <v>-</v>
      </c>
      <c r="H3822" s="19"/>
      <c r="I3822" s="19"/>
      <c r="J3822" s="5"/>
    </row>
    <row r="3823" spans="1:10" s="33" customFormat="1" x14ac:dyDescent="0.2">
      <c r="A3823" s="1" t="s">
        <v>111</v>
      </c>
      <c r="B3823" s="12" t="s">
        <v>257</v>
      </c>
      <c r="C3823" s="5"/>
      <c r="D3823" s="5" t="s">
        <v>464</v>
      </c>
      <c r="E3823" s="3">
        <v>102500</v>
      </c>
      <c r="F3823" s="3" t="s">
        <v>465</v>
      </c>
      <c r="G3823" s="57" t="str">
        <f t="shared" si="60"/>
        <v>-</v>
      </c>
      <c r="H3823" s="19"/>
      <c r="I3823" s="19"/>
      <c r="J3823" s="5"/>
    </row>
    <row r="3824" spans="1:10" s="33" customFormat="1" x14ac:dyDescent="0.2">
      <c r="A3824" s="1" t="s">
        <v>111</v>
      </c>
      <c r="B3824" s="12" t="s">
        <v>257</v>
      </c>
      <c r="C3824" s="5"/>
      <c r="D3824" s="5" t="s">
        <v>464</v>
      </c>
      <c r="E3824" s="3">
        <v>102500</v>
      </c>
      <c r="F3824" s="3" t="s">
        <v>465</v>
      </c>
      <c r="G3824" s="57" t="str">
        <f t="shared" si="60"/>
        <v>-</v>
      </c>
      <c r="H3824" s="19"/>
      <c r="I3824" s="19"/>
      <c r="J3824" s="5"/>
    </row>
    <row r="3825" spans="1:10" s="33" customFormat="1" x14ac:dyDescent="0.2">
      <c r="A3825" s="1" t="s">
        <v>111</v>
      </c>
      <c r="B3825" s="12" t="s">
        <v>257</v>
      </c>
      <c r="C3825" s="5"/>
      <c r="D3825" s="5" t="s">
        <v>464</v>
      </c>
      <c r="E3825" s="3">
        <v>107500</v>
      </c>
      <c r="F3825" s="3" t="s">
        <v>465</v>
      </c>
      <c r="G3825" s="57" t="str">
        <f t="shared" si="60"/>
        <v>-</v>
      </c>
      <c r="H3825" s="19"/>
      <c r="I3825" s="19"/>
      <c r="J3825" s="5"/>
    </row>
    <row r="3826" spans="1:10" s="33" customFormat="1" x14ac:dyDescent="0.2">
      <c r="A3826" s="1" t="s">
        <v>111</v>
      </c>
      <c r="B3826" s="12" t="s">
        <v>257</v>
      </c>
      <c r="C3826" s="5"/>
      <c r="D3826" s="5" t="s">
        <v>464</v>
      </c>
      <c r="E3826" s="3">
        <v>107500</v>
      </c>
      <c r="F3826" s="3" t="s">
        <v>465</v>
      </c>
      <c r="G3826" s="57" t="str">
        <f t="shared" si="60"/>
        <v>-</v>
      </c>
      <c r="H3826" s="19"/>
      <c r="I3826" s="19"/>
      <c r="J3826" s="5"/>
    </row>
    <row r="3827" spans="1:10" s="33" customFormat="1" x14ac:dyDescent="0.2">
      <c r="A3827" s="1" t="s">
        <v>111</v>
      </c>
      <c r="B3827" s="12" t="s">
        <v>257</v>
      </c>
      <c r="C3827" s="5"/>
      <c r="D3827" s="5" t="s">
        <v>464</v>
      </c>
      <c r="E3827" s="3">
        <v>107500</v>
      </c>
      <c r="F3827" s="3" t="s">
        <v>465</v>
      </c>
      <c r="G3827" s="57" t="str">
        <f t="shared" si="60"/>
        <v>-</v>
      </c>
      <c r="H3827" s="19"/>
      <c r="I3827" s="19"/>
      <c r="J3827" s="5"/>
    </row>
    <row r="3828" spans="1:10" s="33" customFormat="1" x14ac:dyDescent="0.2">
      <c r="A3828" s="1" t="s">
        <v>111</v>
      </c>
      <c r="B3828" s="12" t="s">
        <v>257</v>
      </c>
      <c r="C3828" s="5"/>
      <c r="D3828" s="5" t="s">
        <v>464</v>
      </c>
      <c r="E3828" s="3">
        <v>107500</v>
      </c>
      <c r="F3828" s="3" t="s">
        <v>465</v>
      </c>
      <c r="G3828" s="57" t="str">
        <f t="shared" si="60"/>
        <v>-</v>
      </c>
      <c r="H3828" s="19"/>
      <c r="I3828" s="19"/>
      <c r="J3828" s="5"/>
    </row>
    <row r="3829" spans="1:10" s="33" customFormat="1" x14ac:dyDescent="0.2">
      <c r="A3829" s="1" t="s">
        <v>111</v>
      </c>
      <c r="B3829" s="12" t="s">
        <v>257</v>
      </c>
      <c r="C3829" s="5"/>
      <c r="D3829" s="5" t="s">
        <v>464</v>
      </c>
      <c r="E3829" s="3">
        <v>107500</v>
      </c>
      <c r="F3829" s="3" t="s">
        <v>465</v>
      </c>
      <c r="G3829" s="57" t="str">
        <f t="shared" si="60"/>
        <v>-</v>
      </c>
      <c r="H3829" s="19"/>
      <c r="I3829" s="19"/>
      <c r="J3829" s="5"/>
    </row>
    <row r="3830" spans="1:10" s="33" customFormat="1" x14ac:dyDescent="0.2">
      <c r="A3830" s="1" t="s">
        <v>111</v>
      </c>
      <c r="B3830" s="12" t="s">
        <v>257</v>
      </c>
      <c r="C3830" s="5"/>
      <c r="D3830" s="5" t="s">
        <v>464</v>
      </c>
      <c r="E3830" s="3">
        <v>112500</v>
      </c>
      <c r="F3830" s="3" t="s">
        <v>465</v>
      </c>
      <c r="G3830" s="57" t="str">
        <f t="shared" si="60"/>
        <v>-</v>
      </c>
      <c r="H3830" s="19"/>
      <c r="I3830" s="19"/>
      <c r="J3830" s="5"/>
    </row>
    <row r="3831" spans="1:10" s="33" customFormat="1" x14ac:dyDescent="0.2">
      <c r="A3831" s="1" t="s">
        <v>111</v>
      </c>
      <c r="B3831" s="12" t="s">
        <v>257</v>
      </c>
      <c r="C3831" s="5"/>
      <c r="D3831" s="5" t="s">
        <v>464</v>
      </c>
      <c r="E3831" s="3">
        <v>112500</v>
      </c>
      <c r="F3831" s="3" t="s">
        <v>465</v>
      </c>
      <c r="G3831" s="57" t="str">
        <f t="shared" si="60"/>
        <v>-</v>
      </c>
      <c r="H3831" s="19"/>
      <c r="I3831" s="19"/>
      <c r="J3831" s="5"/>
    </row>
    <row r="3832" spans="1:10" s="33" customFormat="1" x14ac:dyDescent="0.2">
      <c r="A3832" s="1" t="s">
        <v>111</v>
      </c>
      <c r="B3832" s="12" t="s">
        <v>257</v>
      </c>
      <c r="C3832" s="5"/>
      <c r="D3832" s="5" t="s">
        <v>464</v>
      </c>
      <c r="E3832" s="3">
        <v>112500</v>
      </c>
      <c r="F3832" s="3" t="s">
        <v>465</v>
      </c>
      <c r="G3832" s="57" t="str">
        <f t="shared" si="60"/>
        <v>-</v>
      </c>
      <c r="H3832" s="19"/>
      <c r="I3832" s="19"/>
      <c r="J3832" s="5"/>
    </row>
    <row r="3833" spans="1:10" s="33" customFormat="1" x14ac:dyDescent="0.2">
      <c r="A3833" s="1" t="s">
        <v>111</v>
      </c>
      <c r="B3833" s="12" t="s">
        <v>257</v>
      </c>
      <c r="C3833" s="5"/>
      <c r="D3833" s="5" t="s">
        <v>464</v>
      </c>
      <c r="E3833" s="3">
        <v>112500</v>
      </c>
      <c r="F3833" s="3" t="s">
        <v>465</v>
      </c>
      <c r="G3833" s="57" t="str">
        <f t="shared" si="60"/>
        <v>-</v>
      </c>
      <c r="H3833" s="19"/>
      <c r="I3833" s="19"/>
      <c r="J3833" s="5"/>
    </row>
    <row r="3834" spans="1:10" s="33" customFormat="1" x14ac:dyDescent="0.2">
      <c r="A3834" s="1" t="s">
        <v>111</v>
      </c>
      <c r="B3834" s="12" t="s">
        <v>257</v>
      </c>
      <c r="C3834" s="5"/>
      <c r="D3834" s="5" t="s">
        <v>464</v>
      </c>
      <c r="E3834" s="3">
        <v>112500</v>
      </c>
      <c r="F3834" s="3" t="s">
        <v>465</v>
      </c>
      <c r="G3834" s="57" t="str">
        <f t="shared" si="60"/>
        <v>-</v>
      </c>
      <c r="H3834" s="19"/>
      <c r="I3834" s="19"/>
      <c r="J3834" s="5"/>
    </row>
    <row r="3835" spans="1:10" s="33" customFormat="1" x14ac:dyDescent="0.2">
      <c r="A3835" s="1" t="s">
        <v>111</v>
      </c>
      <c r="B3835" s="12" t="s">
        <v>257</v>
      </c>
      <c r="C3835" s="5"/>
      <c r="D3835" s="5" t="s">
        <v>464</v>
      </c>
      <c r="E3835" s="3" t="s">
        <v>465</v>
      </c>
      <c r="F3835" s="3">
        <v>112500</v>
      </c>
      <c r="G3835" s="57" t="str">
        <f t="shared" si="60"/>
        <v>-</v>
      </c>
      <c r="H3835" s="19"/>
      <c r="I3835" s="19"/>
      <c r="J3835" s="5"/>
    </row>
    <row r="3836" spans="1:10" s="33" customFormat="1" x14ac:dyDescent="0.2">
      <c r="A3836" s="1" t="s">
        <v>111</v>
      </c>
      <c r="B3836" s="12" t="s">
        <v>257</v>
      </c>
      <c r="C3836" s="5"/>
      <c r="D3836" s="5" t="s">
        <v>464</v>
      </c>
      <c r="E3836" s="3">
        <v>117500</v>
      </c>
      <c r="F3836" s="3" t="s">
        <v>465</v>
      </c>
      <c r="G3836" s="57" t="str">
        <f t="shared" si="60"/>
        <v>-</v>
      </c>
      <c r="H3836" s="19"/>
      <c r="I3836" s="19"/>
      <c r="J3836" s="5"/>
    </row>
    <row r="3837" spans="1:10" s="33" customFormat="1" x14ac:dyDescent="0.2">
      <c r="A3837" s="1" t="s">
        <v>111</v>
      </c>
      <c r="B3837" s="12" t="s">
        <v>257</v>
      </c>
      <c r="C3837" s="5"/>
      <c r="D3837" s="5" t="s">
        <v>464</v>
      </c>
      <c r="E3837" s="3" t="s">
        <v>465</v>
      </c>
      <c r="F3837" s="3">
        <v>117500</v>
      </c>
      <c r="G3837" s="57" t="str">
        <f t="shared" si="60"/>
        <v>-</v>
      </c>
      <c r="H3837" s="19"/>
      <c r="I3837" s="19"/>
      <c r="J3837" s="5"/>
    </row>
    <row r="3838" spans="1:10" s="33" customFormat="1" x14ac:dyDescent="0.2">
      <c r="A3838" s="1" t="s">
        <v>111</v>
      </c>
      <c r="B3838" s="12" t="s">
        <v>257</v>
      </c>
      <c r="C3838" s="5"/>
      <c r="D3838" s="5" t="s">
        <v>464</v>
      </c>
      <c r="E3838" s="3">
        <v>122500</v>
      </c>
      <c r="F3838" s="3" t="s">
        <v>465</v>
      </c>
      <c r="G3838" s="57" t="str">
        <f t="shared" si="60"/>
        <v>-</v>
      </c>
      <c r="H3838" s="19"/>
      <c r="I3838" s="19"/>
      <c r="J3838" s="5"/>
    </row>
    <row r="3839" spans="1:10" s="33" customFormat="1" x14ac:dyDescent="0.2">
      <c r="A3839" s="1" t="s">
        <v>111</v>
      </c>
      <c r="B3839" s="12" t="s">
        <v>257</v>
      </c>
      <c r="C3839" s="5"/>
      <c r="D3839" s="5" t="s">
        <v>464</v>
      </c>
      <c r="E3839" s="3">
        <v>122500</v>
      </c>
      <c r="F3839" s="3" t="s">
        <v>465</v>
      </c>
      <c r="G3839" s="57" t="str">
        <f t="shared" si="60"/>
        <v>-</v>
      </c>
      <c r="H3839" s="19"/>
      <c r="I3839" s="19"/>
      <c r="J3839" s="5"/>
    </row>
    <row r="3840" spans="1:10" x14ac:dyDescent="0.2">
      <c r="A3840" s="1" t="s">
        <v>111</v>
      </c>
      <c r="B3840" s="12" t="s">
        <v>257</v>
      </c>
      <c r="D3840" s="5" t="s">
        <v>464</v>
      </c>
      <c r="E3840" s="3" t="s">
        <v>465</v>
      </c>
      <c r="F3840" s="3">
        <v>127500</v>
      </c>
      <c r="G3840" s="57" t="str">
        <f t="shared" si="60"/>
        <v>-</v>
      </c>
    </row>
    <row r="3841" spans="1:10" x14ac:dyDescent="0.2">
      <c r="A3841" s="1" t="s">
        <v>111</v>
      </c>
      <c r="B3841" s="12" t="s">
        <v>257</v>
      </c>
      <c r="D3841" s="5" t="s">
        <v>464</v>
      </c>
      <c r="E3841" s="3">
        <v>132500</v>
      </c>
      <c r="F3841" s="3" t="s">
        <v>465</v>
      </c>
      <c r="G3841" s="57" t="str">
        <f t="shared" si="60"/>
        <v>-</v>
      </c>
    </row>
    <row r="3842" spans="1:10" x14ac:dyDescent="0.2">
      <c r="A3842" s="1" t="s">
        <v>111</v>
      </c>
      <c r="B3842" s="12" t="s">
        <v>257</v>
      </c>
      <c r="D3842" s="5" t="s">
        <v>464</v>
      </c>
      <c r="E3842" s="3">
        <v>132500</v>
      </c>
      <c r="F3842" s="3" t="s">
        <v>465</v>
      </c>
      <c r="G3842" s="57" t="str">
        <f t="shared" si="60"/>
        <v>-</v>
      </c>
    </row>
    <row r="3843" spans="1:10" x14ac:dyDescent="0.2">
      <c r="A3843" s="1" t="s">
        <v>111</v>
      </c>
      <c r="B3843" s="12" t="s">
        <v>257</v>
      </c>
      <c r="D3843" s="5" t="s">
        <v>464</v>
      </c>
      <c r="E3843" s="3">
        <v>137500</v>
      </c>
      <c r="F3843" s="3" t="s">
        <v>465</v>
      </c>
      <c r="G3843" s="57" t="str">
        <f t="shared" si="60"/>
        <v>-</v>
      </c>
    </row>
    <row r="3844" spans="1:10" x14ac:dyDescent="0.2">
      <c r="A3844" s="1" t="s">
        <v>111</v>
      </c>
      <c r="B3844" s="12" t="s">
        <v>257</v>
      </c>
      <c r="D3844" s="5" t="s">
        <v>464</v>
      </c>
      <c r="E3844" s="3">
        <v>137500</v>
      </c>
      <c r="F3844" s="3" t="s">
        <v>465</v>
      </c>
      <c r="G3844" s="57" t="str">
        <f t="shared" si="60"/>
        <v>-</v>
      </c>
    </row>
    <row r="3845" spans="1:10" x14ac:dyDescent="0.2">
      <c r="A3845" s="1" t="s">
        <v>111</v>
      </c>
      <c r="B3845" s="12" t="s">
        <v>257</v>
      </c>
      <c r="D3845" s="5" t="s">
        <v>464</v>
      </c>
      <c r="E3845" s="3">
        <v>162500</v>
      </c>
      <c r="F3845" s="3" t="s">
        <v>465</v>
      </c>
      <c r="G3845" s="57" t="str">
        <f t="shared" si="60"/>
        <v>-</v>
      </c>
    </row>
    <row r="3846" spans="1:10" x14ac:dyDescent="0.2">
      <c r="A3846" s="1" t="s">
        <v>111</v>
      </c>
      <c r="B3846" s="12" t="s">
        <v>257</v>
      </c>
      <c r="D3846" s="5" t="s">
        <v>464</v>
      </c>
      <c r="E3846" s="3">
        <v>162500</v>
      </c>
      <c r="F3846" s="3" t="s">
        <v>465</v>
      </c>
      <c r="G3846" s="57" t="str">
        <f t="shared" si="60"/>
        <v>-</v>
      </c>
    </row>
    <row r="3847" spans="1:10" x14ac:dyDescent="0.2">
      <c r="A3847" s="1" t="s">
        <v>111</v>
      </c>
      <c r="B3847" s="12" t="s">
        <v>257</v>
      </c>
      <c r="D3847" s="5" t="s">
        <v>464</v>
      </c>
      <c r="E3847" s="3">
        <v>182500</v>
      </c>
      <c r="F3847" s="3" t="s">
        <v>465</v>
      </c>
      <c r="G3847" s="57" t="str">
        <f t="shared" si="60"/>
        <v>-</v>
      </c>
    </row>
    <row r="3848" spans="1:10" ht="25.5" x14ac:dyDescent="0.2">
      <c r="A3848" s="1" t="s">
        <v>39</v>
      </c>
      <c r="B3848" s="2" t="s">
        <v>258</v>
      </c>
      <c r="D3848" s="5" t="s">
        <v>450</v>
      </c>
      <c r="E3848" s="3">
        <v>138718</v>
      </c>
      <c r="F3848" s="3">
        <v>104911</v>
      </c>
      <c r="G3848" s="57">
        <f t="shared" si="60"/>
        <v>-0.24371026110526392</v>
      </c>
      <c r="J3848" s="5" t="s">
        <v>3090</v>
      </c>
    </row>
    <row r="3849" spans="1:10" ht="25.5" x14ac:dyDescent="0.2">
      <c r="A3849" s="1" t="s">
        <v>39</v>
      </c>
      <c r="B3849" s="2" t="s">
        <v>258</v>
      </c>
      <c r="D3849" s="5" t="s">
        <v>3100</v>
      </c>
      <c r="E3849" s="3">
        <v>102697</v>
      </c>
      <c r="F3849" s="3">
        <v>106184</v>
      </c>
      <c r="G3849" s="57">
        <f t="shared" si="60"/>
        <v>3.3954253775670178E-2</v>
      </c>
      <c r="J3849" s="5" t="s">
        <v>3091</v>
      </c>
    </row>
    <row r="3850" spans="1:10" x14ac:dyDescent="0.2">
      <c r="A3850" s="1" t="s">
        <v>39</v>
      </c>
      <c r="B3850" s="2" t="s">
        <v>258</v>
      </c>
      <c r="D3850" s="5" t="s">
        <v>1175</v>
      </c>
      <c r="E3850" s="3">
        <v>101212</v>
      </c>
      <c r="F3850" s="3">
        <v>102219</v>
      </c>
      <c r="G3850" s="57">
        <f t="shared" si="60"/>
        <v>9.9494131130695961E-3</v>
      </c>
      <c r="J3850" s="5" t="s">
        <v>3092</v>
      </c>
    </row>
    <row r="3851" spans="1:10" ht="25.5" x14ac:dyDescent="0.2">
      <c r="A3851" s="1" t="s">
        <v>39</v>
      </c>
      <c r="B3851" s="2" t="s">
        <v>258</v>
      </c>
      <c r="D3851" s="5" t="s">
        <v>1176</v>
      </c>
      <c r="E3851" s="3">
        <v>98219</v>
      </c>
      <c r="F3851" s="3">
        <v>100414</v>
      </c>
      <c r="G3851" s="57">
        <f t="shared" si="60"/>
        <v>2.2348018204217106E-2</v>
      </c>
      <c r="J3851" s="5" t="s">
        <v>3093</v>
      </c>
    </row>
    <row r="3852" spans="1:10" ht="25.5" x14ac:dyDescent="0.2">
      <c r="A3852" s="1" t="s">
        <v>25</v>
      </c>
      <c r="B3852" s="2" t="s">
        <v>259</v>
      </c>
      <c r="C3852" s="5" t="s">
        <v>1165</v>
      </c>
      <c r="D3852" s="5" t="s">
        <v>4372</v>
      </c>
      <c r="E3852" s="6">
        <v>198304</v>
      </c>
      <c r="F3852" s="3">
        <v>234783</v>
      </c>
      <c r="G3852" s="57">
        <f t="shared" si="60"/>
        <v>0.18395493787316444</v>
      </c>
      <c r="J3852" s="5" t="s">
        <v>4371</v>
      </c>
    </row>
    <row r="3853" spans="1:10" ht="25.5" x14ac:dyDescent="0.2">
      <c r="A3853" s="1" t="s">
        <v>25</v>
      </c>
      <c r="B3853" s="2" t="s">
        <v>259</v>
      </c>
      <c r="C3853" s="5" t="s">
        <v>1166</v>
      </c>
      <c r="D3853" s="5" t="s">
        <v>1167</v>
      </c>
      <c r="E3853" s="3">
        <v>134593</v>
      </c>
      <c r="F3853" s="3">
        <v>212329</v>
      </c>
      <c r="G3853" s="57">
        <f t="shared" si="60"/>
        <v>0.57756346912543743</v>
      </c>
      <c r="J3853" s="5" t="s">
        <v>3086</v>
      </c>
    </row>
    <row r="3854" spans="1:10" x14ac:dyDescent="0.2">
      <c r="A3854" s="1" t="s">
        <v>25</v>
      </c>
      <c r="B3854" s="2" t="s">
        <v>259</v>
      </c>
      <c r="C3854" s="5" t="s">
        <v>1168</v>
      </c>
      <c r="D3854" s="5" t="s">
        <v>1169</v>
      </c>
      <c r="E3854" s="6">
        <v>176725</v>
      </c>
      <c r="F3854" s="3">
        <v>160002</v>
      </c>
      <c r="G3854" s="57">
        <f t="shared" si="60"/>
        <v>-9.4627245720752581E-2</v>
      </c>
      <c r="J3854" s="5" t="s">
        <v>3087</v>
      </c>
    </row>
    <row r="3855" spans="1:10" ht="25.5" x14ac:dyDescent="0.2">
      <c r="A3855" s="1" t="s">
        <v>25</v>
      </c>
      <c r="B3855" s="2" t="s">
        <v>259</v>
      </c>
      <c r="C3855" s="5" t="s">
        <v>1170</v>
      </c>
      <c r="D3855" s="5" t="s">
        <v>1171</v>
      </c>
      <c r="E3855" s="6" t="s">
        <v>465</v>
      </c>
      <c r="F3855" s="3">
        <v>192507</v>
      </c>
      <c r="G3855" s="57" t="str">
        <f t="shared" si="60"/>
        <v>-</v>
      </c>
      <c r="J3855" s="5" t="s">
        <v>3088</v>
      </c>
    </row>
    <row r="3856" spans="1:10" ht="38.25" customHeight="1" x14ac:dyDescent="0.2">
      <c r="A3856" s="1" t="s">
        <v>25</v>
      </c>
      <c r="B3856" s="2" t="s">
        <v>259</v>
      </c>
      <c r="C3856" s="5" t="s">
        <v>1172</v>
      </c>
      <c r="D3856" s="5" t="s">
        <v>450</v>
      </c>
      <c r="E3856" s="6">
        <v>281085</v>
      </c>
      <c r="F3856" s="3">
        <v>189108</v>
      </c>
      <c r="G3856" s="57">
        <f t="shared" si="60"/>
        <v>-0.32722130316452319</v>
      </c>
      <c r="J3856" s="5" t="s">
        <v>4373</v>
      </c>
    </row>
    <row r="3857" spans="1:10" ht="25.5" x14ac:dyDescent="0.2">
      <c r="A3857" s="1" t="s">
        <v>25</v>
      </c>
      <c r="B3857" s="2" t="s">
        <v>259</v>
      </c>
      <c r="D3857" s="5" t="s">
        <v>1173</v>
      </c>
      <c r="E3857" s="3" t="s">
        <v>465</v>
      </c>
      <c r="F3857" s="3">
        <v>161221</v>
      </c>
      <c r="G3857" s="57" t="str">
        <f t="shared" si="60"/>
        <v>-</v>
      </c>
      <c r="J3857" s="5" t="s">
        <v>4374</v>
      </c>
    </row>
    <row r="3858" spans="1:10" x14ac:dyDescent="0.2">
      <c r="A3858" s="1" t="s">
        <v>25</v>
      </c>
      <c r="B3858" s="2" t="s">
        <v>259</v>
      </c>
      <c r="D3858" s="5" t="s">
        <v>1174</v>
      </c>
      <c r="E3858" s="3">
        <v>121095</v>
      </c>
      <c r="F3858" s="3">
        <v>169519</v>
      </c>
      <c r="G3858" s="57">
        <f t="shared" si="60"/>
        <v>0.39988438829018541</v>
      </c>
      <c r="J3858" s="5" t="s">
        <v>3089</v>
      </c>
    </row>
    <row r="3859" spans="1:10" s="13" customFormat="1" x14ac:dyDescent="0.2">
      <c r="A3859" s="1" t="s">
        <v>25</v>
      </c>
      <c r="B3859" s="12" t="s">
        <v>259</v>
      </c>
      <c r="C3859" s="7"/>
      <c r="D3859" s="7" t="s">
        <v>3084</v>
      </c>
      <c r="E3859" s="6" t="s">
        <v>465</v>
      </c>
      <c r="F3859" s="6">
        <v>112689</v>
      </c>
      <c r="G3859" s="57" t="str">
        <f t="shared" si="60"/>
        <v>-</v>
      </c>
      <c r="H3859" s="21"/>
      <c r="I3859" s="21"/>
      <c r="J3859" s="7" t="s">
        <v>3085</v>
      </c>
    </row>
    <row r="3860" spans="1:10" x14ac:dyDescent="0.2">
      <c r="A3860" s="1" t="s">
        <v>25</v>
      </c>
      <c r="B3860" s="12" t="s">
        <v>259</v>
      </c>
      <c r="D3860" s="5" t="s">
        <v>464</v>
      </c>
      <c r="G3860" s="57" t="str">
        <f t="shared" si="60"/>
        <v>-</v>
      </c>
      <c r="H3860" s="19">
        <v>92500</v>
      </c>
      <c r="I3860" s="19" t="s">
        <v>465</v>
      </c>
    </row>
    <row r="3861" spans="1:10" x14ac:dyDescent="0.2">
      <c r="A3861" s="1" t="s">
        <v>25</v>
      </c>
      <c r="B3861" s="12" t="s">
        <v>259</v>
      </c>
      <c r="D3861" s="5" t="s">
        <v>464</v>
      </c>
      <c r="G3861" s="57" t="str">
        <f t="shared" si="60"/>
        <v>-</v>
      </c>
      <c r="H3861" s="19">
        <v>92500</v>
      </c>
      <c r="I3861" s="19" t="s">
        <v>465</v>
      </c>
    </row>
    <row r="3862" spans="1:10" x14ac:dyDescent="0.2">
      <c r="A3862" s="1" t="s">
        <v>25</v>
      </c>
      <c r="B3862" s="12" t="s">
        <v>259</v>
      </c>
      <c r="D3862" s="5" t="s">
        <v>464</v>
      </c>
      <c r="G3862" s="57" t="str">
        <f t="shared" si="60"/>
        <v>-</v>
      </c>
      <c r="H3862" s="19">
        <v>92500</v>
      </c>
      <c r="I3862" s="19" t="s">
        <v>465</v>
      </c>
    </row>
    <row r="3863" spans="1:10" x14ac:dyDescent="0.2">
      <c r="A3863" s="1" t="s">
        <v>25</v>
      </c>
      <c r="B3863" s="12" t="s">
        <v>259</v>
      </c>
      <c r="D3863" s="5" t="s">
        <v>464</v>
      </c>
      <c r="G3863" s="57" t="str">
        <f t="shared" si="60"/>
        <v>-</v>
      </c>
      <c r="H3863" s="19">
        <v>92500</v>
      </c>
      <c r="I3863" s="19" t="s">
        <v>465</v>
      </c>
    </row>
    <row r="3864" spans="1:10" x14ac:dyDescent="0.2">
      <c r="A3864" s="1" t="s">
        <v>25</v>
      </c>
      <c r="B3864" s="12" t="s">
        <v>259</v>
      </c>
      <c r="D3864" s="5" t="s">
        <v>464</v>
      </c>
      <c r="G3864" s="57" t="str">
        <f t="shared" si="60"/>
        <v>-</v>
      </c>
      <c r="H3864" s="19">
        <v>92500</v>
      </c>
      <c r="I3864" s="19" t="s">
        <v>465</v>
      </c>
    </row>
    <row r="3865" spans="1:10" x14ac:dyDescent="0.2">
      <c r="A3865" s="1" t="s">
        <v>25</v>
      </c>
      <c r="B3865" s="12" t="s">
        <v>259</v>
      </c>
      <c r="D3865" s="5" t="s">
        <v>464</v>
      </c>
      <c r="G3865" s="57" t="str">
        <f t="shared" si="60"/>
        <v>-</v>
      </c>
      <c r="H3865" s="19">
        <v>92500</v>
      </c>
      <c r="I3865" s="19" t="s">
        <v>465</v>
      </c>
    </row>
    <row r="3866" spans="1:10" x14ac:dyDescent="0.2">
      <c r="A3866" s="1" t="s">
        <v>25</v>
      </c>
      <c r="B3866" s="12" t="s">
        <v>259</v>
      </c>
      <c r="D3866" s="5" t="s">
        <v>464</v>
      </c>
      <c r="G3866" s="57" t="str">
        <f t="shared" si="60"/>
        <v>-</v>
      </c>
      <c r="H3866" s="19">
        <v>92500</v>
      </c>
      <c r="I3866" s="19" t="s">
        <v>465</v>
      </c>
    </row>
    <row r="3867" spans="1:10" x14ac:dyDescent="0.2">
      <c r="A3867" s="1" t="s">
        <v>25</v>
      </c>
      <c r="B3867" s="12" t="s">
        <v>259</v>
      </c>
      <c r="D3867" s="5" t="s">
        <v>464</v>
      </c>
      <c r="G3867" s="57" t="str">
        <f t="shared" si="60"/>
        <v>-</v>
      </c>
      <c r="H3867" s="19">
        <v>92500</v>
      </c>
      <c r="I3867" s="19" t="s">
        <v>465</v>
      </c>
    </row>
    <row r="3868" spans="1:10" x14ac:dyDescent="0.2">
      <c r="A3868" s="1" t="s">
        <v>25</v>
      </c>
      <c r="B3868" s="12" t="s">
        <v>259</v>
      </c>
      <c r="D3868" s="5" t="s">
        <v>464</v>
      </c>
      <c r="G3868" s="57" t="str">
        <f t="shared" si="60"/>
        <v>-</v>
      </c>
      <c r="H3868" s="19">
        <v>92500</v>
      </c>
      <c r="I3868" s="19" t="s">
        <v>465</v>
      </c>
    </row>
    <row r="3869" spans="1:10" x14ac:dyDescent="0.2">
      <c r="A3869" s="1" t="s">
        <v>25</v>
      </c>
      <c r="B3869" s="12" t="s">
        <v>259</v>
      </c>
      <c r="D3869" s="5" t="s">
        <v>464</v>
      </c>
      <c r="G3869" s="57" t="str">
        <f t="shared" si="60"/>
        <v>-</v>
      </c>
      <c r="H3869" s="19" t="s">
        <v>465</v>
      </c>
      <c r="I3869" s="19">
        <v>92500</v>
      </c>
    </row>
    <row r="3870" spans="1:10" x14ac:dyDescent="0.2">
      <c r="A3870" s="1" t="s">
        <v>25</v>
      </c>
      <c r="B3870" s="12" t="s">
        <v>259</v>
      </c>
      <c r="D3870" s="5" t="s">
        <v>464</v>
      </c>
      <c r="G3870" s="57" t="str">
        <f t="shared" ref="G3870:G3882" si="61">IF(ISERROR((F3870-E3870)/E3870),"-",(F3870-E3870)/E3870)</f>
        <v>-</v>
      </c>
      <c r="H3870" s="19" t="s">
        <v>465</v>
      </c>
      <c r="I3870" s="19">
        <v>92500</v>
      </c>
    </row>
    <row r="3871" spans="1:10" x14ac:dyDescent="0.2">
      <c r="A3871" s="1" t="s">
        <v>25</v>
      </c>
      <c r="B3871" s="12" t="s">
        <v>259</v>
      </c>
      <c r="D3871" s="5" t="s">
        <v>464</v>
      </c>
      <c r="G3871" s="57" t="str">
        <f t="shared" si="61"/>
        <v>-</v>
      </c>
      <c r="H3871" s="19" t="s">
        <v>465</v>
      </c>
      <c r="I3871" s="19">
        <v>92500</v>
      </c>
    </row>
    <row r="3872" spans="1:10" x14ac:dyDescent="0.2">
      <c r="A3872" s="1" t="s">
        <v>25</v>
      </c>
      <c r="B3872" s="12" t="s">
        <v>259</v>
      </c>
      <c r="D3872" s="5" t="s">
        <v>464</v>
      </c>
      <c r="G3872" s="57" t="str">
        <f t="shared" si="61"/>
        <v>-</v>
      </c>
      <c r="H3872" s="19" t="s">
        <v>465</v>
      </c>
      <c r="I3872" s="19">
        <v>92500</v>
      </c>
    </row>
    <row r="3873" spans="1:9" s="1" customFormat="1" x14ac:dyDescent="0.2">
      <c r="A3873" s="1" t="s">
        <v>25</v>
      </c>
      <c r="B3873" s="12" t="s">
        <v>259</v>
      </c>
      <c r="C3873" s="5"/>
      <c r="D3873" s="5" t="s">
        <v>464</v>
      </c>
      <c r="E3873" s="3"/>
      <c r="F3873" s="3"/>
      <c r="G3873" s="57" t="str">
        <f t="shared" si="61"/>
        <v>-</v>
      </c>
      <c r="H3873" s="19" t="s">
        <v>465</v>
      </c>
      <c r="I3873" s="19">
        <v>92500</v>
      </c>
    </row>
    <row r="3874" spans="1:9" s="1" customFormat="1" x14ac:dyDescent="0.2">
      <c r="A3874" s="1" t="s">
        <v>25</v>
      </c>
      <c r="B3874" s="12" t="s">
        <v>259</v>
      </c>
      <c r="C3874" s="5"/>
      <c r="D3874" s="5" t="s">
        <v>464</v>
      </c>
      <c r="E3874" s="3"/>
      <c r="F3874" s="3"/>
      <c r="G3874" s="57" t="str">
        <f t="shared" si="61"/>
        <v>-</v>
      </c>
      <c r="H3874" s="19" t="s">
        <v>465</v>
      </c>
      <c r="I3874" s="19">
        <v>92500</v>
      </c>
    </row>
    <row r="3875" spans="1:9" s="1" customFormat="1" x14ac:dyDescent="0.2">
      <c r="A3875" s="1" t="s">
        <v>25</v>
      </c>
      <c r="B3875" s="12" t="s">
        <v>259</v>
      </c>
      <c r="C3875" s="5"/>
      <c r="D3875" s="5" t="s">
        <v>464</v>
      </c>
      <c r="E3875" s="3"/>
      <c r="F3875" s="3"/>
      <c r="G3875" s="57" t="str">
        <f t="shared" si="61"/>
        <v>-</v>
      </c>
      <c r="H3875" s="19" t="s">
        <v>465</v>
      </c>
      <c r="I3875" s="19">
        <v>92500</v>
      </c>
    </row>
    <row r="3876" spans="1:9" s="1" customFormat="1" x14ac:dyDescent="0.2">
      <c r="A3876" s="1" t="s">
        <v>25</v>
      </c>
      <c r="B3876" s="12" t="s">
        <v>259</v>
      </c>
      <c r="C3876" s="5"/>
      <c r="D3876" s="5" t="s">
        <v>464</v>
      </c>
      <c r="E3876" s="3"/>
      <c r="F3876" s="3"/>
      <c r="G3876" s="57" t="str">
        <f t="shared" si="61"/>
        <v>-</v>
      </c>
      <c r="H3876" s="19" t="s">
        <v>465</v>
      </c>
      <c r="I3876" s="19">
        <v>92500</v>
      </c>
    </row>
    <row r="3877" spans="1:9" s="1" customFormat="1" x14ac:dyDescent="0.2">
      <c r="A3877" s="1" t="s">
        <v>25</v>
      </c>
      <c r="B3877" s="12" t="s">
        <v>259</v>
      </c>
      <c r="C3877" s="5"/>
      <c r="D3877" s="5" t="s">
        <v>464</v>
      </c>
      <c r="E3877" s="3"/>
      <c r="F3877" s="3"/>
      <c r="G3877" s="57" t="str">
        <f t="shared" si="61"/>
        <v>-</v>
      </c>
      <c r="H3877" s="19" t="s">
        <v>465</v>
      </c>
      <c r="I3877" s="19">
        <v>92500</v>
      </c>
    </row>
    <row r="3878" spans="1:9" s="1" customFormat="1" x14ac:dyDescent="0.2">
      <c r="A3878" s="1" t="s">
        <v>25</v>
      </c>
      <c r="B3878" s="12" t="s">
        <v>259</v>
      </c>
      <c r="C3878" s="5"/>
      <c r="D3878" s="5" t="s">
        <v>464</v>
      </c>
      <c r="E3878" s="3"/>
      <c r="F3878" s="3"/>
      <c r="G3878" s="57" t="str">
        <f t="shared" si="61"/>
        <v>-</v>
      </c>
      <c r="H3878" s="19" t="s">
        <v>465</v>
      </c>
      <c r="I3878" s="19">
        <v>92500</v>
      </c>
    </row>
    <row r="3879" spans="1:9" s="1" customFormat="1" x14ac:dyDescent="0.2">
      <c r="A3879" s="1" t="s">
        <v>25</v>
      </c>
      <c r="B3879" s="12" t="s">
        <v>259</v>
      </c>
      <c r="C3879" s="5"/>
      <c r="D3879" s="5" t="s">
        <v>464</v>
      </c>
      <c r="E3879" s="3"/>
      <c r="F3879" s="3"/>
      <c r="G3879" s="57" t="str">
        <f t="shared" si="61"/>
        <v>-</v>
      </c>
      <c r="H3879" s="19">
        <v>97500</v>
      </c>
      <c r="I3879" s="19" t="s">
        <v>465</v>
      </c>
    </row>
    <row r="3880" spans="1:9" s="1" customFormat="1" x14ac:dyDescent="0.2">
      <c r="A3880" s="1" t="s">
        <v>25</v>
      </c>
      <c r="B3880" s="12" t="s">
        <v>259</v>
      </c>
      <c r="C3880" s="5"/>
      <c r="D3880" s="5" t="s">
        <v>464</v>
      </c>
      <c r="E3880" s="3"/>
      <c r="F3880" s="3"/>
      <c r="G3880" s="57" t="str">
        <f t="shared" si="61"/>
        <v>-</v>
      </c>
      <c r="H3880" s="19">
        <v>97500</v>
      </c>
      <c r="I3880" s="19" t="s">
        <v>465</v>
      </c>
    </row>
    <row r="3881" spans="1:9" s="1" customFormat="1" x14ac:dyDescent="0.2">
      <c r="A3881" s="1" t="s">
        <v>25</v>
      </c>
      <c r="B3881" s="12" t="s">
        <v>259</v>
      </c>
      <c r="C3881" s="5"/>
      <c r="D3881" s="5" t="s">
        <v>464</v>
      </c>
      <c r="E3881" s="3"/>
      <c r="F3881" s="3"/>
      <c r="G3881" s="57" t="str">
        <f t="shared" si="61"/>
        <v>-</v>
      </c>
      <c r="H3881" s="19" t="s">
        <v>465</v>
      </c>
      <c r="I3881" s="19">
        <v>97500</v>
      </c>
    </row>
    <row r="3882" spans="1:9" s="1" customFormat="1" x14ac:dyDescent="0.2">
      <c r="A3882" s="1" t="s">
        <v>25</v>
      </c>
      <c r="B3882" s="12" t="s">
        <v>259</v>
      </c>
      <c r="C3882" s="5"/>
      <c r="D3882" s="5" t="s">
        <v>464</v>
      </c>
      <c r="E3882" s="3"/>
      <c r="F3882" s="3"/>
      <c r="G3882" s="57" t="str">
        <f t="shared" si="61"/>
        <v>-</v>
      </c>
      <c r="H3882" s="19" t="s">
        <v>465</v>
      </c>
      <c r="I3882" s="19">
        <v>97500</v>
      </c>
    </row>
    <row r="3883" spans="1:9" s="1" customFormat="1" x14ac:dyDescent="0.2">
      <c r="A3883" s="1" t="s">
        <v>25</v>
      </c>
      <c r="B3883" s="12" t="s">
        <v>259</v>
      </c>
      <c r="C3883" s="5"/>
      <c r="D3883" s="5" t="s">
        <v>464</v>
      </c>
      <c r="E3883" s="3"/>
      <c r="F3883" s="19">
        <v>102500</v>
      </c>
      <c r="G3883" s="57" t="str">
        <f>IF(ISERROR((#REF!-E3883)/E3883),"-",(#REF!-E3883)/E3883)</f>
        <v>-</v>
      </c>
      <c r="H3883" s="19"/>
      <c r="I3883" s="19"/>
    </row>
    <row r="3884" spans="1:9" s="1" customFormat="1" x14ac:dyDescent="0.2">
      <c r="A3884" s="1" t="s">
        <v>25</v>
      </c>
      <c r="B3884" s="12" t="s">
        <v>259</v>
      </c>
      <c r="C3884" s="5"/>
      <c r="D3884" s="5" t="s">
        <v>464</v>
      </c>
      <c r="E3884" s="3"/>
      <c r="F3884" s="19">
        <v>107500</v>
      </c>
      <c r="G3884" s="57" t="str">
        <f>IF(ISERROR((#REF!-E3884)/E3884),"-",(#REF!-E3884)/E3884)</f>
        <v>-</v>
      </c>
      <c r="H3884" s="19"/>
      <c r="I3884" s="19"/>
    </row>
    <row r="3885" spans="1:9" s="1" customFormat="1" x14ac:dyDescent="0.2">
      <c r="A3885" s="1" t="s">
        <v>25</v>
      </c>
      <c r="B3885" s="12" t="s">
        <v>259</v>
      </c>
      <c r="C3885" s="5"/>
      <c r="D3885" s="5" t="s">
        <v>464</v>
      </c>
      <c r="E3885" s="3"/>
      <c r="F3885" s="19">
        <v>107500</v>
      </c>
      <c r="G3885" s="57" t="str">
        <f>IF(ISERROR((#REF!-E3885)/E3885),"-",(#REF!-E3885)/E3885)</f>
        <v>-</v>
      </c>
      <c r="H3885" s="19"/>
      <c r="I3885" s="19"/>
    </row>
    <row r="3886" spans="1:9" s="1" customFormat="1" x14ac:dyDescent="0.2">
      <c r="A3886" s="1" t="s">
        <v>25</v>
      </c>
      <c r="B3886" s="12" t="s">
        <v>259</v>
      </c>
      <c r="C3886" s="5"/>
      <c r="D3886" s="5" t="s">
        <v>464</v>
      </c>
      <c r="E3886" s="3"/>
      <c r="F3886" s="19">
        <v>107500</v>
      </c>
      <c r="G3886" s="57" t="str">
        <f>IF(ISERROR((#REF!-E3886)/E3886),"-",(#REF!-E3886)/E3886)</f>
        <v>-</v>
      </c>
      <c r="H3886" s="19"/>
      <c r="I3886" s="19"/>
    </row>
    <row r="3887" spans="1:9" s="1" customFormat="1" x14ac:dyDescent="0.2">
      <c r="A3887" s="1" t="s">
        <v>25</v>
      </c>
      <c r="B3887" s="12" t="s">
        <v>259</v>
      </c>
      <c r="C3887" s="5"/>
      <c r="D3887" s="5" t="s">
        <v>464</v>
      </c>
      <c r="E3887" s="3">
        <v>102500</v>
      </c>
      <c r="F3887" s="3" t="s">
        <v>465</v>
      </c>
      <c r="G3887" s="57" t="str">
        <f t="shared" ref="G3887:G3950" si="62">IF(ISERROR((F3887-E3887)/E3887),"-",(F3887-E3887)/E3887)</f>
        <v>-</v>
      </c>
      <c r="H3887" s="19"/>
      <c r="I3887" s="19"/>
    </row>
    <row r="3888" spans="1:9" s="1" customFormat="1" x14ac:dyDescent="0.2">
      <c r="A3888" s="1" t="s">
        <v>25</v>
      </c>
      <c r="B3888" s="12" t="s">
        <v>259</v>
      </c>
      <c r="C3888" s="5"/>
      <c r="D3888" s="5" t="s">
        <v>464</v>
      </c>
      <c r="E3888" s="3">
        <v>102500</v>
      </c>
      <c r="F3888" s="3" t="s">
        <v>465</v>
      </c>
      <c r="G3888" s="57" t="str">
        <f t="shared" si="62"/>
        <v>-</v>
      </c>
      <c r="H3888" s="19"/>
      <c r="I3888" s="19"/>
    </row>
    <row r="3889" spans="1:9" s="1" customFormat="1" x14ac:dyDescent="0.2">
      <c r="A3889" s="1" t="s">
        <v>25</v>
      </c>
      <c r="B3889" s="12" t="s">
        <v>259</v>
      </c>
      <c r="C3889" s="5"/>
      <c r="D3889" s="5" t="s">
        <v>464</v>
      </c>
      <c r="E3889" s="3">
        <v>107500</v>
      </c>
      <c r="F3889" s="3" t="s">
        <v>465</v>
      </c>
      <c r="G3889" s="57" t="str">
        <f t="shared" si="62"/>
        <v>-</v>
      </c>
      <c r="H3889" s="4"/>
      <c r="I3889" s="4"/>
    </row>
    <row r="3890" spans="1:9" s="1" customFormat="1" x14ac:dyDescent="0.2">
      <c r="A3890" s="1" t="s">
        <v>25</v>
      </c>
      <c r="B3890" s="12" t="s">
        <v>259</v>
      </c>
      <c r="C3890" s="5"/>
      <c r="D3890" s="5" t="s">
        <v>464</v>
      </c>
      <c r="E3890" s="3">
        <v>107500</v>
      </c>
      <c r="F3890" s="3" t="s">
        <v>465</v>
      </c>
      <c r="G3890" s="57" t="str">
        <f t="shared" si="62"/>
        <v>-</v>
      </c>
      <c r="H3890" s="4"/>
      <c r="I3890" s="4"/>
    </row>
    <row r="3891" spans="1:9" s="1" customFormat="1" x14ac:dyDescent="0.2">
      <c r="A3891" s="1" t="s">
        <v>25</v>
      </c>
      <c r="B3891" s="12" t="s">
        <v>259</v>
      </c>
      <c r="C3891" s="5"/>
      <c r="D3891" s="5" t="s">
        <v>464</v>
      </c>
      <c r="E3891" s="3">
        <v>112500</v>
      </c>
      <c r="F3891" s="3" t="s">
        <v>465</v>
      </c>
      <c r="G3891" s="57" t="str">
        <f t="shared" si="62"/>
        <v>-</v>
      </c>
      <c r="H3891" s="4"/>
      <c r="I3891" s="4"/>
    </row>
    <row r="3892" spans="1:9" s="1" customFormat="1" x14ac:dyDescent="0.2">
      <c r="A3892" s="1" t="s">
        <v>25</v>
      </c>
      <c r="B3892" s="12" t="s">
        <v>259</v>
      </c>
      <c r="C3892" s="5"/>
      <c r="D3892" s="5" t="s">
        <v>464</v>
      </c>
      <c r="E3892" s="3">
        <v>122500</v>
      </c>
      <c r="F3892" s="3" t="s">
        <v>465</v>
      </c>
      <c r="G3892" s="57" t="str">
        <f t="shared" si="62"/>
        <v>-</v>
      </c>
      <c r="H3892" s="4"/>
      <c r="I3892" s="4"/>
    </row>
    <row r="3893" spans="1:9" s="1" customFormat="1" x14ac:dyDescent="0.2">
      <c r="A3893" s="1" t="s">
        <v>25</v>
      </c>
      <c r="B3893" s="12" t="s">
        <v>259</v>
      </c>
      <c r="C3893" s="5"/>
      <c r="D3893" s="5" t="s">
        <v>464</v>
      </c>
      <c r="E3893" s="3">
        <v>122500</v>
      </c>
      <c r="F3893" s="3" t="s">
        <v>465</v>
      </c>
      <c r="G3893" s="57" t="str">
        <f t="shared" si="62"/>
        <v>-</v>
      </c>
      <c r="H3893" s="4"/>
      <c r="I3893" s="4"/>
    </row>
    <row r="3894" spans="1:9" s="1" customFormat="1" x14ac:dyDescent="0.2">
      <c r="A3894" s="1" t="s">
        <v>25</v>
      </c>
      <c r="B3894" s="12" t="s">
        <v>259</v>
      </c>
      <c r="C3894" s="5"/>
      <c r="D3894" s="5" t="s">
        <v>464</v>
      </c>
      <c r="E3894" s="3">
        <v>127500</v>
      </c>
      <c r="F3894" s="3" t="s">
        <v>465</v>
      </c>
      <c r="G3894" s="57" t="str">
        <f t="shared" si="62"/>
        <v>-</v>
      </c>
      <c r="H3894" s="4"/>
      <c r="I3894" s="4"/>
    </row>
    <row r="3895" spans="1:9" s="1" customFormat="1" x14ac:dyDescent="0.2">
      <c r="A3895" s="1" t="s">
        <v>25</v>
      </c>
      <c r="B3895" s="12" t="s">
        <v>259</v>
      </c>
      <c r="C3895" s="5"/>
      <c r="D3895" s="5" t="s">
        <v>464</v>
      </c>
      <c r="E3895" s="3">
        <v>127500</v>
      </c>
      <c r="F3895" s="3" t="s">
        <v>465</v>
      </c>
      <c r="G3895" s="57" t="str">
        <f t="shared" si="62"/>
        <v>-</v>
      </c>
      <c r="H3895" s="4"/>
      <c r="I3895" s="4"/>
    </row>
    <row r="3896" spans="1:9" s="1" customFormat="1" x14ac:dyDescent="0.2">
      <c r="A3896" s="1" t="s">
        <v>25</v>
      </c>
      <c r="B3896" s="12" t="s">
        <v>259</v>
      </c>
      <c r="C3896" s="5"/>
      <c r="D3896" s="5" t="s">
        <v>464</v>
      </c>
      <c r="E3896" s="3" t="s">
        <v>465</v>
      </c>
      <c r="F3896" s="3">
        <v>112500</v>
      </c>
      <c r="G3896" s="57" t="str">
        <f t="shared" si="62"/>
        <v>-</v>
      </c>
      <c r="H3896" s="4"/>
      <c r="I3896" s="4"/>
    </row>
    <row r="3897" spans="1:9" s="1" customFormat="1" x14ac:dyDescent="0.2">
      <c r="A3897" s="1" t="s">
        <v>25</v>
      </c>
      <c r="B3897" s="12" t="s">
        <v>259</v>
      </c>
      <c r="C3897" s="5"/>
      <c r="D3897" s="5" t="s">
        <v>464</v>
      </c>
      <c r="E3897" s="3" t="s">
        <v>465</v>
      </c>
      <c r="F3897" s="3">
        <v>112500</v>
      </c>
      <c r="G3897" s="57" t="str">
        <f t="shared" si="62"/>
        <v>-</v>
      </c>
      <c r="H3897" s="4"/>
      <c r="I3897" s="4"/>
    </row>
    <row r="3898" spans="1:9" s="1" customFormat="1" x14ac:dyDescent="0.2">
      <c r="A3898" s="1" t="s">
        <v>25</v>
      </c>
      <c r="B3898" s="12" t="s">
        <v>259</v>
      </c>
      <c r="C3898" s="5"/>
      <c r="D3898" s="5" t="s">
        <v>464</v>
      </c>
      <c r="E3898" s="3" t="s">
        <v>465</v>
      </c>
      <c r="F3898" s="3">
        <v>112500</v>
      </c>
      <c r="G3898" s="57" t="str">
        <f t="shared" si="62"/>
        <v>-</v>
      </c>
      <c r="H3898" s="4"/>
      <c r="I3898" s="4"/>
    </row>
    <row r="3899" spans="1:9" s="1" customFormat="1" x14ac:dyDescent="0.2">
      <c r="A3899" s="1" t="s">
        <v>25</v>
      </c>
      <c r="B3899" s="12" t="s">
        <v>259</v>
      </c>
      <c r="C3899" s="5"/>
      <c r="D3899" s="5" t="s">
        <v>464</v>
      </c>
      <c r="E3899" s="3" t="s">
        <v>465</v>
      </c>
      <c r="F3899" s="3">
        <v>112500</v>
      </c>
      <c r="G3899" s="57" t="str">
        <f t="shared" si="62"/>
        <v>-</v>
      </c>
      <c r="H3899" s="4"/>
      <c r="I3899" s="4"/>
    </row>
    <row r="3900" spans="1:9" s="1" customFormat="1" x14ac:dyDescent="0.2">
      <c r="A3900" s="1" t="s">
        <v>25</v>
      </c>
      <c r="B3900" s="12" t="s">
        <v>259</v>
      </c>
      <c r="C3900" s="5"/>
      <c r="D3900" s="5" t="s">
        <v>464</v>
      </c>
      <c r="E3900" s="3" t="s">
        <v>465</v>
      </c>
      <c r="F3900" s="3">
        <v>117500</v>
      </c>
      <c r="G3900" s="57" t="str">
        <f t="shared" si="62"/>
        <v>-</v>
      </c>
      <c r="H3900" s="4"/>
      <c r="I3900" s="4"/>
    </row>
    <row r="3901" spans="1:9" s="1" customFormat="1" x14ac:dyDescent="0.2">
      <c r="A3901" s="1" t="s">
        <v>25</v>
      </c>
      <c r="B3901" s="12" t="s">
        <v>259</v>
      </c>
      <c r="C3901" s="5"/>
      <c r="D3901" s="5" t="s">
        <v>464</v>
      </c>
      <c r="E3901" s="3" t="s">
        <v>465</v>
      </c>
      <c r="F3901" s="3">
        <v>117500</v>
      </c>
      <c r="G3901" s="57" t="str">
        <f t="shared" si="62"/>
        <v>-</v>
      </c>
      <c r="H3901" s="4"/>
      <c r="I3901" s="4"/>
    </row>
    <row r="3902" spans="1:9" s="1" customFormat="1" x14ac:dyDescent="0.2">
      <c r="A3902" s="1" t="s">
        <v>25</v>
      </c>
      <c r="B3902" s="12" t="s">
        <v>259</v>
      </c>
      <c r="C3902" s="5"/>
      <c r="D3902" s="5" t="s">
        <v>464</v>
      </c>
      <c r="E3902" s="3" t="s">
        <v>465</v>
      </c>
      <c r="F3902" s="3">
        <v>117500</v>
      </c>
      <c r="G3902" s="57" t="str">
        <f t="shared" si="62"/>
        <v>-</v>
      </c>
      <c r="H3902" s="4"/>
      <c r="I3902" s="4"/>
    </row>
    <row r="3903" spans="1:9" s="1" customFormat="1" x14ac:dyDescent="0.2">
      <c r="A3903" s="1" t="s">
        <v>25</v>
      </c>
      <c r="B3903" s="12" t="s">
        <v>259</v>
      </c>
      <c r="C3903" s="5"/>
      <c r="D3903" s="5" t="s">
        <v>464</v>
      </c>
      <c r="E3903" s="3" t="s">
        <v>465</v>
      </c>
      <c r="F3903" s="3">
        <v>122500</v>
      </c>
      <c r="G3903" s="57" t="str">
        <f t="shared" si="62"/>
        <v>-</v>
      </c>
      <c r="H3903" s="4"/>
      <c r="I3903" s="4"/>
    </row>
    <row r="3904" spans="1:9" s="1" customFormat="1" x14ac:dyDescent="0.2">
      <c r="A3904" s="1" t="s">
        <v>25</v>
      </c>
      <c r="B3904" s="12" t="s">
        <v>259</v>
      </c>
      <c r="C3904" s="5"/>
      <c r="D3904" s="5" t="s">
        <v>464</v>
      </c>
      <c r="E3904" s="3" t="s">
        <v>465</v>
      </c>
      <c r="F3904" s="3">
        <v>122500</v>
      </c>
      <c r="G3904" s="57" t="str">
        <f t="shared" si="62"/>
        <v>-</v>
      </c>
      <c r="H3904" s="4"/>
      <c r="I3904" s="4"/>
    </row>
    <row r="3905" spans="1:10" x14ac:dyDescent="0.2">
      <c r="A3905" s="1" t="s">
        <v>25</v>
      </c>
      <c r="B3905" s="12" t="s">
        <v>259</v>
      </c>
      <c r="D3905" s="5" t="s">
        <v>464</v>
      </c>
      <c r="E3905" s="3" t="s">
        <v>465</v>
      </c>
      <c r="F3905" s="3">
        <v>127500</v>
      </c>
      <c r="G3905" s="57" t="str">
        <f t="shared" si="62"/>
        <v>-</v>
      </c>
    </row>
    <row r="3906" spans="1:10" x14ac:dyDescent="0.2">
      <c r="A3906" s="1" t="s">
        <v>25</v>
      </c>
      <c r="B3906" s="12" t="s">
        <v>259</v>
      </c>
      <c r="D3906" s="5" t="s">
        <v>464</v>
      </c>
      <c r="E3906" s="3" t="s">
        <v>465</v>
      </c>
      <c r="F3906" s="3">
        <v>127500</v>
      </c>
      <c r="G3906" s="57" t="str">
        <f t="shared" si="62"/>
        <v>-</v>
      </c>
    </row>
    <row r="3907" spans="1:10" x14ac:dyDescent="0.2">
      <c r="A3907" s="1" t="s">
        <v>25</v>
      </c>
      <c r="B3907" s="12" t="s">
        <v>259</v>
      </c>
      <c r="D3907" s="5" t="s">
        <v>464</v>
      </c>
      <c r="E3907" s="3" t="s">
        <v>465</v>
      </c>
      <c r="F3907" s="3">
        <v>127500</v>
      </c>
      <c r="G3907" s="57" t="str">
        <f t="shared" si="62"/>
        <v>-</v>
      </c>
    </row>
    <row r="3908" spans="1:10" x14ac:dyDescent="0.2">
      <c r="A3908" s="1" t="s">
        <v>25</v>
      </c>
      <c r="B3908" s="12" t="s">
        <v>259</v>
      </c>
      <c r="D3908" s="5" t="s">
        <v>464</v>
      </c>
      <c r="E3908" s="3" t="s">
        <v>465</v>
      </c>
      <c r="F3908" s="3">
        <v>132500</v>
      </c>
      <c r="G3908" s="57" t="str">
        <f t="shared" si="62"/>
        <v>-</v>
      </c>
    </row>
    <row r="3909" spans="1:10" x14ac:dyDescent="0.2">
      <c r="A3909" s="1" t="s">
        <v>25</v>
      </c>
      <c r="B3909" s="12" t="s">
        <v>259</v>
      </c>
      <c r="D3909" s="5" t="s">
        <v>464</v>
      </c>
      <c r="E3909" s="3" t="s">
        <v>465</v>
      </c>
      <c r="F3909" s="3">
        <v>137500</v>
      </c>
      <c r="G3909" s="57" t="str">
        <f t="shared" si="62"/>
        <v>-</v>
      </c>
    </row>
    <row r="3910" spans="1:10" x14ac:dyDescent="0.2">
      <c r="A3910" s="1" t="s">
        <v>25</v>
      </c>
      <c r="B3910" s="12" t="s">
        <v>259</v>
      </c>
      <c r="D3910" s="5" t="s">
        <v>464</v>
      </c>
      <c r="E3910" s="3" t="s">
        <v>465</v>
      </c>
      <c r="F3910" s="3">
        <v>137500</v>
      </c>
      <c r="G3910" s="57" t="str">
        <f t="shared" si="62"/>
        <v>-</v>
      </c>
    </row>
    <row r="3911" spans="1:10" x14ac:dyDescent="0.2">
      <c r="A3911" s="1" t="s">
        <v>25</v>
      </c>
      <c r="B3911" s="12" t="s">
        <v>259</v>
      </c>
      <c r="D3911" s="5" t="s">
        <v>464</v>
      </c>
      <c r="E3911" s="3" t="s">
        <v>465</v>
      </c>
      <c r="F3911" s="3">
        <v>137500</v>
      </c>
      <c r="G3911" s="57" t="str">
        <f t="shared" si="62"/>
        <v>-</v>
      </c>
    </row>
    <row r="3912" spans="1:10" x14ac:dyDescent="0.2">
      <c r="A3912" s="1" t="s">
        <v>25</v>
      </c>
      <c r="B3912" s="12" t="s">
        <v>259</v>
      </c>
      <c r="D3912" s="5" t="s">
        <v>464</v>
      </c>
      <c r="E3912" s="3" t="s">
        <v>465</v>
      </c>
      <c r="F3912" s="3">
        <v>137500</v>
      </c>
      <c r="G3912" s="57" t="str">
        <f t="shared" si="62"/>
        <v>-</v>
      </c>
    </row>
    <row r="3913" spans="1:10" x14ac:dyDescent="0.2">
      <c r="A3913" s="1" t="s">
        <v>25</v>
      </c>
      <c r="B3913" s="12" t="s">
        <v>259</v>
      </c>
      <c r="D3913" s="5" t="s">
        <v>464</v>
      </c>
      <c r="E3913" s="3" t="s">
        <v>465</v>
      </c>
      <c r="F3913" s="3">
        <v>137500</v>
      </c>
      <c r="G3913" s="57" t="str">
        <f t="shared" si="62"/>
        <v>-</v>
      </c>
    </row>
    <row r="3914" spans="1:10" ht="25.5" x14ac:dyDescent="0.2">
      <c r="A3914" s="1" t="s">
        <v>44</v>
      </c>
      <c r="B3914" s="12" t="s">
        <v>260</v>
      </c>
      <c r="D3914" s="5" t="s">
        <v>470</v>
      </c>
      <c r="E3914" s="3">
        <v>104327</v>
      </c>
      <c r="F3914" s="3">
        <v>141479</v>
      </c>
      <c r="G3914" s="57">
        <f t="shared" si="62"/>
        <v>0.35611107383515295</v>
      </c>
      <c r="J3914" s="5" t="s">
        <v>4375</v>
      </c>
    </row>
    <row r="3915" spans="1:10" ht="25.5" x14ac:dyDescent="0.2">
      <c r="A3915" s="1" t="s">
        <v>44</v>
      </c>
      <c r="B3915" s="2" t="s">
        <v>260</v>
      </c>
      <c r="D3915" s="5" t="s">
        <v>1163</v>
      </c>
      <c r="E3915" s="3">
        <v>43843</v>
      </c>
      <c r="F3915" s="3">
        <v>116639</v>
      </c>
      <c r="G3915" s="57">
        <f t="shared" si="62"/>
        <v>1.6603790798987295</v>
      </c>
      <c r="J3915" s="5" t="s">
        <v>4376</v>
      </c>
    </row>
    <row r="3916" spans="1:10" ht="25.5" x14ac:dyDescent="0.2">
      <c r="A3916" s="1" t="s">
        <v>44</v>
      </c>
      <c r="B3916" s="2" t="s">
        <v>260</v>
      </c>
      <c r="D3916" s="5" t="s">
        <v>1164</v>
      </c>
      <c r="E3916" s="3">
        <v>107173</v>
      </c>
      <c r="F3916" s="3">
        <v>116639</v>
      </c>
      <c r="G3916" s="57">
        <f t="shared" si="62"/>
        <v>8.8324484711634454E-2</v>
      </c>
      <c r="J3916" s="5" t="s">
        <v>4377</v>
      </c>
    </row>
    <row r="3917" spans="1:10" ht="25.5" x14ac:dyDescent="0.2">
      <c r="A3917" s="1" t="s">
        <v>44</v>
      </c>
      <c r="B3917" s="2" t="s">
        <v>260</v>
      </c>
      <c r="D3917" s="5" t="s">
        <v>3083</v>
      </c>
      <c r="E3917" s="3">
        <v>117544</v>
      </c>
      <c r="F3917" s="3">
        <v>123078</v>
      </c>
      <c r="G3917" s="57">
        <f t="shared" si="62"/>
        <v>4.7080242292248012E-2</v>
      </c>
      <c r="J3917" s="5" t="s">
        <v>3081</v>
      </c>
    </row>
    <row r="3918" spans="1:10" ht="25.5" x14ac:dyDescent="0.2">
      <c r="A3918" s="1" t="s">
        <v>44</v>
      </c>
      <c r="B3918" s="2" t="s">
        <v>260</v>
      </c>
      <c r="D3918" s="5" t="s">
        <v>671</v>
      </c>
      <c r="E3918" s="3">
        <v>106023</v>
      </c>
      <c r="F3918" s="3">
        <v>105814</v>
      </c>
      <c r="G3918" s="57">
        <f t="shared" si="62"/>
        <v>-1.9712703847278423E-3</v>
      </c>
      <c r="J3918" s="5" t="s">
        <v>3082</v>
      </c>
    </row>
    <row r="3919" spans="1:10" s="13" customFormat="1" x14ac:dyDescent="0.2">
      <c r="A3919" s="1" t="s">
        <v>44</v>
      </c>
      <c r="B3919" s="12" t="s">
        <v>260</v>
      </c>
      <c r="C3919" s="7"/>
      <c r="D3919" s="7" t="s">
        <v>464</v>
      </c>
      <c r="E3919" s="6"/>
      <c r="F3919" s="6"/>
      <c r="G3919" s="57" t="str">
        <f t="shared" si="62"/>
        <v>-</v>
      </c>
      <c r="H3919" s="21" t="s">
        <v>465</v>
      </c>
      <c r="I3919" s="21">
        <v>97500</v>
      </c>
      <c r="J3919" s="7" t="s">
        <v>539</v>
      </c>
    </row>
    <row r="3920" spans="1:10" s="13" customFormat="1" x14ac:dyDescent="0.2">
      <c r="A3920" s="1" t="s">
        <v>44</v>
      </c>
      <c r="B3920" s="12" t="s">
        <v>260</v>
      </c>
      <c r="C3920" s="7"/>
      <c r="D3920" s="7" t="s">
        <v>464</v>
      </c>
      <c r="E3920" s="6"/>
      <c r="F3920" s="6"/>
      <c r="G3920" s="57" t="str">
        <f t="shared" si="62"/>
        <v>-</v>
      </c>
      <c r="H3920" s="21" t="s">
        <v>465</v>
      </c>
      <c r="I3920" s="21">
        <v>97500</v>
      </c>
      <c r="J3920" s="7" t="s">
        <v>539</v>
      </c>
    </row>
    <row r="3921" spans="1:10" s="13" customFormat="1" x14ac:dyDescent="0.2">
      <c r="A3921" s="1" t="s">
        <v>44</v>
      </c>
      <c r="B3921" s="12" t="s">
        <v>260</v>
      </c>
      <c r="C3921" s="7"/>
      <c r="D3921" s="7" t="s">
        <v>464</v>
      </c>
      <c r="E3921" s="6" t="s">
        <v>465</v>
      </c>
      <c r="F3921" s="6">
        <v>102500</v>
      </c>
      <c r="G3921" s="57" t="str">
        <f t="shared" si="62"/>
        <v>-</v>
      </c>
      <c r="H3921" s="21"/>
      <c r="I3921" s="21"/>
      <c r="J3921" s="7" t="s">
        <v>539</v>
      </c>
    </row>
    <row r="3922" spans="1:10" s="13" customFormat="1" x14ac:dyDescent="0.2">
      <c r="A3922" s="1" t="s">
        <v>44</v>
      </c>
      <c r="B3922" s="12" t="s">
        <v>260</v>
      </c>
      <c r="C3922" s="7"/>
      <c r="D3922" s="7" t="s">
        <v>464</v>
      </c>
      <c r="E3922" s="6" t="s">
        <v>465</v>
      </c>
      <c r="F3922" s="6">
        <v>112500</v>
      </c>
      <c r="G3922" s="57" t="str">
        <f t="shared" si="62"/>
        <v>-</v>
      </c>
      <c r="H3922" s="21"/>
      <c r="I3922" s="21"/>
      <c r="J3922" s="7" t="s">
        <v>539</v>
      </c>
    </row>
    <row r="3923" spans="1:10" s="13" customFormat="1" x14ac:dyDescent="0.2">
      <c r="A3923" s="1" t="s">
        <v>44</v>
      </c>
      <c r="B3923" s="12" t="s">
        <v>260</v>
      </c>
      <c r="C3923" s="7"/>
      <c r="D3923" s="7" t="s">
        <v>464</v>
      </c>
      <c r="E3923" s="6" t="s">
        <v>465</v>
      </c>
      <c r="F3923" s="6">
        <v>112500</v>
      </c>
      <c r="G3923" s="57" t="str">
        <f t="shared" si="62"/>
        <v>-</v>
      </c>
      <c r="H3923" s="21"/>
      <c r="I3923" s="21"/>
      <c r="J3923" s="7" t="s">
        <v>539</v>
      </c>
    </row>
    <row r="3924" spans="1:10" s="13" customFormat="1" x14ac:dyDescent="0.2">
      <c r="A3924" s="1" t="s">
        <v>44</v>
      </c>
      <c r="B3924" s="12" t="s">
        <v>260</v>
      </c>
      <c r="C3924" s="7"/>
      <c r="D3924" s="7" t="s">
        <v>464</v>
      </c>
      <c r="E3924" s="6" t="s">
        <v>465</v>
      </c>
      <c r="F3924" s="6">
        <v>132500</v>
      </c>
      <c r="G3924" s="57" t="str">
        <f t="shared" si="62"/>
        <v>-</v>
      </c>
      <c r="H3924" s="21"/>
      <c r="I3924" s="21"/>
      <c r="J3924" s="7" t="s">
        <v>539</v>
      </c>
    </row>
    <row r="3925" spans="1:10" s="13" customFormat="1" x14ac:dyDescent="0.2">
      <c r="A3925" s="1" t="s">
        <v>44</v>
      </c>
      <c r="B3925" s="12" t="s">
        <v>260</v>
      </c>
      <c r="C3925" s="7"/>
      <c r="D3925" s="7" t="s">
        <v>464</v>
      </c>
      <c r="E3925" s="6" t="s">
        <v>465</v>
      </c>
      <c r="F3925" s="6">
        <v>132500</v>
      </c>
      <c r="G3925" s="57" t="str">
        <f t="shared" si="62"/>
        <v>-</v>
      </c>
      <c r="H3925" s="21"/>
      <c r="I3925" s="21"/>
      <c r="J3925" s="7" t="s">
        <v>539</v>
      </c>
    </row>
    <row r="3926" spans="1:10" s="13" customFormat="1" x14ac:dyDescent="0.2">
      <c r="A3926" s="1" t="s">
        <v>44</v>
      </c>
      <c r="B3926" s="12" t="s">
        <v>260</v>
      </c>
      <c r="C3926" s="7"/>
      <c r="D3926" s="7" t="s">
        <v>464</v>
      </c>
      <c r="E3926" s="6" t="s">
        <v>465</v>
      </c>
      <c r="F3926" s="6">
        <v>132500</v>
      </c>
      <c r="G3926" s="57" t="str">
        <f t="shared" si="62"/>
        <v>-</v>
      </c>
      <c r="H3926" s="21"/>
      <c r="I3926" s="21"/>
      <c r="J3926" s="7" t="s">
        <v>539</v>
      </c>
    </row>
    <row r="3927" spans="1:10" x14ac:dyDescent="0.2">
      <c r="A3927" s="1" t="s">
        <v>11</v>
      </c>
      <c r="B3927" s="12" t="s">
        <v>261</v>
      </c>
      <c r="D3927" s="5" t="s">
        <v>464</v>
      </c>
      <c r="E3927" s="3">
        <v>95000</v>
      </c>
      <c r="F3927" s="3" t="s">
        <v>465</v>
      </c>
      <c r="G3927" s="57" t="str">
        <f t="shared" si="62"/>
        <v>-</v>
      </c>
    </row>
    <row r="3928" spans="1:10" x14ac:dyDescent="0.2">
      <c r="A3928" s="1" t="s">
        <v>11</v>
      </c>
      <c r="B3928" s="12" t="s">
        <v>261</v>
      </c>
      <c r="D3928" s="5" t="s">
        <v>464</v>
      </c>
      <c r="E3928" s="3" t="s">
        <v>465</v>
      </c>
      <c r="F3928" s="3">
        <v>95000</v>
      </c>
      <c r="G3928" s="57" t="str">
        <f t="shared" si="62"/>
        <v>-</v>
      </c>
    </row>
    <row r="3929" spans="1:10" x14ac:dyDescent="0.2">
      <c r="A3929" s="1" t="s">
        <v>11</v>
      </c>
      <c r="B3929" s="12" t="s">
        <v>262</v>
      </c>
      <c r="D3929" s="5" t="s">
        <v>464</v>
      </c>
      <c r="E3929" s="3">
        <v>102500</v>
      </c>
      <c r="F3929" s="3" t="s">
        <v>465</v>
      </c>
      <c r="G3929" s="57" t="str">
        <f t="shared" si="62"/>
        <v>-</v>
      </c>
    </row>
    <row r="3930" spans="1:10" ht="25.5" x14ac:dyDescent="0.2">
      <c r="A3930" s="1" t="s">
        <v>20</v>
      </c>
      <c r="B3930" s="2" t="s">
        <v>263</v>
      </c>
      <c r="C3930" s="5" t="s">
        <v>1150</v>
      </c>
      <c r="D3930" s="5" t="s">
        <v>450</v>
      </c>
      <c r="E3930" s="3">
        <v>263700</v>
      </c>
      <c r="F3930" s="3">
        <v>256900</v>
      </c>
      <c r="G3930" s="57">
        <f t="shared" si="62"/>
        <v>-2.578687902919985E-2</v>
      </c>
      <c r="J3930" s="5" t="s">
        <v>3071</v>
      </c>
    </row>
    <row r="3931" spans="1:10" ht="25.5" x14ac:dyDescent="0.2">
      <c r="A3931" s="1" t="s">
        <v>20</v>
      </c>
      <c r="B3931" s="2" t="s">
        <v>263</v>
      </c>
      <c r="C3931" s="5" t="s">
        <v>1151</v>
      </c>
      <c r="D3931" s="5" t="s">
        <v>562</v>
      </c>
      <c r="E3931" s="3">
        <v>175400</v>
      </c>
      <c r="F3931" s="3">
        <v>175600</v>
      </c>
      <c r="G3931" s="57">
        <f t="shared" si="62"/>
        <v>1.1402508551881414E-3</v>
      </c>
      <c r="J3931" s="5" t="s">
        <v>3072</v>
      </c>
    </row>
    <row r="3932" spans="1:10" ht="25.5" x14ac:dyDescent="0.2">
      <c r="A3932" s="1" t="s">
        <v>20</v>
      </c>
      <c r="B3932" s="2" t="s">
        <v>263</v>
      </c>
      <c r="C3932" s="5" t="s">
        <v>1152</v>
      </c>
      <c r="D3932" s="5" t="s">
        <v>1153</v>
      </c>
      <c r="E3932" s="3">
        <v>161400</v>
      </c>
      <c r="F3932" s="3">
        <v>240100</v>
      </c>
      <c r="G3932" s="57">
        <f t="shared" si="62"/>
        <v>0.48760842627013629</v>
      </c>
      <c r="J3932" s="5" t="s">
        <v>3073</v>
      </c>
    </row>
    <row r="3933" spans="1:10" ht="25.5" x14ac:dyDescent="0.2">
      <c r="A3933" s="1" t="s">
        <v>20</v>
      </c>
      <c r="B3933" s="2" t="s">
        <v>263</v>
      </c>
      <c r="C3933" s="5" t="s">
        <v>1154</v>
      </c>
      <c r="D3933" s="5" t="s">
        <v>549</v>
      </c>
      <c r="E3933" s="3">
        <v>157900</v>
      </c>
      <c r="F3933" s="3">
        <v>158800</v>
      </c>
      <c r="G3933" s="57">
        <f t="shared" si="62"/>
        <v>5.699810006333122E-3</v>
      </c>
      <c r="J3933" s="5" t="s">
        <v>3074</v>
      </c>
    </row>
    <row r="3934" spans="1:10" ht="25.5" x14ac:dyDescent="0.2">
      <c r="A3934" s="1" t="s">
        <v>20</v>
      </c>
      <c r="B3934" s="2" t="s">
        <v>263</v>
      </c>
      <c r="C3934" s="5" t="s">
        <v>1155</v>
      </c>
      <c r="D3934" s="5" t="s">
        <v>1156</v>
      </c>
      <c r="E3934" s="3">
        <v>149800</v>
      </c>
      <c r="F3934" s="3">
        <v>154600</v>
      </c>
      <c r="G3934" s="57">
        <f t="shared" si="62"/>
        <v>3.2042723631508681E-2</v>
      </c>
      <c r="J3934" s="5" t="s">
        <v>3075</v>
      </c>
    </row>
    <row r="3935" spans="1:10" ht="25.5" x14ac:dyDescent="0.2">
      <c r="A3935" s="1" t="s">
        <v>20</v>
      </c>
      <c r="B3935" s="2" t="s">
        <v>263</v>
      </c>
      <c r="C3935" s="5" t="s">
        <v>1157</v>
      </c>
      <c r="D3935" s="5" t="s">
        <v>604</v>
      </c>
      <c r="E3935" s="6" t="s">
        <v>465</v>
      </c>
      <c r="F3935" s="3">
        <v>112000</v>
      </c>
      <c r="G3935" s="57" t="str">
        <f t="shared" si="62"/>
        <v>-</v>
      </c>
      <c r="J3935" s="5" t="s">
        <v>3076</v>
      </c>
    </row>
    <row r="3936" spans="1:10" x14ac:dyDescent="0.2">
      <c r="A3936" s="1" t="s">
        <v>20</v>
      </c>
      <c r="B3936" s="2" t="s">
        <v>263</v>
      </c>
      <c r="C3936" s="5" t="s">
        <v>3080</v>
      </c>
      <c r="D3936" s="5" t="s">
        <v>604</v>
      </c>
      <c r="E3936" s="6">
        <v>142500</v>
      </c>
      <c r="F3936" s="3" t="s">
        <v>465</v>
      </c>
      <c r="G3936" s="57" t="str">
        <f t="shared" si="62"/>
        <v>-</v>
      </c>
    </row>
    <row r="3937" spans="1:10" ht="25.5" x14ac:dyDescent="0.2">
      <c r="A3937" s="1" t="s">
        <v>20</v>
      </c>
      <c r="B3937" s="2" t="s">
        <v>263</v>
      </c>
      <c r="C3937" s="5" t="s">
        <v>1158</v>
      </c>
      <c r="D3937" s="5" t="s">
        <v>740</v>
      </c>
      <c r="E3937" s="3">
        <v>121500</v>
      </c>
      <c r="F3937" s="3">
        <v>128400</v>
      </c>
      <c r="G3937" s="57">
        <f t="shared" si="62"/>
        <v>5.6790123456790124E-2</v>
      </c>
      <c r="J3937" s="5" t="s">
        <v>3077</v>
      </c>
    </row>
    <row r="3938" spans="1:10" ht="25.5" x14ac:dyDescent="0.2">
      <c r="A3938" s="1" t="s">
        <v>20</v>
      </c>
      <c r="B3938" s="2" t="s">
        <v>263</v>
      </c>
      <c r="C3938" s="5" t="s">
        <v>1159</v>
      </c>
      <c r="D3938" s="5" t="s">
        <v>1160</v>
      </c>
      <c r="E3938" s="3">
        <v>114200</v>
      </c>
      <c r="F3938" s="3">
        <v>110600</v>
      </c>
      <c r="G3938" s="57">
        <f t="shared" si="62"/>
        <v>-3.1523642732049037E-2</v>
      </c>
      <c r="J3938" s="5" t="s">
        <v>3078</v>
      </c>
    </row>
    <row r="3939" spans="1:10" ht="25.5" x14ac:dyDescent="0.2">
      <c r="A3939" s="1" t="s">
        <v>20</v>
      </c>
      <c r="B3939" s="2" t="s">
        <v>263</v>
      </c>
      <c r="C3939" s="5" t="s">
        <v>1161</v>
      </c>
      <c r="D3939" s="5" t="s">
        <v>1162</v>
      </c>
      <c r="E3939" s="3">
        <v>107600</v>
      </c>
      <c r="F3939" s="3">
        <v>108100</v>
      </c>
      <c r="G3939" s="57">
        <f t="shared" si="62"/>
        <v>4.646840148698885E-3</v>
      </c>
      <c r="J3939" s="5" t="s">
        <v>3079</v>
      </c>
    </row>
    <row r="3940" spans="1:10" x14ac:dyDescent="0.2">
      <c r="A3940" s="1" t="s">
        <v>20</v>
      </c>
      <c r="B3940" s="2" t="s">
        <v>263</v>
      </c>
      <c r="D3940" s="7" t="s">
        <v>464</v>
      </c>
      <c r="E3940" s="6"/>
      <c r="F3940" s="6"/>
      <c r="G3940" s="57" t="str">
        <f t="shared" si="62"/>
        <v>-</v>
      </c>
      <c r="H3940" s="21">
        <v>92500</v>
      </c>
      <c r="I3940" s="21" t="s">
        <v>465</v>
      </c>
    </row>
    <row r="3941" spans="1:10" x14ac:dyDescent="0.2">
      <c r="A3941" s="1" t="s">
        <v>20</v>
      </c>
      <c r="B3941" s="2" t="s">
        <v>263</v>
      </c>
      <c r="D3941" s="7" t="s">
        <v>464</v>
      </c>
      <c r="E3941" s="6"/>
      <c r="F3941" s="6"/>
      <c r="G3941" s="57" t="str">
        <f t="shared" si="62"/>
        <v>-</v>
      </c>
      <c r="H3941" s="21">
        <v>92500</v>
      </c>
      <c r="I3941" s="21" t="s">
        <v>465</v>
      </c>
    </row>
    <row r="3942" spans="1:10" x14ac:dyDescent="0.2">
      <c r="A3942" s="1" t="s">
        <v>20</v>
      </c>
      <c r="B3942" s="2" t="s">
        <v>263</v>
      </c>
      <c r="D3942" s="7" t="s">
        <v>464</v>
      </c>
      <c r="E3942" s="6"/>
      <c r="F3942" s="6"/>
      <c r="G3942" s="57" t="str">
        <f t="shared" si="62"/>
        <v>-</v>
      </c>
      <c r="H3942" s="21">
        <v>92500</v>
      </c>
      <c r="I3942" s="21" t="s">
        <v>465</v>
      </c>
    </row>
    <row r="3943" spans="1:10" x14ac:dyDescent="0.2">
      <c r="A3943" s="1" t="s">
        <v>20</v>
      </c>
      <c r="B3943" s="2" t="s">
        <v>263</v>
      </c>
      <c r="D3943" s="7" t="s">
        <v>464</v>
      </c>
      <c r="E3943" s="6"/>
      <c r="F3943" s="6"/>
      <c r="G3943" s="57" t="str">
        <f t="shared" si="62"/>
        <v>-</v>
      </c>
      <c r="H3943" s="21">
        <v>92500</v>
      </c>
      <c r="I3943" s="21" t="s">
        <v>465</v>
      </c>
    </row>
    <row r="3944" spans="1:10" x14ac:dyDescent="0.2">
      <c r="A3944" s="1" t="s">
        <v>20</v>
      </c>
      <c r="B3944" s="2" t="s">
        <v>263</v>
      </c>
      <c r="D3944" s="7" t="s">
        <v>464</v>
      </c>
      <c r="E3944" s="6"/>
      <c r="F3944" s="6"/>
      <c r="G3944" s="57" t="str">
        <f t="shared" si="62"/>
        <v>-</v>
      </c>
      <c r="H3944" s="21">
        <v>92500</v>
      </c>
      <c r="I3944" s="21" t="s">
        <v>465</v>
      </c>
    </row>
    <row r="3945" spans="1:10" x14ac:dyDescent="0.2">
      <c r="A3945" s="1" t="s">
        <v>20</v>
      </c>
      <c r="B3945" s="2" t="s">
        <v>263</v>
      </c>
      <c r="D3945" s="7" t="s">
        <v>464</v>
      </c>
      <c r="E3945" s="6"/>
      <c r="F3945" s="6"/>
      <c r="G3945" s="57" t="str">
        <f t="shared" si="62"/>
        <v>-</v>
      </c>
      <c r="H3945" s="21" t="s">
        <v>465</v>
      </c>
      <c r="I3945" s="21">
        <v>92500</v>
      </c>
    </row>
    <row r="3946" spans="1:10" x14ac:dyDescent="0.2">
      <c r="A3946" s="1" t="s">
        <v>20</v>
      </c>
      <c r="B3946" s="2" t="s">
        <v>263</v>
      </c>
      <c r="D3946" s="7" t="s">
        <v>464</v>
      </c>
      <c r="E3946" s="6"/>
      <c r="F3946" s="6"/>
      <c r="G3946" s="57" t="str">
        <f t="shared" si="62"/>
        <v>-</v>
      </c>
      <c r="H3946" s="21" t="s">
        <v>465</v>
      </c>
      <c r="I3946" s="21">
        <v>92500</v>
      </c>
    </row>
    <row r="3947" spans="1:10" x14ac:dyDescent="0.2">
      <c r="A3947" s="1" t="s">
        <v>20</v>
      </c>
      <c r="B3947" s="2" t="s">
        <v>263</v>
      </c>
      <c r="D3947" s="7" t="s">
        <v>464</v>
      </c>
      <c r="E3947" s="6"/>
      <c r="F3947" s="6"/>
      <c r="G3947" s="57" t="str">
        <f t="shared" si="62"/>
        <v>-</v>
      </c>
      <c r="H3947" s="21" t="s">
        <v>465</v>
      </c>
      <c r="I3947" s="21">
        <v>92500</v>
      </c>
    </row>
    <row r="3948" spans="1:10" x14ac:dyDescent="0.2">
      <c r="A3948" s="1" t="s">
        <v>20</v>
      </c>
      <c r="B3948" s="2" t="s">
        <v>263</v>
      </c>
      <c r="D3948" s="7" t="s">
        <v>464</v>
      </c>
      <c r="E3948" s="6"/>
      <c r="F3948" s="6"/>
      <c r="G3948" s="57" t="str">
        <f t="shared" si="62"/>
        <v>-</v>
      </c>
      <c r="H3948" s="21" t="s">
        <v>465</v>
      </c>
      <c r="I3948" s="21">
        <v>92500</v>
      </c>
    </row>
    <row r="3949" spans="1:10" x14ac:dyDescent="0.2">
      <c r="A3949" s="1" t="s">
        <v>20</v>
      </c>
      <c r="B3949" s="2" t="s">
        <v>263</v>
      </c>
      <c r="D3949" s="7" t="s">
        <v>464</v>
      </c>
      <c r="E3949" s="6"/>
      <c r="F3949" s="6"/>
      <c r="G3949" s="57" t="str">
        <f t="shared" si="62"/>
        <v>-</v>
      </c>
      <c r="H3949" s="21" t="s">
        <v>465</v>
      </c>
      <c r="I3949" s="21">
        <v>92500</v>
      </c>
    </row>
    <row r="3950" spans="1:10" x14ac:dyDescent="0.2">
      <c r="A3950" s="1" t="s">
        <v>20</v>
      </c>
      <c r="B3950" s="2" t="s">
        <v>263</v>
      </c>
      <c r="D3950" s="7" t="s">
        <v>464</v>
      </c>
      <c r="E3950" s="6"/>
      <c r="F3950" s="6"/>
      <c r="G3950" s="57" t="str">
        <f t="shared" si="62"/>
        <v>-</v>
      </c>
      <c r="H3950" s="21" t="s">
        <v>465</v>
      </c>
      <c r="I3950" s="21">
        <v>92500</v>
      </c>
    </row>
    <row r="3951" spans="1:10" x14ac:dyDescent="0.2">
      <c r="A3951" s="1" t="s">
        <v>20</v>
      </c>
      <c r="B3951" s="2" t="s">
        <v>263</v>
      </c>
      <c r="D3951" s="7" t="s">
        <v>464</v>
      </c>
      <c r="E3951" s="6"/>
      <c r="F3951" s="6"/>
      <c r="G3951" s="57" t="str">
        <f t="shared" ref="G3951:G4014" si="63">IF(ISERROR((F3951-E3951)/E3951),"-",(F3951-E3951)/E3951)</f>
        <v>-</v>
      </c>
      <c r="H3951" s="21">
        <v>97500</v>
      </c>
      <c r="I3951" s="21" t="s">
        <v>465</v>
      </c>
    </row>
    <row r="3952" spans="1:10" x14ac:dyDescent="0.2">
      <c r="A3952" s="1" t="s">
        <v>20</v>
      </c>
      <c r="B3952" s="2" t="s">
        <v>263</v>
      </c>
      <c r="D3952" s="7" t="s">
        <v>464</v>
      </c>
      <c r="E3952" s="6"/>
      <c r="F3952" s="6"/>
      <c r="G3952" s="57" t="str">
        <f t="shared" si="63"/>
        <v>-</v>
      </c>
      <c r="H3952" s="21">
        <v>97500</v>
      </c>
      <c r="I3952" s="21" t="s">
        <v>465</v>
      </c>
    </row>
    <row r="3953" spans="1:9" s="1" customFormat="1" x14ac:dyDescent="0.2">
      <c r="A3953" s="1" t="s">
        <v>20</v>
      </c>
      <c r="B3953" s="2" t="s">
        <v>263</v>
      </c>
      <c r="C3953" s="5"/>
      <c r="D3953" s="7" t="s">
        <v>464</v>
      </c>
      <c r="E3953" s="6"/>
      <c r="F3953" s="6"/>
      <c r="G3953" s="57" t="str">
        <f t="shared" si="63"/>
        <v>-</v>
      </c>
      <c r="H3953" s="21" t="s">
        <v>465</v>
      </c>
      <c r="I3953" s="21">
        <v>97500</v>
      </c>
    </row>
    <row r="3954" spans="1:9" s="1" customFormat="1" x14ac:dyDescent="0.2">
      <c r="A3954" s="1" t="s">
        <v>20</v>
      </c>
      <c r="B3954" s="2" t="s">
        <v>263</v>
      </c>
      <c r="C3954" s="5"/>
      <c r="D3954" s="7" t="s">
        <v>464</v>
      </c>
      <c r="E3954" s="6"/>
      <c r="F3954" s="6"/>
      <c r="G3954" s="57" t="str">
        <f t="shared" si="63"/>
        <v>-</v>
      </c>
      <c r="H3954" s="21" t="s">
        <v>465</v>
      </c>
      <c r="I3954" s="21">
        <v>97500</v>
      </c>
    </row>
    <row r="3955" spans="1:9" s="1" customFormat="1" x14ac:dyDescent="0.2">
      <c r="A3955" s="1" t="s">
        <v>20</v>
      </c>
      <c r="B3955" s="2" t="s">
        <v>263</v>
      </c>
      <c r="C3955" s="5"/>
      <c r="D3955" s="7" t="s">
        <v>464</v>
      </c>
      <c r="E3955" s="6"/>
      <c r="F3955" s="6"/>
      <c r="G3955" s="57" t="str">
        <f t="shared" si="63"/>
        <v>-</v>
      </c>
      <c r="H3955" s="21" t="s">
        <v>465</v>
      </c>
      <c r="I3955" s="21">
        <v>97500</v>
      </c>
    </row>
    <row r="3956" spans="1:9" s="1" customFormat="1" x14ac:dyDescent="0.2">
      <c r="A3956" s="1" t="s">
        <v>20</v>
      </c>
      <c r="B3956" s="2" t="s">
        <v>263</v>
      </c>
      <c r="C3956" s="5"/>
      <c r="D3956" s="7" t="s">
        <v>464</v>
      </c>
      <c r="E3956" s="6">
        <v>102500</v>
      </c>
      <c r="F3956" s="6" t="s">
        <v>465</v>
      </c>
      <c r="G3956" s="57" t="str">
        <f t="shared" si="63"/>
        <v>-</v>
      </c>
      <c r="H3956" s="21"/>
      <c r="I3956" s="21"/>
    </row>
    <row r="3957" spans="1:9" s="1" customFormat="1" x14ac:dyDescent="0.2">
      <c r="A3957" s="1" t="s">
        <v>20</v>
      </c>
      <c r="B3957" s="2" t="s">
        <v>263</v>
      </c>
      <c r="C3957" s="5"/>
      <c r="D3957" s="7" t="s">
        <v>464</v>
      </c>
      <c r="E3957" s="6">
        <v>102500</v>
      </c>
      <c r="F3957" s="6" t="s">
        <v>465</v>
      </c>
      <c r="G3957" s="57" t="str">
        <f t="shared" si="63"/>
        <v>-</v>
      </c>
      <c r="H3957" s="21"/>
      <c r="I3957" s="21"/>
    </row>
    <row r="3958" spans="1:9" s="1" customFormat="1" x14ac:dyDescent="0.2">
      <c r="A3958" s="1" t="s">
        <v>20</v>
      </c>
      <c r="B3958" s="2" t="s">
        <v>263</v>
      </c>
      <c r="C3958" s="5"/>
      <c r="D3958" s="7" t="s">
        <v>464</v>
      </c>
      <c r="E3958" s="6" t="s">
        <v>465</v>
      </c>
      <c r="F3958" s="6">
        <v>102500</v>
      </c>
      <c r="G3958" s="57" t="str">
        <f t="shared" si="63"/>
        <v>-</v>
      </c>
      <c r="H3958" s="21"/>
      <c r="I3958" s="21"/>
    </row>
    <row r="3959" spans="1:9" s="1" customFormat="1" x14ac:dyDescent="0.2">
      <c r="A3959" s="1" t="s">
        <v>20</v>
      </c>
      <c r="B3959" s="2" t="s">
        <v>263</v>
      </c>
      <c r="C3959" s="5"/>
      <c r="D3959" s="7" t="s">
        <v>464</v>
      </c>
      <c r="E3959" s="6" t="s">
        <v>465</v>
      </c>
      <c r="F3959" s="6">
        <v>102500</v>
      </c>
      <c r="G3959" s="57" t="str">
        <f t="shared" si="63"/>
        <v>-</v>
      </c>
      <c r="H3959" s="21"/>
      <c r="I3959" s="21"/>
    </row>
    <row r="3960" spans="1:9" s="1" customFormat="1" x14ac:dyDescent="0.2">
      <c r="A3960" s="1" t="s">
        <v>20</v>
      </c>
      <c r="B3960" s="2" t="s">
        <v>263</v>
      </c>
      <c r="C3960" s="5"/>
      <c r="D3960" s="7" t="s">
        <v>464</v>
      </c>
      <c r="E3960" s="6" t="s">
        <v>465</v>
      </c>
      <c r="F3960" s="6">
        <v>102500</v>
      </c>
      <c r="G3960" s="57" t="str">
        <f t="shared" si="63"/>
        <v>-</v>
      </c>
      <c r="H3960" s="21"/>
      <c r="I3960" s="21"/>
    </row>
    <row r="3961" spans="1:9" s="1" customFormat="1" x14ac:dyDescent="0.2">
      <c r="A3961" s="1" t="s">
        <v>20</v>
      </c>
      <c r="B3961" s="2" t="s">
        <v>263</v>
      </c>
      <c r="C3961" s="5"/>
      <c r="D3961" s="7" t="s">
        <v>464</v>
      </c>
      <c r="E3961" s="6" t="s">
        <v>465</v>
      </c>
      <c r="F3961" s="6">
        <v>102500</v>
      </c>
      <c r="G3961" s="57" t="str">
        <f t="shared" si="63"/>
        <v>-</v>
      </c>
      <c r="H3961" s="21"/>
      <c r="I3961" s="21"/>
    </row>
    <row r="3962" spans="1:9" s="1" customFormat="1" x14ac:dyDescent="0.2">
      <c r="A3962" s="1" t="s">
        <v>20</v>
      </c>
      <c r="B3962" s="2" t="s">
        <v>263</v>
      </c>
      <c r="C3962" s="5"/>
      <c r="D3962" s="7" t="s">
        <v>464</v>
      </c>
      <c r="E3962" s="6" t="s">
        <v>465</v>
      </c>
      <c r="F3962" s="6">
        <v>107500</v>
      </c>
      <c r="G3962" s="57" t="str">
        <f t="shared" si="63"/>
        <v>-</v>
      </c>
      <c r="H3962" s="21"/>
      <c r="I3962" s="21"/>
    </row>
    <row r="3963" spans="1:9" s="1" customFormat="1" x14ac:dyDescent="0.2">
      <c r="A3963" s="1" t="s">
        <v>20</v>
      </c>
      <c r="B3963" s="2" t="s">
        <v>263</v>
      </c>
      <c r="C3963" s="5"/>
      <c r="D3963" s="7" t="s">
        <v>464</v>
      </c>
      <c r="E3963" s="6" t="s">
        <v>465</v>
      </c>
      <c r="F3963" s="6">
        <v>107500</v>
      </c>
      <c r="G3963" s="57" t="str">
        <f t="shared" si="63"/>
        <v>-</v>
      </c>
      <c r="H3963" s="21"/>
      <c r="I3963" s="21"/>
    </row>
    <row r="3964" spans="1:9" s="1" customFormat="1" x14ac:dyDescent="0.2">
      <c r="A3964" s="1" t="s">
        <v>20</v>
      </c>
      <c r="B3964" s="2" t="s">
        <v>263</v>
      </c>
      <c r="C3964" s="5"/>
      <c r="D3964" s="7" t="s">
        <v>464</v>
      </c>
      <c r="E3964" s="6" t="s">
        <v>465</v>
      </c>
      <c r="F3964" s="6">
        <v>107500</v>
      </c>
      <c r="G3964" s="57" t="str">
        <f t="shared" si="63"/>
        <v>-</v>
      </c>
      <c r="H3964" s="21"/>
      <c r="I3964" s="21"/>
    </row>
    <row r="3965" spans="1:9" s="1" customFormat="1" x14ac:dyDescent="0.2">
      <c r="A3965" s="1" t="s">
        <v>20</v>
      </c>
      <c r="B3965" s="2" t="s">
        <v>263</v>
      </c>
      <c r="C3965" s="5"/>
      <c r="D3965" s="7" t="s">
        <v>464</v>
      </c>
      <c r="E3965" s="6" t="s">
        <v>465</v>
      </c>
      <c r="F3965" s="6">
        <v>112500</v>
      </c>
      <c r="G3965" s="57" t="str">
        <f t="shared" si="63"/>
        <v>-</v>
      </c>
      <c r="H3965" s="21"/>
      <c r="I3965" s="21"/>
    </row>
    <row r="3966" spans="1:9" s="1" customFormat="1" x14ac:dyDescent="0.2">
      <c r="A3966" s="1" t="s">
        <v>20</v>
      </c>
      <c r="B3966" s="2" t="s">
        <v>263</v>
      </c>
      <c r="C3966" s="5"/>
      <c r="D3966" s="7" t="s">
        <v>464</v>
      </c>
      <c r="E3966" s="6" t="s">
        <v>465</v>
      </c>
      <c r="F3966" s="6">
        <v>112500</v>
      </c>
      <c r="G3966" s="57" t="str">
        <f t="shared" si="63"/>
        <v>-</v>
      </c>
      <c r="H3966" s="21"/>
      <c r="I3966" s="21"/>
    </row>
    <row r="3967" spans="1:9" s="1" customFormat="1" x14ac:dyDescent="0.2">
      <c r="A3967" s="1" t="s">
        <v>20</v>
      </c>
      <c r="B3967" s="2" t="s">
        <v>263</v>
      </c>
      <c r="C3967" s="5"/>
      <c r="D3967" s="7" t="s">
        <v>464</v>
      </c>
      <c r="E3967" s="6">
        <v>117500</v>
      </c>
      <c r="F3967" s="6" t="s">
        <v>465</v>
      </c>
      <c r="G3967" s="57" t="str">
        <f t="shared" si="63"/>
        <v>-</v>
      </c>
      <c r="H3967" s="21"/>
      <c r="I3967" s="21"/>
    </row>
    <row r="3968" spans="1:9" s="1" customFormat="1" x14ac:dyDescent="0.2">
      <c r="A3968" s="1" t="s">
        <v>20</v>
      </c>
      <c r="B3968" s="2" t="s">
        <v>263</v>
      </c>
      <c r="C3968" s="5"/>
      <c r="D3968" s="7" t="s">
        <v>464</v>
      </c>
      <c r="E3968" s="6" t="s">
        <v>465</v>
      </c>
      <c r="F3968" s="6">
        <v>127500</v>
      </c>
      <c r="G3968" s="57" t="str">
        <f t="shared" si="63"/>
        <v>-</v>
      </c>
      <c r="H3968" s="21"/>
      <c r="I3968" s="21"/>
    </row>
    <row r="3969" spans="1:10" x14ac:dyDescent="0.2">
      <c r="A3969" s="1" t="s">
        <v>20</v>
      </c>
      <c r="B3969" s="2" t="s">
        <v>263</v>
      </c>
      <c r="D3969" s="7" t="s">
        <v>464</v>
      </c>
      <c r="E3969" s="6" t="s">
        <v>465</v>
      </c>
      <c r="F3969" s="6">
        <v>127500</v>
      </c>
      <c r="G3969" s="57" t="str">
        <f t="shared" si="63"/>
        <v>-</v>
      </c>
      <c r="H3969" s="21"/>
      <c r="I3969" s="21"/>
    </row>
    <row r="3970" spans="1:10" x14ac:dyDescent="0.2">
      <c r="A3970" s="1" t="s">
        <v>20</v>
      </c>
      <c r="B3970" s="2" t="s">
        <v>263</v>
      </c>
      <c r="D3970" s="7" t="s">
        <v>464</v>
      </c>
      <c r="E3970" s="6" t="s">
        <v>465</v>
      </c>
      <c r="F3970" s="6">
        <v>132500</v>
      </c>
      <c r="G3970" s="57" t="str">
        <f t="shared" si="63"/>
        <v>-</v>
      </c>
      <c r="H3970" s="21"/>
      <c r="I3970" s="21"/>
    </row>
    <row r="3971" spans="1:10" x14ac:dyDescent="0.2">
      <c r="A3971" s="1" t="s">
        <v>20</v>
      </c>
      <c r="B3971" s="2" t="s">
        <v>263</v>
      </c>
      <c r="D3971" s="7" t="s">
        <v>464</v>
      </c>
      <c r="E3971" s="6">
        <v>167500</v>
      </c>
      <c r="F3971" s="6" t="s">
        <v>465</v>
      </c>
      <c r="G3971" s="57" t="str">
        <f t="shared" si="63"/>
        <v>-</v>
      </c>
      <c r="H3971" s="21"/>
      <c r="I3971" s="21"/>
    </row>
    <row r="3972" spans="1:10" x14ac:dyDescent="0.2">
      <c r="A3972" s="1" t="s">
        <v>20</v>
      </c>
      <c r="B3972" s="2" t="s">
        <v>263</v>
      </c>
      <c r="D3972" s="7" t="s">
        <v>464</v>
      </c>
      <c r="E3972" s="6" t="s">
        <v>465</v>
      </c>
      <c r="F3972" s="6">
        <v>177500</v>
      </c>
      <c r="G3972" s="57" t="str">
        <f t="shared" si="63"/>
        <v>-</v>
      </c>
      <c r="H3972" s="21"/>
      <c r="I3972" s="21"/>
    </row>
    <row r="3973" spans="1:10" ht="38.25" x14ac:dyDescent="0.2">
      <c r="A3973" s="1" t="s">
        <v>1</v>
      </c>
      <c r="B3973" s="2" t="s">
        <v>264</v>
      </c>
      <c r="C3973" s="5" t="s">
        <v>1145</v>
      </c>
      <c r="D3973" s="5" t="s">
        <v>450</v>
      </c>
      <c r="E3973" s="3">
        <f>106153+18251</f>
        <v>124404</v>
      </c>
      <c r="F3973" s="3">
        <f>127282+23041</f>
        <v>150323</v>
      </c>
      <c r="G3973" s="57">
        <f t="shared" si="63"/>
        <v>0.20834539082344619</v>
      </c>
      <c r="J3973" s="5" t="s">
        <v>3068</v>
      </c>
    </row>
    <row r="3974" spans="1:10" ht="25.5" x14ac:dyDescent="0.2">
      <c r="A3974" s="1" t="s">
        <v>1</v>
      </c>
      <c r="B3974" s="2" t="s">
        <v>264</v>
      </c>
      <c r="C3974" s="5" t="s">
        <v>1146</v>
      </c>
      <c r="D3974" s="5" t="s">
        <v>1147</v>
      </c>
      <c r="E3974" s="3">
        <f>90383+15498</f>
        <v>105881</v>
      </c>
      <c r="F3974" s="3">
        <f>100137+18089</f>
        <v>118226</v>
      </c>
      <c r="G3974" s="57">
        <f t="shared" si="63"/>
        <v>0.11659315646811043</v>
      </c>
      <c r="J3974" s="5" t="s">
        <v>3069</v>
      </c>
    </row>
    <row r="3975" spans="1:10" ht="25.5" x14ac:dyDescent="0.2">
      <c r="A3975" s="1" t="s">
        <v>1</v>
      </c>
      <c r="B3975" s="2" t="s">
        <v>264</v>
      </c>
      <c r="C3975" s="5" t="s">
        <v>1148</v>
      </c>
      <c r="D3975" s="5" t="s">
        <v>1149</v>
      </c>
      <c r="E3975" s="3">
        <f>99527+17083</f>
        <v>116610</v>
      </c>
      <c r="F3975" s="3">
        <f>100144+18089</f>
        <v>118233</v>
      </c>
      <c r="G3975" s="57">
        <f t="shared" si="63"/>
        <v>1.3918188834576795E-2</v>
      </c>
      <c r="J3975" s="5" t="s">
        <v>3070</v>
      </c>
    </row>
    <row r="3976" spans="1:10" ht="25.5" x14ac:dyDescent="0.2">
      <c r="A3976" s="1" t="s">
        <v>34</v>
      </c>
      <c r="B3976" s="2" t="s">
        <v>265</v>
      </c>
      <c r="C3976" s="5" t="s">
        <v>1143</v>
      </c>
      <c r="D3976" s="5" t="s">
        <v>450</v>
      </c>
      <c r="E3976" s="3">
        <v>100912.1</v>
      </c>
      <c r="F3976" s="3">
        <v>115518.42</v>
      </c>
      <c r="G3976" s="57">
        <f t="shared" si="63"/>
        <v>0.14474299910516172</v>
      </c>
      <c r="J3976" s="5" t="s">
        <v>3066</v>
      </c>
    </row>
    <row r="3977" spans="1:10" ht="25.5" x14ac:dyDescent="0.2">
      <c r="A3977" s="1" t="s">
        <v>34</v>
      </c>
      <c r="B3977" s="2" t="s">
        <v>265</v>
      </c>
      <c r="C3977" s="5" t="s">
        <v>1144</v>
      </c>
      <c r="D3977" s="5" t="s">
        <v>3067</v>
      </c>
      <c r="E3977" s="3">
        <v>100732.27</v>
      </c>
      <c r="F3977" s="3">
        <v>118822.44</v>
      </c>
      <c r="G3977" s="57">
        <f t="shared" si="63"/>
        <v>0.17958664090464752</v>
      </c>
      <c r="J3977" s="5" t="s">
        <v>4669</v>
      </c>
    </row>
    <row r="3978" spans="1:10" ht="25.5" x14ac:dyDescent="0.2">
      <c r="A3978" s="1" t="s">
        <v>34</v>
      </c>
      <c r="B3978" s="2" t="s">
        <v>266</v>
      </c>
      <c r="D3978" s="5" t="s">
        <v>450</v>
      </c>
      <c r="E3978" s="3">
        <v>110059</v>
      </c>
      <c r="F3978" s="3">
        <v>107634</v>
      </c>
      <c r="G3978" s="57">
        <f t="shared" si="63"/>
        <v>-2.2033636504056917E-2</v>
      </c>
      <c r="J3978" s="5" t="s">
        <v>3065</v>
      </c>
    </row>
    <row r="3979" spans="1:10" x14ac:dyDescent="0.2">
      <c r="A3979" s="1" t="s">
        <v>11</v>
      </c>
      <c r="B3979" s="2" t="s">
        <v>267</v>
      </c>
      <c r="D3979" s="5" t="s">
        <v>464</v>
      </c>
      <c r="G3979" s="57" t="str">
        <f t="shared" si="63"/>
        <v>-</v>
      </c>
      <c r="H3979" s="19">
        <v>95000</v>
      </c>
      <c r="I3979" s="19" t="s">
        <v>465</v>
      </c>
    </row>
    <row r="3980" spans="1:10" x14ac:dyDescent="0.2">
      <c r="A3980" s="1" t="s">
        <v>11</v>
      </c>
      <c r="B3980" s="2" t="s">
        <v>267</v>
      </c>
      <c r="D3980" s="5" t="s">
        <v>464</v>
      </c>
      <c r="G3980" s="57" t="str">
        <f t="shared" si="63"/>
        <v>-</v>
      </c>
      <c r="H3980" s="19" t="s">
        <v>465</v>
      </c>
      <c r="I3980" s="19">
        <v>95000</v>
      </c>
    </row>
    <row r="3981" spans="1:10" ht="25.5" x14ac:dyDescent="0.2">
      <c r="A3981" s="1" t="s">
        <v>8</v>
      </c>
      <c r="B3981" s="2" t="s">
        <v>268</v>
      </c>
      <c r="C3981" s="5" t="s">
        <v>1142</v>
      </c>
      <c r="D3981" s="5" t="s">
        <v>450</v>
      </c>
      <c r="E3981" s="3">
        <v>128806</v>
      </c>
      <c r="F3981" s="3">
        <v>349074</v>
      </c>
      <c r="G3981" s="57">
        <f t="shared" si="63"/>
        <v>1.7100756175954537</v>
      </c>
      <c r="J3981" s="5" t="s">
        <v>3064</v>
      </c>
    </row>
    <row r="3982" spans="1:10" ht="25.5" x14ac:dyDescent="0.2">
      <c r="A3982" s="1" t="s">
        <v>28</v>
      </c>
      <c r="B3982" s="2" t="s">
        <v>269</v>
      </c>
      <c r="C3982" s="5" t="s">
        <v>1138</v>
      </c>
      <c r="D3982" s="5" t="s">
        <v>450</v>
      </c>
      <c r="E3982" s="3">
        <v>183194</v>
      </c>
      <c r="F3982" s="3">
        <v>184667</v>
      </c>
      <c r="G3982" s="57">
        <f t="shared" si="63"/>
        <v>8.0406563533740195E-3</v>
      </c>
      <c r="J3982" s="5" t="s">
        <v>3058</v>
      </c>
    </row>
    <row r="3983" spans="1:10" ht="25.5" x14ac:dyDescent="0.2">
      <c r="A3983" s="1" t="s">
        <v>28</v>
      </c>
      <c r="B3983" s="2" t="s">
        <v>269</v>
      </c>
      <c r="D3983" s="5" t="s">
        <v>455</v>
      </c>
      <c r="E3983" s="3">
        <v>151936</v>
      </c>
      <c r="F3983" s="3">
        <v>152970</v>
      </c>
      <c r="G3983" s="57">
        <f t="shared" si="63"/>
        <v>6.8054970513900586E-3</v>
      </c>
      <c r="J3983" s="5" t="s">
        <v>3059</v>
      </c>
    </row>
    <row r="3984" spans="1:10" ht="25.5" x14ac:dyDescent="0.2">
      <c r="A3984" s="1" t="s">
        <v>28</v>
      </c>
      <c r="B3984" s="2" t="s">
        <v>269</v>
      </c>
      <c r="D3984" s="5" t="s">
        <v>1139</v>
      </c>
      <c r="E3984" s="3">
        <v>125293</v>
      </c>
      <c r="F3984" s="3">
        <v>147238</v>
      </c>
      <c r="G3984" s="57">
        <f t="shared" si="63"/>
        <v>0.17514944968992682</v>
      </c>
      <c r="J3984" s="5" t="s">
        <v>3060</v>
      </c>
    </row>
    <row r="3985" spans="1:10" ht="25.5" x14ac:dyDescent="0.2">
      <c r="A3985" s="1" t="s">
        <v>28</v>
      </c>
      <c r="B3985" s="2" t="s">
        <v>269</v>
      </c>
      <c r="D3985" s="5" t="s">
        <v>1140</v>
      </c>
      <c r="E3985" s="3">
        <v>131974</v>
      </c>
      <c r="F3985" s="3">
        <v>146626</v>
      </c>
      <c r="G3985" s="57">
        <f t="shared" si="63"/>
        <v>0.11102186794368588</v>
      </c>
      <c r="J3985" s="5" t="s">
        <v>3061</v>
      </c>
    </row>
    <row r="3986" spans="1:10" ht="25.5" x14ac:dyDescent="0.2">
      <c r="A3986" s="1" t="s">
        <v>28</v>
      </c>
      <c r="B3986" s="2" t="s">
        <v>269</v>
      </c>
      <c r="D3986" s="5" t="s">
        <v>1141</v>
      </c>
      <c r="E3986" s="3">
        <v>146334</v>
      </c>
      <c r="F3986" s="3">
        <v>146168</v>
      </c>
      <c r="G3986" s="57">
        <f t="shared" si="63"/>
        <v>-1.1343911872838848E-3</v>
      </c>
      <c r="J3986" s="5" t="s">
        <v>3062</v>
      </c>
    </row>
    <row r="3987" spans="1:10" ht="25.5" x14ac:dyDescent="0.2">
      <c r="A3987" s="1" t="s">
        <v>28</v>
      </c>
      <c r="B3987" s="2" t="s">
        <v>269</v>
      </c>
      <c r="D3987" s="5" t="s">
        <v>487</v>
      </c>
      <c r="E3987" s="3" t="s">
        <v>465</v>
      </c>
      <c r="F3987" s="3">
        <v>104199</v>
      </c>
      <c r="G3987" s="57" t="str">
        <f t="shared" si="63"/>
        <v>-</v>
      </c>
      <c r="J3987" s="5" t="s">
        <v>3063</v>
      </c>
    </row>
    <row r="3988" spans="1:10" x14ac:dyDescent="0.2">
      <c r="A3988" s="1" t="s">
        <v>28</v>
      </c>
      <c r="B3988" s="2" t="s">
        <v>269</v>
      </c>
      <c r="D3988" s="5" t="s">
        <v>464</v>
      </c>
      <c r="E3988" s="3" t="s">
        <v>465</v>
      </c>
      <c r="F3988" s="3">
        <v>107500</v>
      </c>
      <c r="G3988" s="57" t="str">
        <f t="shared" si="63"/>
        <v>-</v>
      </c>
    </row>
    <row r="3989" spans="1:10" x14ac:dyDescent="0.2">
      <c r="A3989" s="1" t="s">
        <v>28</v>
      </c>
      <c r="B3989" s="2" t="s">
        <v>269</v>
      </c>
      <c r="D3989" s="5" t="s">
        <v>464</v>
      </c>
      <c r="E3989" s="3" t="s">
        <v>465</v>
      </c>
      <c r="F3989" s="3">
        <v>127500</v>
      </c>
      <c r="G3989" s="57" t="str">
        <f t="shared" si="63"/>
        <v>-</v>
      </c>
    </row>
    <row r="3990" spans="1:10" x14ac:dyDescent="0.2">
      <c r="A3990" s="1" t="s">
        <v>20</v>
      </c>
      <c r="B3990" s="2" t="s">
        <v>270</v>
      </c>
      <c r="C3990" s="5" t="s">
        <v>1131</v>
      </c>
      <c r="D3990" s="5" t="s">
        <v>450</v>
      </c>
      <c r="E3990" s="3">
        <v>142789</v>
      </c>
      <c r="F3990" s="3">
        <v>142789</v>
      </c>
      <c r="G3990" s="57">
        <f t="shared" si="63"/>
        <v>0</v>
      </c>
      <c r="J3990" s="5" t="s">
        <v>3054</v>
      </c>
    </row>
    <row r="3991" spans="1:10" ht="25.5" x14ac:dyDescent="0.2">
      <c r="A3991" s="1" t="s">
        <v>20</v>
      </c>
      <c r="B3991" s="2" t="s">
        <v>270</v>
      </c>
      <c r="C3991" s="5" t="s">
        <v>1132</v>
      </c>
      <c r="D3991" s="5" t="s">
        <v>1133</v>
      </c>
      <c r="E3991" s="3">
        <v>106212</v>
      </c>
      <c r="F3991" s="3">
        <v>106212</v>
      </c>
      <c r="G3991" s="57">
        <f t="shared" si="63"/>
        <v>0</v>
      </c>
      <c r="J3991" s="5" t="s">
        <v>3055</v>
      </c>
    </row>
    <row r="3992" spans="1:10" x14ac:dyDescent="0.2">
      <c r="A3992" s="1" t="s">
        <v>20</v>
      </c>
      <c r="B3992" s="2" t="s">
        <v>270</v>
      </c>
      <c r="C3992" s="5" t="s">
        <v>1134</v>
      </c>
      <c r="D3992" s="5" t="s">
        <v>1135</v>
      </c>
      <c r="E3992" s="3">
        <v>106179</v>
      </c>
      <c r="F3992" s="3">
        <v>106212</v>
      </c>
      <c r="G3992" s="57">
        <f t="shared" si="63"/>
        <v>3.1079592009719434E-4</v>
      </c>
      <c r="J3992" s="5" t="s">
        <v>3056</v>
      </c>
    </row>
    <row r="3993" spans="1:10" ht="25.5" x14ac:dyDescent="0.2">
      <c r="A3993" s="1" t="s">
        <v>20</v>
      </c>
      <c r="B3993" s="2" t="s">
        <v>270</v>
      </c>
      <c r="C3993" s="5" t="s">
        <v>1136</v>
      </c>
      <c r="D3993" s="5" t="s">
        <v>1137</v>
      </c>
      <c r="E3993" s="3">
        <v>95930</v>
      </c>
      <c r="F3993" s="3">
        <v>100036</v>
      </c>
      <c r="G3993" s="57">
        <f t="shared" si="63"/>
        <v>4.280204315646826E-2</v>
      </c>
      <c r="J3993" s="5" t="s">
        <v>3057</v>
      </c>
    </row>
    <row r="3994" spans="1:10" x14ac:dyDescent="0.2">
      <c r="A3994" s="1" t="s">
        <v>8</v>
      </c>
      <c r="B3994" s="2" t="s">
        <v>271</v>
      </c>
      <c r="D3994" s="5" t="s">
        <v>464</v>
      </c>
      <c r="E3994" s="3">
        <v>102500</v>
      </c>
      <c r="F3994" s="3" t="s">
        <v>465</v>
      </c>
      <c r="G3994" s="57" t="str">
        <f t="shared" si="63"/>
        <v>-</v>
      </c>
    </row>
    <row r="3995" spans="1:10" x14ac:dyDescent="0.2">
      <c r="A3995" s="1" t="s">
        <v>8</v>
      </c>
      <c r="B3995" s="2" t="s">
        <v>271</v>
      </c>
      <c r="D3995" s="5" t="s">
        <v>464</v>
      </c>
      <c r="E3995" s="3" t="s">
        <v>465</v>
      </c>
      <c r="F3995" s="3">
        <v>102500</v>
      </c>
      <c r="G3995" s="57" t="str">
        <f t="shared" si="63"/>
        <v>-</v>
      </c>
    </row>
    <row r="3996" spans="1:10" x14ac:dyDescent="0.2">
      <c r="A3996" s="1" t="s">
        <v>1</v>
      </c>
      <c r="B3996" s="2" t="s">
        <v>272</v>
      </c>
      <c r="C3996" s="5" t="s">
        <v>1118</v>
      </c>
      <c r="D3996" s="7" t="s">
        <v>450</v>
      </c>
      <c r="E3996" s="6">
        <f>162068+16164</f>
        <v>178232</v>
      </c>
      <c r="F3996" s="6">
        <f>161239+16591</f>
        <v>177830</v>
      </c>
      <c r="G3996" s="57">
        <f t="shared" si="63"/>
        <v>-2.2554872301270255E-3</v>
      </c>
      <c r="H3996" s="21"/>
      <c r="I3996" s="21"/>
      <c r="J3996" s="7" t="s">
        <v>3048</v>
      </c>
    </row>
    <row r="3997" spans="1:10" x14ac:dyDescent="0.2">
      <c r="A3997" s="1" t="s">
        <v>1</v>
      </c>
      <c r="B3997" s="2" t="s">
        <v>272</v>
      </c>
      <c r="C3997" s="5" t="s">
        <v>1119</v>
      </c>
      <c r="D3997" s="7" t="s">
        <v>451</v>
      </c>
      <c r="E3997" s="6">
        <f>100977+9905</f>
        <v>110882</v>
      </c>
      <c r="F3997" s="6">
        <f>165470+11043</f>
        <v>176513</v>
      </c>
      <c r="G3997" s="57">
        <f t="shared" si="63"/>
        <v>0.5918994967623239</v>
      </c>
      <c r="H3997" s="21"/>
      <c r="I3997" s="21"/>
      <c r="J3997" s="7" t="s">
        <v>3049</v>
      </c>
    </row>
    <row r="3998" spans="1:10" ht="25.5" x14ac:dyDescent="0.2">
      <c r="A3998" s="1" t="s">
        <v>1</v>
      </c>
      <c r="B3998" s="2" t="s">
        <v>272</v>
      </c>
      <c r="C3998" s="5" t="s">
        <v>1120</v>
      </c>
      <c r="D3998" s="7" t="s">
        <v>1121</v>
      </c>
      <c r="E3998" s="6">
        <f>119258+12031</f>
        <v>131289</v>
      </c>
      <c r="F3998" s="6">
        <f>122233+12712</f>
        <v>134945</v>
      </c>
      <c r="G3998" s="57">
        <f t="shared" si="63"/>
        <v>2.7846963568920472E-2</v>
      </c>
      <c r="H3998" s="21"/>
      <c r="I3998" s="21"/>
      <c r="J3998" s="7" t="s">
        <v>3050</v>
      </c>
    </row>
    <row r="3999" spans="1:10" x14ac:dyDescent="0.2">
      <c r="A3999" s="1" t="s">
        <v>1</v>
      </c>
      <c r="B3999" s="2" t="s">
        <v>272</v>
      </c>
      <c r="C3999" s="5" t="s">
        <v>1122</v>
      </c>
      <c r="D3999" s="7" t="s">
        <v>1123</v>
      </c>
      <c r="E3999" s="6">
        <f>119355+12041</f>
        <v>131396</v>
      </c>
      <c r="F3999" s="6">
        <f>122133+12702</f>
        <v>134835</v>
      </c>
      <c r="G3999" s="57">
        <f t="shared" si="63"/>
        <v>2.6172790648117141E-2</v>
      </c>
      <c r="H3999" s="21"/>
      <c r="I3999" s="21"/>
      <c r="J3999" s="7" t="s">
        <v>3051</v>
      </c>
    </row>
    <row r="4000" spans="1:10" x14ac:dyDescent="0.2">
      <c r="A4000" s="1" t="s">
        <v>1</v>
      </c>
      <c r="B4000" s="2" t="s">
        <v>272</v>
      </c>
      <c r="C4000" s="5" t="s">
        <v>1124</v>
      </c>
      <c r="D4000" s="7" t="s">
        <v>1125</v>
      </c>
      <c r="E4000" s="6">
        <f>119355+12041</f>
        <v>131396</v>
      </c>
      <c r="F4000" s="6">
        <f>121931+12712</f>
        <v>134643</v>
      </c>
      <c r="G4000" s="57">
        <f t="shared" si="63"/>
        <v>2.4711558951566258E-2</v>
      </c>
      <c r="H4000" s="21"/>
      <c r="I4000" s="21"/>
      <c r="J4000" s="7" t="s">
        <v>3052</v>
      </c>
    </row>
    <row r="4001" spans="1:10" x14ac:dyDescent="0.2">
      <c r="A4001" s="1" t="s">
        <v>1</v>
      </c>
      <c r="B4001" s="2" t="s">
        <v>272</v>
      </c>
      <c r="C4001" s="5" t="s">
        <v>1126</v>
      </c>
      <c r="D4001" s="7" t="s">
        <v>584</v>
      </c>
      <c r="E4001" s="6">
        <f>119062+12010</f>
        <v>131072</v>
      </c>
      <c r="F4001" s="6">
        <f>121932+12681</f>
        <v>134613</v>
      </c>
      <c r="G4001" s="57">
        <f t="shared" si="63"/>
        <v>2.701568603515625E-2</v>
      </c>
      <c r="H4001" s="21"/>
      <c r="I4001" s="21"/>
      <c r="J4001" s="7" t="s">
        <v>3053</v>
      </c>
    </row>
    <row r="4002" spans="1:10" x14ac:dyDescent="0.2">
      <c r="A4002" s="1" t="s">
        <v>1</v>
      </c>
      <c r="B4002" s="2" t="s">
        <v>272</v>
      </c>
      <c r="C4002" s="5" t="s">
        <v>1127</v>
      </c>
      <c r="D4002" s="7" t="s">
        <v>1128</v>
      </c>
      <c r="E4002" s="6">
        <f>119355+12041</f>
        <v>131396</v>
      </c>
      <c r="F4002" s="6">
        <f>121932+12681</f>
        <v>134613</v>
      </c>
      <c r="G4002" s="57">
        <f t="shared" si="63"/>
        <v>2.4483241498980183E-2</v>
      </c>
      <c r="H4002" s="21"/>
      <c r="I4002" s="21"/>
      <c r="J4002" s="7" t="s">
        <v>3053</v>
      </c>
    </row>
    <row r="4003" spans="1:10" ht="25.5" x14ac:dyDescent="0.2">
      <c r="A4003" s="1" t="s">
        <v>1</v>
      </c>
      <c r="B4003" s="2" t="s">
        <v>272</v>
      </c>
      <c r="C4003" s="5" t="s">
        <v>1129</v>
      </c>
      <c r="D4003" s="7" t="s">
        <v>1130</v>
      </c>
      <c r="E4003" s="6">
        <f>96325+9356</f>
        <v>105681</v>
      </c>
      <c r="F4003" s="6">
        <f>98843+9873</f>
        <v>108716</v>
      </c>
      <c r="G4003" s="57">
        <f t="shared" si="63"/>
        <v>2.8718501906681428E-2</v>
      </c>
      <c r="H4003" s="21"/>
      <c r="I4003" s="21"/>
      <c r="J4003" s="7" t="s">
        <v>4378</v>
      </c>
    </row>
    <row r="4004" spans="1:10" x14ac:dyDescent="0.2">
      <c r="A4004" s="1" t="s">
        <v>1</v>
      </c>
      <c r="B4004" s="2" t="s">
        <v>272</v>
      </c>
      <c r="D4004" s="5" t="s">
        <v>464</v>
      </c>
      <c r="G4004" s="57" t="str">
        <f t="shared" si="63"/>
        <v>-</v>
      </c>
      <c r="H4004" s="19">
        <v>92500</v>
      </c>
      <c r="I4004" s="19" t="s">
        <v>465</v>
      </c>
    </row>
    <row r="4005" spans="1:10" x14ac:dyDescent="0.2">
      <c r="A4005" s="1" t="s">
        <v>1</v>
      </c>
      <c r="B4005" s="2" t="s">
        <v>272</v>
      </c>
      <c r="D4005" s="5" t="s">
        <v>464</v>
      </c>
      <c r="G4005" s="57" t="str">
        <f t="shared" si="63"/>
        <v>-</v>
      </c>
      <c r="H4005" s="19">
        <v>92500</v>
      </c>
      <c r="I4005" s="19" t="s">
        <v>465</v>
      </c>
    </row>
    <row r="4006" spans="1:10" x14ac:dyDescent="0.2">
      <c r="A4006" s="1" t="s">
        <v>1</v>
      </c>
      <c r="B4006" s="2" t="s">
        <v>272</v>
      </c>
      <c r="D4006" s="5" t="s">
        <v>464</v>
      </c>
      <c r="G4006" s="57" t="str">
        <f t="shared" si="63"/>
        <v>-</v>
      </c>
      <c r="H4006" s="19">
        <v>92500</v>
      </c>
      <c r="I4006" s="19" t="s">
        <v>465</v>
      </c>
    </row>
    <row r="4007" spans="1:10" x14ac:dyDescent="0.2">
      <c r="A4007" s="1" t="s">
        <v>1</v>
      </c>
      <c r="B4007" s="2" t="s">
        <v>272</v>
      </c>
      <c r="D4007" s="5" t="s">
        <v>464</v>
      </c>
      <c r="G4007" s="57" t="str">
        <f t="shared" si="63"/>
        <v>-</v>
      </c>
      <c r="H4007" s="19" t="s">
        <v>465</v>
      </c>
      <c r="I4007" s="19">
        <v>92500</v>
      </c>
    </row>
    <row r="4008" spans="1:10" x14ac:dyDescent="0.2">
      <c r="A4008" s="1" t="s">
        <v>1</v>
      </c>
      <c r="B4008" s="2" t="s">
        <v>272</v>
      </c>
      <c r="D4008" s="5" t="s">
        <v>464</v>
      </c>
      <c r="G4008" s="57" t="str">
        <f t="shared" si="63"/>
        <v>-</v>
      </c>
      <c r="H4008" s="19" t="s">
        <v>465</v>
      </c>
      <c r="I4008" s="19">
        <v>92500</v>
      </c>
    </row>
    <row r="4009" spans="1:10" x14ac:dyDescent="0.2">
      <c r="A4009" s="1" t="s">
        <v>1</v>
      </c>
      <c r="B4009" s="2" t="s">
        <v>272</v>
      </c>
      <c r="D4009" s="5" t="s">
        <v>464</v>
      </c>
      <c r="G4009" s="57" t="str">
        <f t="shared" si="63"/>
        <v>-</v>
      </c>
      <c r="H4009" s="19" t="s">
        <v>465</v>
      </c>
      <c r="I4009" s="19">
        <v>92500</v>
      </c>
    </row>
    <row r="4010" spans="1:10" x14ac:dyDescent="0.2">
      <c r="A4010" s="1" t="s">
        <v>1</v>
      </c>
      <c r="B4010" s="2" t="s">
        <v>272</v>
      </c>
      <c r="D4010" s="5" t="s">
        <v>464</v>
      </c>
      <c r="G4010" s="57" t="str">
        <f t="shared" si="63"/>
        <v>-</v>
      </c>
      <c r="H4010" s="19" t="s">
        <v>465</v>
      </c>
      <c r="I4010" s="19">
        <v>92500</v>
      </c>
    </row>
    <row r="4011" spans="1:10" x14ac:dyDescent="0.2">
      <c r="A4011" s="1" t="s">
        <v>1</v>
      </c>
      <c r="B4011" s="2" t="s">
        <v>272</v>
      </c>
      <c r="D4011" s="5" t="s">
        <v>464</v>
      </c>
      <c r="G4011" s="57" t="str">
        <f t="shared" si="63"/>
        <v>-</v>
      </c>
      <c r="H4011" s="19" t="s">
        <v>465</v>
      </c>
      <c r="I4011" s="19">
        <v>92500</v>
      </c>
    </row>
    <row r="4012" spans="1:10" x14ac:dyDescent="0.2">
      <c r="A4012" s="1" t="s">
        <v>1</v>
      </c>
      <c r="B4012" s="2" t="s">
        <v>272</v>
      </c>
      <c r="D4012" s="5" t="s">
        <v>464</v>
      </c>
      <c r="G4012" s="57" t="str">
        <f t="shared" si="63"/>
        <v>-</v>
      </c>
      <c r="H4012" s="19" t="s">
        <v>465</v>
      </c>
      <c r="I4012" s="19">
        <v>92500</v>
      </c>
    </row>
    <row r="4013" spans="1:10" x14ac:dyDescent="0.2">
      <c r="A4013" s="1" t="s">
        <v>1</v>
      </c>
      <c r="B4013" s="2" t="s">
        <v>272</v>
      </c>
      <c r="D4013" s="5" t="s">
        <v>464</v>
      </c>
      <c r="G4013" s="57" t="str">
        <f t="shared" si="63"/>
        <v>-</v>
      </c>
      <c r="H4013" s="19" t="s">
        <v>465</v>
      </c>
      <c r="I4013" s="19">
        <v>92500</v>
      </c>
    </row>
    <row r="4014" spans="1:10" x14ac:dyDescent="0.2">
      <c r="A4014" s="1" t="s">
        <v>1</v>
      </c>
      <c r="B4014" s="2" t="s">
        <v>272</v>
      </c>
      <c r="D4014" s="5" t="s">
        <v>464</v>
      </c>
      <c r="G4014" s="57" t="str">
        <f t="shared" si="63"/>
        <v>-</v>
      </c>
      <c r="H4014" s="19" t="s">
        <v>465</v>
      </c>
      <c r="I4014" s="19">
        <v>92500</v>
      </c>
    </row>
    <row r="4015" spans="1:10" x14ac:dyDescent="0.2">
      <c r="A4015" s="1" t="s">
        <v>1</v>
      </c>
      <c r="B4015" s="2" t="s">
        <v>272</v>
      </c>
      <c r="D4015" s="5" t="s">
        <v>464</v>
      </c>
      <c r="G4015" s="57" t="str">
        <f t="shared" ref="G4015:G4078" si="64">IF(ISERROR((F4015-E4015)/E4015),"-",(F4015-E4015)/E4015)</f>
        <v>-</v>
      </c>
      <c r="H4015" s="19" t="s">
        <v>465</v>
      </c>
      <c r="I4015" s="19">
        <v>92500</v>
      </c>
    </row>
    <row r="4016" spans="1:10" x14ac:dyDescent="0.2">
      <c r="A4016" s="1" t="s">
        <v>1</v>
      </c>
      <c r="B4016" s="2" t="s">
        <v>272</v>
      </c>
      <c r="D4016" s="5" t="s">
        <v>464</v>
      </c>
      <c r="G4016" s="57" t="str">
        <f t="shared" si="64"/>
        <v>-</v>
      </c>
      <c r="H4016" s="19" t="s">
        <v>465</v>
      </c>
      <c r="I4016" s="19">
        <v>92500</v>
      </c>
    </row>
    <row r="4017" spans="1:10" x14ac:dyDescent="0.2">
      <c r="A4017" s="1" t="s">
        <v>1</v>
      </c>
      <c r="B4017" s="2" t="s">
        <v>272</v>
      </c>
      <c r="D4017" s="5" t="s">
        <v>464</v>
      </c>
      <c r="E4017" s="3" t="s">
        <v>465</v>
      </c>
      <c r="F4017" s="3">
        <v>107500</v>
      </c>
      <c r="G4017" s="57" t="str">
        <f t="shared" si="64"/>
        <v>-</v>
      </c>
    </row>
    <row r="4018" spans="1:10" ht="25.5" x14ac:dyDescent="0.2">
      <c r="A4018" s="1" t="s">
        <v>28</v>
      </c>
      <c r="B4018" s="2" t="s">
        <v>273</v>
      </c>
      <c r="D4018" s="5" t="s">
        <v>450</v>
      </c>
      <c r="E4018" s="3">
        <v>169801</v>
      </c>
      <c r="F4018" s="3">
        <v>163762</v>
      </c>
      <c r="G4018" s="57">
        <f t="shared" si="64"/>
        <v>-3.556516157148662E-2</v>
      </c>
      <c r="J4018" s="5" t="s">
        <v>3035</v>
      </c>
    </row>
    <row r="4019" spans="1:10" x14ac:dyDescent="0.2">
      <c r="A4019" s="1" t="s">
        <v>28</v>
      </c>
      <c r="B4019" s="2" t="s">
        <v>273</v>
      </c>
      <c r="D4019" s="5" t="s">
        <v>455</v>
      </c>
      <c r="E4019" s="3">
        <v>138457</v>
      </c>
      <c r="F4019" s="3">
        <v>125117</v>
      </c>
      <c r="G4019" s="57">
        <f t="shared" si="64"/>
        <v>-9.6347602504748761E-2</v>
      </c>
      <c r="J4019" s="5" t="s">
        <v>3037</v>
      </c>
    </row>
    <row r="4020" spans="1:10" ht="26.25" customHeight="1" x14ac:dyDescent="0.2">
      <c r="A4020" s="1" t="s">
        <v>28</v>
      </c>
      <c r="B4020" s="2" t="s">
        <v>273</v>
      </c>
      <c r="D4020" s="5" t="s">
        <v>1109</v>
      </c>
      <c r="E4020" s="3">
        <v>120824</v>
      </c>
      <c r="F4020" s="3">
        <v>125649</v>
      </c>
      <c r="G4020" s="57">
        <f t="shared" si="64"/>
        <v>3.9934119049195527E-2</v>
      </c>
      <c r="J4020" s="5" t="s">
        <v>3036</v>
      </c>
    </row>
    <row r="4021" spans="1:10" ht="25.5" x14ac:dyDescent="0.2">
      <c r="A4021" s="1" t="s">
        <v>28</v>
      </c>
      <c r="B4021" s="2" t="s">
        <v>273</v>
      </c>
      <c r="D4021" s="5" t="s">
        <v>1110</v>
      </c>
      <c r="E4021" s="3">
        <v>108191</v>
      </c>
      <c r="F4021" s="3">
        <v>108626</v>
      </c>
      <c r="G4021" s="57">
        <f t="shared" si="64"/>
        <v>4.0206671534600844E-3</v>
      </c>
      <c r="J4021" s="5" t="s">
        <v>3038</v>
      </c>
    </row>
    <row r="4022" spans="1:10" ht="25.5" x14ac:dyDescent="0.2">
      <c r="A4022" s="1" t="s">
        <v>28</v>
      </c>
      <c r="B4022" s="2" t="s">
        <v>273</v>
      </c>
      <c r="D4022" s="5" t="s">
        <v>1111</v>
      </c>
      <c r="E4022" s="3">
        <v>105611</v>
      </c>
      <c r="F4022" s="3">
        <v>113274</v>
      </c>
      <c r="G4022" s="57">
        <f t="shared" si="64"/>
        <v>7.2558729677779779E-2</v>
      </c>
      <c r="J4022" s="5" t="s">
        <v>3039</v>
      </c>
    </row>
    <row r="4023" spans="1:10" ht="25.5" x14ac:dyDescent="0.2">
      <c r="A4023" s="1" t="s">
        <v>28</v>
      </c>
      <c r="B4023" s="2" t="s">
        <v>273</v>
      </c>
      <c r="D4023" s="5" t="s">
        <v>1112</v>
      </c>
      <c r="E4023" s="3">
        <v>105479</v>
      </c>
      <c r="F4023" s="3">
        <v>107659</v>
      </c>
      <c r="G4023" s="57">
        <f t="shared" si="64"/>
        <v>2.0667621043051223E-2</v>
      </c>
      <c r="J4023" s="5" t="s">
        <v>3040</v>
      </c>
    </row>
    <row r="4024" spans="1:10" ht="25.5" x14ac:dyDescent="0.2">
      <c r="A4024" s="1" t="s">
        <v>28</v>
      </c>
      <c r="B4024" s="2" t="s">
        <v>273</v>
      </c>
      <c r="D4024" s="5" t="s">
        <v>1113</v>
      </c>
      <c r="E4024" s="3">
        <v>99393</v>
      </c>
      <c r="F4024" s="3">
        <v>100074</v>
      </c>
      <c r="G4024" s="57">
        <f t="shared" si="64"/>
        <v>6.8515891461169301E-3</v>
      </c>
      <c r="J4024" s="5" t="s">
        <v>3041</v>
      </c>
    </row>
    <row r="4025" spans="1:10" ht="25.5" x14ac:dyDescent="0.2">
      <c r="A4025" s="1" t="s">
        <v>28</v>
      </c>
      <c r="B4025" s="2" t="s">
        <v>273</v>
      </c>
      <c r="D4025" s="5" t="s">
        <v>3044</v>
      </c>
      <c r="E4025" s="3">
        <v>102269</v>
      </c>
      <c r="F4025" s="3">
        <v>104432</v>
      </c>
      <c r="G4025" s="57">
        <f t="shared" si="64"/>
        <v>2.1150104137128554E-2</v>
      </c>
      <c r="J4025" s="5" t="s">
        <v>3042</v>
      </c>
    </row>
    <row r="4026" spans="1:10" ht="25.5" x14ac:dyDescent="0.2">
      <c r="A4026" s="1" t="s">
        <v>28</v>
      </c>
      <c r="B4026" s="2" t="s">
        <v>273</v>
      </c>
      <c r="D4026" s="5" t="s">
        <v>1114</v>
      </c>
      <c r="E4026" s="3">
        <v>101904</v>
      </c>
      <c r="F4026" s="3">
        <v>107738</v>
      </c>
      <c r="G4026" s="57">
        <f t="shared" si="64"/>
        <v>5.7249960747370071E-2</v>
      </c>
      <c r="J4026" s="5" t="s">
        <v>3043</v>
      </c>
    </row>
    <row r="4027" spans="1:10" ht="25.5" x14ac:dyDescent="0.2">
      <c r="A4027" s="1" t="s">
        <v>28</v>
      </c>
      <c r="B4027" s="2" t="s">
        <v>273</v>
      </c>
      <c r="D4027" s="5" t="s">
        <v>1115</v>
      </c>
      <c r="E4027" s="3">
        <v>116749</v>
      </c>
      <c r="F4027" s="3">
        <v>327466</v>
      </c>
      <c r="G4027" s="57">
        <f t="shared" si="64"/>
        <v>1.8048719903382471</v>
      </c>
      <c r="J4027" s="5" t="s">
        <v>3045</v>
      </c>
    </row>
    <row r="4028" spans="1:10" ht="25.5" x14ac:dyDescent="0.2">
      <c r="A4028" s="1" t="s">
        <v>28</v>
      </c>
      <c r="B4028" s="2" t="s">
        <v>273</v>
      </c>
      <c r="D4028" s="5" t="s">
        <v>1116</v>
      </c>
      <c r="E4028" s="3">
        <v>97711</v>
      </c>
      <c r="F4028" s="3">
        <v>148684</v>
      </c>
      <c r="G4028" s="57">
        <f t="shared" si="64"/>
        <v>0.52167105034233607</v>
      </c>
      <c r="J4028" s="5" t="s">
        <v>3046</v>
      </c>
    </row>
    <row r="4029" spans="1:10" ht="25.5" x14ac:dyDescent="0.2">
      <c r="A4029" s="1" t="s">
        <v>28</v>
      </c>
      <c r="B4029" s="2" t="s">
        <v>273</v>
      </c>
      <c r="D4029" s="5" t="s">
        <v>1117</v>
      </c>
      <c r="E4029" s="3">
        <v>98927</v>
      </c>
      <c r="F4029" s="3">
        <v>116274</v>
      </c>
      <c r="G4029" s="57">
        <f t="shared" si="64"/>
        <v>0.17535152182922761</v>
      </c>
      <c r="J4029" s="5" t="s">
        <v>3047</v>
      </c>
    </row>
    <row r="4030" spans="1:10" ht="25.5" x14ac:dyDescent="0.2">
      <c r="A4030" s="1" t="s">
        <v>20</v>
      </c>
      <c r="B4030" s="2" t="s">
        <v>274</v>
      </c>
      <c r="D4030" s="5" t="s">
        <v>450</v>
      </c>
      <c r="E4030" s="3">
        <v>136386</v>
      </c>
      <c r="F4030" s="3">
        <v>136600</v>
      </c>
      <c r="G4030" s="57">
        <f t="shared" si="64"/>
        <v>1.5690760048685348E-3</v>
      </c>
      <c r="J4030" s="5" t="s">
        <v>3031</v>
      </c>
    </row>
    <row r="4031" spans="1:10" ht="25.5" x14ac:dyDescent="0.2">
      <c r="A4031" s="1" t="s">
        <v>20</v>
      </c>
      <c r="B4031" s="2" t="s">
        <v>274</v>
      </c>
      <c r="D4031" s="5" t="s">
        <v>1105</v>
      </c>
      <c r="E4031" s="3">
        <v>108349</v>
      </c>
      <c r="F4031" s="3">
        <v>108517</v>
      </c>
      <c r="G4031" s="57">
        <f t="shared" si="64"/>
        <v>1.5505449981079659E-3</v>
      </c>
      <c r="J4031" s="5" t="s">
        <v>3032</v>
      </c>
    </row>
    <row r="4032" spans="1:10" ht="25.5" x14ac:dyDescent="0.2">
      <c r="A4032" s="1" t="s">
        <v>20</v>
      </c>
      <c r="B4032" s="2" t="s">
        <v>274</v>
      </c>
      <c r="D4032" s="5" t="s">
        <v>1106</v>
      </c>
      <c r="E4032" s="3">
        <v>102408</v>
      </c>
      <c r="F4032" s="3">
        <v>102567</v>
      </c>
      <c r="G4032" s="57">
        <f t="shared" si="64"/>
        <v>1.5526130771033513E-3</v>
      </c>
      <c r="J4032" s="5" t="s">
        <v>3033</v>
      </c>
    </row>
    <row r="4033" spans="1:10" ht="25.5" x14ac:dyDescent="0.2">
      <c r="A4033" s="1" t="s">
        <v>20</v>
      </c>
      <c r="B4033" s="2" t="s">
        <v>274</v>
      </c>
      <c r="D4033" s="5" t="s">
        <v>1107</v>
      </c>
      <c r="E4033" s="3">
        <v>101779</v>
      </c>
      <c r="F4033" s="3">
        <v>101351</v>
      </c>
      <c r="G4033" s="57">
        <f t="shared" si="64"/>
        <v>-4.2051896756698333E-3</v>
      </c>
      <c r="J4033" s="5" t="s">
        <v>3034</v>
      </c>
    </row>
    <row r="4034" spans="1:10" ht="25.5" x14ac:dyDescent="0.2">
      <c r="A4034" s="1" t="s">
        <v>20</v>
      </c>
      <c r="B4034" s="2" t="s">
        <v>274</v>
      </c>
      <c r="D4034" s="5" t="s">
        <v>1108</v>
      </c>
      <c r="E4034" s="3">
        <v>102408</v>
      </c>
      <c r="F4034" s="3">
        <v>102567</v>
      </c>
      <c r="G4034" s="57">
        <f t="shared" si="64"/>
        <v>1.5526130771033513E-3</v>
      </c>
      <c r="J4034" s="5" t="s">
        <v>3033</v>
      </c>
    </row>
    <row r="4035" spans="1:10" x14ac:dyDescent="0.2">
      <c r="A4035" s="1" t="s">
        <v>34</v>
      </c>
      <c r="B4035" s="2" t="s">
        <v>275</v>
      </c>
      <c r="D4035" s="5" t="s">
        <v>450</v>
      </c>
      <c r="E4035" s="3">
        <v>170450</v>
      </c>
      <c r="F4035" s="3">
        <v>171753</v>
      </c>
      <c r="G4035" s="57">
        <f t="shared" si="64"/>
        <v>7.644470519213846E-3</v>
      </c>
      <c r="J4035" s="5" t="s">
        <v>3028</v>
      </c>
    </row>
    <row r="4036" spans="1:10" x14ac:dyDescent="0.2">
      <c r="A4036" s="1" t="s">
        <v>34</v>
      </c>
      <c r="B4036" s="2" t="s">
        <v>275</v>
      </c>
      <c r="D4036" s="5" t="s">
        <v>1102</v>
      </c>
      <c r="E4036" s="3">
        <v>122300</v>
      </c>
      <c r="F4036" s="3">
        <v>123184</v>
      </c>
      <c r="G4036" s="57">
        <f t="shared" si="64"/>
        <v>7.2281275551921501E-3</v>
      </c>
      <c r="J4036" s="5" t="s">
        <v>3029</v>
      </c>
    </row>
    <row r="4037" spans="1:10" x14ac:dyDescent="0.2">
      <c r="A4037" s="1" t="s">
        <v>34</v>
      </c>
      <c r="B4037" s="2" t="s">
        <v>275</v>
      </c>
      <c r="D4037" s="5" t="s">
        <v>1103</v>
      </c>
      <c r="E4037" s="3">
        <v>122300</v>
      </c>
      <c r="F4037" s="3">
        <v>123184</v>
      </c>
      <c r="G4037" s="57">
        <f t="shared" si="64"/>
        <v>7.2281275551921501E-3</v>
      </c>
      <c r="J4037" s="5" t="s">
        <v>3029</v>
      </c>
    </row>
    <row r="4038" spans="1:10" x14ac:dyDescent="0.2">
      <c r="A4038" s="1" t="s">
        <v>34</v>
      </c>
      <c r="B4038" s="2" t="s">
        <v>275</v>
      </c>
      <c r="D4038" s="5" t="s">
        <v>1104</v>
      </c>
      <c r="E4038" s="3" t="s">
        <v>465</v>
      </c>
      <c r="F4038" s="3">
        <v>124096</v>
      </c>
      <c r="G4038" s="57" t="str">
        <f t="shared" si="64"/>
        <v>-</v>
      </c>
      <c r="J4038" s="5" t="s">
        <v>3030</v>
      </c>
    </row>
    <row r="4039" spans="1:10" ht="25.5" x14ac:dyDescent="0.2">
      <c r="A4039" s="1" t="s">
        <v>34</v>
      </c>
      <c r="B4039" s="2" t="s">
        <v>275</v>
      </c>
      <c r="D4039" s="5" t="s">
        <v>883</v>
      </c>
      <c r="E4039" s="3" t="s">
        <v>465</v>
      </c>
      <c r="F4039" s="3">
        <v>112137</v>
      </c>
      <c r="G4039" s="57" t="str">
        <f t="shared" si="64"/>
        <v>-</v>
      </c>
      <c r="J4039" s="5" t="s">
        <v>4379</v>
      </c>
    </row>
    <row r="4040" spans="1:10" x14ac:dyDescent="0.2">
      <c r="A4040" s="1" t="s">
        <v>34</v>
      </c>
      <c r="B4040" s="2" t="s">
        <v>275</v>
      </c>
      <c r="D4040" s="5" t="s">
        <v>464</v>
      </c>
      <c r="G4040" s="57" t="str">
        <f t="shared" si="64"/>
        <v>-</v>
      </c>
      <c r="H4040" s="19" t="s">
        <v>465</v>
      </c>
      <c r="I4040" s="19">
        <v>92500</v>
      </c>
    </row>
    <row r="4041" spans="1:10" x14ac:dyDescent="0.2">
      <c r="A4041" s="1" t="s">
        <v>34</v>
      </c>
      <c r="B4041" s="2" t="s">
        <v>275</v>
      </c>
      <c r="D4041" s="5" t="s">
        <v>464</v>
      </c>
      <c r="G4041" s="57" t="str">
        <f t="shared" si="64"/>
        <v>-</v>
      </c>
      <c r="H4041" s="19" t="s">
        <v>465</v>
      </c>
      <c r="I4041" s="19">
        <v>97500</v>
      </c>
    </row>
    <row r="4042" spans="1:10" x14ac:dyDescent="0.2">
      <c r="A4042" s="1" t="s">
        <v>34</v>
      </c>
      <c r="B4042" s="2" t="s">
        <v>275</v>
      </c>
      <c r="D4042" s="5" t="s">
        <v>464</v>
      </c>
      <c r="E4042" s="3">
        <v>102500</v>
      </c>
      <c r="F4042" s="3" t="s">
        <v>465</v>
      </c>
      <c r="G4042" s="57" t="str">
        <f t="shared" si="64"/>
        <v>-</v>
      </c>
    </row>
    <row r="4043" spans="1:10" x14ac:dyDescent="0.2">
      <c r="A4043" s="1" t="s">
        <v>34</v>
      </c>
      <c r="B4043" s="2" t="s">
        <v>275</v>
      </c>
      <c r="D4043" s="5" t="s">
        <v>464</v>
      </c>
      <c r="E4043" s="3">
        <v>102500</v>
      </c>
      <c r="F4043" s="3" t="s">
        <v>465</v>
      </c>
      <c r="G4043" s="57" t="str">
        <f t="shared" si="64"/>
        <v>-</v>
      </c>
    </row>
    <row r="4044" spans="1:10" x14ac:dyDescent="0.2">
      <c r="A4044" s="1" t="s">
        <v>34</v>
      </c>
      <c r="B4044" s="2" t="s">
        <v>275</v>
      </c>
      <c r="D4044" s="5" t="s">
        <v>464</v>
      </c>
      <c r="E4044" s="3">
        <v>107500</v>
      </c>
      <c r="F4044" s="3" t="s">
        <v>465</v>
      </c>
      <c r="G4044" s="57" t="str">
        <f t="shared" si="64"/>
        <v>-</v>
      </c>
    </row>
    <row r="4045" spans="1:10" x14ac:dyDescent="0.2">
      <c r="A4045" s="1" t="s">
        <v>34</v>
      </c>
      <c r="B4045" s="2" t="s">
        <v>276</v>
      </c>
      <c r="C4045" s="5" t="s">
        <v>3001</v>
      </c>
      <c r="D4045" s="5" t="s">
        <v>450</v>
      </c>
      <c r="E4045" s="9" t="s">
        <v>465</v>
      </c>
      <c r="F4045" s="3">
        <f>196021+28690</f>
        <v>224711</v>
      </c>
      <c r="G4045" s="57" t="str">
        <f t="shared" si="64"/>
        <v>-</v>
      </c>
      <c r="J4045" s="5" t="s">
        <v>3013</v>
      </c>
    </row>
    <row r="4046" spans="1:10" x14ac:dyDescent="0.2">
      <c r="A4046" s="1" t="s">
        <v>34</v>
      </c>
      <c r="B4046" s="2" t="s">
        <v>276</v>
      </c>
      <c r="C4046" s="5" t="s">
        <v>3014</v>
      </c>
      <c r="D4046" s="5" t="s">
        <v>450</v>
      </c>
      <c r="E4046" s="9">
        <v>199418</v>
      </c>
      <c r="F4046" s="3" t="s">
        <v>465</v>
      </c>
      <c r="G4046" s="57" t="str">
        <f t="shared" si="64"/>
        <v>-</v>
      </c>
    </row>
    <row r="4047" spans="1:10" ht="25.5" x14ac:dyDescent="0.2">
      <c r="A4047" s="1" t="s">
        <v>111</v>
      </c>
      <c r="B4047" s="2" t="s">
        <v>276</v>
      </c>
      <c r="D4047" s="5" t="s">
        <v>1093</v>
      </c>
      <c r="E4047" s="9">
        <v>155172</v>
      </c>
      <c r="F4047" s="3">
        <v>159105</v>
      </c>
      <c r="G4047" s="57">
        <f t="shared" si="64"/>
        <v>2.5346067589513573E-2</v>
      </c>
      <c r="J4047" s="5" t="s">
        <v>3015</v>
      </c>
    </row>
    <row r="4048" spans="1:10" ht="25.5" x14ac:dyDescent="0.2">
      <c r="A4048" s="1" t="s">
        <v>111</v>
      </c>
      <c r="B4048" s="2" t="s">
        <v>276</v>
      </c>
      <c r="D4048" s="5" t="s">
        <v>1094</v>
      </c>
      <c r="E4048" s="9">
        <v>143772</v>
      </c>
      <c r="F4048" s="3">
        <v>135038</v>
      </c>
      <c r="G4048" s="57">
        <f t="shared" si="64"/>
        <v>-6.0748963636869491E-2</v>
      </c>
      <c r="J4048" s="5" t="s">
        <v>3016</v>
      </c>
    </row>
    <row r="4049" spans="1:10" ht="25.5" x14ac:dyDescent="0.2">
      <c r="A4049" s="1" t="s">
        <v>111</v>
      </c>
      <c r="B4049" s="2" t="s">
        <v>276</v>
      </c>
      <c r="D4049" s="5" t="s">
        <v>1095</v>
      </c>
      <c r="E4049" s="9">
        <v>95354</v>
      </c>
      <c r="F4049" s="3">
        <v>125484</v>
      </c>
      <c r="G4049" s="57">
        <f t="shared" si="64"/>
        <v>0.31598045179017137</v>
      </c>
      <c r="J4049" s="5" t="s">
        <v>3017</v>
      </c>
    </row>
    <row r="4050" spans="1:10" ht="25.5" x14ac:dyDescent="0.2">
      <c r="A4050" s="1" t="s">
        <v>111</v>
      </c>
      <c r="B4050" s="2" t="s">
        <v>276</v>
      </c>
      <c r="D4050" s="5" t="s">
        <v>1096</v>
      </c>
      <c r="E4050" s="9" t="s">
        <v>465</v>
      </c>
      <c r="F4050" s="3">
        <v>113261</v>
      </c>
      <c r="G4050" s="57" t="str">
        <f t="shared" si="64"/>
        <v>-</v>
      </c>
      <c r="J4050" s="5" t="s">
        <v>3018</v>
      </c>
    </row>
    <row r="4051" spans="1:10" x14ac:dyDescent="0.2">
      <c r="A4051" s="1" t="s">
        <v>111</v>
      </c>
      <c r="B4051" s="2" t="s">
        <v>276</v>
      </c>
      <c r="D4051" s="5" t="s">
        <v>1097</v>
      </c>
      <c r="E4051" s="9">
        <v>99890</v>
      </c>
      <c r="F4051" s="3">
        <v>103705</v>
      </c>
      <c r="G4051" s="57">
        <f t="shared" si="64"/>
        <v>3.8192011212333565E-2</v>
      </c>
      <c r="J4051" s="5" t="s">
        <v>3019</v>
      </c>
    </row>
    <row r="4052" spans="1:10" x14ac:dyDescent="0.2">
      <c r="A4052" s="1" t="s">
        <v>111</v>
      </c>
      <c r="B4052" s="2" t="s">
        <v>276</v>
      </c>
      <c r="D4052" s="5" t="s">
        <v>1098</v>
      </c>
      <c r="E4052" s="9">
        <v>77779</v>
      </c>
      <c r="F4052" s="3">
        <v>103705</v>
      </c>
      <c r="G4052" s="57">
        <f t="shared" si="64"/>
        <v>0.33332904768639349</v>
      </c>
      <c r="J4052" s="5" t="s">
        <v>3019</v>
      </c>
    </row>
    <row r="4053" spans="1:10" ht="38.25" x14ac:dyDescent="0.2">
      <c r="A4053" s="1" t="s">
        <v>111</v>
      </c>
      <c r="B4053" s="2" t="s">
        <v>276</v>
      </c>
      <c r="D4053" s="5" t="s">
        <v>1099</v>
      </c>
      <c r="E4053" s="9">
        <v>108788</v>
      </c>
      <c r="F4053" s="3">
        <v>118892</v>
      </c>
      <c r="G4053" s="57">
        <f t="shared" si="64"/>
        <v>9.2877890943854097E-2</v>
      </c>
      <c r="J4053" s="5" t="s">
        <v>3020</v>
      </c>
    </row>
    <row r="4054" spans="1:10" ht="25.5" x14ac:dyDescent="0.2">
      <c r="A4054" s="1" t="s">
        <v>111</v>
      </c>
      <c r="B4054" s="2" t="s">
        <v>276</v>
      </c>
      <c r="D4054" s="5" t="s">
        <v>1100</v>
      </c>
      <c r="E4054" s="9">
        <v>100896</v>
      </c>
      <c r="F4054" s="3">
        <v>103323</v>
      </c>
      <c r="G4054" s="57">
        <f t="shared" si="64"/>
        <v>2.4054471931493817E-2</v>
      </c>
      <c r="J4054" s="5" t="s">
        <v>4380</v>
      </c>
    </row>
    <row r="4055" spans="1:10" ht="25.5" x14ac:dyDescent="0.2">
      <c r="A4055" s="1" t="s">
        <v>111</v>
      </c>
      <c r="B4055" s="2" t="s">
        <v>276</v>
      </c>
      <c r="D4055" s="5" t="s">
        <v>1101</v>
      </c>
      <c r="E4055" s="9">
        <v>95864</v>
      </c>
      <c r="F4055" s="3">
        <v>106822</v>
      </c>
      <c r="G4055" s="57">
        <f t="shared" si="64"/>
        <v>0.11430776933989818</v>
      </c>
      <c r="J4055" s="5" t="s">
        <v>4670</v>
      </c>
    </row>
    <row r="4056" spans="1:10" x14ac:dyDescent="0.2">
      <c r="A4056" s="1" t="s">
        <v>111</v>
      </c>
      <c r="B4056" s="2" t="s">
        <v>276</v>
      </c>
      <c r="D4056" s="5" t="s">
        <v>3022</v>
      </c>
      <c r="E4056" s="3">
        <v>105982</v>
      </c>
      <c r="F4056" s="3" t="s">
        <v>465</v>
      </c>
      <c r="G4056" s="57" t="str">
        <f t="shared" si="64"/>
        <v>-</v>
      </c>
    </row>
    <row r="4057" spans="1:10" x14ac:dyDescent="0.2">
      <c r="A4057" s="1" t="s">
        <v>111</v>
      </c>
      <c r="B4057" s="2" t="s">
        <v>276</v>
      </c>
      <c r="D4057" s="5" t="s">
        <v>3021</v>
      </c>
      <c r="E4057" s="3">
        <v>125253</v>
      </c>
      <c r="F4057" s="3" t="s">
        <v>465</v>
      </c>
      <c r="G4057" s="57" t="str">
        <f t="shared" si="64"/>
        <v>-</v>
      </c>
    </row>
    <row r="4058" spans="1:10" ht="25.5" x14ac:dyDescent="0.2">
      <c r="A4058" s="1" t="s">
        <v>111</v>
      </c>
      <c r="B4058" s="2" t="s">
        <v>276</v>
      </c>
      <c r="D4058" s="5" t="s">
        <v>3023</v>
      </c>
      <c r="E4058" s="3">
        <v>103770</v>
      </c>
      <c r="F4058" s="3">
        <v>90704</v>
      </c>
      <c r="G4058" s="57">
        <f t="shared" si="64"/>
        <v>-0.12591307699720536</v>
      </c>
      <c r="J4058" s="5" t="s">
        <v>3027</v>
      </c>
    </row>
    <row r="4059" spans="1:10" x14ac:dyDescent="0.2">
      <c r="A4059" s="1" t="s">
        <v>111</v>
      </c>
      <c r="B4059" s="2" t="s">
        <v>276</v>
      </c>
      <c r="D4059" s="5" t="s">
        <v>3024</v>
      </c>
      <c r="E4059" s="3">
        <v>147196</v>
      </c>
      <c r="F4059" s="3" t="s">
        <v>465</v>
      </c>
      <c r="G4059" s="57" t="str">
        <f t="shared" si="64"/>
        <v>-</v>
      </c>
    </row>
    <row r="4060" spans="1:10" x14ac:dyDescent="0.2">
      <c r="A4060" s="1" t="s">
        <v>111</v>
      </c>
      <c r="B4060" s="2" t="s">
        <v>276</v>
      </c>
      <c r="D4060" s="5" t="s">
        <v>3025</v>
      </c>
      <c r="E4060" s="3">
        <v>100280</v>
      </c>
      <c r="F4060" s="3" t="s">
        <v>465</v>
      </c>
      <c r="G4060" s="57" t="str">
        <f t="shared" si="64"/>
        <v>-</v>
      </c>
    </row>
    <row r="4061" spans="1:10" x14ac:dyDescent="0.2">
      <c r="A4061" s="1" t="s">
        <v>111</v>
      </c>
      <c r="B4061" s="2" t="s">
        <v>276</v>
      </c>
      <c r="D4061" s="5" t="s">
        <v>3026</v>
      </c>
      <c r="E4061" s="3">
        <v>100705</v>
      </c>
      <c r="F4061" s="3" t="s">
        <v>465</v>
      </c>
      <c r="G4061" s="57" t="str">
        <f t="shared" si="64"/>
        <v>-</v>
      </c>
    </row>
    <row r="4062" spans="1:10" ht="25.5" x14ac:dyDescent="0.2">
      <c r="A4062" s="1" t="s">
        <v>39</v>
      </c>
      <c r="B4062" s="2" t="s">
        <v>277</v>
      </c>
      <c r="D4062" s="5" t="s">
        <v>450</v>
      </c>
      <c r="E4062" s="3">
        <v>117060</v>
      </c>
      <c r="F4062" s="3">
        <v>118891</v>
      </c>
      <c r="G4062" s="57">
        <f t="shared" si="64"/>
        <v>1.564155134119255E-2</v>
      </c>
      <c r="J4062" s="5" t="s">
        <v>3012</v>
      </c>
    </row>
    <row r="4063" spans="1:10" x14ac:dyDescent="0.2">
      <c r="A4063" s="1" t="s">
        <v>8</v>
      </c>
      <c r="B4063" s="2" t="s">
        <v>278</v>
      </c>
      <c r="D4063" s="5" t="s">
        <v>450</v>
      </c>
      <c r="E4063" s="3">
        <v>142374</v>
      </c>
      <c r="F4063" s="3">
        <v>145856</v>
      </c>
      <c r="G4063" s="57">
        <f t="shared" si="64"/>
        <v>2.4456712602020033E-2</v>
      </c>
      <c r="J4063" s="5" t="s">
        <v>3011</v>
      </c>
    </row>
    <row r="4064" spans="1:10" ht="38.25" x14ac:dyDescent="0.2">
      <c r="A4064" s="1" t="s">
        <v>8</v>
      </c>
      <c r="B4064" s="2" t="s">
        <v>278</v>
      </c>
      <c r="D4064" s="5" t="s">
        <v>1092</v>
      </c>
      <c r="E4064" s="3">
        <v>66475</v>
      </c>
      <c r="F4064" s="3">
        <v>112491</v>
      </c>
      <c r="G4064" s="57">
        <f t="shared" si="64"/>
        <v>0.69223016171493046</v>
      </c>
      <c r="J4064" s="5" t="s">
        <v>4381</v>
      </c>
    </row>
    <row r="4065" spans="1:10" ht="25.5" x14ac:dyDescent="0.2">
      <c r="A4065" s="1" t="s">
        <v>28</v>
      </c>
      <c r="B4065" s="2" t="s">
        <v>279</v>
      </c>
      <c r="C4065" s="5" t="s">
        <v>1084</v>
      </c>
      <c r="D4065" s="5" t="s">
        <v>450</v>
      </c>
      <c r="E4065" s="3" t="s">
        <v>465</v>
      </c>
      <c r="F4065" s="3">
        <v>138968</v>
      </c>
      <c r="G4065" s="57" t="str">
        <f t="shared" si="64"/>
        <v>-</v>
      </c>
      <c r="J4065" s="5" t="s">
        <v>4382</v>
      </c>
    </row>
    <row r="4066" spans="1:10" x14ac:dyDescent="0.2">
      <c r="A4066" s="1" t="s">
        <v>28</v>
      </c>
      <c r="B4066" s="2" t="s">
        <v>279</v>
      </c>
      <c r="C4066" s="5" t="s">
        <v>3001</v>
      </c>
      <c r="D4066" s="5" t="s">
        <v>450</v>
      </c>
      <c r="E4066" s="3">
        <v>219456</v>
      </c>
      <c r="F4066" s="3" t="s">
        <v>465</v>
      </c>
      <c r="G4066" s="57" t="str">
        <f t="shared" si="64"/>
        <v>-</v>
      </c>
      <c r="J4066" s="5" t="s">
        <v>3008</v>
      </c>
    </row>
    <row r="4067" spans="1:10" ht="25.5" x14ac:dyDescent="0.2">
      <c r="A4067" s="1" t="s">
        <v>28</v>
      </c>
      <c r="B4067" s="2" t="s">
        <v>279</v>
      </c>
      <c r="D4067" s="5" t="s">
        <v>1085</v>
      </c>
      <c r="E4067" s="3">
        <v>108415</v>
      </c>
      <c r="F4067" s="3">
        <v>112712</v>
      </c>
      <c r="G4067" s="57">
        <f t="shared" si="64"/>
        <v>3.963473689065166E-2</v>
      </c>
      <c r="J4067" s="5" t="s">
        <v>3002</v>
      </c>
    </row>
    <row r="4068" spans="1:10" ht="25.5" x14ac:dyDescent="0.2">
      <c r="A4068" s="1" t="s">
        <v>28</v>
      </c>
      <c r="B4068" s="2" t="s">
        <v>279</v>
      </c>
      <c r="D4068" s="5" t="s">
        <v>1086</v>
      </c>
      <c r="E4068" s="3">
        <v>117342</v>
      </c>
      <c r="F4068" s="3">
        <v>117326</v>
      </c>
      <c r="G4068" s="57">
        <f t="shared" si="64"/>
        <v>-1.3635356479350957E-4</v>
      </c>
      <c r="J4068" s="5" t="s">
        <v>3003</v>
      </c>
    </row>
    <row r="4069" spans="1:10" ht="25.5" x14ac:dyDescent="0.2">
      <c r="A4069" s="1" t="s">
        <v>28</v>
      </c>
      <c r="B4069" s="2" t="s">
        <v>279</v>
      </c>
      <c r="D4069" s="5" t="s">
        <v>1087</v>
      </c>
      <c r="E4069" s="3">
        <v>112619</v>
      </c>
      <c r="F4069" s="3">
        <v>117134</v>
      </c>
      <c r="G4069" s="57">
        <f t="shared" si="64"/>
        <v>4.0090926042674863E-2</v>
      </c>
      <c r="J4069" s="5" t="s">
        <v>3004</v>
      </c>
    </row>
    <row r="4070" spans="1:10" ht="25.5" x14ac:dyDescent="0.2">
      <c r="A4070" s="1" t="s">
        <v>28</v>
      </c>
      <c r="B4070" s="2" t="s">
        <v>279</v>
      </c>
      <c r="D4070" s="5" t="s">
        <v>1088</v>
      </c>
      <c r="E4070" s="3" t="s">
        <v>465</v>
      </c>
      <c r="F4070" s="3">
        <v>124746</v>
      </c>
      <c r="G4070" s="57" t="str">
        <f t="shared" si="64"/>
        <v>-</v>
      </c>
      <c r="J4070" s="5" t="s">
        <v>3009</v>
      </c>
    </row>
    <row r="4071" spans="1:10" ht="25.5" x14ac:dyDescent="0.2">
      <c r="A4071" s="1" t="s">
        <v>28</v>
      </c>
      <c r="B4071" s="2" t="s">
        <v>279</v>
      </c>
      <c r="D4071" s="5" t="s">
        <v>1088</v>
      </c>
      <c r="E4071" s="3">
        <v>132838</v>
      </c>
      <c r="F4071" s="3" t="s">
        <v>465</v>
      </c>
      <c r="G4071" s="57" t="str">
        <f t="shared" si="64"/>
        <v>-</v>
      </c>
      <c r="J4071" s="5" t="s">
        <v>3010</v>
      </c>
    </row>
    <row r="4072" spans="1:10" ht="25.5" x14ac:dyDescent="0.2">
      <c r="A4072" s="1" t="s">
        <v>28</v>
      </c>
      <c r="B4072" s="2" t="s">
        <v>279</v>
      </c>
      <c r="D4072" s="5" t="s">
        <v>1089</v>
      </c>
      <c r="E4072" s="3">
        <v>153977</v>
      </c>
      <c r="F4072" s="3">
        <v>153903</v>
      </c>
      <c r="G4072" s="57">
        <f t="shared" si="64"/>
        <v>-4.8059125713580602E-4</v>
      </c>
      <c r="J4072" s="5" t="s">
        <v>3005</v>
      </c>
    </row>
    <row r="4073" spans="1:10" ht="25.5" x14ac:dyDescent="0.2">
      <c r="A4073" s="1" t="s">
        <v>28</v>
      </c>
      <c r="B4073" s="2" t="s">
        <v>279</v>
      </c>
      <c r="D4073" s="5" t="s">
        <v>1090</v>
      </c>
      <c r="E4073" s="3">
        <v>142040</v>
      </c>
      <c r="F4073" s="3">
        <v>141976</v>
      </c>
      <c r="G4073" s="57">
        <f t="shared" si="64"/>
        <v>-4.5057730216840327E-4</v>
      </c>
      <c r="J4073" s="5" t="s">
        <v>3006</v>
      </c>
    </row>
    <row r="4074" spans="1:10" ht="25.5" x14ac:dyDescent="0.2">
      <c r="A4074" s="1" t="s">
        <v>28</v>
      </c>
      <c r="B4074" s="2" t="s">
        <v>279</v>
      </c>
      <c r="D4074" s="5" t="s">
        <v>1091</v>
      </c>
      <c r="E4074" s="3">
        <v>141636</v>
      </c>
      <c r="F4074" s="3">
        <v>149033</v>
      </c>
      <c r="G4074" s="57">
        <f t="shared" si="64"/>
        <v>5.222542291507809E-2</v>
      </c>
      <c r="J4074" s="5" t="s">
        <v>3007</v>
      </c>
    </row>
    <row r="4075" spans="1:10" ht="25.5" x14ac:dyDescent="0.2">
      <c r="A4075" s="1" t="s">
        <v>8</v>
      </c>
      <c r="B4075" s="2" t="s">
        <v>280</v>
      </c>
      <c r="D4075" s="5" t="s">
        <v>450</v>
      </c>
      <c r="E4075" s="3">
        <v>172000</v>
      </c>
      <c r="F4075" s="3">
        <v>177000</v>
      </c>
      <c r="G4075" s="57">
        <f t="shared" si="64"/>
        <v>2.9069767441860465E-2</v>
      </c>
      <c r="J4075" s="5" t="s">
        <v>2993</v>
      </c>
    </row>
    <row r="4076" spans="1:10" ht="25.5" x14ac:dyDescent="0.2">
      <c r="A4076" s="1" t="s">
        <v>8</v>
      </c>
      <c r="B4076" s="2" t="s">
        <v>280</v>
      </c>
      <c r="D4076" s="5" t="s">
        <v>451</v>
      </c>
      <c r="E4076" s="3">
        <v>102000</v>
      </c>
      <c r="F4076" s="3">
        <v>107000</v>
      </c>
      <c r="G4076" s="57">
        <f t="shared" si="64"/>
        <v>4.9019607843137254E-2</v>
      </c>
      <c r="J4076" s="5" t="s">
        <v>2994</v>
      </c>
    </row>
    <row r="4077" spans="1:10" ht="25.5" x14ac:dyDescent="0.2">
      <c r="A4077" s="1" t="s">
        <v>8</v>
      </c>
      <c r="B4077" s="2" t="s">
        <v>280</v>
      </c>
      <c r="D4077" s="5" t="s">
        <v>1080</v>
      </c>
      <c r="E4077" s="3">
        <v>137000</v>
      </c>
      <c r="F4077" s="3">
        <v>142000</v>
      </c>
      <c r="G4077" s="57">
        <f t="shared" si="64"/>
        <v>3.6496350364963501E-2</v>
      </c>
      <c r="J4077" s="5" t="s">
        <v>2995</v>
      </c>
    </row>
    <row r="4078" spans="1:10" ht="25.5" x14ac:dyDescent="0.2">
      <c r="A4078" s="1" t="s">
        <v>8</v>
      </c>
      <c r="B4078" s="2" t="s">
        <v>280</v>
      </c>
      <c r="D4078" s="5" t="s">
        <v>1081</v>
      </c>
      <c r="E4078" s="3">
        <v>126000</v>
      </c>
      <c r="F4078" s="3">
        <v>134000</v>
      </c>
      <c r="G4078" s="57">
        <f t="shared" si="64"/>
        <v>6.3492063492063489E-2</v>
      </c>
      <c r="J4078" s="5" t="s">
        <v>2996</v>
      </c>
    </row>
    <row r="4079" spans="1:10" ht="25.5" x14ac:dyDescent="0.2">
      <c r="A4079" s="1" t="s">
        <v>8</v>
      </c>
      <c r="B4079" s="2" t="s">
        <v>280</v>
      </c>
      <c r="D4079" s="5" t="s">
        <v>627</v>
      </c>
      <c r="E4079" s="3">
        <v>126000</v>
      </c>
      <c r="F4079" s="3">
        <v>134000</v>
      </c>
      <c r="G4079" s="57">
        <f t="shared" ref="G4079:G4142" si="65">IF(ISERROR((F4079-E4079)/E4079),"-",(F4079-E4079)/E4079)</f>
        <v>6.3492063492063489E-2</v>
      </c>
      <c r="J4079" s="5" t="s">
        <v>2996</v>
      </c>
    </row>
    <row r="4080" spans="1:10" ht="25.5" x14ac:dyDescent="0.2">
      <c r="A4080" s="1" t="s">
        <v>8</v>
      </c>
      <c r="B4080" s="2" t="s">
        <v>280</v>
      </c>
      <c r="D4080" s="5" t="s">
        <v>1082</v>
      </c>
      <c r="E4080" s="3">
        <v>122000</v>
      </c>
      <c r="F4080" s="3">
        <v>130000</v>
      </c>
      <c r="G4080" s="57">
        <f t="shared" si="65"/>
        <v>6.5573770491803282E-2</v>
      </c>
      <c r="J4080" s="5" t="s">
        <v>2997</v>
      </c>
    </row>
    <row r="4081" spans="1:10" x14ac:dyDescent="0.2">
      <c r="A4081" s="1" t="s">
        <v>8</v>
      </c>
      <c r="B4081" s="2" t="s">
        <v>280</v>
      </c>
      <c r="D4081" s="5" t="s">
        <v>1083</v>
      </c>
      <c r="E4081" s="3">
        <v>85000</v>
      </c>
      <c r="F4081" s="3">
        <v>102000</v>
      </c>
      <c r="G4081" s="57">
        <f t="shared" si="65"/>
        <v>0.2</v>
      </c>
      <c r="J4081" s="5" t="s">
        <v>2998</v>
      </c>
    </row>
    <row r="4082" spans="1:10" ht="25.5" x14ac:dyDescent="0.2">
      <c r="A4082" s="1" t="s">
        <v>8</v>
      </c>
      <c r="B4082" s="2" t="s">
        <v>280</v>
      </c>
      <c r="D4082" s="5" t="s">
        <v>569</v>
      </c>
      <c r="E4082" s="3">
        <v>99000</v>
      </c>
      <c r="F4082" s="3">
        <v>106000</v>
      </c>
      <c r="G4082" s="57">
        <f t="shared" si="65"/>
        <v>7.0707070707070704E-2</v>
      </c>
      <c r="J4082" s="5" t="s">
        <v>2999</v>
      </c>
    </row>
    <row r="4083" spans="1:10" ht="25.5" x14ac:dyDescent="0.2">
      <c r="A4083" s="1" t="s">
        <v>8</v>
      </c>
      <c r="B4083" s="2" t="s">
        <v>280</v>
      </c>
      <c r="D4083" s="5" t="s">
        <v>718</v>
      </c>
      <c r="E4083" s="3">
        <v>102000</v>
      </c>
      <c r="F4083" s="3">
        <v>109000</v>
      </c>
      <c r="G4083" s="57">
        <f t="shared" si="65"/>
        <v>6.8627450980392163E-2</v>
      </c>
      <c r="J4083" s="5" t="s">
        <v>3000</v>
      </c>
    </row>
    <row r="4084" spans="1:10" ht="38.25" x14ac:dyDescent="0.2">
      <c r="A4084" s="1" t="s">
        <v>8</v>
      </c>
      <c r="B4084" s="2" t="s">
        <v>281</v>
      </c>
      <c r="C4084" s="5" t="s">
        <v>1071</v>
      </c>
      <c r="D4084" s="5" t="s">
        <v>4593</v>
      </c>
      <c r="E4084" s="10">
        <v>160000</v>
      </c>
      <c r="F4084" s="3">
        <v>187000</v>
      </c>
      <c r="G4084" s="57">
        <f t="shared" si="65"/>
        <v>0.16875000000000001</v>
      </c>
      <c r="J4084" s="5" t="s">
        <v>4383</v>
      </c>
    </row>
    <row r="4085" spans="1:10" ht="25.5" x14ac:dyDescent="0.2">
      <c r="A4085" s="1" t="s">
        <v>8</v>
      </c>
      <c r="B4085" s="2" t="s">
        <v>281</v>
      </c>
      <c r="C4085" s="5" t="s">
        <v>2992</v>
      </c>
      <c r="D4085" s="5" t="s">
        <v>450</v>
      </c>
      <c r="E4085" s="10">
        <v>237000</v>
      </c>
      <c r="F4085" s="3">
        <v>44000</v>
      </c>
      <c r="G4085" s="57">
        <f t="shared" si="65"/>
        <v>-0.81434599156118148</v>
      </c>
      <c r="J4085" s="5" t="s">
        <v>4384</v>
      </c>
    </row>
    <row r="4086" spans="1:10" ht="25.5" x14ac:dyDescent="0.2">
      <c r="A4086" s="1" t="s">
        <v>8</v>
      </c>
      <c r="B4086" s="2" t="s">
        <v>281</v>
      </c>
      <c r="C4086" s="5" t="s">
        <v>1072</v>
      </c>
      <c r="D4086" s="5" t="s">
        <v>1073</v>
      </c>
      <c r="E4086" s="10">
        <v>160000</v>
      </c>
      <c r="F4086" s="3">
        <v>161000</v>
      </c>
      <c r="G4086" s="57">
        <f t="shared" si="65"/>
        <v>6.2500000000000003E-3</v>
      </c>
      <c r="J4086" s="5" t="s">
        <v>2986</v>
      </c>
    </row>
    <row r="4087" spans="1:10" ht="25.5" x14ac:dyDescent="0.2">
      <c r="A4087" s="1" t="s">
        <v>8</v>
      </c>
      <c r="B4087" s="2" t="s">
        <v>281</v>
      </c>
      <c r="C4087" s="5" t="s">
        <v>1074</v>
      </c>
      <c r="D4087" s="5" t="s">
        <v>1075</v>
      </c>
      <c r="E4087" s="10">
        <v>159000</v>
      </c>
      <c r="F4087" s="3">
        <v>161000</v>
      </c>
      <c r="G4087" s="57">
        <f t="shared" si="65"/>
        <v>1.2578616352201259E-2</v>
      </c>
      <c r="J4087" s="5" t="s">
        <v>2986</v>
      </c>
    </row>
    <row r="4088" spans="1:10" ht="25.5" x14ac:dyDescent="0.2">
      <c r="A4088" s="1" t="s">
        <v>8</v>
      </c>
      <c r="B4088" s="2" t="s">
        <v>281</v>
      </c>
      <c r="C4088" s="5" t="s">
        <v>1076</v>
      </c>
      <c r="D4088" s="5" t="s">
        <v>1077</v>
      </c>
      <c r="E4088" s="10">
        <v>159000</v>
      </c>
      <c r="F4088" s="3">
        <v>160000</v>
      </c>
      <c r="G4088" s="57">
        <f t="shared" si="65"/>
        <v>6.2893081761006293E-3</v>
      </c>
      <c r="J4088" s="5" t="s">
        <v>2987</v>
      </c>
    </row>
    <row r="4089" spans="1:10" x14ac:dyDescent="0.2">
      <c r="A4089" s="1" t="s">
        <v>8</v>
      </c>
      <c r="B4089" s="2" t="s">
        <v>281</v>
      </c>
      <c r="D4089" s="5" t="s">
        <v>604</v>
      </c>
      <c r="E4089" s="10" t="s">
        <v>465</v>
      </c>
      <c r="F4089" s="3">
        <v>146000</v>
      </c>
      <c r="G4089" s="57" t="str">
        <f t="shared" si="65"/>
        <v>-</v>
      </c>
      <c r="J4089" s="5" t="s">
        <v>2988</v>
      </c>
    </row>
    <row r="4090" spans="1:10" x14ac:dyDescent="0.2">
      <c r="A4090" s="1" t="s">
        <v>8</v>
      </c>
      <c r="B4090" s="2" t="s">
        <v>281</v>
      </c>
      <c r="D4090" s="5" t="s">
        <v>1078</v>
      </c>
      <c r="E4090" s="10">
        <v>128000</v>
      </c>
      <c r="F4090" s="3">
        <v>146000</v>
      </c>
      <c r="G4090" s="57">
        <f t="shared" si="65"/>
        <v>0.140625</v>
      </c>
      <c r="J4090" s="5" t="s">
        <v>2989</v>
      </c>
    </row>
    <row r="4091" spans="1:10" ht="25.5" x14ac:dyDescent="0.2">
      <c r="A4091" s="1" t="s">
        <v>8</v>
      </c>
      <c r="B4091" s="2" t="s">
        <v>281</v>
      </c>
      <c r="D4091" s="5" t="s">
        <v>1079</v>
      </c>
      <c r="E4091" s="10" t="s">
        <v>465</v>
      </c>
      <c r="F4091" s="3">
        <v>140000</v>
      </c>
      <c r="G4091" s="57" t="str">
        <f t="shared" si="65"/>
        <v>-</v>
      </c>
      <c r="J4091" s="5" t="s">
        <v>2990</v>
      </c>
    </row>
    <row r="4092" spans="1:10" ht="25.5" x14ac:dyDescent="0.2">
      <c r="A4092" s="1" t="s">
        <v>8</v>
      </c>
      <c r="B4092" s="2" t="s">
        <v>281</v>
      </c>
      <c r="D4092" s="5" t="s">
        <v>858</v>
      </c>
      <c r="E4092" s="10" t="s">
        <v>465</v>
      </c>
      <c r="F4092" s="3">
        <v>118000</v>
      </c>
      <c r="G4092" s="57" t="str">
        <f t="shared" si="65"/>
        <v>-</v>
      </c>
      <c r="J4092" s="5" t="s">
        <v>2991</v>
      </c>
    </row>
    <row r="4093" spans="1:10" x14ac:dyDescent="0.2">
      <c r="A4093" s="1" t="s">
        <v>8</v>
      </c>
      <c r="B4093" s="2" t="s">
        <v>281</v>
      </c>
      <c r="D4093" s="5" t="s">
        <v>464</v>
      </c>
      <c r="G4093" s="57" t="str">
        <f t="shared" si="65"/>
        <v>-</v>
      </c>
      <c r="H4093" s="19">
        <v>92500</v>
      </c>
      <c r="I4093" s="19" t="s">
        <v>465</v>
      </c>
    </row>
    <row r="4094" spans="1:10" x14ac:dyDescent="0.2">
      <c r="A4094" s="1" t="s">
        <v>8</v>
      </c>
      <c r="B4094" s="2" t="s">
        <v>281</v>
      </c>
      <c r="D4094" s="5" t="s">
        <v>464</v>
      </c>
      <c r="G4094" s="57" t="str">
        <f t="shared" si="65"/>
        <v>-</v>
      </c>
      <c r="H4094" s="19">
        <v>92500</v>
      </c>
      <c r="I4094" s="19" t="s">
        <v>465</v>
      </c>
    </row>
    <row r="4095" spans="1:10" x14ac:dyDescent="0.2">
      <c r="A4095" s="1" t="s">
        <v>8</v>
      </c>
      <c r="B4095" s="2" t="s">
        <v>281</v>
      </c>
      <c r="D4095" s="5" t="s">
        <v>464</v>
      </c>
      <c r="G4095" s="57" t="str">
        <f t="shared" si="65"/>
        <v>-</v>
      </c>
      <c r="H4095" s="19">
        <v>92500</v>
      </c>
      <c r="I4095" s="19" t="s">
        <v>465</v>
      </c>
    </row>
    <row r="4096" spans="1:10" x14ac:dyDescent="0.2">
      <c r="A4096" s="1" t="s">
        <v>8</v>
      </c>
      <c r="B4096" s="2" t="s">
        <v>281</v>
      </c>
      <c r="D4096" s="5" t="s">
        <v>464</v>
      </c>
      <c r="G4096" s="57" t="str">
        <f t="shared" si="65"/>
        <v>-</v>
      </c>
      <c r="H4096" s="19">
        <v>92500</v>
      </c>
      <c r="I4096" s="19" t="s">
        <v>465</v>
      </c>
    </row>
    <row r="4097" spans="1:9" s="1" customFormat="1" x14ac:dyDescent="0.2">
      <c r="A4097" s="1" t="s">
        <v>8</v>
      </c>
      <c r="B4097" s="2" t="s">
        <v>281</v>
      </c>
      <c r="C4097" s="5"/>
      <c r="D4097" s="5" t="s">
        <v>464</v>
      </c>
      <c r="E4097" s="3"/>
      <c r="F4097" s="3"/>
      <c r="G4097" s="57" t="str">
        <f t="shared" si="65"/>
        <v>-</v>
      </c>
      <c r="H4097" s="19" t="s">
        <v>465</v>
      </c>
      <c r="I4097" s="19">
        <v>92500</v>
      </c>
    </row>
    <row r="4098" spans="1:9" s="1" customFormat="1" x14ac:dyDescent="0.2">
      <c r="A4098" s="1" t="s">
        <v>8</v>
      </c>
      <c r="B4098" s="2" t="s">
        <v>281</v>
      </c>
      <c r="C4098" s="5"/>
      <c r="D4098" s="5" t="s">
        <v>464</v>
      </c>
      <c r="E4098" s="3"/>
      <c r="F4098" s="3"/>
      <c r="G4098" s="57" t="str">
        <f t="shared" si="65"/>
        <v>-</v>
      </c>
      <c r="H4098" s="19" t="s">
        <v>465</v>
      </c>
      <c r="I4098" s="19">
        <v>92500</v>
      </c>
    </row>
    <row r="4099" spans="1:9" s="1" customFormat="1" x14ac:dyDescent="0.2">
      <c r="A4099" s="1" t="s">
        <v>8</v>
      </c>
      <c r="B4099" s="2" t="s">
        <v>281</v>
      </c>
      <c r="C4099" s="5"/>
      <c r="D4099" s="5" t="s">
        <v>464</v>
      </c>
      <c r="E4099" s="3"/>
      <c r="F4099" s="3"/>
      <c r="G4099" s="57" t="str">
        <f t="shared" si="65"/>
        <v>-</v>
      </c>
      <c r="H4099" s="19" t="s">
        <v>465</v>
      </c>
      <c r="I4099" s="19">
        <v>92500</v>
      </c>
    </row>
    <row r="4100" spans="1:9" s="1" customFormat="1" x14ac:dyDescent="0.2">
      <c r="A4100" s="1" t="s">
        <v>8</v>
      </c>
      <c r="B4100" s="2" t="s">
        <v>281</v>
      </c>
      <c r="C4100" s="5"/>
      <c r="D4100" s="5" t="s">
        <v>464</v>
      </c>
      <c r="E4100" s="3"/>
      <c r="F4100" s="3"/>
      <c r="G4100" s="57" t="str">
        <f t="shared" si="65"/>
        <v>-</v>
      </c>
      <c r="H4100" s="19">
        <v>97500</v>
      </c>
      <c r="I4100" s="19" t="s">
        <v>465</v>
      </c>
    </row>
    <row r="4101" spans="1:9" s="1" customFormat="1" x14ac:dyDescent="0.2">
      <c r="A4101" s="1" t="s">
        <v>8</v>
      </c>
      <c r="B4101" s="2" t="s">
        <v>281</v>
      </c>
      <c r="C4101" s="5"/>
      <c r="D4101" s="5" t="s">
        <v>464</v>
      </c>
      <c r="E4101" s="3"/>
      <c r="F4101" s="3"/>
      <c r="G4101" s="57" t="str">
        <f t="shared" si="65"/>
        <v>-</v>
      </c>
      <c r="H4101" s="19" t="s">
        <v>465</v>
      </c>
      <c r="I4101" s="19">
        <v>97500</v>
      </c>
    </row>
    <row r="4102" spans="1:9" s="1" customFormat="1" x14ac:dyDescent="0.2">
      <c r="A4102" s="1" t="s">
        <v>8</v>
      </c>
      <c r="B4102" s="2" t="s">
        <v>281</v>
      </c>
      <c r="C4102" s="5"/>
      <c r="D4102" s="5" t="s">
        <v>464</v>
      </c>
      <c r="E4102" s="3">
        <v>102500</v>
      </c>
      <c r="F4102" s="3" t="s">
        <v>465</v>
      </c>
      <c r="G4102" s="57" t="str">
        <f t="shared" si="65"/>
        <v>-</v>
      </c>
      <c r="H4102" s="19"/>
      <c r="I4102" s="19"/>
    </row>
    <row r="4103" spans="1:9" s="1" customFormat="1" x14ac:dyDescent="0.2">
      <c r="A4103" s="1" t="s">
        <v>8</v>
      </c>
      <c r="B4103" s="2" t="s">
        <v>281</v>
      </c>
      <c r="C4103" s="5"/>
      <c r="D4103" s="5" t="s">
        <v>464</v>
      </c>
      <c r="E4103" s="3" t="s">
        <v>465</v>
      </c>
      <c r="F4103" s="3">
        <v>102500</v>
      </c>
      <c r="G4103" s="57" t="str">
        <f t="shared" si="65"/>
        <v>-</v>
      </c>
      <c r="H4103" s="19"/>
      <c r="I4103" s="19"/>
    </row>
    <row r="4104" spans="1:9" s="1" customFormat="1" x14ac:dyDescent="0.2">
      <c r="A4104" s="1" t="s">
        <v>8</v>
      </c>
      <c r="B4104" s="2" t="s">
        <v>281</v>
      </c>
      <c r="C4104" s="5"/>
      <c r="D4104" s="5" t="s">
        <v>464</v>
      </c>
      <c r="E4104" s="3">
        <v>107500</v>
      </c>
      <c r="F4104" s="3" t="s">
        <v>465</v>
      </c>
      <c r="G4104" s="57" t="str">
        <f t="shared" si="65"/>
        <v>-</v>
      </c>
      <c r="H4104" s="19"/>
      <c r="I4104" s="19"/>
    </row>
    <row r="4105" spans="1:9" s="1" customFormat="1" x14ac:dyDescent="0.2">
      <c r="A4105" s="1" t="s">
        <v>8</v>
      </c>
      <c r="B4105" s="2" t="s">
        <v>281</v>
      </c>
      <c r="C4105" s="5"/>
      <c r="D4105" s="5" t="s">
        <v>464</v>
      </c>
      <c r="E4105" s="3">
        <v>112500</v>
      </c>
      <c r="F4105" s="3" t="s">
        <v>465</v>
      </c>
      <c r="G4105" s="57" t="str">
        <f t="shared" si="65"/>
        <v>-</v>
      </c>
      <c r="H4105" s="19"/>
      <c r="I4105" s="19"/>
    </row>
    <row r="4106" spans="1:9" s="1" customFormat="1" x14ac:dyDescent="0.2">
      <c r="A4106" s="1" t="s">
        <v>8</v>
      </c>
      <c r="B4106" s="2" t="s">
        <v>281</v>
      </c>
      <c r="C4106" s="5"/>
      <c r="D4106" s="5" t="s">
        <v>464</v>
      </c>
      <c r="E4106" s="3">
        <v>117500</v>
      </c>
      <c r="F4106" s="3" t="s">
        <v>465</v>
      </c>
      <c r="G4106" s="57" t="str">
        <f t="shared" si="65"/>
        <v>-</v>
      </c>
      <c r="H4106" s="19"/>
      <c r="I4106" s="19"/>
    </row>
    <row r="4107" spans="1:9" s="1" customFormat="1" x14ac:dyDescent="0.2">
      <c r="A4107" s="1" t="s">
        <v>8</v>
      </c>
      <c r="B4107" s="2" t="s">
        <v>281</v>
      </c>
      <c r="C4107" s="5"/>
      <c r="D4107" s="5" t="s">
        <v>464</v>
      </c>
      <c r="E4107" s="3">
        <v>132500</v>
      </c>
      <c r="F4107" s="3" t="s">
        <v>465</v>
      </c>
      <c r="G4107" s="57" t="str">
        <f t="shared" si="65"/>
        <v>-</v>
      </c>
      <c r="H4107" s="19"/>
      <c r="I4107" s="19"/>
    </row>
    <row r="4108" spans="1:9" s="1" customFormat="1" x14ac:dyDescent="0.2">
      <c r="A4108" s="1" t="s">
        <v>8</v>
      </c>
      <c r="B4108" s="2" t="s">
        <v>281</v>
      </c>
      <c r="C4108" s="5"/>
      <c r="D4108" s="5" t="s">
        <v>464</v>
      </c>
      <c r="E4108" s="3">
        <v>132500</v>
      </c>
      <c r="F4108" s="3" t="s">
        <v>465</v>
      </c>
      <c r="G4108" s="57" t="str">
        <f t="shared" si="65"/>
        <v>-</v>
      </c>
      <c r="H4108" s="19"/>
      <c r="I4108" s="19"/>
    </row>
    <row r="4109" spans="1:9" s="1" customFormat="1" x14ac:dyDescent="0.2">
      <c r="A4109" s="1" t="s">
        <v>8</v>
      </c>
      <c r="B4109" s="2" t="s">
        <v>281</v>
      </c>
      <c r="C4109" s="5"/>
      <c r="D4109" s="5" t="s">
        <v>464</v>
      </c>
      <c r="E4109" s="3">
        <v>132500</v>
      </c>
      <c r="F4109" s="3" t="s">
        <v>465</v>
      </c>
      <c r="G4109" s="57" t="str">
        <f t="shared" si="65"/>
        <v>-</v>
      </c>
      <c r="H4109" s="19"/>
      <c r="I4109" s="19"/>
    </row>
    <row r="4110" spans="1:9" s="1" customFormat="1" x14ac:dyDescent="0.2">
      <c r="A4110" s="1" t="s">
        <v>8</v>
      </c>
      <c r="B4110" s="2" t="s">
        <v>281</v>
      </c>
      <c r="C4110" s="5"/>
      <c r="D4110" s="5" t="s">
        <v>464</v>
      </c>
      <c r="E4110" s="3">
        <v>132500</v>
      </c>
      <c r="F4110" s="3" t="s">
        <v>465</v>
      </c>
      <c r="G4110" s="57" t="str">
        <f t="shared" si="65"/>
        <v>-</v>
      </c>
      <c r="H4110" s="19"/>
      <c r="I4110" s="19"/>
    </row>
    <row r="4111" spans="1:9" s="1" customFormat="1" x14ac:dyDescent="0.2">
      <c r="A4111" s="1" t="s">
        <v>8</v>
      </c>
      <c r="B4111" s="2" t="s">
        <v>281</v>
      </c>
      <c r="C4111" s="5"/>
      <c r="D4111" s="5" t="s">
        <v>464</v>
      </c>
      <c r="E4111" s="3" t="s">
        <v>465</v>
      </c>
      <c r="F4111" s="3">
        <v>137500</v>
      </c>
      <c r="G4111" s="57" t="str">
        <f t="shared" si="65"/>
        <v>-</v>
      </c>
      <c r="H4111" s="19"/>
      <c r="I4111" s="19"/>
    </row>
    <row r="4112" spans="1:9" s="1" customFormat="1" x14ac:dyDescent="0.2">
      <c r="A4112" s="1" t="s">
        <v>8</v>
      </c>
      <c r="B4112" s="2" t="s">
        <v>281</v>
      </c>
      <c r="C4112" s="5"/>
      <c r="D4112" s="5" t="s">
        <v>464</v>
      </c>
      <c r="E4112" s="3">
        <v>147500</v>
      </c>
      <c r="F4112" s="3" t="s">
        <v>465</v>
      </c>
      <c r="G4112" s="57" t="str">
        <f t="shared" si="65"/>
        <v>-</v>
      </c>
      <c r="H4112" s="19"/>
      <c r="I4112" s="19"/>
    </row>
    <row r="4113" spans="1:10" x14ac:dyDescent="0.2">
      <c r="A4113" s="1" t="s">
        <v>8</v>
      </c>
      <c r="B4113" s="2" t="s">
        <v>281</v>
      </c>
      <c r="D4113" s="5" t="s">
        <v>464</v>
      </c>
      <c r="E4113" s="3">
        <v>197500</v>
      </c>
      <c r="F4113" s="3" t="s">
        <v>465</v>
      </c>
      <c r="G4113" s="57" t="str">
        <f t="shared" si="65"/>
        <v>-</v>
      </c>
    </row>
    <row r="4114" spans="1:10" x14ac:dyDescent="0.2">
      <c r="A4114" s="1" t="s">
        <v>111</v>
      </c>
      <c r="B4114" s="2" t="s">
        <v>282</v>
      </c>
      <c r="C4114" s="5" t="s">
        <v>1059</v>
      </c>
      <c r="D4114" s="5" t="s">
        <v>450</v>
      </c>
      <c r="E4114" s="9">
        <v>188458</v>
      </c>
      <c r="F4114" s="3">
        <v>172498</v>
      </c>
      <c r="G4114" s="57">
        <f t="shared" si="65"/>
        <v>-8.4687304333060945E-2</v>
      </c>
      <c r="J4114" s="5" t="s">
        <v>2979</v>
      </c>
    </row>
    <row r="4115" spans="1:10" ht="25.5" x14ac:dyDescent="0.2">
      <c r="A4115" s="1" t="s">
        <v>111</v>
      </c>
      <c r="B4115" s="2" t="s">
        <v>282</v>
      </c>
      <c r="C4115" s="5" t="s">
        <v>1060</v>
      </c>
      <c r="D4115" s="5" t="s">
        <v>1061</v>
      </c>
      <c r="E4115" s="9" t="s">
        <v>465</v>
      </c>
      <c r="F4115" s="3">
        <v>123926</v>
      </c>
      <c r="G4115" s="57" t="str">
        <f t="shared" si="65"/>
        <v>-</v>
      </c>
      <c r="J4115" s="5" t="s">
        <v>4385</v>
      </c>
    </row>
    <row r="4116" spans="1:10" ht="25.5" x14ac:dyDescent="0.2">
      <c r="A4116" s="1" t="s">
        <v>111</v>
      </c>
      <c r="B4116" s="2" t="s">
        <v>282</v>
      </c>
      <c r="C4116" s="5" t="s">
        <v>1062</v>
      </c>
      <c r="D4116" s="5" t="s">
        <v>1063</v>
      </c>
      <c r="E4116" s="9">
        <v>152092</v>
      </c>
      <c r="F4116" s="3">
        <v>207341</v>
      </c>
      <c r="G4116" s="57">
        <f t="shared" si="65"/>
        <v>0.36326039502406438</v>
      </c>
      <c r="J4116" s="5" t="s">
        <v>2980</v>
      </c>
    </row>
    <row r="4117" spans="1:10" ht="25.5" x14ac:dyDescent="0.2">
      <c r="A4117" s="1" t="s">
        <v>111</v>
      </c>
      <c r="B4117" s="2" t="s">
        <v>282</v>
      </c>
      <c r="C4117" s="5" t="s">
        <v>1065</v>
      </c>
      <c r="D4117" s="5" t="s">
        <v>1064</v>
      </c>
      <c r="E4117" s="9">
        <v>135337</v>
      </c>
      <c r="F4117" s="3">
        <v>137364</v>
      </c>
      <c r="G4117" s="57">
        <f t="shared" si="65"/>
        <v>1.4977426719965716E-2</v>
      </c>
      <c r="J4117" s="5" t="s">
        <v>2981</v>
      </c>
    </row>
    <row r="4118" spans="1:10" ht="25.5" x14ac:dyDescent="0.2">
      <c r="A4118" s="1" t="s">
        <v>111</v>
      </c>
      <c r="B4118" s="2" t="s">
        <v>282</v>
      </c>
      <c r="C4118" s="5" t="s">
        <v>1066</v>
      </c>
      <c r="D4118" s="5" t="s">
        <v>1067</v>
      </c>
      <c r="E4118" s="9" t="s">
        <v>465</v>
      </c>
      <c r="F4118" s="3">
        <v>112126</v>
      </c>
      <c r="G4118" s="57" t="str">
        <f t="shared" si="65"/>
        <v>-</v>
      </c>
      <c r="J4118" s="5" t="s">
        <v>2982</v>
      </c>
    </row>
    <row r="4119" spans="1:10" ht="38.25" x14ac:dyDescent="0.2">
      <c r="A4119" s="1" t="s">
        <v>111</v>
      </c>
      <c r="B4119" s="2" t="s">
        <v>282</v>
      </c>
      <c r="D4119" s="5" t="s">
        <v>1068</v>
      </c>
      <c r="E4119" s="9">
        <v>163148</v>
      </c>
      <c r="F4119" s="3">
        <v>111218</v>
      </c>
      <c r="G4119" s="57">
        <f t="shared" si="65"/>
        <v>-0.31829994851300658</v>
      </c>
      <c r="J4119" s="5" t="s">
        <v>4386</v>
      </c>
    </row>
    <row r="4120" spans="1:10" ht="38.25" x14ac:dyDescent="0.2">
      <c r="A4120" s="1" t="s">
        <v>111</v>
      </c>
      <c r="B4120" s="2" t="s">
        <v>282</v>
      </c>
      <c r="C4120" s="5" t="s">
        <v>1069</v>
      </c>
      <c r="D4120" s="5" t="s">
        <v>1070</v>
      </c>
      <c r="E4120" s="9">
        <v>164417</v>
      </c>
      <c r="F4120" s="3">
        <v>337502</v>
      </c>
      <c r="G4120" s="57">
        <f t="shared" si="65"/>
        <v>1.0527196092861444</v>
      </c>
      <c r="J4120" s="5" t="s">
        <v>4387</v>
      </c>
    </row>
    <row r="4121" spans="1:10" ht="38.25" x14ac:dyDescent="0.2">
      <c r="A4121" s="1" t="s">
        <v>111</v>
      </c>
      <c r="B4121" s="2" t="s">
        <v>282</v>
      </c>
      <c r="D4121" s="5" t="s">
        <v>452</v>
      </c>
      <c r="E4121" s="9">
        <v>137845</v>
      </c>
      <c r="F4121" s="3">
        <v>246460</v>
      </c>
      <c r="G4121" s="57">
        <f t="shared" si="65"/>
        <v>0.78795023395843156</v>
      </c>
      <c r="J4121" s="5" t="s">
        <v>4388</v>
      </c>
    </row>
    <row r="4122" spans="1:10" x14ac:dyDescent="0.2">
      <c r="A4122" s="1" t="s">
        <v>111</v>
      </c>
      <c r="B4122" s="2" t="s">
        <v>282</v>
      </c>
      <c r="D4122" s="5" t="s">
        <v>2983</v>
      </c>
      <c r="E4122" s="9">
        <v>311395</v>
      </c>
      <c r="F4122" s="3" t="s">
        <v>465</v>
      </c>
      <c r="G4122" s="57" t="str">
        <f t="shared" si="65"/>
        <v>-</v>
      </c>
      <c r="J4122" s="5" t="s">
        <v>4389</v>
      </c>
    </row>
    <row r="4123" spans="1:10" ht="25.5" x14ac:dyDescent="0.2">
      <c r="A4123" s="1" t="s">
        <v>111</v>
      </c>
      <c r="B4123" s="2" t="s">
        <v>282</v>
      </c>
      <c r="C4123" s="5" t="s">
        <v>2985</v>
      </c>
      <c r="D4123" s="5" t="s">
        <v>2984</v>
      </c>
      <c r="E4123" s="9">
        <v>131518</v>
      </c>
      <c r="F4123" s="3">
        <v>38565</v>
      </c>
      <c r="G4123" s="57">
        <f t="shared" si="65"/>
        <v>-0.70677017594549796</v>
      </c>
      <c r="J4123" s="5" t="s">
        <v>4390</v>
      </c>
    </row>
    <row r="4124" spans="1:10" x14ac:dyDescent="0.2">
      <c r="A4124" s="1" t="s">
        <v>111</v>
      </c>
      <c r="B4124" s="2" t="s">
        <v>282</v>
      </c>
      <c r="D4124" s="5" t="s">
        <v>464</v>
      </c>
      <c r="G4124" s="57" t="str">
        <f t="shared" si="65"/>
        <v>-</v>
      </c>
      <c r="H4124" s="19" t="s">
        <v>465</v>
      </c>
      <c r="I4124" s="19">
        <v>92500</v>
      </c>
      <c r="J4124" s="5" t="s">
        <v>539</v>
      </c>
    </row>
    <row r="4125" spans="1:10" x14ac:dyDescent="0.2">
      <c r="A4125" s="1" t="s">
        <v>111</v>
      </c>
      <c r="B4125" s="2" t="s">
        <v>282</v>
      </c>
      <c r="D4125" s="5" t="s">
        <v>464</v>
      </c>
      <c r="G4125" s="57" t="str">
        <f t="shared" si="65"/>
        <v>-</v>
      </c>
      <c r="H4125" s="19" t="s">
        <v>465</v>
      </c>
      <c r="I4125" s="19">
        <v>92500</v>
      </c>
      <c r="J4125" s="5" t="s">
        <v>539</v>
      </c>
    </row>
    <row r="4126" spans="1:10" x14ac:dyDescent="0.2">
      <c r="A4126" s="1" t="s">
        <v>111</v>
      </c>
      <c r="B4126" s="2" t="s">
        <v>282</v>
      </c>
      <c r="D4126" s="5" t="s">
        <v>464</v>
      </c>
      <c r="G4126" s="57" t="str">
        <f t="shared" si="65"/>
        <v>-</v>
      </c>
      <c r="H4126" s="19" t="s">
        <v>465</v>
      </c>
      <c r="I4126" s="19">
        <v>92500</v>
      </c>
      <c r="J4126" s="5" t="s">
        <v>539</v>
      </c>
    </row>
    <row r="4127" spans="1:10" x14ac:dyDescent="0.2">
      <c r="A4127" s="1" t="s">
        <v>111</v>
      </c>
      <c r="B4127" s="2" t="s">
        <v>282</v>
      </c>
      <c r="D4127" s="5" t="s">
        <v>464</v>
      </c>
      <c r="G4127" s="57" t="str">
        <f t="shared" si="65"/>
        <v>-</v>
      </c>
      <c r="H4127" s="19" t="s">
        <v>465</v>
      </c>
      <c r="I4127" s="19">
        <v>92500</v>
      </c>
      <c r="J4127" s="5" t="s">
        <v>539</v>
      </c>
    </row>
    <row r="4128" spans="1:10" x14ac:dyDescent="0.2">
      <c r="A4128" s="1" t="s">
        <v>111</v>
      </c>
      <c r="B4128" s="2" t="s">
        <v>282</v>
      </c>
      <c r="D4128" s="5" t="s">
        <v>464</v>
      </c>
      <c r="G4128" s="57" t="str">
        <f t="shared" si="65"/>
        <v>-</v>
      </c>
      <c r="H4128" s="19" t="s">
        <v>465</v>
      </c>
      <c r="I4128" s="19">
        <v>92500</v>
      </c>
      <c r="J4128" s="5" t="s">
        <v>539</v>
      </c>
    </row>
    <row r="4129" spans="1:10" x14ac:dyDescent="0.2">
      <c r="A4129" s="1" t="s">
        <v>111</v>
      </c>
      <c r="B4129" s="2" t="s">
        <v>282</v>
      </c>
      <c r="D4129" s="5" t="s">
        <v>464</v>
      </c>
      <c r="G4129" s="57" t="str">
        <f t="shared" si="65"/>
        <v>-</v>
      </c>
      <c r="H4129" s="19" t="s">
        <v>465</v>
      </c>
      <c r="I4129" s="19">
        <v>92500</v>
      </c>
      <c r="J4129" s="5" t="s">
        <v>539</v>
      </c>
    </row>
    <row r="4130" spans="1:10" x14ac:dyDescent="0.2">
      <c r="A4130" s="1" t="s">
        <v>111</v>
      </c>
      <c r="B4130" s="2" t="s">
        <v>282</v>
      </c>
      <c r="D4130" s="5" t="s">
        <v>464</v>
      </c>
      <c r="G4130" s="57" t="str">
        <f t="shared" si="65"/>
        <v>-</v>
      </c>
      <c r="H4130" s="19" t="s">
        <v>465</v>
      </c>
      <c r="I4130" s="19">
        <v>92500</v>
      </c>
      <c r="J4130" s="5" t="s">
        <v>539</v>
      </c>
    </row>
    <row r="4131" spans="1:10" x14ac:dyDescent="0.2">
      <c r="A4131" s="1" t="s">
        <v>111</v>
      </c>
      <c r="B4131" s="2" t="s">
        <v>282</v>
      </c>
      <c r="D4131" s="5" t="s">
        <v>464</v>
      </c>
      <c r="G4131" s="57" t="str">
        <f t="shared" si="65"/>
        <v>-</v>
      </c>
      <c r="H4131" s="19" t="s">
        <v>465</v>
      </c>
      <c r="I4131" s="19">
        <v>92500</v>
      </c>
    </row>
    <row r="4132" spans="1:10" x14ac:dyDescent="0.2">
      <c r="A4132" s="1" t="s">
        <v>111</v>
      </c>
      <c r="B4132" s="2" t="s">
        <v>282</v>
      </c>
      <c r="D4132" s="5" t="s">
        <v>464</v>
      </c>
      <c r="G4132" s="57" t="str">
        <f t="shared" si="65"/>
        <v>-</v>
      </c>
      <c r="H4132" s="19" t="s">
        <v>465</v>
      </c>
      <c r="I4132" s="19">
        <v>92500</v>
      </c>
    </row>
    <row r="4133" spans="1:10" x14ac:dyDescent="0.2">
      <c r="A4133" s="1" t="s">
        <v>111</v>
      </c>
      <c r="B4133" s="2" t="s">
        <v>282</v>
      </c>
      <c r="D4133" s="5" t="s">
        <v>464</v>
      </c>
      <c r="G4133" s="57" t="str">
        <f t="shared" si="65"/>
        <v>-</v>
      </c>
      <c r="H4133" s="19" t="s">
        <v>465</v>
      </c>
      <c r="I4133" s="19">
        <v>92500</v>
      </c>
    </row>
    <row r="4134" spans="1:10" x14ac:dyDescent="0.2">
      <c r="A4134" s="1" t="s">
        <v>111</v>
      </c>
      <c r="B4134" s="2" t="s">
        <v>282</v>
      </c>
      <c r="D4134" s="5" t="s">
        <v>464</v>
      </c>
      <c r="G4134" s="57" t="str">
        <f t="shared" si="65"/>
        <v>-</v>
      </c>
      <c r="H4134" s="19">
        <v>92500</v>
      </c>
      <c r="I4134" s="19" t="s">
        <v>465</v>
      </c>
      <c r="J4134" s="5" t="s">
        <v>539</v>
      </c>
    </row>
    <row r="4135" spans="1:10" x14ac:dyDescent="0.2">
      <c r="A4135" s="1" t="s">
        <v>111</v>
      </c>
      <c r="B4135" s="2" t="s">
        <v>282</v>
      </c>
      <c r="D4135" s="5" t="s">
        <v>464</v>
      </c>
      <c r="G4135" s="57" t="str">
        <f t="shared" si="65"/>
        <v>-</v>
      </c>
      <c r="H4135" s="19">
        <v>92500</v>
      </c>
      <c r="I4135" s="19" t="s">
        <v>465</v>
      </c>
      <c r="J4135" s="5" t="s">
        <v>539</v>
      </c>
    </row>
    <row r="4136" spans="1:10" x14ac:dyDescent="0.2">
      <c r="A4136" s="1" t="s">
        <v>111</v>
      </c>
      <c r="B4136" s="2" t="s">
        <v>282</v>
      </c>
      <c r="D4136" s="5" t="s">
        <v>464</v>
      </c>
      <c r="G4136" s="57" t="str">
        <f t="shared" si="65"/>
        <v>-</v>
      </c>
      <c r="H4136" s="19">
        <v>92500</v>
      </c>
      <c r="I4136" s="19" t="s">
        <v>465</v>
      </c>
      <c r="J4136" s="5" t="s">
        <v>539</v>
      </c>
    </row>
    <row r="4137" spans="1:10" x14ac:dyDescent="0.2">
      <c r="A4137" s="1" t="s">
        <v>111</v>
      </c>
      <c r="B4137" s="2" t="s">
        <v>282</v>
      </c>
      <c r="D4137" s="5" t="s">
        <v>464</v>
      </c>
      <c r="G4137" s="57" t="str">
        <f t="shared" si="65"/>
        <v>-</v>
      </c>
      <c r="H4137" s="19">
        <v>92500</v>
      </c>
      <c r="I4137" s="19" t="s">
        <v>465</v>
      </c>
      <c r="J4137" s="5" t="s">
        <v>539</v>
      </c>
    </row>
    <row r="4138" spans="1:10" x14ac:dyDescent="0.2">
      <c r="A4138" s="1" t="s">
        <v>111</v>
      </c>
      <c r="B4138" s="2" t="s">
        <v>282</v>
      </c>
      <c r="D4138" s="5" t="s">
        <v>464</v>
      </c>
      <c r="G4138" s="57" t="str">
        <f t="shared" si="65"/>
        <v>-</v>
      </c>
      <c r="H4138" s="19">
        <v>92500</v>
      </c>
      <c r="I4138" s="19" t="s">
        <v>465</v>
      </c>
      <c r="J4138" s="5" t="s">
        <v>539</v>
      </c>
    </row>
    <row r="4139" spans="1:10" x14ac:dyDescent="0.2">
      <c r="A4139" s="1" t="s">
        <v>111</v>
      </c>
      <c r="B4139" s="2" t="s">
        <v>282</v>
      </c>
      <c r="D4139" s="5" t="s">
        <v>464</v>
      </c>
      <c r="G4139" s="57" t="str">
        <f t="shared" si="65"/>
        <v>-</v>
      </c>
      <c r="H4139" s="19">
        <v>92500</v>
      </c>
      <c r="I4139" s="19" t="s">
        <v>465</v>
      </c>
      <c r="J4139" s="5" t="s">
        <v>539</v>
      </c>
    </row>
    <row r="4140" spans="1:10" x14ac:dyDescent="0.2">
      <c r="A4140" s="1" t="s">
        <v>111</v>
      </c>
      <c r="B4140" s="2" t="s">
        <v>282</v>
      </c>
      <c r="D4140" s="5" t="s">
        <v>464</v>
      </c>
      <c r="G4140" s="57" t="str">
        <f t="shared" si="65"/>
        <v>-</v>
      </c>
      <c r="H4140" s="19" t="s">
        <v>465</v>
      </c>
      <c r="I4140" s="19">
        <v>97500</v>
      </c>
      <c r="J4140" s="5" t="s">
        <v>539</v>
      </c>
    </row>
    <row r="4141" spans="1:10" x14ac:dyDescent="0.2">
      <c r="A4141" s="1" t="s">
        <v>111</v>
      </c>
      <c r="B4141" s="2" t="s">
        <v>282</v>
      </c>
      <c r="D4141" s="5" t="s">
        <v>464</v>
      </c>
      <c r="G4141" s="57" t="str">
        <f t="shared" si="65"/>
        <v>-</v>
      </c>
      <c r="H4141" s="19" t="s">
        <v>465</v>
      </c>
      <c r="I4141" s="19">
        <v>97500</v>
      </c>
      <c r="J4141" s="5" t="s">
        <v>539</v>
      </c>
    </row>
    <row r="4142" spans="1:10" x14ac:dyDescent="0.2">
      <c r="A4142" s="1" t="s">
        <v>111</v>
      </c>
      <c r="B4142" s="2" t="s">
        <v>282</v>
      </c>
      <c r="D4142" s="5" t="s">
        <v>464</v>
      </c>
      <c r="G4142" s="57" t="str">
        <f t="shared" si="65"/>
        <v>-</v>
      </c>
      <c r="H4142" s="19">
        <v>97500</v>
      </c>
      <c r="I4142" s="19" t="s">
        <v>465</v>
      </c>
      <c r="J4142" s="5" t="s">
        <v>539</v>
      </c>
    </row>
    <row r="4143" spans="1:10" x14ac:dyDescent="0.2">
      <c r="A4143" s="1" t="s">
        <v>111</v>
      </c>
      <c r="B4143" s="2" t="s">
        <v>282</v>
      </c>
      <c r="D4143" s="5" t="s">
        <v>464</v>
      </c>
      <c r="G4143" s="57" t="str">
        <f t="shared" ref="G4143:G4206" si="66">IF(ISERROR((F4143-E4143)/E4143),"-",(F4143-E4143)/E4143)</f>
        <v>-</v>
      </c>
      <c r="H4143" s="19">
        <v>97500</v>
      </c>
      <c r="I4143" s="19" t="s">
        <v>465</v>
      </c>
      <c r="J4143" s="5" t="s">
        <v>539</v>
      </c>
    </row>
    <row r="4144" spans="1:10" x14ac:dyDescent="0.2">
      <c r="A4144" s="1" t="s">
        <v>111</v>
      </c>
      <c r="B4144" s="2" t="s">
        <v>282</v>
      </c>
      <c r="D4144" s="5" t="s">
        <v>464</v>
      </c>
      <c r="G4144" s="57" t="str">
        <f t="shared" si="66"/>
        <v>-</v>
      </c>
      <c r="H4144" s="19">
        <v>97500</v>
      </c>
      <c r="I4144" s="19" t="s">
        <v>465</v>
      </c>
      <c r="J4144" s="5" t="s">
        <v>539</v>
      </c>
    </row>
    <row r="4145" spans="1:10" x14ac:dyDescent="0.2">
      <c r="A4145" s="1" t="s">
        <v>111</v>
      </c>
      <c r="B4145" s="2" t="s">
        <v>282</v>
      </c>
      <c r="D4145" s="5" t="s">
        <v>464</v>
      </c>
      <c r="G4145" s="57" t="str">
        <f t="shared" si="66"/>
        <v>-</v>
      </c>
      <c r="H4145" s="19">
        <v>97500</v>
      </c>
      <c r="I4145" s="19" t="s">
        <v>465</v>
      </c>
    </row>
    <row r="4146" spans="1:10" x14ac:dyDescent="0.2">
      <c r="A4146" s="1" t="s">
        <v>111</v>
      </c>
      <c r="B4146" s="2" t="s">
        <v>282</v>
      </c>
      <c r="D4146" s="5" t="s">
        <v>464</v>
      </c>
      <c r="G4146" s="57" t="str">
        <f t="shared" si="66"/>
        <v>-</v>
      </c>
      <c r="H4146" s="19">
        <v>97500</v>
      </c>
      <c r="I4146" s="19" t="s">
        <v>465</v>
      </c>
    </row>
    <row r="4147" spans="1:10" x14ac:dyDescent="0.2">
      <c r="A4147" s="1" t="s">
        <v>111</v>
      </c>
      <c r="B4147" s="2" t="s">
        <v>282</v>
      </c>
      <c r="D4147" s="5" t="s">
        <v>464</v>
      </c>
      <c r="E4147" s="3" t="s">
        <v>465</v>
      </c>
      <c r="F4147" s="3">
        <v>102500</v>
      </c>
      <c r="G4147" s="57" t="str">
        <f t="shared" si="66"/>
        <v>-</v>
      </c>
      <c r="J4147" s="5" t="s">
        <v>539</v>
      </c>
    </row>
    <row r="4148" spans="1:10" x14ac:dyDescent="0.2">
      <c r="A4148" s="1" t="s">
        <v>111</v>
      </c>
      <c r="B4148" s="2" t="s">
        <v>282</v>
      </c>
      <c r="D4148" s="5" t="s">
        <v>464</v>
      </c>
      <c r="E4148" s="3" t="s">
        <v>465</v>
      </c>
      <c r="F4148" s="3">
        <v>102500</v>
      </c>
      <c r="G4148" s="57" t="str">
        <f t="shared" si="66"/>
        <v>-</v>
      </c>
      <c r="J4148" s="5" t="s">
        <v>539</v>
      </c>
    </row>
    <row r="4149" spans="1:10" x14ac:dyDescent="0.2">
      <c r="A4149" s="1" t="s">
        <v>111</v>
      </c>
      <c r="B4149" s="2" t="s">
        <v>282</v>
      </c>
      <c r="D4149" s="5" t="s">
        <v>464</v>
      </c>
      <c r="E4149" s="3" t="s">
        <v>465</v>
      </c>
      <c r="F4149" s="3">
        <v>102500</v>
      </c>
      <c r="G4149" s="57" t="str">
        <f t="shared" si="66"/>
        <v>-</v>
      </c>
      <c r="J4149" s="5" t="s">
        <v>539</v>
      </c>
    </row>
    <row r="4150" spans="1:10" x14ac:dyDescent="0.2">
      <c r="A4150" s="1" t="s">
        <v>111</v>
      </c>
      <c r="B4150" s="2" t="s">
        <v>282</v>
      </c>
      <c r="D4150" s="5" t="s">
        <v>464</v>
      </c>
      <c r="E4150" s="3" t="s">
        <v>465</v>
      </c>
      <c r="F4150" s="3">
        <v>102500</v>
      </c>
      <c r="G4150" s="57" t="str">
        <f t="shared" si="66"/>
        <v>-</v>
      </c>
    </row>
    <row r="4151" spans="1:10" x14ac:dyDescent="0.2">
      <c r="A4151" s="1" t="s">
        <v>111</v>
      </c>
      <c r="B4151" s="2" t="s">
        <v>282</v>
      </c>
      <c r="D4151" s="5" t="s">
        <v>464</v>
      </c>
      <c r="E4151" s="3" t="s">
        <v>465</v>
      </c>
      <c r="F4151" s="3">
        <v>102500</v>
      </c>
      <c r="G4151" s="57" t="str">
        <f t="shared" si="66"/>
        <v>-</v>
      </c>
    </row>
    <row r="4152" spans="1:10" x14ac:dyDescent="0.2">
      <c r="A4152" s="1" t="s">
        <v>111</v>
      </c>
      <c r="B4152" s="2" t="s">
        <v>282</v>
      </c>
      <c r="D4152" s="5" t="s">
        <v>464</v>
      </c>
      <c r="E4152" s="3">
        <v>102500</v>
      </c>
      <c r="F4152" s="3" t="s">
        <v>465</v>
      </c>
      <c r="G4152" s="57" t="str">
        <f t="shared" si="66"/>
        <v>-</v>
      </c>
      <c r="J4152" s="5" t="s">
        <v>539</v>
      </c>
    </row>
    <row r="4153" spans="1:10" x14ac:dyDescent="0.2">
      <c r="A4153" s="1" t="s">
        <v>111</v>
      </c>
      <c r="B4153" s="2" t="s">
        <v>282</v>
      </c>
      <c r="D4153" s="5" t="s">
        <v>464</v>
      </c>
      <c r="E4153" s="3">
        <v>102500</v>
      </c>
      <c r="F4153" s="3" t="s">
        <v>465</v>
      </c>
      <c r="G4153" s="57" t="str">
        <f t="shared" si="66"/>
        <v>-</v>
      </c>
      <c r="J4153" s="5" t="s">
        <v>539</v>
      </c>
    </row>
    <row r="4154" spans="1:10" x14ac:dyDescent="0.2">
      <c r="A4154" s="1" t="s">
        <v>111</v>
      </c>
      <c r="B4154" s="2" t="s">
        <v>282</v>
      </c>
      <c r="D4154" s="5" t="s">
        <v>464</v>
      </c>
      <c r="E4154" s="3">
        <v>102500</v>
      </c>
      <c r="F4154" s="3" t="s">
        <v>465</v>
      </c>
      <c r="G4154" s="57" t="str">
        <f t="shared" si="66"/>
        <v>-</v>
      </c>
      <c r="J4154" s="5" t="s">
        <v>539</v>
      </c>
    </row>
    <row r="4155" spans="1:10" x14ac:dyDescent="0.2">
      <c r="A4155" s="1" t="s">
        <v>111</v>
      </c>
      <c r="B4155" s="2" t="s">
        <v>282</v>
      </c>
      <c r="D4155" s="5" t="s">
        <v>464</v>
      </c>
      <c r="E4155" s="3">
        <v>102500</v>
      </c>
      <c r="F4155" s="3" t="s">
        <v>465</v>
      </c>
      <c r="G4155" s="57" t="str">
        <f t="shared" si="66"/>
        <v>-</v>
      </c>
      <c r="J4155" s="5" t="s">
        <v>539</v>
      </c>
    </row>
    <row r="4156" spans="1:10" x14ac:dyDescent="0.2">
      <c r="A4156" s="1" t="s">
        <v>111</v>
      </c>
      <c r="B4156" s="2" t="s">
        <v>282</v>
      </c>
      <c r="D4156" s="5" t="s">
        <v>464</v>
      </c>
      <c r="E4156" s="3">
        <v>102500</v>
      </c>
      <c r="F4156" s="3" t="s">
        <v>465</v>
      </c>
      <c r="G4156" s="57" t="str">
        <f t="shared" si="66"/>
        <v>-</v>
      </c>
      <c r="J4156" s="5" t="s">
        <v>539</v>
      </c>
    </row>
    <row r="4157" spans="1:10" x14ac:dyDescent="0.2">
      <c r="A4157" s="1" t="s">
        <v>111</v>
      </c>
      <c r="B4157" s="2" t="s">
        <v>282</v>
      </c>
      <c r="D4157" s="5" t="s">
        <v>464</v>
      </c>
      <c r="E4157" s="3">
        <v>102500</v>
      </c>
      <c r="F4157" s="3" t="s">
        <v>465</v>
      </c>
      <c r="G4157" s="57" t="str">
        <f t="shared" si="66"/>
        <v>-</v>
      </c>
    </row>
    <row r="4158" spans="1:10" x14ac:dyDescent="0.2">
      <c r="A4158" s="1" t="s">
        <v>111</v>
      </c>
      <c r="B4158" s="2" t="s">
        <v>282</v>
      </c>
      <c r="D4158" s="5" t="s">
        <v>464</v>
      </c>
      <c r="E4158" s="3">
        <v>102500</v>
      </c>
      <c r="F4158" s="3" t="s">
        <v>465</v>
      </c>
      <c r="G4158" s="57" t="str">
        <f t="shared" si="66"/>
        <v>-</v>
      </c>
    </row>
    <row r="4159" spans="1:10" x14ac:dyDescent="0.2">
      <c r="A4159" s="1" t="s">
        <v>111</v>
      </c>
      <c r="B4159" s="2" t="s">
        <v>282</v>
      </c>
      <c r="D4159" s="5" t="s">
        <v>464</v>
      </c>
      <c r="E4159" s="3">
        <v>102500</v>
      </c>
      <c r="F4159" s="3" t="s">
        <v>465</v>
      </c>
      <c r="G4159" s="57" t="str">
        <f t="shared" si="66"/>
        <v>-</v>
      </c>
    </row>
    <row r="4160" spans="1:10" x14ac:dyDescent="0.2">
      <c r="A4160" s="1" t="s">
        <v>111</v>
      </c>
      <c r="B4160" s="2" t="s">
        <v>282</v>
      </c>
      <c r="D4160" s="5" t="s">
        <v>464</v>
      </c>
      <c r="E4160" s="3" t="s">
        <v>465</v>
      </c>
      <c r="F4160" s="3">
        <v>107500</v>
      </c>
      <c r="G4160" s="57" t="str">
        <f t="shared" si="66"/>
        <v>-</v>
      </c>
      <c r="J4160" s="5" t="s">
        <v>539</v>
      </c>
    </row>
    <row r="4161" spans="1:10" x14ac:dyDescent="0.2">
      <c r="A4161" s="1" t="s">
        <v>111</v>
      </c>
      <c r="B4161" s="2" t="s">
        <v>282</v>
      </c>
      <c r="D4161" s="5" t="s">
        <v>464</v>
      </c>
      <c r="E4161" s="3" t="s">
        <v>465</v>
      </c>
      <c r="F4161" s="3">
        <v>107500</v>
      </c>
      <c r="G4161" s="57" t="str">
        <f t="shared" si="66"/>
        <v>-</v>
      </c>
    </row>
    <row r="4162" spans="1:10" x14ac:dyDescent="0.2">
      <c r="A4162" s="1" t="s">
        <v>111</v>
      </c>
      <c r="B4162" s="2" t="s">
        <v>282</v>
      </c>
      <c r="D4162" s="5" t="s">
        <v>464</v>
      </c>
      <c r="E4162" s="3">
        <v>107500</v>
      </c>
      <c r="F4162" s="3" t="s">
        <v>465</v>
      </c>
      <c r="G4162" s="57" t="str">
        <f t="shared" si="66"/>
        <v>-</v>
      </c>
      <c r="J4162" s="5" t="s">
        <v>539</v>
      </c>
    </row>
    <row r="4163" spans="1:10" x14ac:dyDescent="0.2">
      <c r="A4163" s="1" t="s">
        <v>111</v>
      </c>
      <c r="B4163" s="2" t="s">
        <v>282</v>
      </c>
      <c r="D4163" s="5" t="s">
        <v>464</v>
      </c>
      <c r="E4163" s="3">
        <v>107500</v>
      </c>
      <c r="F4163" s="35" t="s">
        <v>465</v>
      </c>
      <c r="G4163" s="57" t="str">
        <f t="shared" si="66"/>
        <v>-</v>
      </c>
      <c r="J4163" s="5" t="s">
        <v>539</v>
      </c>
    </row>
    <row r="4164" spans="1:10" x14ac:dyDescent="0.2">
      <c r="A4164" s="1" t="s">
        <v>111</v>
      </c>
      <c r="B4164" s="2" t="s">
        <v>282</v>
      </c>
      <c r="D4164" s="5" t="s">
        <v>464</v>
      </c>
      <c r="E4164" s="3" t="s">
        <v>465</v>
      </c>
      <c r="F4164" s="3">
        <v>112500</v>
      </c>
      <c r="G4164" s="57" t="str">
        <f t="shared" si="66"/>
        <v>-</v>
      </c>
      <c r="J4164" s="5" t="s">
        <v>539</v>
      </c>
    </row>
    <row r="4165" spans="1:10" x14ac:dyDescent="0.2">
      <c r="A4165" s="1" t="s">
        <v>111</v>
      </c>
      <c r="B4165" s="2" t="s">
        <v>282</v>
      </c>
      <c r="D4165" s="5" t="s">
        <v>464</v>
      </c>
      <c r="E4165" s="3">
        <v>112500</v>
      </c>
      <c r="F4165" s="3" t="s">
        <v>465</v>
      </c>
      <c r="G4165" s="57" t="str">
        <f t="shared" si="66"/>
        <v>-</v>
      </c>
      <c r="J4165" s="5" t="s">
        <v>539</v>
      </c>
    </row>
    <row r="4166" spans="1:10" x14ac:dyDescent="0.2">
      <c r="A4166" s="1" t="s">
        <v>111</v>
      </c>
      <c r="B4166" s="2" t="s">
        <v>282</v>
      </c>
      <c r="D4166" s="5" t="s">
        <v>464</v>
      </c>
      <c r="E4166" s="3">
        <v>112500</v>
      </c>
      <c r="F4166" s="3" t="s">
        <v>465</v>
      </c>
      <c r="G4166" s="57" t="str">
        <f t="shared" si="66"/>
        <v>-</v>
      </c>
      <c r="J4166" s="5" t="s">
        <v>539</v>
      </c>
    </row>
    <row r="4167" spans="1:10" x14ac:dyDescent="0.2">
      <c r="A4167" s="1" t="s">
        <v>111</v>
      </c>
      <c r="B4167" s="2" t="s">
        <v>282</v>
      </c>
      <c r="D4167" s="5" t="s">
        <v>464</v>
      </c>
      <c r="E4167" s="3">
        <v>117500</v>
      </c>
      <c r="F4167" s="3" t="s">
        <v>465</v>
      </c>
      <c r="G4167" s="57" t="str">
        <f t="shared" si="66"/>
        <v>-</v>
      </c>
    </row>
    <row r="4168" spans="1:10" x14ac:dyDescent="0.2">
      <c r="A4168" s="1" t="s">
        <v>111</v>
      </c>
      <c r="B4168" s="2" t="s">
        <v>282</v>
      </c>
      <c r="D4168" s="5" t="s">
        <v>464</v>
      </c>
      <c r="E4168" s="3" t="s">
        <v>465</v>
      </c>
      <c r="F4168" s="3">
        <v>122500</v>
      </c>
      <c r="G4168" s="57" t="str">
        <f t="shared" si="66"/>
        <v>-</v>
      </c>
      <c r="J4168" s="5" t="s">
        <v>539</v>
      </c>
    </row>
    <row r="4169" spans="1:10" x14ac:dyDescent="0.2">
      <c r="A4169" s="1" t="s">
        <v>111</v>
      </c>
      <c r="B4169" s="2" t="s">
        <v>282</v>
      </c>
      <c r="D4169" s="5" t="s">
        <v>464</v>
      </c>
      <c r="E4169" s="3" t="s">
        <v>465</v>
      </c>
      <c r="F4169" s="3">
        <v>122500</v>
      </c>
      <c r="G4169" s="57" t="str">
        <f t="shared" si="66"/>
        <v>-</v>
      </c>
      <c r="J4169" s="5" t="s">
        <v>539</v>
      </c>
    </row>
    <row r="4170" spans="1:10" x14ac:dyDescent="0.2">
      <c r="A4170" s="1" t="s">
        <v>111</v>
      </c>
      <c r="B4170" s="2" t="s">
        <v>282</v>
      </c>
      <c r="D4170" s="5" t="s">
        <v>464</v>
      </c>
      <c r="E4170" s="3" t="s">
        <v>465</v>
      </c>
      <c r="F4170" s="3">
        <v>127500</v>
      </c>
      <c r="G4170" s="57" t="str">
        <f t="shared" si="66"/>
        <v>-</v>
      </c>
      <c r="J4170" s="5" t="s">
        <v>539</v>
      </c>
    </row>
    <row r="4171" spans="1:10" x14ac:dyDescent="0.2">
      <c r="A4171" s="1" t="s">
        <v>111</v>
      </c>
      <c r="B4171" s="2" t="s">
        <v>282</v>
      </c>
      <c r="D4171" s="5" t="s">
        <v>464</v>
      </c>
      <c r="E4171" s="3" t="s">
        <v>465</v>
      </c>
      <c r="F4171" s="3">
        <v>127500</v>
      </c>
      <c r="G4171" s="57" t="str">
        <f t="shared" si="66"/>
        <v>-</v>
      </c>
      <c r="J4171" s="5" t="s">
        <v>539</v>
      </c>
    </row>
    <row r="4172" spans="1:10" x14ac:dyDescent="0.2">
      <c r="A4172" s="1" t="s">
        <v>111</v>
      </c>
      <c r="B4172" s="2" t="s">
        <v>282</v>
      </c>
      <c r="D4172" s="5" t="s">
        <v>464</v>
      </c>
      <c r="E4172" s="3" t="s">
        <v>465</v>
      </c>
      <c r="F4172" s="3">
        <v>132500</v>
      </c>
      <c r="G4172" s="57" t="str">
        <f t="shared" si="66"/>
        <v>-</v>
      </c>
      <c r="J4172" s="5" t="s">
        <v>539</v>
      </c>
    </row>
    <row r="4173" spans="1:10" x14ac:dyDescent="0.2">
      <c r="A4173" s="1" t="s">
        <v>111</v>
      </c>
      <c r="B4173" s="2" t="s">
        <v>282</v>
      </c>
      <c r="D4173" s="5" t="s">
        <v>464</v>
      </c>
      <c r="E4173" s="3" t="s">
        <v>465</v>
      </c>
      <c r="F4173" s="3">
        <v>137500</v>
      </c>
      <c r="G4173" s="57" t="str">
        <f t="shared" si="66"/>
        <v>-</v>
      </c>
      <c r="J4173" s="5" t="s">
        <v>539</v>
      </c>
    </row>
    <row r="4174" spans="1:10" x14ac:dyDescent="0.2">
      <c r="A4174" s="1" t="s">
        <v>111</v>
      </c>
      <c r="B4174" s="2" t="s">
        <v>282</v>
      </c>
      <c r="D4174" s="5" t="s">
        <v>464</v>
      </c>
      <c r="E4174" s="3">
        <v>147500</v>
      </c>
      <c r="F4174" s="3" t="s">
        <v>465</v>
      </c>
      <c r="G4174" s="57" t="str">
        <f t="shared" si="66"/>
        <v>-</v>
      </c>
      <c r="J4174" s="5" t="s">
        <v>539</v>
      </c>
    </row>
    <row r="4175" spans="1:10" x14ac:dyDescent="0.2">
      <c r="A4175" s="1" t="s">
        <v>111</v>
      </c>
      <c r="B4175" s="2" t="s">
        <v>282</v>
      </c>
      <c r="D4175" s="5" t="s">
        <v>464</v>
      </c>
      <c r="E4175" s="3">
        <v>157500</v>
      </c>
      <c r="F4175" s="3" t="s">
        <v>465</v>
      </c>
      <c r="G4175" s="57" t="str">
        <f t="shared" si="66"/>
        <v>-</v>
      </c>
      <c r="J4175" s="5" t="s">
        <v>539</v>
      </c>
    </row>
    <row r="4176" spans="1:10" x14ac:dyDescent="0.2">
      <c r="A4176" s="1" t="s">
        <v>111</v>
      </c>
      <c r="B4176" s="2" t="s">
        <v>282</v>
      </c>
      <c r="D4176" s="5" t="s">
        <v>464</v>
      </c>
      <c r="E4176" s="3" t="s">
        <v>465</v>
      </c>
      <c r="F4176" s="3">
        <v>162500</v>
      </c>
      <c r="G4176" s="57" t="str">
        <f t="shared" si="66"/>
        <v>-</v>
      </c>
      <c r="J4176" s="5" t="s">
        <v>539</v>
      </c>
    </row>
    <row r="4177" spans="1:10" x14ac:dyDescent="0.2">
      <c r="A4177" s="1" t="s">
        <v>111</v>
      </c>
      <c r="B4177" s="2" t="s">
        <v>282</v>
      </c>
      <c r="D4177" s="5" t="s">
        <v>464</v>
      </c>
      <c r="E4177" s="3" t="s">
        <v>465</v>
      </c>
      <c r="F4177" s="3">
        <v>187500</v>
      </c>
      <c r="G4177" s="57" t="str">
        <f t="shared" si="66"/>
        <v>-</v>
      </c>
      <c r="J4177" s="5" t="s">
        <v>539</v>
      </c>
    </row>
    <row r="4178" spans="1:10" x14ac:dyDescent="0.2">
      <c r="A4178" s="1" t="s">
        <v>20</v>
      </c>
      <c r="B4178" s="2" t="s">
        <v>283</v>
      </c>
      <c r="D4178" s="5" t="s">
        <v>783</v>
      </c>
      <c r="E4178" s="3">
        <v>156626</v>
      </c>
      <c r="F4178" s="3">
        <v>158360</v>
      </c>
      <c r="G4178" s="57">
        <f t="shared" si="66"/>
        <v>1.1070958844636268E-2</v>
      </c>
      <c r="J4178" s="5" t="s">
        <v>2973</v>
      </c>
    </row>
    <row r="4179" spans="1:10" x14ac:dyDescent="0.2">
      <c r="A4179" s="1" t="s">
        <v>20</v>
      </c>
      <c r="B4179" s="2" t="s">
        <v>283</v>
      </c>
      <c r="D4179" s="5" t="s">
        <v>455</v>
      </c>
      <c r="E4179" s="3">
        <v>114327</v>
      </c>
      <c r="F4179" s="3">
        <v>114618</v>
      </c>
      <c r="G4179" s="57">
        <f t="shared" si="66"/>
        <v>2.545330499357107E-3</v>
      </c>
      <c r="J4179" s="5" t="s">
        <v>2974</v>
      </c>
    </row>
    <row r="4180" spans="1:10" x14ac:dyDescent="0.2">
      <c r="A4180" s="1" t="s">
        <v>20</v>
      </c>
      <c r="B4180" s="2" t="s">
        <v>283</v>
      </c>
      <c r="D4180" s="5" t="s">
        <v>1056</v>
      </c>
      <c r="E4180" s="3">
        <v>114051</v>
      </c>
      <c r="F4180" s="3">
        <v>114671</v>
      </c>
      <c r="G4180" s="57">
        <f t="shared" si="66"/>
        <v>5.4361645228888826E-3</v>
      </c>
      <c r="J4180" s="5" t="s">
        <v>2975</v>
      </c>
    </row>
    <row r="4181" spans="1:10" ht="25.5" x14ac:dyDescent="0.2">
      <c r="A4181" s="1" t="s">
        <v>20</v>
      </c>
      <c r="B4181" s="2" t="s">
        <v>283</v>
      </c>
      <c r="D4181" s="5" t="s">
        <v>1057</v>
      </c>
      <c r="E4181" s="3">
        <v>65167</v>
      </c>
      <c r="F4181" s="3">
        <v>135681</v>
      </c>
      <c r="G4181" s="57">
        <f t="shared" si="66"/>
        <v>1.0820507311983059</v>
      </c>
      <c r="J4181" s="5" t="s">
        <v>2976</v>
      </c>
    </row>
    <row r="4182" spans="1:10" ht="25.5" x14ac:dyDescent="0.2">
      <c r="A4182" s="1" t="s">
        <v>20</v>
      </c>
      <c r="B4182" s="2" t="s">
        <v>283</v>
      </c>
      <c r="D4182" s="5" t="s">
        <v>1058</v>
      </c>
      <c r="E4182" s="3">
        <v>86721</v>
      </c>
      <c r="F4182" s="3">
        <v>169849</v>
      </c>
      <c r="G4182" s="57">
        <f t="shared" si="66"/>
        <v>0.95856828219231793</v>
      </c>
      <c r="J4182" s="5" t="s">
        <v>2977</v>
      </c>
    </row>
    <row r="4183" spans="1:10" ht="25.5" x14ac:dyDescent="0.2">
      <c r="A4183" s="1" t="s">
        <v>20</v>
      </c>
      <c r="B4183" s="2" t="s">
        <v>283</v>
      </c>
      <c r="D4183" s="5" t="s">
        <v>501</v>
      </c>
      <c r="E4183" s="3">
        <v>114168</v>
      </c>
      <c r="F4183" s="3">
        <v>116716</v>
      </c>
      <c r="G4183" s="57">
        <f t="shared" si="66"/>
        <v>2.2317987527152968E-2</v>
      </c>
      <c r="J4183" s="5" t="s">
        <v>2978</v>
      </c>
    </row>
    <row r="4184" spans="1:10" ht="25.5" x14ac:dyDescent="0.2">
      <c r="A4184" s="1" t="s">
        <v>8</v>
      </c>
      <c r="B4184" s="2" t="s">
        <v>284</v>
      </c>
      <c r="C4184" s="5" t="s">
        <v>1053</v>
      </c>
      <c r="D4184" s="5" t="s">
        <v>450</v>
      </c>
      <c r="E4184" s="3">
        <v>193206</v>
      </c>
      <c r="F4184" s="3">
        <v>193929</v>
      </c>
      <c r="G4184" s="57">
        <f t="shared" si="66"/>
        <v>3.7421198099437908E-3</v>
      </c>
      <c r="J4184" s="5" t="s">
        <v>2969</v>
      </c>
    </row>
    <row r="4185" spans="1:10" ht="25.5" x14ac:dyDescent="0.2">
      <c r="A4185" s="1" t="s">
        <v>8</v>
      </c>
      <c r="B4185" s="2" t="s">
        <v>284</v>
      </c>
      <c r="D4185" s="5" t="s">
        <v>1054</v>
      </c>
      <c r="E4185" s="3">
        <v>168980</v>
      </c>
      <c r="F4185" s="3">
        <v>167074</v>
      </c>
      <c r="G4185" s="57">
        <f t="shared" si="66"/>
        <v>-1.1279441354006391E-2</v>
      </c>
      <c r="J4185" s="5" t="s">
        <v>2964</v>
      </c>
    </row>
    <row r="4186" spans="1:10" x14ac:dyDescent="0.2">
      <c r="A4186" s="1" t="s">
        <v>8</v>
      </c>
      <c r="B4186" s="2" t="s">
        <v>284</v>
      </c>
      <c r="D4186" s="5" t="s">
        <v>2967</v>
      </c>
      <c r="E4186" s="3">
        <v>153700</v>
      </c>
      <c r="F4186" s="3" t="s">
        <v>465</v>
      </c>
      <c r="G4186" s="57" t="str">
        <f t="shared" si="66"/>
        <v>-</v>
      </c>
    </row>
    <row r="4187" spans="1:10" ht="25.5" x14ac:dyDescent="0.2">
      <c r="A4187" s="1" t="s">
        <v>8</v>
      </c>
      <c r="B4187" s="2" t="s">
        <v>284</v>
      </c>
      <c r="D4187" s="5" t="s">
        <v>1693</v>
      </c>
      <c r="E4187" s="3">
        <v>169107</v>
      </c>
      <c r="F4187" s="3">
        <v>169969</v>
      </c>
      <c r="G4187" s="57">
        <f t="shared" si="66"/>
        <v>5.0973643905929383E-3</v>
      </c>
      <c r="J4187" s="5" t="s">
        <v>2965</v>
      </c>
    </row>
    <row r="4188" spans="1:10" ht="25.5" x14ac:dyDescent="0.2">
      <c r="A4188" s="1" t="s">
        <v>8</v>
      </c>
      <c r="B4188" s="2" t="s">
        <v>284</v>
      </c>
      <c r="D4188" s="5" t="s">
        <v>1055</v>
      </c>
      <c r="E4188" s="3">
        <v>101457</v>
      </c>
      <c r="F4188" s="3">
        <v>103725</v>
      </c>
      <c r="G4188" s="57">
        <f t="shared" si="66"/>
        <v>2.2354297879890003E-2</v>
      </c>
      <c r="J4188" s="5" t="s">
        <v>2966</v>
      </c>
    </row>
    <row r="4189" spans="1:10" ht="25.5" x14ac:dyDescent="0.2">
      <c r="A4189" s="1" t="s">
        <v>8</v>
      </c>
      <c r="B4189" s="2" t="s">
        <v>284</v>
      </c>
      <c r="D4189" s="5" t="s">
        <v>2968</v>
      </c>
      <c r="E4189" s="3">
        <v>168955</v>
      </c>
      <c r="F4189" s="3">
        <v>99062</v>
      </c>
      <c r="G4189" s="57">
        <f t="shared" si="66"/>
        <v>-0.41367819833683528</v>
      </c>
      <c r="J4189" s="5" t="s">
        <v>2971</v>
      </c>
    </row>
    <row r="4190" spans="1:10" x14ac:dyDescent="0.2">
      <c r="A4190" s="1" t="s">
        <v>8</v>
      </c>
      <c r="B4190" s="2" t="s">
        <v>284</v>
      </c>
      <c r="D4190" s="5" t="s">
        <v>2970</v>
      </c>
      <c r="E4190" s="3">
        <v>129799</v>
      </c>
      <c r="F4190" s="3">
        <v>78448</v>
      </c>
      <c r="G4190" s="57">
        <f t="shared" si="66"/>
        <v>-0.39561938073482844</v>
      </c>
      <c r="J4190" s="5" t="s">
        <v>2972</v>
      </c>
    </row>
    <row r="4191" spans="1:10" x14ac:dyDescent="0.2">
      <c r="A4191" s="1" t="s">
        <v>8</v>
      </c>
      <c r="B4191" s="2" t="s">
        <v>284</v>
      </c>
      <c r="D4191" s="5" t="s">
        <v>464</v>
      </c>
      <c r="G4191" s="57" t="str">
        <f t="shared" si="66"/>
        <v>-</v>
      </c>
      <c r="H4191" s="19">
        <v>92500</v>
      </c>
      <c r="I4191" s="19" t="s">
        <v>465</v>
      </c>
    </row>
    <row r="4192" spans="1:10" x14ac:dyDescent="0.2">
      <c r="A4192" s="1" t="s">
        <v>8</v>
      </c>
      <c r="B4192" s="2" t="s">
        <v>284</v>
      </c>
      <c r="D4192" s="5" t="s">
        <v>464</v>
      </c>
      <c r="G4192" s="57" t="str">
        <f t="shared" si="66"/>
        <v>-</v>
      </c>
      <c r="H4192" s="19">
        <v>92500</v>
      </c>
      <c r="I4192" s="19" t="s">
        <v>465</v>
      </c>
    </row>
    <row r="4193" spans="1:9" s="1" customFormat="1" x14ac:dyDescent="0.2">
      <c r="A4193" s="1" t="s">
        <v>8</v>
      </c>
      <c r="B4193" s="2" t="s">
        <v>284</v>
      </c>
      <c r="C4193" s="5"/>
      <c r="D4193" s="5" t="s">
        <v>464</v>
      </c>
      <c r="E4193" s="3"/>
      <c r="F4193" s="3"/>
      <c r="G4193" s="57" t="str">
        <f t="shared" si="66"/>
        <v>-</v>
      </c>
      <c r="H4193" s="19">
        <v>92500</v>
      </c>
      <c r="I4193" s="19" t="s">
        <v>465</v>
      </c>
    </row>
    <row r="4194" spans="1:9" s="1" customFormat="1" x14ac:dyDescent="0.2">
      <c r="A4194" s="1" t="s">
        <v>8</v>
      </c>
      <c r="B4194" s="2" t="s">
        <v>284</v>
      </c>
      <c r="C4194" s="5"/>
      <c r="D4194" s="5" t="s">
        <v>464</v>
      </c>
      <c r="E4194" s="3"/>
      <c r="F4194" s="3"/>
      <c r="G4194" s="57" t="str">
        <f t="shared" si="66"/>
        <v>-</v>
      </c>
      <c r="H4194" s="19">
        <v>92500</v>
      </c>
      <c r="I4194" s="19" t="s">
        <v>465</v>
      </c>
    </row>
    <row r="4195" spans="1:9" s="1" customFormat="1" x14ac:dyDescent="0.2">
      <c r="A4195" s="1" t="s">
        <v>8</v>
      </c>
      <c r="B4195" s="2" t="s">
        <v>284</v>
      </c>
      <c r="C4195" s="5"/>
      <c r="D4195" s="5" t="s">
        <v>464</v>
      </c>
      <c r="E4195" s="3"/>
      <c r="F4195" s="3"/>
      <c r="G4195" s="57" t="str">
        <f t="shared" si="66"/>
        <v>-</v>
      </c>
      <c r="H4195" s="19">
        <v>92500</v>
      </c>
      <c r="I4195" s="19" t="s">
        <v>465</v>
      </c>
    </row>
    <row r="4196" spans="1:9" s="1" customFormat="1" x14ac:dyDescent="0.2">
      <c r="A4196" s="1" t="s">
        <v>8</v>
      </c>
      <c r="B4196" s="2" t="s">
        <v>284</v>
      </c>
      <c r="C4196" s="5"/>
      <c r="D4196" s="5" t="s">
        <v>464</v>
      </c>
      <c r="E4196" s="3"/>
      <c r="F4196" s="3"/>
      <c r="G4196" s="57" t="str">
        <f t="shared" si="66"/>
        <v>-</v>
      </c>
      <c r="H4196" s="19">
        <v>92500</v>
      </c>
      <c r="I4196" s="19" t="s">
        <v>465</v>
      </c>
    </row>
    <row r="4197" spans="1:9" s="1" customFormat="1" x14ac:dyDescent="0.2">
      <c r="A4197" s="1" t="s">
        <v>8</v>
      </c>
      <c r="B4197" s="2" t="s">
        <v>284</v>
      </c>
      <c r="C4197" s="5"/>
      <c r="D4197" s="5" t="s">
        <v>464</v>
      </c>
      <c r="E4197" s="3"/>
      <c r="F4197" s="3"/>
      <c r="G4197" s="57" t="str">
        <f t="shared" si="66"/>
        <v>-</v>
      </c>
      <c r="H4197" s="19">
        <v>92500</v>
      </c>
      <c r="I4197" s="19" t="s">
        <v>465</v>
      </c>
    </row>
    <row r="4198" spans="1:9" s="1" customFormat="1" x14ac:dyDescent="0.2">
      <c r="A4198" s="1" t="s">
        <v>8</v>
      </c>
      <c r="B4198" s="2" t="s">
        <v>284</v>
      </c>
      <c r="C4198" s="5"/>
      <c r="D4198" s="5" t="s">
        <v>464</v>
      </c>
      <c r="E4198" s="3"/>
      <c r="F4198" s="3"/>
      <c r="G4198" s="57" t="str">
        <f t="shared" si="66"/>
        <v>-</v>
      </c>
      <c r="H4198" s="19" t="s">
        <v>465</v>
      </c>
      <c r="I4198" s="19">
        <v>92500</v>
      </c>
    </row>
    <row r="4199" spans="1:9" s="1" customFormat="1" x14ac:dyDescent="0.2">
      <c r="A4199" s="1" t="s">
        <v>8</v>
      </c>
      <c r="B4199" s="2" t="s">
        <v>284</v>
      </c>
      <c r="C4199" s="5"/>
      <c r="D4199" s="5" t="s">
        <v>464</v>
      </c>
      <c r="E4199" s="3"/>
      <c r="F4199" s="3"/>
      <c r="G4199" s="57" t="str">
        <f t="shared" si="66"/>
        <v>-</v>
      </c>
      <c r="H4199" s="19" t="s">
        <v>465</v>
      </c>
      <c r="I4199" s="19">
        <v>92500</v>
      </c>
    </row>
    <row r="4200" spans="1:9" s="1" customFormat="1" x14ac:dyDescent="0.2">
      <c r="A4200" s="1" t="s">
        <v>8</v>
      </c>
      <c r="B4200" s="2" t="s">
        <v>284</v>
      </c>
      <c r="C4200" s="5"/>
      <c r="D4200" s="5" t="s">
        <v>464</v>
      </c>
      <c r="E4200" s="3"/>
      <c r="F4200" s="3"/>
      <c r="G4200" s="57" t="str">
        <f t="shared" si="66"/>
        <v>-</v>
      </c>
      <c r="H4200" s="19" t="s">
        <v>465</v>
      </c>
      <c r="I4200" s="19">
        <v>92500</v>
      </c>
    </row>
    <row r="4201" spans="1:9" s="1" customFormat="1" x14ac:dyDescent="0.2">
      <c r="A4201" s="1" t="s">
        <v>8</v>
      </c>
      <c r="B4201" s="2" t="s">
        <v>284</v>
      </c>
      <c r="C4201" s="5"/>
      <c r="D4201" s="5" t="s">
        <v>464</v>
      </c>
      <c r="E4201" s="3"/>
      <c r="F4201" s="3"/>
      <c r="G4201" s="57" t="str">
        <f t="shared" si="66"/>
        <v>-</v>
      </c>
      <c r="H4201" s="19" t="s">
        <v>465</v>
      </c>
      <c r="I4201" s="19">
        <v>92500</v>
      </c>
    </row>
    <row r="4202" spans="1:9" s="1" customFormat="1" x14ac:dyDescent="0.2">
      <c r="A4202" s="1" t="s">
        <v>8</v>
      </c>
      <c r="B4202" s="2" t="s">
        <v>284</v>
      </c>
      <c r="C4202" s="5"/>
      <c r="D4202" s="5" t="s">
        <v>464</v>
      </c>
      <c r="E4202" s="3">
        <v>102500</v>
      </c>
      <c r="F4202" s="3" t="s">
        <v>465</v>
      </c>
      <c r="G4202" s="57" t="str">
        <f t="shared" si="66"/>
        <v>-</v>
      </c>
      <c r="H4202" s="19"/>
      <c r="I4202" s="19"/>
    </row>
    <row r="4203" spans="1:9" s="1" customFormat="1" x14ac:dyDescent="0.2">
      <c r="A4203" s="1" t="s">
        <v>8</v>
      </c>
      <c r="B4203" s="2" t="s">
        <v>284</v>
      </c>
      <c r="C4203" s="5"/>
      <c r="D4203" s="5" t="s">
        <v>464</v>
      </c>
      <c r="E4203" s="3">
        <v>102500</v>
      </c>
      <c r="F4203" s="3" t="s">
        <v>465</v>
      </c>
      <c r="G4203" s="57" t="str">
        <f t="shared" si="66"/>
        <v>-</v>
      </c>
      <c r="H4203" s="19"/>
      <c r="I4203" s="19"/>
    </row>
    <row r="4204" spans="1:9" s="1" customFormat="1" x14ac:dyDescent="0.2">
      <c r="A4204" s="1" t="s">
        <v>8</v>
      </c>
      <c r="B4204" s="2" t="s">
        <v>284</v>
      </c>
      <c r="C4204" s="5"/>
      <c r="D4204" s="5" t="s">
        <v>464</v>
      </c>
      <c r="E4204" s="3" t="s">
        <v>465</v>
      </c>
      <c r="F4204" s="3">
        <v>102500</v>
      </c>
      <c r="G4204" s="57" t="str">
        <f t="shared" si="66"/>
        <v>-</v>
      </c>
      <c r="H4204" s="19"/>
      <c r="I4204" s="19"/>
    </row>
    <row r="4205" spans="1:9" s="1" customFormat="1" x14ac:dyDescent="0.2">
      <c r="A4205" s="1" t="s">
        <v>8</v>
      </c>
      <c r="B4205" s="2" t="s">
        <v>284</v>
      </c>
      <c r="C4205" s="5"/>
      <c r="D4205" s="5" t="s">
        <v>464</v>
      </c>
      <c r="E4205" s="3" t="s">
        <v>465</v>
      </c>
      <c r="F4205" s="3">
        <v>102500</v>
      </c>
      <c r="G4205" s="57" t="str">
        <f t="shared" si="66"/>
        <v>-</v>
      </c>
      <c r="H4205" s="19"/>
      <c r="I4205" s="19"/>
    </row>
    <row r="4206" spans="1:9" s="1" customFormat="1" x14ac:dyDescent="0.2">
      <c r="A4206" s="1" t="s">
        <v>8</v>
      </c>
      <c r="B4206" s="2" t="s">
        <v>284</v>
      </c>
      <c r="C4206" s="5"/>
      <c r="D4206" s="5" t="s">
        <v>464</v>
      </c>
      <c r="E4206" s="3">
        <v>107500</v>
      </c>
      <c r="F4206" s="3" t="s">
        <v>465</v>
      </c>
      <c r="G4206" s="57" t="str">
        <f t="shared" si="66"/>
        <v>-</v>
      </c>
      <c r="H4206" s="19"/>
      <c r="I4206" s="19"/>
    </row>
    <row r="4207" spans="1:9" s="1" customFormat="1" x14ac:dyDescent="0.2">
      <c r="A4207" s="1" t="s">
        <v>8</v>
      </c>
      <c r="B4207" s="2" t="s">
        <v>284</v>
      </c>
      <c r="C4207" s="5"/>
      <c r="D4207" s="5" t="s">
        <v>464</v>
      </c>
      <c r="E4207" s="3">
        <v>147500</v>
      </c>
      <c r="F4207" s="3" t="s">
        <v>465</v>
      </c>
      <c r="G4207" s="57" t="str">
        <f t="shared" ref="G4207:G4270" si="67">IF(ISERROR((F4207-E4207)/E4207),"-",(F4207-E4207)/E4207)</f>
        <v>-</v>
      </c>
      <c r="H4207" s="19"/>
      <c r="I4207" s="19"/>
    </row>
    <row r="4208" spans="1:9" s="1" customFormat="1" x14ac:dyDescent="0.2">
      <c r="A4208" s="1" t="s">
        <v>8</v>
      </c>
      <c r="B4208" s="2" t="s">
        <v>284</v>
      </c>
      <c r="C4208" s="5"/>
      <c r="D4208" s="5" t="s">
        <v>464</v>
      </c>
      <c r="E4208" s="3" t="s">
        <v>465</v>
      </c>
      <c r="F4208" s="3">
        <v>147500</v>
      </c>
      <c r="G4208" s="57" t="str">
        <f t="shared" si="67"/>
        <v>-</v>
      </c>
      <c r="H4208" s="19"/>
      <c r="I4208" s="19"/>
    </row>
    <row r="4209" spans="1:10" x14ac:dyDescent="0.2">
      <c r="A4209" s="1" t="s">
        <v>8</v>
      </c>
      <c r="B4209" s="2" t="s">
        <v>284</v>
      </c>
      <c r="D4209" s="5" t="s">
        <v>464</v>
      </c>
      <c r="E4209" s="3">
        <v>212500</v>
      </c>
      <c r="F4209" s="3" t="s">
        <v>465</v>
      </c>
      <c r="G4209" s="57" t="str">
        <f t="shared" si="67"/>
        <v>-</v>
      </c>
    </row>
    <row r="4210" spans="1:10" ht="25.5" x14ac:dyDescent="0.2">
      <c r="A4210" s="1" t="s">
        <v>8</v>
      </c>
      <c r="B4210" s="2" t="s">
        <v>285</v>
      </c>
      <c r="C4210" s="5" t="s">
        <v>1047</v>
      </c>
      <c r="D4210" s="5" t="s">
        <v>450</v>
      </c>
      <c r="E4210" s="3">
        <v>214643</v>
      </c>
      <c r="F4210" s="3">
        <v>216493</v>
      </c>
      <c r="G4210" s="57">
        <f t="shared" si="67"/>
        <v>8.6189626496088849E-3</v>
      </c>
      <c r="J4210" s="5" t="s">
        <v>2959</v>
      </c>
    </row>
    <row r="4211" spans="1:10" ht="25.5" x14ac:dyDescent="0.2">
      <c r="A4211" s="1" t="s">
        <v>8</v>
      </c>
      <c r="B4211" s="2" t="s">
        <v>285</v>
      </c>
      <c r="D4211" s="5" t="s">
        <v>1048</v>
      </c>
      <c r="E4211" s="3">
        <v>157701</v>
      </c>
      <c r="F4211" s="3">
        <v>158394</v>
      </c>
      <c r="G4211" s="57">
        <f t="shared" si="67"/>
        <v>4.3943919188844712E-3</v>
      </c>
      <c r="J4211" s="5" t="s">
        <v>2960</v>
      </c>
    </row>
    <row r="4212" spans="1:10" ht="25.5" x14ac:dyDescent="0.2">
      <c r="A4212" s="1" t="s">
        <v>8</v>
      </c>
      <c r="B4212" s="2" t="s">
        <v>285</v>
      </c>
      <c r="D4212" s="5" t="s">
        <v>1049</v>
      </c>
      <c r="E4212" s="3">
        <v>146940</v>
      </c>
      <c r="F4212" s="3">
        <v>148314</v>
      </c>
      <c r="G4212" s="57">
        <f t="shared" si="67"/>
        <v>9.350755410371581E-3</v>
      </c>
      <c r="J4212" s="5" t="s">
        <v>2961</v>
      </c>
    </row>
    <row r="4213" spans="1:10" ht="38.25" x14ac:dyDescent="0.2">
      <c r="A4213" s="1" t="s">
        <v>8</v>
      </c>
      <c r="B4213" s="2" t="s">
        <v>285</v>
      </c>
      <c r="D4213" s="5" t="s">
        <v>1050</v>
      </c>
      <c r="E4213" s="3">
        <v>119300</v>
      </c>
      <c r="F4213" s="3">
        <v>142526</v>
      </c>
      <c r="G4213" s="57">
        <f t="shared" si="67"/>
        <v>0.19468566638725901</v>
      </c>
      <c r="J4213" s="5" t="s">
        <v>4392</v>
      </c>
    </row>
    <row r="4214" spans="1:10" ht="38.25" x14ac:dyDescent="0.2">
      <c r="A4214" s="1" t="s">
        <v>8</v>
      </c>
      <c r="B4214" s="2" t="s">
        <v>285</v>
      </c>
      <c r="D4214" s="5" t="s">
        <v>1051</v>
      </c>
      <c r="E4214" s="3">
        <v>141773</v>
      </c>
      <c r="F4214" s="3">
        <v>159798</v>
      </c>
      <c r="G4214" s="57">
        <f t="shared" si="67"/>
        <v>0.12713986443116815</v>
      </c>
      <c r="J4214" s="5" t="s">
        <v>4391</v>
      </c>
    </row>
    <row r="4215" spans="1:10" x14ac:dyDescent="0.2">
      <c r="A4215" s="1" t="s">
        <v>8</v>
      </c>
      <c r="B4215" s="2" t="s">
        <v>285</v>
      </c>
      <c r="D4215" s="5" t="s">
        <v>451</v>
      </c>
      <c r="E4215" s="3">
        <v>95470</v>
      </c>
      <c r="F4215" s="3">
        <v>105362</v>
      </c>
      <c r="G4215" s="57">
        <f t="shared" si="67"/>
        <v>0.10361370063894416</v>
      </c>
      <c r="J4215" s="5" t="s">
        <v>2962</v>
      </c>
    </row>
    <row r="4216" spans="1:10" x14ac:dyDescent="0.2">
      <c r="A4216" s="1" t="s">
        <v>8</v>
      </c>
      <c r="B4216" s="2" t="s">
        <v>285</v>
      </c>
      <c r="D4216" s="5" t="s">
        <v>1052</v>
      </c>
      <c r="E4216" s="3">
        <v>106629</v>
      </c>
      <c r="F4216" s="3">
        <v>102183</v>
      </c>
      <c r="G4216" s="57">
        <f t="shared" si="67"/>
        <v>-4.1695973890780183E-2</v>
      </c>
      <c r="J4216" s="5" t="s">
        <v>2963</v>
      </c>
    </row>
    <row r="4217" spans="1:10" x14ac:dyDescent="0.2">
      <c r="A4217" s="1" t="s">
        <v>8</v>
      </c>
      <c r="B4217" s="2" t="s">
        <v>285</v>
      </c>
      <c r="D4217" s="5" t="s">
        <v>464</v>
      </c>
      <c r="G4217" s="57" t="str">
        <f t="shared" si="67"/>
        <v>-</v>
      </c>
      <c r="H4217" s="19">
        <v>92500</v>
      </c>
      <c r="I4217" s="19" t="s">
        <v>465</v>
      </c>
    </row>
    <row r="4218" spans="1:10" x14ac:dyDescent="0.2">
      <c r="A4218" s="1" t="s">
        <v>8</v>
      </c>
      <c r="B4218" s="2" t="s">
        <v>285</v>
      </c>
      <c r="D4218" s="5" t="s">
        <v>464</v>
      </c>
      <c r="G4218" s="57" t="str">
        <f t="shared" si="67"/>
        <v>-</v>
      </c>
      <c r="H4218" s="19">
        <v>92500</v>
      </c>
      <c r="I4218" s="19" t="s">
        <v>465</v>
      </c>
    </row>
    <row r="4219" spans="1:10" x14ac:dyDescent="0.2">
      <c r="A4219" s="1" t="s">
        <v>8</v>
      </c>
      <c r="B4219" s="2" t="s">
        <v>285</v>
      </c>
      <c r="D4219" s="5" t="s">
        <v>464</v>
      </c>
      <c r="G4219" s="57" t="str">
        <f t="shared" si="67"/>
        <v>-</v>
      </c>
      <c r="H4219" s="19">
        <v>92500</v>
      </c>
      <c r="I4219" s="19" t="s">
        <v>465</v>
      </c>
    </row>
    <row r="4220" spans="1:10" x14ac:dyDescent="0.2">
      <c r="A4220" s="1" t="s">
        <v>8</v>
      </c>
      <c r="B4220" s="2" t="s">
        <v>285</v>
      </c>
      <c r="D4220" s="5" t="s">
        <v>464</v>
      </c>
      <c r="G4220" s="57" t="str">
        <f t="shared" si="67"/>
        <v>-</v>
      </c>
      <c r="H4220" s="19">
        <v>92500</v>
      </c>
      <c r="I4220" s="19" t="s">
        <v>465</v>
      </c>
    </row>
    <row r="4221" spans="1:10" x14ac:dyDescent="0.2">
      <c r="A4221" s="1" t="s">
        <v>8</v>
      </c>
      <c r="B4221" s="2" t="s">
        <v>285</v>
      </c>
      <c r="D4221" s="5" t="s">
        <v>464</v>
      </c>
      <c r="G4221" s="57" t="str">
        <f t="shared" si="67"/>
        <v>-</v>
      </c>
      <c r="H4221" s="19">
        <v>92500</v>
      </c>
      <c r="I4221" s="19" t="s">
        <v>465</v>
      </c>
    </row>
    <row r="4222" spans="1:10" x14ac:dyDescent="0.2">
      <c r="A4222" s="1" t="s">
        <v>8</v>
      </c>
      <c r="B4222" s="2" t="s">
        <v>285</v>
      </c>
      <c r="D4222" s="5" t="s">
        <v>464</v>
      </c>
      <c r="G4222" s="57" t="str">
        <f t="shared" si="67"/>
        <v>-</v>
      </c>
      <c r="H4222" s="19">
        <v>92500</v>
      </c>
      <c r="I4222" s="19" t="s">
        <v>465</v>
      </c>
    </row>
    <row r="4223" spans="1:10" x14ac:dyDescent="0.2">
      <c r="A4223" s="1" t="s">
        <v>8</v>
      </c>
      <c r="B4223" s="2" t="s">
        <v>285</v>
      </c>
      <c r="D4223" s="5" t="s">
        <v>464</v>
      </c>
      <c r="G4223" s="57" t="str">
        <f t="shared" si="67"/>
        <v>-</v>
      </c>
      <c r="H4223" s="19" t="s">
        <v>465</v>
      </c>
      <c r="I4223" s="19">
        <v>92500</v>
      </c>
    </row>
    <row r="4224" spans="1:10" x14ac:dyDescent="0.2">
      <c r="A4224" s="1" t="s">
        <v>8</v>
      </c>
      <c r="B4224" s="2" t="s">
        <v>285</v>
      </c>
      <c r="D4224" s="5" t="s">
        <v>464</v>
      </c>
      <c r="G4224" s="57" t="str">
        <f t="shared" si="67"/>
        <v>-</v>
      </c>
      <c r="H4224" s="19" t="s">
        <v>465</v>
      </c>
      <c r="I4224" s="19">
        <v>92500</v>
      </c>
    </row>
    <row r="4225" spans="1:9" s="1" customFormat="1" x14ac:dyDescent="0.2">
      <c r="A4225" s="1" t="s">
        <v>8</v>
      </c>
      <c r="B4225" s="2" t="s">
        <v>285</v>
      </c>
      <c r="C4225" s="5"/>
      <c r="D4225" s="5" t="s">
        <v>464</v>
      </c>
      <c r="E4225" s="3"/>
      <c r="F4225" s="3"/>
      <c r="G4225" s="57" t="str">
        <f t="shared" si="67"/>
        <v>-</v>
      </c>
      <c r="H4225" s="19" t="s">
        <v>465</v>
      </c>
      <c r="I4225" s="19">
        <v>92500</v>
      </c>
    </row>
    <row r="4226" spans="1:9" s="1" customFormat="1" x14ac:dyDescent="0.2">
      <c r="A4226" s="1" t="s">
        <v>8</v>
      </c>
      <c r="B4226" s="2" t="s">
        <v>285</v>
      </c>
      <c r="C4226" s="5"/>
      <c r="D4226" s="5" t="s">
        <v>464</v>
      </c>
      <c r="E4226" s="3"/>
      <c r="F4226" s="3"/>
      <c r="G4226" s="57" t="str">
        <f t="shared" si="67"/>
        <v>-</v>
      </c>
      <c r="H4226" s="19" t="s">
        <v>465</v>
      </c>
      <c r="I4226" s="19">
        <v>92500</v>
      </c>
    </row>
    <row r="4227" spans="1:9" s="1" customFormat="1" x14ac:dyDescent="0.2">
      <c r="A4227" s="1" t="s">
        <v>8</v>
      </c>
      <c r="B4227" s="2" t="s">
        <v>285</v>
      </c>
      <c r="C4227" s="5"/>
      <c r="D4227" s="5" t="s">
        <v>464</v>
      </c>
      <c r="E4227" s="3"/>
      <c r="F4227" s="3"/>
      <c r="G4227" s="57" t="str">
        <f t="shared" si="67"/>
        <v>-</v>
      </c>
      <c r="H4227" s="19" t="s">
        <v>465</v>
      </c>
      <c r="I4227" s="19">
        <v>92500</v>
      </c>
    </row>
    <row r="4228" spans="1:9" s="1" customFormat="1" x14ac:dyDescent="0.2">
      <c r="A4228" s="1" t="s">
        <v>8</v>
      </c>
      <c r="B4228" s="2" t="s">
        <v>285</v>
      </c>
      <c r="C4228" s="5"/>
      <c r="D4228" s="5" t="s">
        <v>464</v>
      </c>
      <c r="E4228" s="3"/>
      <c r="F4228" s="3"/>
      <c r="G4228" s="57" t="str">
        <f t="shared" si="67"/>
        <v>-</v>
      </c>
      <c r="H4228" s="19" t="s">
        <v>465</v>
      </c>
      <c r="I4228" s="19">
        <v>92500</v>
      </c>
    </row>
    <row r="4229" spans="1:9" s="1" customFormat="1" x14ac:dyDescent="0.2">
      <c r="A4229" s="1" t="s">
        <v>8</v>
      </c>
      <c r="B4229" s="2" t="s">
        <v>285</v>
      </c>
      <c r="C4229" s="5"/>
      <c r="D4229" s="5" t="s">
        <v>464</v>
      </c>
      <c r="E4229" s="3"/>
      <c r="F4229" s="3"/>
      <c r="G4229" s="57" t="str">
        <f t="shared" si="67"/>
        <v>-</v>
      </c>
      <c r="H4229" s="19" t="s">
        <v>465</v>
      </c>
      <c r="I4229" s="19">
        <v>92500</v>
      </c>
    </row>
    <row r="4230" spans="1:9" s="1" customFormat="1" x14ac:dyDescent="0.2">
      <c r="A4230" s="1" t="s">
        <v>8</v>
      </c>
      <c r="B4230" s="2" t="s">
        <v>285</v>
      </c>
      <c r="C4230" s="5"/>
      <c r="D4230" s="5" t="s">
        <v>464</v>
      </c>
      <c r="E4230" s="3"/>
      <c r="F4230" s="3"/>
      <c r="G4230" s="57" t="str">
        <f t="shared" si="67"/>
        <v>-</v>
      </c>
      <c r="H4230" s="19" t="s">
        <v>465</v>
      </c>
      <c r="I4230" s="19">
        <v>92500</v>
      </c>
    </row>
    <row r="4231" spans="1:9" s="1" customFormat="1" x14ac:dyDescent="0.2">
      <c r="A4231" s="1" t="s">
        <v>8</v>
      </c>
      <c r="B4231" s="2" t="s">
        <v>285</v>
      </c>
      <c r="C4231" s="5"/>
      <c r="D4231" s="5" t="s">
        <v>464</v>
      </c>
      <c r="E4231" s="3"/>
      <c r="F4231" s="3"/>
      <c r="G4231" s="57" t="str">
        <f t="shared" si="67"/>
        <v>-</v>
      </c>
      <c r="H4231" s="19" t="s">
        <v>465</v>
      </c>
      <c r="I4231" s="19">
        <v>92500</v>
      </c>
    </row>
    <row r="4232" spans="1:9" s="1" customFormat="1" x14ac:dyDescent="0.2">
      <c r="A4232" s="1" t="s">
        <v>8</v>
      </c>
      <c r="B4232" s="2" t="s">
        <v>285</v>
      </c>
      <c r="C4232" s="5"/>
      <c r="D4232" s="5" t="s">
        <v>464</v>
      </c>
      <c r="E4232" s="3"/>
      <c r="F4232" s="3"/>
      <c r="G4232" s="57" t="str">
        <f t="shared" si="67"/>
        <v>-</v>
      </c>
      <c r="H4232" s="19" t="s">
        <v>465</v>
      </c>
      <c r="I4232" s="19">
        <v>92500</v>
      </c>
    </row>
    <row r="4233" spans="1:9" s="1" customFormat="1" x14ac:dyDescent="0.2">
      <c r="A4233" s="1" t="s">
        <v>8</v>
      </c>
      <c r="B4233" s="2" t="s">
        <v>285</v>
      </c>
      <c r="C4233" s="5"/>
      <c r="D4233" s="5" t="s">
        <v>464</v>
      </c>
      <c r="E4233" s="3"/>
      <c r="F4233" s="3"/>
      <c r="G4233" s="57" t="str">
        <f t="shared" si="67"/>
        <v>-</v>
      </c>
      <c r="H4233" s="19" t="s">
        <v>465</v>
      </c>
      <c r="I4233" s="19">
        <v>92500</v>
      </c>
    </row>
    <row r="4234" spans="1:9" s="1" customFormat="1" x14ac:dyDescent="0.2">
      <c r="A4234" s="1" t="s">
        <v>8</v>
      </c>
      <c r="B4234" s="2" t="s">
        <v>285</v>
      </c>
      <c r="C4234" s="5"/>
      <c r="D4234" s="5" t="s">
        <v>464</v>
      </c>
      <c r="E4234" s="3"/>
      <c r="F4234" s="3"/>
      <c r="G4234" s="57" t="str">
        <f t="shared" si="67"/>
        <v>-</v>
      </c>
      <c r="H4234" s="19" t="s">
        <v>465</v>
      </c>
      <c r="I4234" s="19">
        <v>92500</v>
      </c>
    </row>
    <row r="4235" spans="1:9" s="1" customFormat="1" x14ac:dyDescent="0.2">
      <c r="A4235" s="1" t="s">
        <v>8</v>
      </c>
      <c r="B4235" s="2" t="s">
        <v>285</v>
      </c>
      <c r="C4235" s="5"/>
      <c r="D4235" s="5" t="s">
        <v>464</v>
      </c>
      <c r="E4235" s="3"/>
      <c r="F4235" s="3"/>
      <c r="G4235" s="57" t="str">
        <f t="shared" si="67"/>
        <v>-</v>
      </c>
      <c r="H4235" s="19">
        <v>97500</v>
      </c>
      <c r="I4235" s="19" t="s">
        <v>465</v>
      </c>
    </row>
    <row r="4236" spans="1:9" s="1" customFormat="1" x14ac:dyDescent="0.2">
      <c r="A4236" s="1" t="s">
        <v>8</v>
      </c>
      <c r="B4236" s="2" t="s">
        <v>285</v>
      </c>
      <c r="C4236" s="5"/>
      <c r="D4236" s="5" t="s">
        <v>464</v>
      </c>
      <c r="E4236" s="3"/>
      <c r="F4236" s="3"/>
      <c r="G4236" s="57" t="str">
        <f t="shared" si="67"/>
        <v>-</v>
      </c>
      <c r="H4236" s="19">
        <v>97500</v>
      </c>
      <c r="I4236" s="19" t="s">
        <v>465</v>
      </c>
    </row>
    <row r="4237" spans="1:9" s="1" customFormat="1" x14ac:dyDescent="0.2">
      <c r="A4237" s="1" t="s">
        <v>8</v>
      </c>
      <c r="B4237" s="2" t="s">
        <v>285</v>
      </c>
      <c r="C4237" s="5"/>
      <c r="D4237" s="5" t="s">
        <v>464</v>
      </c>
      <c r="E4237" s="3"/>
      <c r="F4237" s="3"/>
      <c r="G4237" s="57" t="str">
        <f t="shared" si="67"/>
        <v>-</v>
      </c>
      <c r="H4237" s="19">
        <v>97500</v>
      </c>
      <c r="I4237" s="19" t="s">
        <v>465</v>
      </c>
    </row>
    <row r="4238" spans="1:9" s="1" customFormat="1" x14ac:dyDescent="0.2">
      <c r="A4238" s="1" t="s">
        <v>8</v>
      </c>
      <c r="B4238" s="2" t="s">
        <v>285</v>
      </c>
      <c r="C4238" s="5"/>
      <c r="D4238" s="5" t="s">
        <v>464</v>
      </c>
      <c r="E4238" s="3"/>
      <c r="F4238" s="3"/>
      <c r="G4238" s="57" t="str">
        <f t="shared" si="67"/>
        <v>-</v>
      </c>
      <c r="H4238" s="19">
        <v>97500</v>
      </c>
      <c r="I4238" s="19" t="s">
        <v>465</v>
      </c>
    </row>
    <row r="4239" spans="1:9" s="1" customFormat="1" x14ac:dyDescent="0.2">
      <c r="A4239" s="1" t="s">
        <v>8</v>
      </c>
      <c r="B4239" s="2" t="s">
        <v>285</v>
      </c>
      <c r="C4239" s="5"/>
      <c r="D4239" s="5" t="s">
        <v>464</v>
      </c>
      <c r="E4239" s="3"/>
      <c r="F4239" s="3"/>
      <c r="G4239" s="57" t="str">
        <f t="shared" si="67"/>
        <v>-</v>
      </c>
      <c r="H4239" s="19">
        <v>97500</v>
      </c>
      <c r="I4239" s="19" t="s">
        <v>465</v>
      </c>
    </row>
    <row r="4240" spans="1:9" s="1" customFormat="1" x14ac:dyDescent="0.2">
      <c r="A4240" s="1" t="s">
        <v>8</v>
      </c>
      <c r="B4240" s="2" t="s">
        <v>285</v>
      </c>
      <c r="C4240" s="5"/>
      <c r="D4240" s="5" t="s">
        <v>464</v>
      </c>
      <c r="E4240" s="3"/>
      <c r="F4240" s="3"/>
      <c r="G4240" s="57" t="str">
        <f t="shared" si="67"/>
        <v>-</v>
      </c>
      <c r="H4240" s="19" t="s">
        <v>465</v>
      </c>
      <c r="I4240" s="19">
        <v>97500</v>
      </c>
    </row>
    <row r="4241" spans="1:9" s="1" customFormat="1" x14ac:dyDescent="0.2">
      <c r="A4241" s="1" t="s">
        <v>8</v>
      </c>
      <c r="B4241" s="2" t="s">
        <v>285</v>
      </c>
      <c r="C4241" s="5"/>
      <c r="D4241" s="5" t="s">
        <v>464</v>
      </c>
      <c r="E4241" s="3"/>
      <c r="F4241" s="3"/>
      <c r="G4241" s="57" t="str">
        <f t="shared" si="67"/>
        <v>-</v>
      </c>
      <c r="H4241" s="19" t="s">
        <v>465</v>
      </c>
      <c r="I4241" s="19">
        <v>97500</v>
      </c>
    </row>
    <row r="4242" spans="1:9" s="1" customFormat="1" x14ac:dyDescent="0.2">
      <c r="A4242" s="1" t="s">
        <v>8</v>
      </c>
      <c r="B4242" s="2" t="s">
        <v>285</v>
      </c>
      <c r="C4242" s="5"/>
      <c r="D4242" s="5" t="s">
        <v>464</v>
      </c>
      <c r="E4242" s="3"/>
      <c r="F4242" s="3"/>
      <c r="G4242" s="57" t="str">
        <f t="shared" si="67"/>
        <v>-</v>
      </c>
      <c r="H4242" s="19" t="s">
        <v>465</v>
      </c>
      <c r="I4242" s="19">
        <v>97500</v>
      </c>
    </row>
    <row r="4243" spans="1:9" s="1" customFormat="1" x14ac:dyDescent="0.2">
      <c r="A4243" s="1" t="s">
        <v>8</v>
      </c>
      <c r="B4243" s="2" t="s">
        <v>285</v>
      </c>
      <c r="C4243" s="5"/>
      <c r="D4243" s="5" t="s">
        <v>464</v>
      </c>
      <c r="E4243" s="3"/>
      <c r="F4243" s="3"/>
      <c r="G4243" s="57" t="str">
        <f t="shared" si="67"/>
        <v>-</v>
      </c>
      <c r="H4243" s="19" t="s">
        <v>465</v>
      </c>
      <c r="I4243" s="19">
        <v>97500</v>
      </c>
    </row>
    <row r="4244" spans="1:9" s="1" customFormat="1" x14ac:dyDescent="0.2">
      <c r="A4244" s="1" t="s">
        <v>8</v>
      </c>
      <c r="B4244" s="2" t="s">
        <v>285</v>
      </c>
      <c r="C4244" s="5"/>
      <c r="D4244" s="5" t="s">
        <v>464</v>
      </c>
      <c r="E4244" s="3"/>
      <c r="F4244" s="3"/>
      <c r="G4244" s="57" t="str">
        <f t="shared" si="67"/>
        <v>-</v>
      </c>
      <c r="H4244" s="19" t="s">
        <v>465</v>
      </c>
      <c r="I4244" s="19">
        <v>97500</v>
      </c>
    </row>
    <row r="4245" spans="1:9" s="1" customFormat="1" x14ac:dyDescent="0.2">
      <c r="A4245" s="1" t="s">
        <v>8</v>
      </c>
      <c r="B4245" s="2" t="s">
        <v>285</v>
      </c>
      <c r="C4245" s="5"/>
      <c r="D4245" s="5" t="s">
        <v>464</v>
      </c>
      <c r="E4245" s="3"/>
      <c r="F4245" s="3"/>
      <c r="G4245" s="57" t="str">
        <f t="shared" si="67"/>
        <v>-</v>
      </c>
      <c r="H4245" s="19" t="s">
        <v>465</v>
      </c>
      <c r="I4245" s="19">
        <v>97500</v>
      </c>
    </row>
    <row r="4246" spans="1:9" s="1" customFormat="1" x14ac:dyDescent="0.2">
      <c r="A4246" s="1" t="s">
        <v>8</v>
      </c>
      <c r="B4246" s="2" t="s">
        <v>285</v>
      </c>
      <c r="C4246" s="5"/>
      <c r="D4246" s="5" t="s">
        <v>464</v>
      </c>
      <c r="E4246" s="3"/>
      <c r="F4246" s="3"/>
      <c r="G4246" s="57" t="str">
        <f t="shared" si="67"/>
        <v>-</v>
      </c>
      <c r="H4246" s="19" t="s">
        <v>465</v>
      </c>
      <c r="I4246" s="19">
        <v>97500</v>
      </c>
    </row>
    <row r="4247" spans="1:9" s="1" customFormat="1" x14ac:dyDescent="0.2">
      <c r="A4247" s="1" t="s">
        <v>8</v>
      </c>
      <c r="B4247" s="2" t="s">
        <v>285</v>
      </c>
      <c r="C4247" s="5"/>
      <c r="D4247" s="5" t="s">
        <v>464</v>
      </c>
      <c r="E4247" s="3"/>
      <c r="F4247" s="3"/>
      <c r="G4247" s="57" t="str">
        <f t="shared" si="67"/>
        <v>-</v>
      </c>
      <c r="H4247" s="19" t="s">
        <v>465</v>
      </c>
      <c r="I4247" s="19">
        <v>97500</v>
      </c>
    </row>
    <row r="4248" spans="1:9" s="1" customFormat="1" x14ac:dyDescent="0.2">
      <c r="A4248" s="1" t="s">
        <v>8</v>
      </c>
      <c r="B4248" s="2" t="s">
        <v>285</v>
      </c>
      <c r="C4248" s="5"/>
      <c r="D4248" s="5" t="s">
        <v>464</v>
      </c>
      <c r="E4248" s="3"/>
      <c r="F4248" s="3"/>
      <c r="G4248" s="57" t="str">
        <f t="shared" si="67"/>
        <v>-</v>
      </c>
      <c r="H4248" s="19" t="s">
        <v>465</v>
      </c>
      <c r="I4248" s="19">
        <v>97500</v>
      </c>
    </row>
    <row r="4249" spans="1:9" s="1" customFormat="1" x14ac:dyDescent="0.2">
      <c r="A4249" s="1" t="s">
        <v>8</v>
      </c>
      <c r="B4249" s="2" t="s">
        <v>285</v>
      </c>
      <c r="C4249" s="5"/>
      <c r="D4249" s="5" t="s">
        <v>464</v>
      </c>
      <c r="E4249" s="3"/>
      <c r="F4249" s="3"/>
      <c r="G4249" s="57" t="str">
        <f t="shared" si="67"/>
        <v>-</v>
      </c>
      <c r="H4249" s="19" t="s">
        <v>465</v>
      </c>
      <c r="I4249" s="19">
        <v>97500</v>
      </c>
    </row>
    <row r="4250" spans="1:9" s="1" customFormat="1" x14ac:dyDescent="0.2">
      <c r="A4250" s="1" t="s">
        <v>8</v>
      </c>
      <c r="B4250" s="2" t="s">
        <v>285</v>
      </c>
      <c r="C4250" s="5"/>
      <c r="D4250" s="5" t="s">
        <v>464</v>
      </c>
      <c r="E4250" s="3"/>
      <c r="F4250" s="3"/>
      <c r="G4250" s="57" t="str">
        <f t="shared" si="67"/>
        <v>-</v>
      </c>
      <c r="H4250" s="19" t="s">
        <v>465</v>
      </c>
      <c r="I4250" s="19">
        <v>97500</v>
      </c>
    </row>
    <row r="4251" spans="1:9" s="1" customFormat="1" x14ac:dyDescent="0.2">
      <c r="A4251" s="1" t="s">
        <v>8</v>
      </c>
      <c r="B4251" s="2" t="s">
        <v>285</v>
      </c>
      <c r="C4251" s="5"/>
      <c r="D4251" s="5" t="s">
        <v>464</v>
      </c>
      <c r="E4251" s="3"/>
      <c r="F4251" s="3"/>
      <c r="G4251" s="57" t="str">
        <f t="shared" si="67"/>
        <v>-</v>
      </c>
      <c r="H4251" s="19" t="s">
        <v>465</v>
      </c>
      <c r="I4251" s="19">
        <v>97500</v>
      </c>
    </row>
    <row r="4252" spans="1:9" s="1" customFormat="1" x14ac:dyDescent="0.2">
      <c r="A4252" s="1" t="s">
        <v>8</v>
      </c>
      <c r="B4252" s="2" t="s">
        <v>285</v>
      </c>
      <c r="C4252" s="5"/>
      <c r="D4252" s="5" t="s">
        <v>464</v>
      </c>
      <c r="E4252" s="3"/>
      <c r="F4252" s="3"/>
      <c r="G4252" s="57" t="str">
        <f t="shared" si="67"/>
        <v>-</v>
      </c>
      <c r="H4252" s="19" t="s">
        <v>465</v>
      </c>
      <c r="I4252" s="19">
        <v>97500</v>
      </c>
    </row>
    <row r="4253" spans="1:9" s="1" customFormat="1" x14ac:dyDescent="0.2">
      <c r="A4253" s="1" t="s">
        <v>8</v>
      </c>
      <c r="B4253" s="2" t="s">
        <v>285</v>
      </c>
      <c r="C4253" s="5"/>
      <c r="D4253" s="5" t="s">
        <v>464</v>
      </c>
      <c r="E4253" s="3"/>
      <c r="F4253" s="3"/>
      <c r="G4253" s="57" t="str">
        <f t="shared" si="67"/>
        <v>-</v>
      </c>
      <c r="H4253" s="19" t="s">
        <v>465</v>
      </c>
      <c r="I4253" s="19">
        <v>97500</v>
      </c>
    </row>
    <row r="4254" spans="1:9" s="1" customFormat="1" x14ac:dyDescent="0.2">
      <c r="A4254" s="1" t="s">
        <v>8</v>
      </c>
      <c r="B4254" s="2" t="s">
        <v>285</v>
      </c>
      <c r="C4254" s="5"/>
      <c r="D4254" s="5" t="s">
        <v>464</v>
      </c>
      <c r="E4254" s="3">
        <v>102500</v>
      </c>
      <c r="F4254" s="3" t="s">
        <v>465</v>
      </c>
      <c r="G4254" s="57" t="str">
        <f t="shared" si="67"/>
        <v>-</v>
      </c>
      <c r="H4254" s="19"/>
      <c r="I4254" s="19"/>
    </row>
    <row r="4255" spans="1:9" s="1" customFormat="1" x14ac:dyDescent="0.2">
      <c r="A4255" s="1" t="s">
        <v>8</v>
      </c>
      <c r="B4255" s="2" t="s">
        <v>285</v>
      </c>
      <c r="C4255" s="5"/>
      <c r="D4255" s="5" t="s">
        <v>464</v>
      </c>
      <c r="E4255" s="3">
        <v>102500</v>
      </c>
      <c r="F4255" s="3" t="s">
        <v>465</v>
      </c>
      <c r="G4255" s="57" t="str">
        <f t="shared" si="67"/>
        <v>-</v>
      </c>
      <c r="H4255" s="19"/>
      <c r="I4255" s="19"/>
    </row>
    <row r="4256" spans="1:9" s="1" customFormat="1" x14ac:dyDescent="0.2">
      <c r="A4256" s="1" t="s">
        <v>8</v>
      </c>
      <c r="B4256" s="2" t="s">
        <v>285</v>
      </c>
      <c r="C4256" s="5"/>
      <c r="D4256" s="5" t="s">
        <v>464</v>
      </c>
      <c r="E4256" s="3" t="s">
        <v>465</v>
      </c>
      <c r="F4256" s="3">
        <v>102500</v>
      </c>
      <c r="G4256" s="57" t="str">
        <f t="shared" si="67"/>
        <v>-</v>
      </c>
      <c r="H4256" s="19"/>
      <c r="I4256" s="19"/>
    </row>
    <row r="4257" spans="1:9" s="1" customFormat="1" x14ac:dyDescent="0.2">
      <c r="A4257" s="1" t="s">
        <v>8</v>
      </c>
      <c r="B4257" s="2" t="s">
        <v>285</v>
      </c>
      <c r="C4257" s="5"/>
      <c r="D4257" s="5" t="s">
        <v>464</v>
      </c>
      <c r="E4257" s="3" t="s">
        <v>465</v>
      </c>
      <c r="F4257" s="3">
        <v>102500</v>
      </c>
      <c r="G4257" s="57" t="str">
        <f t="shared" si="67"/>
        <v>-</v>
      </c>
      <c r="H4257" s="4"/>
      <c r="I4257" s="4"/>
    </row>
    <row r="4258" spans="1:9" s="1" customFormat="1" x14ac:dyDescent="0.2">
      <c r="A4258" s="1" t="s">
        <v>8</v>
      </c>
      <c r="B4258" s="2" t="s">
        <v>285</v>
      </c>
      <c r="C4258" s="5"/>
      <c r="D4258" s="5" t="s">
        <v>464</v>
      </c>
      <c r="E4258" s="3" t="s">
        <v>465</v>
      </c>
      <c r="F4258" s="3">
        <v>102500</v>
      </c>
      <c r="G4258" s="57" t="str">
        <f t="shared" si="67"/>
        <v>-</v>
      </c>
      <c r="H4258" s="4"/>
      <c r="I4258" s="4"/>
    </row>
    <row r="4259" spans="1:9" s="1" customFormat="1" x14ac:dyDescent="0.2">
      <c r="A4259" s="1" t="s">
        <v>8</v>
      </c>
      <c r="B4259" s="2" t="s">
        <v>285</v>
      </c>
      <c r="C4259" s="5"/>
      <c r="D4259" s="5" t="s">
        <v>464</v>
      </c>
      <c r="E4259" s="3" t="s">
        <v>465</v>
      </c>
      <c r="F4259" s="3">
        <v>102500</v>
      </c>
      <c r="G4259" s="57" t="str">
        <f t="shared" si="67"/>
        <v>-</v>
      </c>
      <c r="H4259" s="4"/>
      <c r="I4259" s="4"/>
    </row>
    <row r="4260" spans="1:9" s="1" customFormat="1" x14ac:dyDescent="0.2">
      <c r="A4260" s="1" t="s">
        <v>8</v>
      </c>
      <c r="B4260" s="2" t="s">
        <v>285</v>
      </c>
      <c r="C4260" s="5"/>
      <c r="D4260" s="5" t="s">
        <v>464</v>
      </c>
      <c r="E4260" s="3" t="s">
        <v>465</v>
      </c>
      <c r="F4260" s="3">
        <v>102500</v>
      </c>
      <c r="G4260" s="57" t="str">
        <f t="shared" si="67"/>
        <v>-</v>
      </c>
      <c r="H4260" s="4"/>
      <c r="I4260" s="4"/>
    </row>
    <row r="4261" spans="1:9" s="1" customFormat="1" x14ac:dyDescent="0.2">
      <c r="A4261" s="1" t="s">
        <v>8</v>
      </c>
      <c r="B4261" s="2" t="s">
        <v>285</v>
      </c>
      <c r="C4261" s="5"/>
      <c r="D4261" s="5" t="s">
        <v>464</v>
      </c>
      <c r="E4261" s="3" t="s">
        <v>465</v>
      </c>
      <c r="F4261" s="3">
        <v>102500</v>
      </c>
      <c r="G4261" s="57" t="str">
        <f t="shared" si="67"/>
        <v>-</v>
      </c>
      <c r="H4261" s="4"/>
      <c r="I4261" s="4"/>
    </row>
    <row r="4262" spans="1:9" s="1" customFormat="1" x14ac:dyDescent="0.2">
      <c r="A4262" s="1" t="s">
        <v>8</v>
      </c>
      <c r="B4262" s="2" t="s">
        <v>285</v>
      </c>
      <c r="C4262" s="5"/>
      <c r="D4262" s="5" t="s">
        <v>464</v>
      </c>
      <c r="E4262" s="3">
        <v>107500</v>
      </c>
      <c r="F4262" s="3" t="s">
        <v>465</v>
      </c>
      <c r="G4262" s="57" t="str">
        <f t="shared" si="67"/>
        <v>-</v>
      </c>
      <c r="H4262" s="4"/>
      <c r="I4262" s="4"/>
    </row>
    <row r="4263" spans="1:9" s="1" customFormat="1" x14ac:dyDescent="0.2">
      <c r="A4263" s="1" t="s">
        <v>8</v>
      </c>
      <c r="B4263" s="2" t="s">
        <v>285</v>
      </c>
      <c r="C4263" s="5"/>
      <c r="D4263" s="5" t="s">
        <v>464</v>
      </c>
      <c r="E4263" s="3" t="s">
        <v>465</v>
      </c>
      <c r="F4263" s="3">
        <v>107500</v>
      </c>
      <c r="G4263" s="57" t="str">
        <f t="shared" si="67"/>
        <v>-</v>
      </c>
      <c r="H4263" s="4"/>
      <c r="I4263" s="4"/>
    </row>
    <row r="4264" spans="1:9" s="1" customFormat="1" x14ac:dyDescent="0.2">
      <c r="A4264" s="1" t="s">
        <v>8</v>
      </c>
      <c r="B4264" s="2" t="s">
        <v>285</v>
      </c>
      <c r="C4264" s="5"/>
      <c r="D4264" s="5" t="s">
        <v>464</v>
      </c>
      <c r="E4264" s="3" t="s">
        <v>465</v>
      </c>
      <c r="F4264" s="3">
        <v>107500</v>
      </c>
      <c r="G4264" s="57" t="str">
        <f t="shared" si="67"/>
        <v>-</v>
      </c>
      <c r="H4264" s="4"/>
      <c r="I4264" s="4"/>
    </row>
    <row r="4265" spans="1:9" s="1" customFormat="1" x14ac:dyDescent="0.2">
      <c r="A4265" s="1" t="s">
        <v>8</v>
      </c>
      <c r="B4265" s="2" t="s">
        <v>285</v>
      </c>
      <c r="C4265" s="5"/>
      <c r="D4265" s="5" t="s">
        <v>464</v>
      </c>
      <c r="E4265" s="3" t="s">
        <v>465</v>
      </c>
      <c r="F4265" s="3">
        <v>107500</v>
      </c>
      <c r="G4265" s="57" t="str">
        <f t="shared" si="67"/>
        <v>-</v>
      </c>
      <c r="H4265" s="4"/>
      <c r="I4265" s="4"/>
    </row>
    <row r="4266" spans="1:9" s="1" customFormat="1" x14ac:dyDescent="0.2">
      <c r="A4266" s="1" t="s">
        <v>8</v>
      </c>
      <c r="B4266" s="2" t="s">
        <v>285</v>
      </c>
      <c r="C4266" s="5"/>
      <c r="D4266" s="5" t="s">
        <v>464</v>
      </c>
      <c r="E4266" s="3">
        <v>112500</v>
      </c>
      <c r="F4266" s="3" t="s">
        <v>465</v>
      </c>
      <c r="G4266" s="57" t="str">
        <f t="shared" si="67"/>
        <v>-</v>
      </c>
      <c r="H4266" s="4"/>
      <c r="I4266" s="4"/>
    </row>
    <row r="4267" spans="1:9" s="1" customFormat="1" x14ac:dyDescent="0.2">
      <c r="A4267" s="1" t="s">
        <v>8</v>
      </c>
      <c r="B4267" s="2" t="s">
        <v>285</v>
      </c>
      <c r="C4267" s="5"/>
      <c r="D4267" s="5" t="s">
        <v>464</v>
      </c>
      <c r="E4267" s="3">
        <v>112500</v>
      </c>
      <c r="F4267" s="3" t="s">
        <v>465</v>
      </c>
      <c r="G4267" s="57" t="str">
        <f t="shared" si="67"/>
        <v>-</v>
      </c>
      <c r="H4267" s="4"/>
      <c r="I4267" s="4"/>
    </row>
    <row r="4268" spans="1:9" s="1" customFormat="1" x14ac:dyDescent="0.2">
      <c r="A4268" s="1" t="s">
        <v>8</v>
      </c>
      <c r="B4268" s="2" t="s">
        <v>285</v>
      </c>
      <c r="C4268" s="5"/>
      <c r="D4268" s="5" t="s">
        <v>464</v>
      </c>
      <c r="E4268" s="3" t="s">
        <v>465</v>
      </c>
      <c r="F4268" s="3">
        <v>112500</v>
      </c>
      <c r="G4268" s="57" t="str">
        <f t="shared" si="67"/>
        <v>-</v>
      </c>
      <c r="H4268" s="4"/>
      <c r="I4268" s="4"/>
    </row>
    <row r="4269" spans="1:9" s="1" customFormat="1" x14ac:dyDescent="0.2">
      <c r="A4269" s="1" t="s">
        <v>8</v>
      </c>
      <c r="B4269" s="2" t="s">
        <v>285</v>
      </c>
      <c r="C4269" s="5"/>
      <c r="D4269" s="5" t="s">
        <v>464</v>
      </c>
      <c r="E4269" s="3" t="s">
        <v>465</v>
      </c>
      <c r="F4269" s="3">
        <v>112500</v>
      </c>
      <c r="G4269" s="57" t="str">
        <f t="shared" si="67"/>
        <v>-</v>
      </c>
      <c r="H4269" s="4"/>
      <c r="I4269" s="4"/>
    </row>
    <row r="4270" spans="1:9" s="1" customFormat="1" x14ac:dyDescent="0.2">
      <c r="A4270" s="1" t="s">
        <v>8</v>
      </c>
      <c r="B4270" s="2" t="s">
        <v>285</v>
      </c>
      <c r="C4270" s="5"/>
      <c r="D4270" s="5" t="s">
        <v>464</v>
      </c>
      <c r="E4270" s="3" t="s">
        <v>465</v>
      </c>
      <c r="F4270" s="3">
        <v>112500</v>
      </c>
      <c r="G4270" s="57" t="str">
        <f t="shared" si="67"/>
        <v>-</v>
      </c>
      <c r="H4270" s="4"/>
      <c r="I4270" s="4"/>
    </row>
    <row r="4271" spans="1:9" s="1" customFormat="1" x14ac:dyDescent="0.2">
      <c r="A4271" s="1" t="s">
        <v>8</v>
      </c>
      <c r="B4271" s="2" t="s">
        <v>285</v>
      </c>
      <c r="C4271" s="5"/>
      <c r="D4271" s="5" t="s">
        <v>464</v>
      </c>
      <c r="E4271" s="3" t="s">
        <v>465</v>
      </c>
      <c r="F4271" s="3">
        <v>112500</v>
      </c>
      <c r="G4271" s="57" t="str">
        <f t="shared" ref="G4271:G4334" si="68">IF(ISERROR((F4271-E4271)/E4271),"-",(F4271-E4271)/E4271)</f>
        <v>-</v>
      </c>
      <c r="H4271" s="4"/>
      <c r="I4271" s="4"/>
    </row>
    <row r="4272" spans="1:9" s="1" customFormat="1" x14ac:dyDescent="0.2">
      <c r="A4272" s="1" t="s">
        <v>8</v>
      </c>
      <c r="B4272" s="2" t="s">
        <v>285</v>
      </c>
      <c r="C4272" s="5"/>
      <c r="D4272" s="5" t="s">
        <v>464</v>
      </c>
      <c r="E4272" s="3" t="s">
        <v>465</v>
      </c>
      <c r="F4272" s="3">
        <v>112500</v>
      </c>
      <c r="G4272" s="57" t="str">
        <f t="shared" si="68"/>
        <v>-</v>
      </c>
      <c r="H4272" s="4"/>
      <c r="I4272" s="4"/>
    </row>
    <row r="4273" spans="1:9" s="1" customFormat="1" x14ac:dyDescent="0.2">
      <c r="A4273" s="1" t="s">
        <v>8</v>
      </c>
      <c r="B4273" s="2" t="s">
        <v>285</v>
      </c>
      <c r="C4273" s="5"/>
      <c r="D4273" s="5" t="s">
        <v>464</v>
      </c>
      <c r="E4273" s="3">
        <v>117500</v>
      </c>
      <c r="F4273" s="3" t="s">
        <v>465</v>
      </c>
      <c r="G4273" s="57" t="str">
        <f t="shared" si="68"/>
        <v>-</v>
      </c>
      <c r="H4273" s="4"/>
      <c r="I4273" s="4"/>
    </row>
    <row r="4274" spans="1:9" s="1" customFormat="1" x14ac:dyDescent="0.2">
      <c r="A4274" s="1" t="s">
        <v>8</v>
      </c>
      <c r="B4274" s="2" t="s">
        <v>285</v>
      </c>
      <c r="C4274" s="5"/>
      <c r="D4274" s="5" t="s">
        <v>464</v>
      </c>
      <c r="E4274" s="3">
        <v>117500</v>
      </c>
      <c r="F4274" s="3" t="s">
        <v>465</v>
      </c>
      <c r="G4274" s="57" t="str">
        <f t="shared" si="68"/>
        <v>-</v>
      </c>
      <c r="H4274" s="4"/>
      <c r="I4274" s="4"/>
    </row>
    <row r="4275" spans="1:9" s="1" customFormat="1" x14ac:dyDescent="0.2">
      <c r="A4275" s="1" t="s">
        <v>8</v>
      </c>
      <c r="B4275" s="2" t="s">
        <v>285</v>
      </c>
      <c r="C4275" s="5"/>
      <c r="D4275" s="5" t="s">
        <v>464</v>
      </c>
      <c r="E4275" s="3" t="s">
        <v>465</v>
      </c>
      <c r="F4275" s="3">
        <v>117500</v>
      </c>
      <c r="G4275" s="57" t="str">
        <f t="shared" si="68"/>
        <v>-</v>
      </c>
      <c r="H4275" s="4"/>
      <c r="I4275" s="4"/>
    </row>
    <row r="4276" spans="1:9" s="1" customFormat="1" x14ac:dyDescent="0.2">
      <c r="A4276" s="1" t="s">
        <v>8</v>
      </c>
      <c r="B4276" s="2" t="s">
        <v>285</v>
      </c>
      <c r="C4276" s="5"/>
      <c r="D4276" s="5" t="s">
        <v>464</v>
      </c>
      <c r="E4276" s="3" t="s">
        <v>465</v>
      </c>
      <c r="F4276" s="3">
        <v>117500</v>
      </c>
      <c r="G4276" s="57" t="str">
        <f t="shared" si="68"/>
        <v>-</v>
      </c>
      <c r="H4276" s="4"/>
      <c r="I4276" s="4"/>
    </row>
    <row r="4277" spans="1:9" s="1" customFormat="1" x14ac:dyDescent="0.2">
      <c r="A4277" s="1" t="s">
        <v>8</v>
      </c>
      <c r="B4277" s="2" t="s">
        <v>285</v>
      </c>
      <c r="C4277" s="5"/>
      <c r="D4277" s="5" t="s">
        <v>464</v>
      </c>
      <c r="E4277" s="3">
        <v>122500</v>
      </c>
      <c r="F4277" s="3" t="s">
        <v>465</v>
      </c>
      <c r="G4277" s="57" t="str">
        <f t="shared" si="68"/>
        <v>-</v>
      </c>
      <c r="H4277" s="4"/>
      <c r="I4277" s="4"/>
    </row>
    <row r="4278" spans="1:9" s="1" customFormat="1" x14ac:dyDescent="0.2">
      <c r="A4278" s="1" t="s">
        <v>8</v>
      </c>
      <c r="B4278" s="2" t="s">
        <v>285</v>
      </c>
      <c r="C4278" s="5"/>
      <c r="D4278" s="5" t="s">
        <v>464</v>
      </c>
      <c r="E4278" s="3">
        <v>122500</v>
      </c>
      <c r="F4278" s="3" t="s">
        <v>465</v>
      </c>
      <c r="G4278" s="57" t="str">
        <f t="shared" si="68"/>
        <v>-</v>
      </c>
      <c r="H4278" s="4"/>
      <c r="I4278" s="4"/>
    </row>
    <row r="4279" spans="1:9" s="1" customFormat="1" x14ac:dyDescent="0.2">
      <c r="A4279" s="1" t="s">
        <v>8</v>
      </c>
      <c r="B4279" s="2" t="s">
        <v>285</v>
      </c>
      <c r="C4279" s="5"/>
      <c r="D4279" s="5" t="s">
        <v>464</v>
      </c>
      <c r="E4279" s="3" t="s">
        <v>465</v>
      </c>
      <c r="F4279" s="3">
        <v>127500</v>
      </c>
      <c r="G4279" s="57" t="str">
        <f t="shared" si="68"/>
        <v>-</v>
      </c>
      <c r="H4279" s="4"/>
      <c r="I4279" s="4"/>
    </row>
    <row r="4280" spans="1:9" s="1" customFormat="1" x14ac:dyDescent="0.2">
      <c r="A4280" s="1" t="s">
        <v>8</v>
      </c>
      <c r="B4280" s="2" t="s">
        <v>285</v>
      </c>
      <c r="C4280" s="5"/>
      <c r="D4280" s="5" t="s">
        <v>464</v>
      </c>
      <c r="E4280" s="3" t="s">
        <v>465</v>
      </c>
      <c r="F4280" s="3">
        <v>127500</v>
      </c>
      <c r="G4280" s="57" t="str">
        <f t="shared" si="68"/>
        <v>-</v>
      </c>
      <c r="H4280" s="4"/>
      <c r="I4280" s="4"/>
    </row>
    <row r="4281" spans="1:9" s="1" customFormat="1" x14ac:dyDescent="0.2">
      <c r="A4281" s="1" t="s">
        <v>8</v>
      </c>
      <c r="B4281" s="2" t="s">
        <v>285</v>
      </c>
      <c r="C4281" s="5"/>
      <c r="D4281" s="5" t="s">
        <v>464</v>
      </c>
      <c r="E4281" s="3" t="s">
        <v>465</v>
      </c>
      <c r="F4281" s="3">
        <v>127500</v>
      </c>
      <c r="G4281" s="57" t="str">
        <f t="shared" si="68"/>
        <v>-</v>
      </c>
      <c r="H4281" s="4"/>
      <c r="I4281" s="4"/>
    </row>
    <row r="4282" spans="1:9" s="1" customFormat="1" x14ac:dyDescent="0.2">
      <c r="A4282" s="1" t="s">
        <v>8</v>
      </c>
      <c r="B4282" s="2" t="s">
        <v>285</v>
      </c>
      <c r="C4282" s="5"/>
      <c r="D4282" s="5" t="s">
        <v>464</v>
      </c>
      <c r="E4282" s="3" t="s">
        <v>465</v>
      </c>
      <c r="F4282" s="3">
        <v>132500</v>
      </c>
      <c r="G4282" s="57" t="str">
        <f t="shared" si="68"/>
        <v>-</v>
      </c>
      <c r="H4282" s="4"/>
      <c r="I4282" s="4"/>
    </row>
    <row r="4283" spans="1:9" s="1" customFormat="1" x14ac:dyDescent="0.2">
      <c r="A4283" s="1" t="s">
        <v>8</v>
      </c>
      <c r="B4283" s="2" t="s">
        <v>285</v>
      </c>
      <c r="C4283" s="5"/>
      <c r="D4283" s="5" t="s">
        <v>464</v>
      </c>
      <c r="E4283" s="3" t="s">
        <v>465</v>
      </c>
      <c r="F4283" s="3">
        <v>137500</v>
      </c>
      <c r="G4283" s="57" t="str">
        <f t="shared" si="68"/>
        <v>-</v>
      </c>
      <c r="H4283" s="4"/>
      <c r="I4283" s="4"/>
    </row>
    <row r="4284" spans="1:9" s="1" customFormat="1" x14ac:dyDescent="0.2">
      <c r="A4284" s="1" t="s">
        <v>8</v>
      </c>
      <c r="B4284" s="2" t="s">
        <v>285</v>
      </c>
      <c r="C4284" s="5"/>
      <c r="D4284" s="5" t="s">
        <v>464</v>
      </c>
      <c r="E4284" s="3" t="s">
        <v>465</v>
      </c>
      <c r="F4284" s="3">
        <v>137500</v>
      </c>
      <c r="G4284" s="57" t="str">
        <f t="shared" si="68"/>
        <v>-</v>
      </c>
      <c r="H4284" s="4"/>
      <c r="I4284" s="4"/>
    </row>
    <row r="4285" spans="1:9" s="1" customFormat="1" x14ac:dyDescent="0.2">
      <c r="A4285" s="1" t="s">
        <v>8</v>
      </c>
      <c r="B4285" s="2" t="s">
        <v>285</v>
      </c>
      <c r="C4285" s="5"/>
      <c r="D4285" s="5" t="s">
        <v>464</v>
      </c>
      <c r="E4285" s="3" t="s">
        <v>465</v>
      </c>
      <c r="F4285" s="3">
        <v>137500</v>
      </c>
      <c r="G4285" s="57" t="str">
        <f t="shared" si="68"/>
        <v>-</v>
      </c>
      <c r="H4285" s="4"/>
      <c r="I4285" s="4"/>
    </row>
    <row r="4286" spans="1:9" s="1" customFormat="1" x14ac:dyDescent="0.2">
      <c r="A4286" s="1" t="s">
        <v>8</v>
      </c>
      <c r="B4286" s="2" t="s">
        <v>285</v>
      </c>
      <c r="C4286" s="5"/>
      <c r="D4286" s="5" t="s">
        <v>464</v>
      </c>
      <c r="E4286" s="3" t="s">
        <v>465</v>
      </c>
      <c r="F4286" s="3">
        <v>137500</v>
      </c>
      <c r="G4286" s="57" t="str">
        <f t="shared" si="68"/>
        <v>-</v>
      </c>
      <c r="H4286" s="4"/>
      <c r="I4286" s="4"/>
    </row>
    <row r="4287" spans="1:9" s="1" customFormat="1" x14ac:dyDescent="0.2">
      <c r="A4287" s="1" t="s">
        <v>8</v>
      </c>
      <c r="B4287" s="2" t="s">
        <v>285</v>
      </c>
      <c r="C4287" s="5"/>
      <c r="D4287" s="5" t="s">
        <v>464</v>
      </c>
      <c r="E4287" s="3" t="s">
        <v>465</v>
      </c>
      <c r="F4287" s="3">
        <v>137500</v>
      </c>
      <c r="G4287" s="57" t="str">
        <f t="shared" si="68"/>
        <v>-</v>
      </c>
      <c r="H4287" s="4"/>
      <c r="I4287" s="4"/>
    </row>
    <row r="4288" spans="1:9" s="1" customFormat="1" x14ac:dyDescent="0.2">
      <c r="A4288" s="1" t="s">
        <v>8</v>
      </c>
      <c r="B4288" s="2" t="s">
        <v>285</v>
      </c>
      <c r="C4288" s="5"/>
      <c r="D4288" s="5" t="s">
        <v>464</v>
      </c>
      <c r="E4288" s="3" t="s">
        <v>465</v>
      </c>
      <c r="F4288" s="3">
        <v>142500</v>
      </c>
      <c r="G4288" s="57" t="str">
        <f t="shared" si="68"/>
        <v>-</v>
      </c>
      <c r="H4288" s="4"/>
      <c r="I4288" s="4"/>
    </row>
    <row r="4289" spans="1:10" x14ac:dyDescent="0.2">
      <c r="A4289" s="1" t="s">
        <v>8</v>
      </c>
      <c r="B4289" s="2" t="s">
        <v>285</v>
      </c>
      <c r="D4289" s="5" t="s">
        <v>464</v>
      </c>
      <c r="E4289" s="3" t="s">
        <v>465</v>
      </c>
      <c r="F4289" s="3">
        <v>152500</v>
      </c>
      <c r="G4289" s="57" t="str">
        <f t="shared" si="68"/>
        <v>-</v>
      </c>
    </row>
    <row r="4290" spans="1:10" x14ac:dyDescent="0.2">
      <c r="A4290" s="1" t="s">
        <v>8</v>
      </c>
      <c r="B4290" s="2" t="s">
        <v>285</v>
      </c>
      <c r="D4290" s="5" t="s">
        <v>464</v>
      </c>
      <c r="E4290" s="3" t="s">
        <v>465</v>
      </c>
      <c r="F4290" s="3">
        <v>152500</v>
      </c>
      <c r="G4290" s="57" t="str">
        <f t="shared" si="68"/>
        <v>-</v>
      </c>
    </row>
    <row r="4291" spans="1:10" x14ac:dyDescent="0.2">
      <c r="A4291" s="1" t="s">
        <v>8</v>
      </c>
      <c r="B4291" s="2" t="s">
        <v>285</v>
      </c>
      <c r="D4291" s="5" t="s">
        <v>464</v>
      </c>
      <c r="E4291" s="3" t="s">
        <v>465</v>
      </c>
      <c r="F4291" s="3">
        <v>157500</v>
      </c>
      <c r="G4291" s="57" t="str">
        <f t="shared" si="68"/>
        <v>-</v>
      </c>
    </row>
    <row r="4292" spans="1:10" x14ac:dyDescent="0.2">
      <c r="A4292" s="1" t="s">
        <v>8</v>
      </c>
      <c r="B4292" s="2" t="s">
        <v>285</v>
      </c>
      <c r="D4292" s="5" t="s">
        <v>464</v>
      </c>
      <c r="E4292" s="3" t="s">
        <v>465</v>
      </c>
      <c r="F4292" s="3">
        <v>162500</v>
      </c>
      <c r="G4292" s="57" t="str">
        <f t="shared" si="68"/>
        <v>-</v>
      </c>
    </row>
    <row r="4293" spans="1:10" x14ac:dyDescent="0.2">
      <c r="A4293" s="1" t="s">
        <v>8</v>
      </c>
      <c r="B4293" s="2" t="s">
        <v>285</v>
      </c>
      <c r="D4293" s="5" t="s">
        <v>464</v>
      </c>
      <c r="E4293" s="3" t="s">
        <v>465</v>
      </c>
      <c r="F4293" s="3">
        <v>192500</v>
      </c>
      <c r="G4293" s="57" t="str">
        <f t="shared" si="68"/>
        <v>-</v>
      </c>
    </row>
    <row r="4294" spans="1:10" ht="25.5" x14ac:dyDescent="0.2">
      <c r="A4294" s="1" t="s">
        <v>39</v>
      </c>
      <c r="B4294" s="2" t="s">
        <v>286</v>
      </c>
      <c r="D4294" s="5" t="s">
        <v>450</v>
      </c>
      <c r="E4294" s="3">
        <v>117938</v>
      </c>
      <c r="F4294" s="3">
        <v>100220</v>
      </c>
      <c r="G4294" s="57">
        <f t="shared" si="68"/>
        <v>-0.15023147755600399</v>
      </c>
      <c r="J4294" s="5" t="s">
        <v>4394</v>
      </c>
    </row>
    <row r="4295" spans="1:10" ht="38.25" x14ac:dyDescent="0.2">
      <c r="A4295" s="1" t="s">
        <v>39</v>
      </c>
      <c r="B4295" s="2" t="s">
        <v>286</v>
      </c>
      <c r="D4295" s="5" t="s">
        <v>1045</v>
      </c>
      <c r="E4295" s="3">
        <v>67606</v>
      </c>
      <c r="F4295" s="3">
        <v>185221</v>
      </c>
      <c r="G4295" s="57">
        <f t="shared" si="68"/>
        <v>1.7397124515575542</v>
      </c>
      <c r="J4295" s="5" t="s">
        <v>4393</v>
      </c>
    </row>
    <row r="4296" spans="1:10" ht="25.5" x14ac:dyDescent="0.2">
      <c r="A4296" s="1" t="s">
        <v>39</v>
      </c>
      <c r="B4296" s="2" t="s">
        <v>286</v>
      </c>
      <c r="D4296" s="5" t="s">
        <v>1046</v>
      </c>
      <c r="E4296" s="3">
        <v>49080</v>
      </c>
      <c r="F4296" s="3">
        <v>110829</v>
      </c>
      <c r="G4296" s="57">
        <f t="shared" si="68"/>
        <v>1.2581295843520783</v>
      </c>
      <c r="J4296" s="5" t="s">
        <v>2958</v>
      </c>
    </row>
    <row r="4297" spans="1:10" x14ac:dyDescent="0.2">
      <c r="A4297" s="1" t="s">
        <v>39</v>
      </c>
      <c r="B4297" s="2" t="s">
        <v>286</v>
      </c>
      <c r="D4297" s="5" t="s">
        <v>2957</v>
      </c>
      <c r="E4297" s="3">
        <v>225608</v>
      </c>
      <c r="F4297" s="3" t="s">
        <v>465</v>
      </c>
      <c r="G4297" s="57" t="str">
        <f t="shared" si="68"/>
        <v>-</v>
      </c>
    </row>
    <row r="4298" spans="1:10" ht="25.5" x14ac:dyDescent="0.2">
      <c r="A4298" s="1" t="s">
        <v>8</v>
      </c>
      <c r="B4298" s="2" t="s">
        <v>287</v>
      </c>
      <c r="D4298" s="5" t="s">
        <v>450</v>
      </c>
      <c r="E4298" s="3">
        <v>118905</v>
      </c>
      <c r="F4298" s="3">
        <v>116029</v>
      </c>
      <c r="G4298" s="57">
        <f t="shared" si="68"/>
        <v>-2.4187376477019469E-2</v>
      </c>
      <c r="J4298" s="5" t="s">
        <v>2956</v>
      </c>
    </row>
    <row r="4299" spans="1:10" ht="25.5" x14ac:dyDescent="0.2">
      <c r="A4299" s="1" t="s">
        <v>6</v>
      </c>
      <c r="B4299" s="2" t="s">
        <v>288</v>
      </c>
      <c r="C4299" s="5" t="s">
        <v>1036</v>
      </c>
      <c r="D4299" s="5" t="s">
        <v>1037</v>
      </c>
      <c r="E4299" s="3">
        <v>213000</v>
      </c>
      <c r="F4299" s="3">
        <v>216000</v>
      </c>
      <c r="G4299" s="57">
        <f t="shared" si="68"/>
        <v>1.4084507042253521E-2</v>
      </c>
      <c r="J4299" s="5" t="s">
        <v>2948</v>
      </c>
    </row>
    <row r="4300" spans="1:10" ht="38.25" x14ac:dyDescent="0.2">
      <c r="A4300" s="1" t="s">
        <v>6</v>
      </c>
      <c r="B4300" s="2" t="s">
        <v>288</v>
      </c>
      <c r="D4300" s="5" t="s">
        <v>1038</v>
      </c>
      <c r="E4300" s="3">
        <v>160000</v>
      </c>
      <c r="F4300" s="3">
        <v>215000</v>
      </c>
      <c r="G4300" s="57">
        <f t="shared" si="68"/>
        <v>0.34375</v>
      </c>
      <c r="J4300" s="5" t="s">
        <v>2949</v>
      </c>
    </row>
    <row r="4301" spans="1:10" ht="25.5" x14ac:dyDescent="0.2">
      <c r="A4301" s="1" t="s">
        <v>6</v>
      </c>
      <c r="B4301" s="2" t="s">
        <v>288</v>
      </c>
      <c r="D4301" s="5" t="s">
        <v>1039</v>
      </c>
      <c r="E4301" s="3">
        <v>156000</v>
      </c>
      <c r="F4301" s="3">
        <v>160000</v>
      </c>
      <c r="G4301" s="57">
        <f t="shared" si="68"/>
        <v>2.564102564102564E-2</v>
      </c>
      <c r="J4301" s="5" t="s">
        <v>2950</v>
      </c>
    </row>
    <row r="4302" spans="1:10" ht="25.5" x14ac:dyDescent="0.2">
      <c r="A4302" s="1" t="s">
        <v>6</v>
      </c>
      <c r="B4302" s="2" t="s">
        <v>288</v>
      </c>
      <c r="D4302" s="5" t="s">
        <v>1040</v>
      </c>
      <c r="E4302" s="3">
        <v>155000</v>
      </c>
      <c r="F4302" s="3">
        <v>153000</v>
      </c>
      <c r="G4302" s="57">
        <f t="shared" si="68"/>
        <v>-1.2903225806451613E-2</v>
      </c>
      <c r="J4302" s="5" t="s">
        <v>2951</v>
      </c>
    </row>
    <row r="4303" spans="1:10" ht="25.5" x14ac:dyDescent="0.2">
      <c r="A4303" s="1" t="s">
        <v>6</v>
      </c>
      <c r="B4303" s="2" t="s">
        <v>288</v>
      </c>
      <c r="D4303" s="5" t="s">
        <v>451</v>
      </c>
      <c r="E4303" s="3">
        <v>147000</v>
      </c>
      <c r="F4303" s="3">
        <v>151000</v>
      </c>
      <c r="G4303" s="57">
        <f t="shared" si="68"/>
        <v>2.7210884353741496E-2</v>
      </c>
      <c r="J4303" s="5" t="s">
        <v>2952</v>
      </c>
    </row>
    <row r="4304" spans="1:10" ht="25.5" x14ac:dyDescent="0.2">
      <c r="A4304" s="1" t="s">
        <v>6</v>
      </c>
      <c r="B4304" s="2" t="s">
        <v>288</v>
      </c>
      <c r="D4304" s="5" t="s">
        <v>1041</v>
      </c>
      <c r="E4304" s="3">
        <v>116000</v>
      </c>
      <c r="F4304" s="3">
        <v>125000</v>
      </c>
      <c r="G4304" s="57">
        <f t="shared" si="68"/>
        <v>7.7586206896551727E-2</v>
      </c>
      <c r="J4304" s="5" t="s">
        <v>4395</v>
      </c>
    </row>
    <row r="4305" spans="1:10" ht="25.5" x14ac:dyDescent="0.2">
      <c r="A4305" s="1" t="s">
        <v>6</v>
      </c>
      <c r="B4305" s="2" t="s">
        <v>288</v>
      </c>
      <c r="D4305" s="5" t="s">
        <v>1042</v>
      </c>
      <c r="E4305" s="3">
        <v>56000</v>
      </c>
      <c r="F4305" s="3">
        <v>116000</v>
      </c>
      <c r="G4305" s="57">
        <f t="shared" si="68"/>
        <v>1.0714285714285714</v>
      </c>
      <c r="J4305" s="5" t="s">
        <v>2953</v>
      </c>
    </row>
    <row r="4306" spans="1:10" ht="25.5" x14ac:dyDescent="0.2">
      <c r="A4306" s="1" t="s">
        <v>6</v>
      </c>
      <c r="B4306" s="2" t="s">
        <v>288</v>
      </c>
      <c r="D4306" s="5" t="s">
        <v>1043</v>
      </c>
      <c r="E4306" s="3" t="s">
        <v>465</v>
      </c>
      <c r="F4306" s="3">
        <v>110000</v>
      </c>
      <c r="G4306" s="57" t="str">
        <f t="shared" si="68"/>
        <v>-</v>
      </c>
      <c r="J4306" s="5" t="s">
        <v>4396</v>
      </c>
    </row>
    <row r="4307" spans="1:10" ht="25.5" x14ac:dyDescent="0.2">
      <c r="A4307" s="1" t="s">
        <v>6</v>
      </c>
      <c r="B4307" s="2" t="s">
        <v>288</v>
      </c>
      <c r="D4307" s="5" t="s">
        <v>1044</v>
      </c>
      <c r="E4307" s="3">
        <v>104000</v>
      </c>
      <c r="F4307" s="3">
        <v>108000</v>
      </c>
      <c r="G4307" s="57">
        <f t="shared" si="68"/>
        <v>3.8461538461538464E-2</v>
      </c>
      <c r="J4307" s="5" t="s">
        <v>2954</v>
      </c>
    </row>
    <row r="4308" spans="1:10" ht="25.5" x14ac:dyDescent="0.2">
      <c r="A4308" s="1" t="s">
        <v>6</v>
      </c>
      <c r="B4308" s="2" t="s">
        <v>288</v>
      </c>
      <c r="D4308" s="5" t="s">
        <v>529</v>
      </c>
      <c r="E4308" s="3">
        <v>161000</v>
      </c>
      <c r="F4308" s="3" t="s">
        <v>465</v>
      </c>
      <c r="G4308" s="57" t="str">
        <f t="shared" si="68"/>
        <v>-</v>
      </c>
      <c r="J4308" s="5" t="s">
        <v>2955</v>
      </c>
    </row>
    <row r="4309" spans="1:10" x14ac:dyDescent="0.2">
      <c r="A4309" s="1" t="s">
        <v>6</v>
      </c>
      <c r="B4309" s="2" t="s">
        <v>288</v>
      </c>
      <c r="D4309" s="5" t="s">
        <v>464</v>
      </c>
      <c r="G4309" s="57" t="str">
        <f t="shared" si="68"/>
        <v>-</v>
      </c>
      <c r="H4309" s="19">
        <v>92500</v>
      </c>
      <c r="I4309" s="19" t="s">
        <v>465</v>
      </c>
    </row>
    <row r="4310" spans="1:10" x14ac:dyDescent="0.2">
      <c r="A4310" s="1" t="s">
        <v>6</v>
      </c>
      <c r="B4310" s="2" t="s">
        <v>288</v>
      </c>
      <c r="D4310" s="5" t="s">
        <v>464</v>
      </c>
      <c r="G4310" s="57" t="str">
        <f t="shared" si="68"/>
        <v>-</v>
      </c>
      <c r="H4310" s="19">
        <v>92500</v>
      </c>
      <c r="I4310" s="19" t="s">
        <v>465</v>
      </c>
    </row>
    <row r="4311" spans="1:10" x14ac:dyDescent="0.2">
      <c r="A4311" s="1" t="s">
        <v>6</v>
      </c>
      <c r="B4311" s="2" t="s">
        <v>288</v>
      </c>
      <c r="D4311" s="5" t="s">
        <v>464</v>
      </c>
      <c r="G4311" s="57" t="str">
        <f t="shared" si="68"/>
        <v>-</v>
      </c>
      <c r="H4311" s="19">
        <v>92500</v>
      </c>
      <c r="I4311" s="19" t="s">
        <v>465</v>
      </c>
    </row>
    <row r="4312" spans="1:10" x14ac:dyDescent="0.2">
      <c r="A4312" s="1" t="s">
        <v>6</v>
      </c>
      <c r="B4312" s="2" t="s">
        <v>288</v>
      </c>
      <c r="D4312" s="5" t="s">
        <v>464</v>
      </c>
      <c r="G4312" s="57" t="str">
        <f t="shared" si="68"/>
        <v>-</v>
      </c>
      <c r="H4312" s="19">
        <v>92500</v>
      </c>
      <c r="I4312" s="19" t="s">
        <v>465</v>
      </c>
    </row>
    <row r="4313" spans="1:10" x14ac:dyDescent="0.2">
      <c r="A4313" s="1" t="s">
        <v>6</v>
      </c>
      <c r="B4313" s="2" t="s">
        <v>288</v>
      </c>
      <c r="D4313" s="5" t="s">
        <v>464</v>
      </c>
      <c r="G4313" s="57" t="str">
        <f t="shared" si="68"/>
        <v>-</v>
      </c>
      <c r="H4313" s="19" t="s">
        <v>465</v>
      </c>
      <c r="I4313" s="19">
        <v>92500</v>
      </c>
    </row>
    <row r="4314" spans="1:10" x14ac:dyDescent="0.2">
      <c r="A4314" s="1" t="s">
        <v>6</v>
      </c>
      <c r="B4314" s="2" t="s">
        <v>288</v>
      </c>
      <c r="D4314" s="5" t="s">
        <v>464</v>
      </c>
      <c r="G4314" s="57" t="str">
        <f t="shared" si="68"/>
        <v>-</v>
      </c>
      <c r="H4314" s="19" t="s">
        <v>465</v>
      </c>
      <c r="I4314" s="19">
        <v>92500</v>
      </c>
    </row>
    <row r="4315" spans="1:10" x14ac:dyDescent="0.2">
      <c r="A4315" s="1" t="s">
        <v>6</v>
      </c>
      <c r="B4315" s="2" t="s">
        <v>288</v>
      </c>
      <c r="D4315" s="5" t="s">
        <v>464</v>
      </c>
      <c r="G4315" s="57" t="str">
        <f t="shared" si="68"/>
        <v>-</v>
      </c>
      <c r="H4315" s="19">
        <v>97500</v>
      </c>
      <c r="I4315" s="19" t="s">
        <v>465</v>
      </c>
    </row>
    <row r="4316" spans="1:10" x14ac:dyDescent="0.2">
      <c r="A4316" s="1" t="s">
        <v>6</v>
      </c>
      <c r="B4316" s="2" t="s">
        <v>288</v>
      </c>
      <c r="D4316" s="5" t="s">
        <v>464</v>
      </c>
      <c r="E4316" s="3">
        <v>102500</v>
      </c>
      <c r="F4316" s="3" t="s">
        <v>465</v>
      </c>
      <c r="G4316" s="57" t="str">
        <f t="shared" si="68"/>
        <v>-</v>
      </c>
    </row>
    <row r="4317" spans="1:10" x14ac:dyDescent="0.2">
      <c r="A4317" s="1" t="s">
        <v>6</v>
      </c>
      <c r="B4317" s="2" t="s">
        <v>288</v>
      </c>
      <c r="D4317" s="5" t="s">
        <v>464</v>
      </c>
      <c r="E4317" s="3">
        <v>102500</v>
      </c>
      <c r="F4317" s="3" t="s">
        <v>465</v>
      </c>
      <c r="G4317" s="57" t="str">
        <f t="shared" si="68"/>
        <v>-</v>
      </c>
    </row>
    <row r="4318" spans="1:10" x14ac:dyDescent="0.2">
      <c r="A4318" s="1" t="s">
        <v>6</v>
      </c>
      <c r="B4318" s="2" t="s">
        <v>288</v>
      </c>
      <c r="D4318" s="5" t="s">
        <v>464</v>
      </c>
      <c r="E4318" s="3" t="s">
        <v>465</v>
      </c>
      <c r="F4318" s="3">
        <v>102500</v>
      </c>
      <c r="G4318" s="57" t="str">
        <f t="shared" si="68"/>
        <v>-</v>
      </c>
    </row>
    <row r="4319" spans="1:10" x14ac:dyDescent="0.2">
      <c r="A4319" s="1" t="s">
        <v>6</v>
      </c>
      <c r="B4319" s="2" t="s">
        <v>288</v>
      </c>
      <c r="D4319" s="5" t="s">
        <v>464</v>
      </c>
      <c r="E4319" s="3">
        <v>107500</v>
      </c>
      <c r="F4319" s="3" t="s">
        <v>465</v>
      </c>
      <c r="G4319" s="57" t="str">
        <f t="shared" si="68"/>
        <v>-</v>
      </c>
    </row>
    <row r="4320" spans="1:10" x14ac:dyDescent="0.2">
      <c r="A4320" s="1" t="s">
        <v>6</v>
      </c>
      <c r="B4320" s="2" t="s">
        <v>288</v>
      </c>
      <c r="D4320" s="5" t="s">
        <v>464</v>
      </c>
      <c r="E4320" s="3">
        <v>107500</v>
      </c>
      <c r="F4320" s="3" t="s">
        <v>465</v>
      </c>
      <c r="G4320" s="57" t="str">
        <f t="shared" si="68"/>
        <v>-</v>
      </c>
    </row>
    <row r="4321" spans="1:9" s="1" customFormat="1" x14ac:dyDescent="0.2">
      <c r="A4321" s="1" t="s">
        <v>6</v>
      </c>
      <c r="B4321" s="2" t="s">
        <v>288</v>
      </c>
      <c r="C4321" s="5"/>
      <c r="D4321" s="5" t="s">
        <v>464</v>
      </c>
      <c r="E4321" s="3" t="s">
        <v>465</v>
      </c>
      <c r="F4321" s="3">
        <v>107500</v>
      </c>
      <c r="G4321" s="57" t="str">
        <f t="shared" si="68"/>
        <v>-</v>
      </c>
      <c r="H4321" s="4"/>
      <c r="I4321" s="4"/>
    </row>
    <row r="4322" spans="1:9" s="1" customFormat="1" x14ac:dyDescent="0.2">
      <c r="A4322" s="1" t="s">
        <v>6</v>
      </c>
      <c r="B4322" s="2" t="s">
        <v>288</v>
      </c>
      <c r="C4322" s="5"/>
      <c r="D4322" s="5" t="s">
        <v>464</v>
      </c>
      <c r="E4322" s="3" t="s">
        <v>465</v>
      </c>
      <c r="F4322" s="3">
        <v>107500</v>
      </c>
      <c r="G4322" s="57" t="str">
        <f t="shared" si="68"/>
        <v>-</v>
      </c>
      <c r="H4322" s="4"/>
      <c r="I4322" s="4"/>
    </row>
    <row r="4323" spans="1:9" s="1" customFormat="1" x14ac:dyDescent="0.2">
      <c r="A4323" s="1" t="s">
        <v>6</v>
      </c>
      <c r="B4323" s="2" t="s">
        <v>288</v>
      </c>
      <c r="C4323" s="5"/>
      <c r="D4323" s="5" t="s">
        <v>464</v>
      </c>
      <c r="E4323" s="3" t="s">
        <v>465</v>
      </c>
      <c r="F4323" s="3">
        <v>107500</v>
      </c>
      <c r="G4323" s="57" t="str">
        <f t="shared" si="68"/>
        <v>-</v>
      </c>
      <c r="H4323" s="4"/>
      <c r="I4323" s="4"/>
    </row>
    <row r="4324" spans="1:9" s="1" customFormat="1" x14ac:dyDescent="0.2">
      <c r="A4324" s="1" t="s">
        <v>6</v>
      </c>
      <c r="B4324" s="2" t="s">
        <v>288</v>
      </c>
      <c r="C4324" s="5"/>
      <c r="D4324" s="5" t="s">
        <v>464</v>
      </c>
      <c r="E4324" s="3" t="s">
        <v>465</v>
      </c>
      <c r="F4324" s="3">
        <v>107500</v>
      </c>
      <c r="G4324" s="57" t="str">
        <f t="shared" si="68"/>
        <v>-</v>
      </c>
      <c r="H4324" s="4"/>
      <c r="I4324" s="4"/>
    </row>
    <row r="4325" spans="1:9" s="1" customFormat="1" x14ac:dyDescent="0.2">
      <c r="A4325" s="1" t="s">
        <v>6</v>
      </c>
      <c r="B4325" s="2" t="s">
        <v>288</v>
      </c>
      <c r="C4325" s="5"/>
      <c r="D4325" s="5" t="s">
        <v>464</v>
      </c>
      <c r="E4325" s="3">
        <v>112500</v>
      </c>
      <c r="F4325" s="3" t="s">
        <v>465</v>
      </c>
      <c r="G4325" s="57" t="str">
        <f t="shared" si="68"/>
        <v>-</v>
      </c>
      <c r="H4325" s="4"/>
      <c r="I4325" s="4"/>
    </row>
    <row r="4326" spans="1:9" s="1" customFormat="1" x14ac:dyDescent="0.2">
      <c r="A4326" s="1" t="s">
        <v>6</v>
      </c>
      <c r="B4326" s="2" t="s">
        <v>288</v>
      </c>
      <c r="C4326" s="5"/>
      <c r="D4326" s="5" t="s">
        <v>464</v>
      </c>
      <c r="E4326" s="3" t="s">
        <v>465</v>
      </c>
      <c r="F4326" s="3">
        <v>112500</v>
      </c>
      <c r="G4326" s="57" t="str">
        <f t="shared" si="68"/>
        <v>-</v>
      </c>
      <c r="H4326" s="4"/>
      <c r="I4326" s="4"/>
    </row>
    <row r="4327" spans="1:9" s="1" customFormat="1" x14ac:dyDescent="0.2">
      <c r="A4327" s="1" t="s">
        <v>6</v>
      </c>
      <c r="B4327" s="2" t="s">
        <v>288</v>
      </c>
      <c r="C4327" s="5"/>
      <c r="D4327" s="5" t="s">
        <v>464</v>
      </c>
      <c r="E4327" s="3">
        <v>127500</v>
      </c>
      <c r="F4327" s="3" t="s">
        <v>465</v>
      </c>
      <c r="G4327" s="57" t="str">
        <f t="shared" si="68"/>
        <v>-</v>
      </c>
      <c r="H4327" s="4"/>
      <c r="I4327" s="4"/>
    </row>
    <row r="4328" spans="1:9" s="1" customFormat="1" x14ac:dyDescent="0.2">
      <c r="A4328" s="1" t="s">
        <v>6</v>
      </c>
      <c r="B4328" s="2" t="s">
        <v>288</v>
      </c>
      <c r="C4328" s="5"/>
      <c r="D4328" s="5" t="s">
        <v>464</v>
      </c>
      <c r="E4328" s="3" t="s">
        <v>465</v>
      </c>
      <c r="F4328" s="3">
        <v>127500</v>
      </c>
      <c r="G4328" s="57" t="str">
        <f t="shared" si="68"/>
        <v>-</v>
      </c>
      <c r="H4328" s="4"/>
      <c r="I4328" s="4"/>
    </row>
    <row r="4329" spans="1:9" s="1" customFormat="1" x14ac:dyDescent="0.2">
      <c r="A4329" s="1" t="s">
        <v>6</v>
      </c>
      <c r="B4329" s="2" t="s">
        <v>288</v>
      </c>
      <c r="C4329" s="5"/>
      <c r="D4329" s="5" t="s">
        <v>464</v>
      </c>
      <c r="E4329" s="3">
        <v>132500</v>
      </c>
      <c r="F4329" s="3" t="s">
        <v>465</v>
      </c>
      <c r="G4329" s="57" t="str">
        <f t="shared" si="68"/>
        <v>-</v>
      </c>
      <c r="H4329" s="4"/>
      <c r="I4329" s="4"/>
    </row>
    <row r="4330" spans="1:9" s="1" customFormat="1" x14ac:dyDescent="0.2">
      <c r="A4330" s="1" t="s">
        <v>6</v>
      </c>
      <c r="B4330" s="2" t="s">
        <v>288</v>
      </c>
      <c r="C4330" s="5"/>
      <c r="D4330" s="5" t="s">
        <v>464</v>
      </c>
      <c r="E4330" s="3" t="s">
        <v>465</v>
      </c>
      <c r="F4330" s="3">
        <v>132500</v>
      </c>
      <c r="G4330" s="57" t="str">
        <f t="shared" si="68"/>
        <v>-</v>
      </c>
      <c r="H4330" s="4"/>
      <c r="I4330" s="4"/>
    </row>
    <row r="4331" spans="1:9" s="1" customFormat="1" x14ac:dyDescent="0.2">
      <c r="A4331" s="1" t="s">
        <v>6</v>
      </c>
      <c r="B4331" s="2" t="s">
        <v>288</v>
      </c>
      <c r="C4331" s="5"/>
      <c r="D4331" s="5" t="s">
        <v>464</v>
      </c>
      <c r="E4331" s="3" t="s">
        <v>465</v>
      </c>
      <c r="F4331" s="3">
        <v>132500</v>
      </c>
      <c r="G4331" s="57" t="str">
        <f t="shared" si="68"/>
        <v>-</v>
      </c>
      <c r="H4331" s="4"/>
      <c r="I4331" s="4"/>
    </row>
    <row r="4332" spans="1:9" s="1" customFormat="1" x14ac:dyDescent="0.2">
      <c r="A4332" s="1" t="s">
        <v>6</v>
      </c>
      <c r="B4332" s="2" t="s">
        <v>288</v>
      </c>
      <c r="C4332" s="5"/>
      <c r="D4332" s="5" t="s">
        <v>464</v>
      </c>
      <c r="E4332" s="3">
        <v>137500</v>
      </c>
      <c r="F4332" s="3" t="s">
        <v>465</v>
      </c>
      <c r="G4332" s="57" t="str">
        <f t="shared" si="68"/>
        <v>-</v>
      </c>
      <c r="H4332" s="4"/>
      <c r="I4332" s="4"/>
    </row>
    <row r="4333" spans="1:9" s="1" customFormat="1" x14ac:dyDescent="0.2">
      <c r="A4333" s="1" t="s">
        <v>6</v>
      </c>
      <c r="B4333" s="2" t="s">
        <v>288</v>
      </c>
      <c r="C4333" s="5"/>
      <c r="D4333" s="5" t="s">
        <v>464</v>
      </c>
      <c r="E4333" s="3">
        <v>137500</v>
      </c>
      <c r="F4333" s="3" t="s">
        <v>465</v>
      </c>
      <c r="G4333" s="57" t="str">
        <f t="shared" si="68"/>
        <v>-</v>
      </c>
      <c r="H4333" s="4"/>
      <c r="I4333" s="4"/>
    </row>
    <row r="4334" spans="1:9" s="1" customFormat="1" x14ac:dyDescent="0.2">
      <c r="A4334" s="1" t="s">
        <v>6</v>
      </c>
      <c r="B4334" s="2" t="s">
        <v>288</v>
      </c>
      <c r="C4334" s="5"/>
      <c r="D4334" s="5" t="s">
        <v>464</v>
      </c>
      <c r="E4334" s="3" t="s">
        <v>465</v>
      </c>
      <c r="F4334" s="3">
        <v>137500</v>
      </c>
      <c r="G4334" s="57" t="str">
        <f t="shared" si="68"/>
        <v>-</v>
      </c>
      <c r="H4334" s="4"/>
      <c r="I4334" s="4"/>
    </row>
    <row r="4335" spans="1:9" s="1" customFormat="1" x14ac:dyDescent="0.2">
      <c r="A4335" s="1" t="s">
        <v>6</v>
      </c>
      <c r="B4335" s="2" t="s">
        <v>288</v>
      </c>
      <c r="C4335" s="5"/>
      <c r="D4335" s="5" t="s">
        <v>464</v>
      </c>
      <c r="E4335" s="3">
        <v>162500</v>
      </c>
      <c r="F4335" s="3" t="s">
        <v>465</v>
      </c>
      <c r="G4335" s="57" t="str">
        <f t="shared" ref="G4335:G4398" si="69">IF(ISERROR((F4335-E4335)/E4335),"-",(F4335-E4335)/E4335)</f>
        <v>-</v>
      </c>
      <c r="H4335" s="4"/>
      <c r="I4335" s="4"/>
    </row>
    <row r="4336" spans="1:9" s="1" customFormat="1" x14ac:dyDescent="0.2">
      <c r="A4336" s="1" t="s">
        <v>6</v>
      </c>
      <c r="B4336" s="2" t="s">
        <v>288</v>
      </c>
      <c r="C4336" s="5"/>
      <c r="D4336" s="5" t="s">
        <v>464</v>
      </c>
      <c r="E4336" s="3" t="s">
        <v>465</v>
      </c>
      <c r="F4336" s="3">
        <v>162500</v>
      </c>
      <c r="G4336" s="57" t="str">
        <f t="shared" si="69"/>
        <v>-</v>
      </c>
      <c r="H4336" s="4"/>
      <c r="I4336" s="4"/>
    </row>
    <row r="4337" spans="1:10" ht="25.5" x14ac:dyDescent="0.2">
      <c r="A4337" s="1" t="s">
        <v>11</v>
      </c>
      <c r="B4337" s="2" t="s">
        <v>289</v>
      </c>
      <c r="C4337" s="29" t="s">
        <v>2849</v>
      </c>
      <c r="G4337" s="57" t="str">
        <f t="shared" si="69"/>
        <v>-</v>
      </c>
    </row>
    <row r="4338" spans="1:10" ht="38.25" x14ac:dyDescent="0.2">
      <c r="A4338" s="1" t="s">
        <v>1</v>
      </c>
      <c r="B4338" s="2" t="s">
        <v>290</v>
      </c>
      <c r="C4338" s="5" t="s">
        <v>1028</v>
      </c>
      <c r="D4338" s="5" t="s">
        <v>450</v>
      </c>
      <c r="E4338" s="6">
        <v>121138</v>
      </c>
      <c r="F4338" s="3">
        <f>122207</f>
        <v>122207</v>
      </c>
      <c r="G4338" s="57">
        <f t="shared" si="69"/>
        <v>8.8246462711948359E-3</v>
      </c>
      <c r="J4338" s="5" t="s">
        <v>2944</v>
      </c>
    </row>
    <row r="4339" spans="1:10" ht="25.5" x14ac:dyDescent="0.2">
      <c r="A4339" s="1" t="s">
        <v>1</v>
      </c>
      <c r="B4339" s="2" t="s">
        <v>290</v>
      </c>
      <c r="C4339" s="5" t="s">
        <v>1029</v>
      </c>
      <c r="D4339" s="5" t="s">
        <v>451</v>
      </c>
      <c r="E4339" s="6">
        <v>99442</v>
      </c>
      <c r="F4339" s="3">
        <f>103180</f>
        <v>103180</v>
      </c>
      <c r="G4339" s="57">
        <f t="shared" si="69"/>
        <v>3.7589750809517104E-2</v>
      </c>
      <c r="H4339" s="21"/>
      <c r="J4339" s="5" t="s">
        <v>4671</v>
      </c>
    </row>
    <row r="4340" spans="1:10" ht="25.5" x14ac:dyDescent="0.2">
      <c r="A4340" s="1" t="s">
        <v>1</v>
      </c>
      <c r="B4340" s="2" t="s">
        <v>290</v>
      </c>
      <c r="C4340" s="5" t="s">
        <v>1030</v>
      </c>
      <c r="D4340" s="5" t="s">
        <v>1031</v>
      </c>
      <c r="E4340" s="6">
        <v>97448</v>
      </c>
      <c r="F4340" s="3">
        <f>101174</f>
        <v>101174</v>
      </c>
      <c r="G4340" s="57">
        <f t="shared" si="69"/>
        <v>3.8235777029800508E-2</v>
      </c>
      <c r="J4340" s="5" t="s">
        <v>2945</v>
      </c>
    </row>
    <row r="4341" spans="1:10" ht="25.5" x14ac:dyDescent="0.2">
      <c r="A4341" s="1" t="s">
        <v>1</v>
      </c>
      <c r="B4341" s="2" t="s">
        <v>290</v>
      </c>
      <c r="C4341" s="5" t="s">
        <v>1032</v>
      </c>
      <c r="D4341" s="5" t="s">
        <v>1033</v>
      </c>
      <c r="E4341" s="6">
        <v>97968</v>
      </c>
      <c r="F4341" s="3">
        <f>101196</f>
        <v>101196</v>
      </c>
      <c r="G4341" s="57">
        <f t="shared" si="69"/>
        <v>3.2949534541891229E-2</v>
      </c>
      <c r="J4341" s="5" t="s">
        <v>2946</v>
      </c>
    </row>
    <row r="4342" spans="1:10" ht="25.5" x14ac:dyDescent="0.2">
      <c r="A4342" s="1" t="s">
        <v>1</v>
      </c>
      <c r="B4342" s="2" t="s">
        <v>290</v>
      </c>
      <c r="C4342" s="5" t="s">
        <v>1034</v>
      </c>
      <c r="D4342" s="5" t="s">
        <v>1035</v>
      </c>
      <c r="E4342" s="6">
        <v>97785</v>
      </c>
      <c r="F4342" s="3">
        <f>101173</f>
        <v>101173</v>
      </c>
      <c r="G4342" s="57">
        <f t="shared" si="69"/>
        <v>3.4647440814030782E-2</v>
      </c>
      <c r="J4342" s="5" t="s">
        <v>2947</v>
      </c>
    </row>
    <row r="4343" spans="1:10" ht="25.5" x14ac:dyDescent="0.2">
      <c r="A4343" s="1" t="s">
        <v>4</v>
      </c>
      <c r="B4343" s="2" t="s">
        <v>291</v>
      </c>
      <c r="D4343" s="5" t="s">
        <v>450</v>
      </c>
      <c r="E4343" s="3">
        <v>169519</v>
      </c>
      <c r="F4343" s="3">
        <v>168280</v>
      </c>
      <c r="G4343" s="57">
        <f t="shared" si="69"/>
        <v>-7.308915224842053E-3</v>
      </c>
      <c r="J4343" s="5" t="s">
        <v>2940</v>
      </c>
    </row>
    <row r="4344" spans="1:10" ht="25.5" x14ac:dyDescent="0.2">
      <c r="A4344" s="1" t="s">
        <v>4</v>
      </c>
      <c r="B4344" s="2" t="s">
        <v>291</v>
      </c>
      <c r="D4344" s="5" t="s">
        <v>1025</v>
      </c>
      <c r="E4344" s="3">
        <v>131114</v>
      </c>
      <c r="F4344" s="3">
        <v>131114</v>
      </c>
      <c r="G4344" s="57">
        <f t="shared" si="69"/>
        <v>0</v>
      </c>
      <c r="J4344" s="5" t="s">
        <v>2941</v>
      </c>
    </row>
    <row r="4345" spans="1:10" ht="25.5" x14ac:dyDescent="0.2">
      <c r="A4345" s="1" t="s">
        <v>4</v>
      </c>
      <c r="B4345" s="2" t="s">
        <v>291</v>
      </c>
      <c r="D4345" s="5" t="s">
        <v>1026</v>
      </c>
      <c r="E4345" s="3">
        <v>131114</v>
      </c>
      <c r="F4345" s="3">
        <v>129704</v>
      </c>
      <c r="G4345" s="57">
        <f t="shared" si="69"/>
        <v>-1.0754000335585826E-2</v>
      </c>
      <c r="J4345" s="5" t="s">
        <v>2942</v>
      </c>
    </row>
    <row r="4346" spans="1:10" ht="25.5" x14ac:dyDescent="0.2">
      <c r="A4346" s="1" t="s">
        <v>4</v>
      </c>
      <c r="B4346" s="2" t="s">
        <v>291</v>
      </c>
      <c r="D4346" s="5" t="s">
        <v>1027</v>
      </c>
      <c r="E4346" s="3">
        <v>91981</v>
      </c>
      <c r="F4346" s="3">
        <v>108618</v>
      </c>
      <c r="G4346" s="57">
        <f t="shared" si="69"/>
        <v>0.18087431099901066</v>
      </c>
      <c r="J4346" s="5" t="s">
        <v>2943</v>
      </c>
    </row>
    <row r="4347" spans="1:10" x14ac:dyDescent="0.2">
      <c r="A4347" s="1" t="s">
        <v>4</v>
      </c>
      <c r="B4347" s="2" t="s">
        <v>291</v>
      </c>
      <c r="D4347" s="5" t="s">
        <v>464</v>
      </c>
      <c r="G4347" s="57" t="str">
        <f t="shared" si="69"/>
        <v>-</v>
      </c>
      <c r="H4347" s="19" t="s">
        <v>465</v>
      </c>
      <c r="I4347" s="19">
        <v>92500</v>
      </c>
    </row>
    <row r="4348" spans="1:10" ht="25.5" x14ac:dyDescent="0.2">
      <c r="A4348" s="1" t="s">
        <v>4</v>
      </c>
      <c r="B4348" s="2" t="s">
        <v>292</v>
      </c>
      <c r="C4348" s="5" t="s">
        <v>1015</v>
      </c>
      <c r="D4348" s="5" t="s">
        <v>450</v>
      </c>
      <c r="E4348" s="3">
        <v>225665</v>
      </c>
      <c r="F4348" s="3">
        <v>217640</v>
      </c>
      <c r="G4348" s="57">
        <f t="shared" si="69"/>
        <v>-3.5561562493076022E-2</v>
      </c>
      <c r="J4348" s="5" t="s">
        <v>2909</v>
      </c>
    </row>
    <row r="4349" spans="1:10" ht="25.5" x14ac:dyDescent="0.2">
      <c r="A4349" s="1" t="s">
        <v>4</v>
      </c>
      <c r="B4349" s="2" t="s">
        <v>292</v>
      </c>
      <c r="D4349" s="5" t="s">
        <v>1016</v>
      </c>
      <c r="E4349" s="3">
        <v>126838</v>
      </c>
      <c r="F4349" s="3">
        <v>126821</v>
      </c>
      <c r="G4349" s="57">
        <f t="shared" si="69"/>
        <v>-1.3402923414118797E-4</v>
      </c>
      <c r="J4349" s="5" t="s">
        <v>2910</v>
      </c>
    </row>
    <row r="4350" spans="1:10" ht="25.5" x14ac:dyDescent="0.2">
      <c r="A4350" s="1" t="s">
        <v>4</v>
      </c>
      <c r="B4350" s="2" t="s">
        <v>292</v>
      </c>
      <c r="D4350" s="5" t="s">
        <v>1017</v>
      </c>
      <c r="E4350" s="3">
        <v>126794</v>
      </c>
      <c r="F4350" s="3">
        <v>126794</v>
      </c>
      <c r="G4350" s="57">
        <f t="shared" si="69"/>
        <v>0</v>
      </c>
      <c r="J4350" s="5" t="s">
        <v>2911</v>
      </c>
    </row>
    <row r="4351" spans="1:10" ht="25.5" x14ac:dyDescent="0.2">
      <c r="A4351" s="1" t="s">
        <v>4</v>
      </c>
      <c r="B4351" s="2" t="s">
        <v>292</v>
      </c>
      <c r="D4351" s="5" t="s">
        <v>2933</v>
      </c>
      <c r="E4351" s="9">
        <v>147402</v>
      </c>
      <c r="F4351" s="3" t="s">
        <v>465</v>
      </c>
      <c r="G4351" s="57" t="str">
        <f t="shared" si="69"/>
        <v>-</v>
      </c>
    </row>
    <row r="4352" spans="1:10" ht="25.5" x14ac:dyDescent="0.2">
      <c r="A4352" s="1" t="s">
        <v>4</v>
      </c>
      <c r="B4352" s="2" t="s">
        <v>292</v>
      </c>
      <c r="D4352" s="5" t="s">
        <v>1018</v>
      </c>
      <c r="E4352" s="9">
        <v>152935</v>
      </c>
      <c r="F4352" s="3">
        <v>152935</v>
      </c>
      <c r="G4352" s="57">
        <f t="shared" si="69"/>
        <v>0</v>
      </c>
      <c r="J4352" s="5" t="s">
        <v>2912</v>
      </c>
    </row>
    <row r="4353" spans="1:10" ht="25.5" x14ac:dyDescent="0.2">
      <c r="A4353" s="1" t="s">
        <v>4</v>
      </c>
      <c r="B4353" s="2" t="s">
        <v>292</v>
      </c>
      <c r="D4353" s="5" t="s">
        <v>1019</v>
      </c>
      <c r="E4353" s="9">
        <v>19528</v>
      </c>
      <c r="F4353" s="3">
        <v>164038</v>
      </c>
      <c r="G4353" s="57">
        <f t="shared" si="69"/>
        <v>7.4001433838590742</v>
      </c>
      <c r="J4353" s="5" t="s">
        <v>2913</v>
      </c>
    </row>
    <row r="4354" spans="1:10" ht="25.5" x14ac:dyDescent="0.2">
      <c r="A4354" s="1" t="s">
        <v>4</v>
      </c>
      <c r="B4354" s="2" t="s">
        <v>292</v>
      </c>
      <c r="D4354" s="5" t="s">
        <v>1020</v>
      </c>
      <c r="E4354" s="9">
        <v>152935</v>
      </c>
      <c r="F4354" s="3">
        <v>152935</v>
      </c>
      <c r="G4354" s="57">
        <f t="shared" si="69"/>
        <v>0</v>
      </c>
      <c r="J4354" s="5" t="s">
        <v>2912</v>
      </c>
    </row>
    <row r="4355" spans="1:10" ht="25.5" x14ac:dyDescent="0.2">
      <c r="A4355" s="1" t="s">
        <v>4</v>
      </c>
      <c r="B4355" s="2" t="s">
        <v>292</v>
      </c>
      <c r="D4355" s="5" t="s">
        <v>1021</v>
      </c>
      <c r="E4355" s="9">
        <v>115936</v>
      </c>
      <c r="F4355" s="3">
        <v>115936</v>
      </c>
      <c r="G4355" s="57">
        <f t="shared" si="69"/>
        <v>0</v>
      </c>
      <c r="J4355" s="5" t="s">
        <v>2914</v>
      </c>
    </row>
    <row r="4356" spans="1:10" ht="25.5" x14ac:dyDescent="0.2">
      <c r="A4356" s="1" t="s">
        <v>4</v>
      </c>
      <c r="B4356" s="2" t="s">
        <v>292</v>
      </c>
      <c r="D4356" s="5" t="s">
        <v>1022</v>
      </c>
      <c r="E4356" s="9">
        <v>115936</v>
      </c>
      <c r="F4356" s="3">
        <v>115936</v>
      </c>
      <c r="G4356" s="57">
        <f t="shared" si="69"/>
        <v>0</v>
      </c>
      <c r="J4356" s="5" t="s">
        <v>2914</v>
      </c>
    </row>
    <row r="4357" spans="1:10" ht="25.5" x14ac:dyDescent="0.2">
      <c r="A4357" s="1" t="s">
        <v>4</v>
      </c>
      <c r="B4357" s="2" t="s">
        <v>292</v>
      </c>
      <c r="D4357" s="5" t="s">
        <v>569</v>
      </c>
      <c r="E4357" s="9">
        <v>102300</v>
      </c>
      <c r="F4357" s="3">
        <v>102300</v>
      </c>
      <c r="G4357" s="57">
        <f t="shared" si="69"/>
        <v>0</v>
      </c>
      <c r="J4357" s="5" t="s">
        <v>2915</v>
      </c>
    </row>
    <row r="4358" spans="1:10" ht="38.25" x14ac:dyDescent="0.2">
      <c r="A4358" s="1" t="s">
        <v>4</v>
      </c>
      <c r="B4358" s="2" t="s">
        <v>292</v>
      </c>
      <c r="D4358" s="5" t="s">
        <v>2917</v>
      </c>
      <c r="E4358" s="9">
        <v>115936</v>
      </c>
      <c r="F4358" s="3">
        <v>100419</v>
      </c>
      <c r="G4358" s="57">
        <f t="shared" si="69"/>
        <v>-0.1338410847364063</v>
      </c>
      <c r="J4358" s="5" t="s">
        <v>2916</v>
      </c>
    </row>
    <row r="4359" spans="1:10" ht="38.25" x14ac:dyDescent="0.2">
      <c r="A4359" s="1" t="s">
        <v>4</v>
      </c>
      <c r="B4359" s="2" t="s">
        <v>292</v>
      </c>
      <c r="D4359" s="5" t="s">
        <v>2919</v>
      </c>
      <c r="E4359" s="9">
        <v>97988</v>
      </c>
      <c r="F4359" s="3">
        <v>174018</v>
      </c>
      <c r="G4359" s="57">
        <f t="shared" si="69"/>
        <v>0.77591133608196927</v>
      </c>
      <c r="J4359" s="5" t="s">
        <v>2918</v>
      </c>
    </row>
    <row r="4360" spans="1:10" ht="38.25" x14ac:dyDescent="0.2">
      <c r="A4360" s="1" t="s">
        <v>4</v>
      </c>
      <c r="B4360" s="2" t="s">
        <v>292</v>
      </c>
      <c r="D4360" s="5" t="s">
        <v>2921</v>
      </c>
      <c r="E4360" s="9">
        <v>91025</v>
      </c>
      <c r="F4360" s="3">
        <v>108155</v>
      </c>
      <c r="G4360" s="57">
        <f t="shared" si="69"/>
        <v>0.18819005767646252</v>
      </c>
      <c r="J4360" s="5" t="s">
        <v>2920</v>
      </c>
    </row>
    <row r="4361" spans="1:10" ht="38.25" x14ac:dyDescent="0.2">
      <c r="A4361" s="1" t="s">
        <v>4</v>
      </c>
      <c r="B4361" s="2" t="s">
        <v>292</v>
      </c>
      <c r="D4361" s="5" t="s">
        <v>2922</v>
      </c>
      <c r="E4361" s="9">
        <v>88660</v>
      </c>
      <c r="F4361" s="3">
        <v>132237</v>
      </c>
      <c r="G4361" s="57">
        <f t="shared" si="69"/>
        <v>0.49150688021655764</v>
      </c>
      <c r="J4361" s="5" t="s">
        <v>2923</v>
      </c>
    </row>
    <row r="4362" spans="1:10" ht="25.5" x14ac:dyDescent="0.2">
      <c r="A4362" s="1" t="s">
        <v>4</v>
      </c>
      <c r="B4362" s="2" t="s">
        <v>292</v>
      </c>
      <c r="D4362" s="5" t="s">
        <v>1023</v>
      </c>
      <c r="E4362" s="9">
        <v>115936</v>
      </c>
      <c r="F4362" s="3">
        <v>115936</v>
      </c>
      <c r="G4362" s="57">
        <f t="shared" si="69"/>
        <v>0</v>
      </c>
      <c r="J4362" s="5" t="s">
        <v>2914</v>
      </c>
    </row>
    <row r="4363" spans="1:10" ht="38.25" x14ac:dyDescent="0.2">
      <c r="A4363" s="1" t="s">
        <v>4</v>
      </c>
      <c r="B4363" s="2" t="s">
        <v>292</v>
      </c>
      <c r="D4363" s="5" t="s">
        <v>2925</v>
      </c>
      <c r="E4363" s="9">
        <v>102320</v>
      </c>
      <c r="F4363" s="3">
        <v>174606</v>
      </c>
      <c r="G4363" s="57">
        <f t="shared" si="69"/>
        <v>0.70646989835809226</v>
      </c>
      <c r="J4363" s="5" t="s">
        <v>2924</v>
      </c>
    </row>
    <row r="4364" spans="1:10" ht="51" x14ac:dyDescent="0.2">
      <c r="A4364" s="1" t="s">
        <v>4</v>
      </c>
      <c r="B4364" s="2" t="s">
        <v>292</v>
      </c>
      <c r="D4364" s="5" t="s">
        <v>2926</v>
      </c>
      <c r="E4364" s="9">
        <v>95833</v>
      </c>
      <c r="F4364" s="3">
        <v>162316</v>
      </c>
      <c r="G4364" s="57">
        <f t="shared" si="69"/>
        <v>0.69373806517587888</v>
      </c>
      <c r="J4364" s="5" t="s">
        <v>2927</v>
      </c>
    </row>
    <row r="4365" spans="1:10" ht="38.25" x14ac:dyDescent="0.2">
      <c r="A4365" s="1" t="s">
        <v>4</v>
      </c>
      <c r="B4365" s="2" t="s">
        <v>292</v>
      </c>
      <c r="D4365" s="5" t="s">
        <v>2928</v>
      </c>
      <c r="E4365" s="9">
        <v>102300</v>
      </c>
      <c r="F4365" s="3">
        <v>105283</v>
      </c>
      <c r="G4365" s="57">
        <f t="shared" si="69"/>
        <v>2.9159335288367547E-2</v>
      </c>
      <c r="J4365" s="5" t="s">
        <v>4672</v>
      </c>
    </row>
    <row r="4366" spans="1:10" ht="25.5" x14ac:dyDescent="0.2">
      <c r="A4366" s="1" t="s">
        <v>4</v>
      </c>
      <c r="B4366" s="2" t="s">
        <v>292</v>
      </c>
      <c r="D4366" s="5" t="s">
        <v>1024</v>
      </c>
      <c r="E4366" s="9">
        <v>102300</v>
      </c>
      <c r="F4366" s="3">
        <v>102300</v>
      </c>
      <c r="G4366" s="57">
        <f t="shared" si="69"/>
        <v>0</v>
      </c>
      <c r="J4366" s="5" t="s">
        <v>2915</v>
      </c>
    </row>
    <row r="4367" spans="1:10" ht="25.5" x14ac:dyDescent="0.2">
      <c r="A4367" s="1" t="s">
        <v>4</v>
      </c>
      <c r="B4367" s="2" t="s">
        <v>292</v>
      </c>
      <c r="D4367" s="5" t="s">
        <v>1098</v>
      </c>
      <c r="E4367" s="9">
        <v>115936</v>
      </c>
      <c r="F4367" s="3">
        <v>115936</v>
      </c>
      <c r="G4367" s="57">
        <f t="shared" si="69"/>
        <v>0</v>
      </c>
      <c r="J4367" s="5" t="s">
        <v>2929</v>
      </c>
    </row>
    <row r="4368" spans="1:10" ht="25.5" x14ac:dyDescent="0.2">
      <c r="A4368" s="1" t="s">
        <v>4</v>
      </c>
      <c r="B4368" s="2" t="s">
        <v>292</v>
      </c>
      <c r="D4368" s="5" t="s">
        <v>2930</v>
      </c>
      <c r="E4368" s="9" t="s">
        <v>465</v>
      </c>
      <c r="F4368" s="3">
        <v>115293</v>
      </c>
      <c r="G4368" s="57" t="str">
        <f t="shared" si="69"/>
        <v>-</v>
      </c>
      <c r="J4368" s="5" t="s">
        <v>4673</v>
      </c>
    </row>
    <row r="4369" spans="1:10" ht="38.25" x14ac:dyDescent="0.2">
      <c r="A4369" s="1" t="s">
        <v>4</v>
      </c>
      <c r="B4369" s="2" t="s">
        <v>292</v>
      </c>
      <c r="D4369" s="5" t="s">
        <v>2931</v>
      </c>
      <c r="E4369" s="9">
        <v>89260</v>
      </c>
      <c r="F4369" s="3">
        <v>152246</v>
      </c>
      <c r="G4369" s="57">
        <f t="shared" si="69"/>
        <v>0.70564642617073714</v>
      </c>
      <c r="J4369" s="5" t="s">
        <v>2932</v>
      </c>
    </row>
    <row r="4370" spans="1:10" ht="25.5" x14ac:dyDescent="0.2">
      <c r="A4370" s="1" t="s">
        <v>4</v>
      </c>
      <c r="B4370" s="2" t="s">
        <v>292</v>
      </c>
      <c r="D4370" s="7" t="s">
        <v>2934</v>
      </c>
      <c r="E4370" s="6">
        <v>115936</v>
      </c>
      <c r="F4370" s="6">
        <v>67629</v>
      </c>
      <c r="G4370" s="57">
        <f t="shared" si="69"/>
        <v>-0.41666954181617444</v>
      </c>
      <c r="H4370" s="21"/>
      <c r="I4370" s="21"/>
      <c r="J4370" s="7" t="s">
        <v>2935</v>
      </c>
    </row>
    <row r="4371" spans="1:10" ht="25.5" x14ac:dyDescent="0.2">
      <c r="A4371" s="1" t="s">
        <v>4</v>
      </c>
      <c r="B4371" s="2" t="s">
        <v>292</v>
      </c>
      <c r="D4371" s="7" t="s">
        <v>1437</v>
      </c>
      <c r="E4371" s="6">
        <v>119418</v>
      </c>
      <c r="F4371" s="6">
        <v>25422</v>
      </c>
      <c r="G4371" s="57">
        <f t="shared" si="69"/>
        <v>-0.78711751997186352</v>
      </c>
      <c r="H4371" s="21"/>
      <c r="I4371" s="21"/>
      <c r="J4371" s="7" t="s">
        <v>2936</v>
      </c>
    </row>
    <row r="4372" spans="1:10" ht="25.5" x14ac:dyDescent="0.2">
      <c r="A4372" s="1" t="s">
        <v>4</v>
      </c>
      <c r="B4372" s="2" t="s">
        <v>292</v>
      </c>
      <c r="D4372" s="7" t="s">
        <v>2937</v>
      </c>
      <c r="E4372" s="6">
        <v>109682</v>
      </c>
      <c r="F4372" s="6">
        <v>25357</v>
      </c>
      <c r="G4372" s="57">
        <f t="shared" si="69"/>
        <v>-0.76881347896646668</v>
      </c>
      <c r="H4372" s="21"/>
      <c r="I4372" s="21"/>
      <c r="J4372" s="7" t="s">
        <v>2938</v>
      </c>
    </row>
    <row r="4373" spans="1:10" ht="25.5" x14ac:dyDescent="0.2">
      <c r="A4373" s="1" t="s">
        <v>4</v>
      </c>
      <c r="B4373" s="2" t="s">
        <v>292</v>
      </c>
      <c r="D4373" s="7" t="s">
        <v>2525</v>
      </c>
      <c r="E4373" s="6">
        <v>115256</v>
      </c>
      <c r="F4373" s="6">
        <v>43996</v>
      </c>
      <c r="G4373" s="57">
        <f t="shared" si="69"/>
        <v>-0.61827583813424025</v>
      </c>
      <c r="H4373" s="21"/>
      <c r="I4373" s="21"/>
      <c r="J4373" s="7" t="s">
        <v>2939</v>
      </c>
    </row>
    <row r="4374" spans="1:10" x14ac:dyDescent="0.2">
      <c r="A4374" s="1" t="s">
        <v>4</v>
      </c>
      <c r="B4374" s="2" t="s">
        <v>292</v>
      </c>
      <c r="D4374" s="5" t="s">
        <v>464</v>
      </c>
      <c r="G4374" s="57" t="str">
        <f t="shared" si="69"/>
        <v>-</v>
      </c>
      <c r="H4374" s="19">
        <v>92500</v>
      </c>
      <c r="I4374" s="19" t="s">
        <v>465</v>
      </c>
    </row>
    <row r="4375" spans="1:10" x14ac:dyDescent="0.2">
      <c r="A4375" s="1" t="s">
        <v>4</v>
      </c>
      <c r="B4375" s="2" t="s">
        <v>292</v>
      </c>
      <c r="D4375" s="5" t="s">
        <v>464</v>
      </c>
      <c r="G4375" s="57" t="str">
        <f t="shared" si="69"/>
        <v>-</v>
      </c>
      <c r="H4375" s="19">
        <v>92500</v>
      </c>
      <c r="I4375" s="19" t="s">
        <v>465</v>
      </c>
    </row>
    <row r="4376" spans="1:10" x14ac:dyDescent="0.2">
      <c r="A4376" s="1" t="s">
        <v>4</v>
      </c>
      <c r="B4376" s="2" t="s">
        <v>292</v>
      </c>
      <c r="D4376" s="5" t="s">
        <v>464</v>
      </c>
      <c r="G4376" s="57" t="str">
        <f t="shared" si="69"/>
        <v>-</v>
      </c>
      <c r="H4376" s="19" t="s">
        <v>465</v>
      </c>
      <c r="I4376" s="19">
        <v>97500</v>
      </c>
    </row>
    <row r="4377" spans="1:10" x14ac:dyDescent="0.2">
      <c r="A4377" s="1" t="s">
        <v>4</v>
      </c>
      <c r="B4377" s="2" t="s">
        <v>292</v>
      </c>
      <c r="D4377" s="5" t="s">
        <v>464</v>
      </c>
      <c r="G4377" s="57" t="str">
        <f t="shared" si="69"/>
        <v>-</v>
      </c>
      <c r="H4377" s="19" t="s">
        <v>465</v>
      </c>
      <c r="I4377" s="19">
        <v>97500</v>
      </c>
    </row>
    <row r="4378" spans="1:10" x14ac:dyDescent="0.2">
      <c r="A4378" s="1" t="s">
        <v>4</v>
      </c>
      <c r="B4378" s="2" t="s">
        <v>292</v>
      </c>
      <c r="D4378" s="5" t="s">
        <v>464</v>
      </c>
      <c r="E4378" s="3">
        <v>102500</v>
      </c>
      <c r="F4378" s="3" t="s">
        <v>465</v>
      </c>
      <c r="G4378" s="57" t="str">
        <f t="shared" si="69"/>
        <v>-</v>
      </c>
    </row>
    <row r="4379" spans="1:10" x14ac:dyDescent="0.2">
      <c r="A4379" s="1" t="s">
        <v>4</v>
      </c>
      <c r="B4379" s="2" t="s">
        <v>292</v>
      </c>
      <c r="D4379" s="5" t="s">
        <v>464</v>
      </c>
      <c r="E4379" s="3">
        <v>107500</v>
      </c>
      <c r="F4379" s="3" t="s">
        <v>465</v>
      </c>
      <c r="G4379" s="57" t="str">
        <f t="shared" si="69"/>
        <v>-</v>
      </c>
    </row>
    <row r="4380" spans="1:10" ht="25.5" x14ac:dyDescent="0.2">
      <c r="A4380" s="1" t="s">
        <v>44</v>
      </c>
      <c r="B4380" s="2" t="s">
        <v>293</v>
      </c>
      <c r="C4380" s="5" t="s">
        <v>1010</v>
      </c>
      <c r="D4380" s="5" t="s">
        <v>450</v>
      </c>
      <c r="E4380" s="3">
        <f>156745+9552+23723</f>
        <v>190020</v>
      </c>
      <c r="F4380" s="3">
        <f>159462+10361+25341</f>
        <v>195164</v>
      </c>
      <c r="G4380" s="57">
        <f t="shared" si="69"/>
        <v>2.7070834648984316E-2</v>
      </c>
      <c r="J4380" s="5" t="s">
        <v>2902</v>
      </c>
    </row>
    <row r="4381" spans="1:10" ht="25.5" x14ac:dyDescent="0.2">
      <c r="A4381" s="1" t="s">
        <v>44</v>
      </c>
      <c r="B4381" s="2" t="s">
        <v>293</v>
      </c>
      <c r="D4381" s="5" t="s">
        <v>944</v>
      </c>
      <c r="E4381" s="3">
        <f>101375+8576+15343</f>
        <v>125294</v>
      </c>
      <c r="F4381" s="3">
        <f>103776+8894+16492</f>
        <v>129162</v>
      </c>
      <c r="G4381" s="57">
        <f t="shared" si="69"/>
        <v>3.0871390489568534E-2</v>
      </c>
      <c r="J4381" s="5" t="s">
        <v>2903</v>
      </c>
    </row>
    <row r="4382" spans="1:10" ht="25.5" x14ac:dyDescent="0.2">
      <c r="A4382" s="1" t="s">
        <v>44</v>
      </c>
      <c r="B4382" s="2" t="s">
        <v>293</v>
      </c>
      <c r="D4382" s="5" t="s">
        <v>1011</v>
      </c>
      <c r="E4382" s="3">
        <f>105575+5713+15979</f>
        <v>127267</v>
      </c>
      <c r="F4382" s="3">
        <f>90458+6638+14375</f>
        <v>111471</v>
      </c>
      <c r="G4382" s="57">
        <f t="shared" si="69"/>
        <v>-0.12411701383705123</v>
      </c>
      <c r="J4382" s="5" t="s">
        <v>2904</v>
      </c>
    </row>
    <row r="4383" spans="1:10" ht="25.5" x14ac:dyDescent="0.2">
      <c r="A4383" s="1" t="s">
        <v>44</v>
      </c>
      <c r="B4383" s="2" t="s">
        <v>293</v>
      </c>
      <c r="D4383" s="5" t="s">
        <v>1012</v>
      </c>
      <c r="E4383" s="3">
        <f>105575+8960+15979</f>
        <v>130514</v>
      </c>
      <c r="F4383" s="3">
        <f>105575+7235+16777</f>
        <v>129587</v>
      </c>
      <c r="G4383" s="57">
        <f t="shared" si="69"/>
        <v>-7.1026863018526752E-3</v>
      </c>
      <c r="J4383" s="5" t="s">
        <v>2905</v>
      </c>
    </row>
    <row r="4384" spans="1:10" ht="25.5" x14ac:dyDescent="0.2">
      <c r="A4384" s="1" t="s">
        <v>44</v>
      </c>
      <c r="B4384" s="2" t="s">
        <v>293</v>
      </c>
      <c r="D4384" s="5" t="s">
        <v>1013</v>
      </c>
      <c r="E4384" s="3">
        <f>105575+9131+15979</f>
        <v>130685</v>
      </c>
      <c r="F4384" s="3">
        <f>105575+9726+16777</f>
        <v>132078</v>
      </c>
      <c r="G4384" s="57">
        <f t="shared" si="69"/>
        <v>1.0659218732065654E-2</v>
      </c>
      <c r="J4384" s="5" t="s">
        <v>2906</v>
      </c>
    </row>
    <row r="4385" spans="1:10" ht="25.5" x14ac:dyDescent="0.2">
      <c r="A4385" s="1" t="s">
        <v>44</v>
      </c>
      <c r="B4385" s="2" t="s">
        <v>293</v>
      </c>
      <c r="D4385" s="5" t="s">
        <v>1014</v>
      </c>
      <c r="E4385" s="3">
        <f>105575+8217+15979</f>
        <v>129771</v>
      </c>
      <c r="F4385" s="3">
        <f>105575+7484+16777</f>
        <v>129836</v>
      </c>
      <c r="G4385" s="57">
        <f t="shared" si="69"/>
        <v>5.0088232347751042E-4</v>
      </c>
      <c r="J4385" s="5" t="s">
        <v>2907</v>
      </c>
    </row>
    <row r="4386" spans="1:10" x14ac:dyDescent="0.2">
      <c r="A4386" s="1" t="s">
        <v>44</v>
      </c>
      <c r="B4386" s="2" t="s">
        <v>293</v>
      </c>
      <c r="D4386" s="5" t="s">
        <v>464</v>
      </c>
      <c r="G4386" s="57" t="str">
        <f t="shared" si="69"/>
        <v>-</v>
      </c>
      <c r="H4386" s="19">
        <v>92500</v>
      </c>
      <c r="I4386" s="19" t="s">
        <v>465</v>
      </c>
      <c r="J4386" s="5" t="s">
        <v>2908</v>
      </c>
    </row>
    <row r="4387" spans="1:10" x14ac:dyDescent="0.2">
      <c r="A4387" s="1" t="s">
        <v>44</v>
      </c>
      <c r="B4387" s="2" t="s">
        <v>293</v>
      </c>
      <c r="D4387" s="5" t="s">
        <v>464</v>
      </c>
      <c r="G4387" s="57" t="str">
        <f t="shared" si="69"/>
        <v>-</v>
      </c>
      <c r="H4387" s="19">
        <v>92500</v>
      </c>
      <c r="I4387" s="19" t="s">
        <v>465</v>
      </c>
    </row>
    <row r="4388" spans="1:10" x14ac:dyDescent="0.2">
      <c r="A4388" s="1" t="s">
        <v>44</v>
      </c>
      <c r="B4388" s="2" t="s">
        <v>293</v>
      </c>
      <c r="D4388" s="5" t="s">
        <v>464</v>
      </c>
      <c r="G4388" s="57" t="str">
        <f t="shared" si="69"/>
        <v>-</v>
      </c>
      <c r="H4388" s="19">
        <v>92500</v>
      </c>
      <c r="I4388" s="19" t="s">
        <v>465</v>
      </c>
    </row>
    <row r="4389" spans="1:10" x14ac:dyDescent="0.2">
      <c r="A4389" s="1" t="s">
        <v>44</v>
      </c>
      <c r="B4389" s="2" t="s">
        <v>293</v>
      </c>
      <c r="D4389" s="5" t="s">
        <v>464</v>
      </c>
      <c r="G4389" s="57" t="str">
        <f t="shared" si="69"/>
        <v>-</v>
      </c>
      <c r="H4389" s="19" t="s">
        <v>465</v>
      </c>
      <c r="I4389" s="19">
        <v>92500</v>
      </c>
    </row>
    <row r="4390" spans="1:10" x14ac:dyDescent="0.2">
      <c r="A4390" s="1" t="s">
        <v>44</v>
      </c>
      <c r="B4390" s="2" t="s">
        <v>293</v>
      </c>
      <c r="D4390" s="5" t="s">
        <v>464</v>
      </c>
      <c r="G4390" s="57" t="str">
        <f t="shared" si="69"/>
        <v>-</v>
      </c>
      <c r="H4390" s="19" t="s">
        <v>465</v>
      </c>
      <c r="I4390" s="19">
        <v>92500</v>
      </c>
    </row>
    <row r="4391" spans="1:10" x14ac:dyDescent="0.2">
      <c r="A4391" s="1" t="s">
        <v>44</v>
      </c>
      <c r="B4391" s="2" t="s">
        <v>293</v>
      </c>
      <c r="D4391" s="5" t="s">
        <v>464</v>
      </c>
      <c r="G4391" s="57" t="str">
        <f t="shared" si="69"/>
        <v>-</v>
      </c>
      <c r="H4391" s="19" t="s">
        <v>465</v>
      </c>
      <c r="I4391" s="19">
        <v>92500</v>
      </c>
    </row>
    <row r="4392" spans="1:10" ht="25.5" x14ac:dyDescent="0.2">
      <c r="A4392" s="1" t="s">
        <v>6</v>
      </c>
      <c r="B4392" s="2" t="s">
        <v>294</v>
      </c>
      <c r="D4392" s="5" t="s">
        <v>450</v>
      </c>
      <c r="E4392" s="3">
        <v>158169</v>
      </c>
      <c r="F4392" s="3">
        <v>159960</v>
      </c>
      <c r="G4392" s="57">
        <f t="shared" si="69"/>
        <v>1.1323331373404397E-2</v>
      </c>
      <c r="J4392" s="5" t="s">
        <v>2898</v>
      </c>
    </row>
    <row r="4393" spans="1:10" ht="25.5" x14ac:dyDescent="0.2">
      <c r="A4393" s="1" t="s">
        <v>6</v>
      </c>
      <c r="B4393" s="2" t="s">
        <v>294</v>
      </c>
      <c r="D4393" s="5" t="s">
        <v>4674</v>
      </c>
      <c r="E4393" s="3">
        <v>101195</v>
      </c>
      <c r="F4393" s="3">
        <v>100681</v>
      </c>
      <c r="G4393" s="57">
        <f t="shared" si="69"/>
        <v>-5.0793023370719901E-3</v>
      </c>
      <c r="J4393" s="5" t="s">
        <v>2899</v>
      </c>
    </row>
    <row r="4394" spans="1:10" ht="25.5" x14ac:dyDescent="0.2">
      <c r="A4394" s="1" t="s">
        <v>6</v>
      </c>
      <c r="B4394" s="2" t="s">
        <v>294</v>
      </c>
      <c r="D4394" s="5" t="s">
        <v>2901</v>
      </c>
      <c r="E4394" s="3">
        <v>100032</v>
      </c>
      <c r="F4394" s="3">
        <v>99946</v>
      </c>
      <c r="G4394" s="57">
        <f t="shared" si="69"/>
        <v>-8.5972488803582854E-4</v>
      </c>
      <c r="J4394" s="5" t="s">
        <v>2900</v>
      </c>
    </row>
    <row r="4395" spans="1:10" ht="25.5" x14ac:dyDescent="0.2">
      <c r="A4395" s="1" t="s">
        <v>1</v>
      </c>
      <c r="B4395" s="2" t="s">
        <v>295</v>
      </c>
      <c r="C4395" s="5" t="s">
        <v>1004</v>
      </c>
      <c r="D4395" s="5" t="s">
        <v>450</v>
      </c>
      <c r="E4395" s="3">
        <f>128155+23709</f>
        <v>151864</v>
      </c>
      <c r="F4395" s="3">
        <f>125331+23186</f>
        <v>148517</v>
      </c>
      <c r="G4395" s="57">
        <f t="shared" si="69"/>
        <v>-2.2039456355686667E-2</v>
      </c>
      <c r="J4395" s="5" t="s">
        <v>2891</v>
      </c>
    </row>
    <row r="4396" spans="1:10" ht="25.5" x14ac:dyDescent="0.2">
      <c r="A4396" s="1" t="s">
        <v>1</v>
      </c>
      <c r="B4396" s="2" t="s">
        <v>295</v>
      </c>
      <c r="C4396" s="5" t="s">
        <v>2892</v>
      </c>
      <c r="D4396" s="5" t="s">
        <v>1005</v>
      </c>
      <c r="E4396" s="3">
        <f>105458+19510</f>
        <v>124968</v>
      </c>
      <c r="F4396" s="3">
        <f>111525+20632</f>
        <v>132157</v>
      </c>
      <c r="G4396" s="57">
        <f t="shared" si="69"/>
        <v>5.7526726842071572E-2</v>
      </c>
      <c r="J4396" s="5" t="s">
        <v>2893</v>
      </c>
    </row>
    <row r="4397" spans="1:10" ht="25.5" x14ac:dyDescent="0.2">
      <c r="A4397" s="1" t="s">
        <v>1</v>
      </c>
      <c r="B4397" s="2" t="s">
        <v>295</v>
      </c>
      <c r="C4397" s="5" t="s">
        <v>1006</v>
      </c>
      <c r="D4397" s="5" t="s">
        <v>1007</v>
      </c>
      <c r="E4397" s="3">
        <f>103785+19200</f>
        <v>122985</v>
      </c>
      <c r="F4397" s="3">
        <f>106380+19680</f>
        <v>126060</v>
      </c>
      <c r="G4397" s="57">
        <f t="shared" si="69"/>
        <v>2.500304915233565E-2</v>
      </c>
      <c r="J4397" s="5" t="s">
        <v>2894</v>
      </c>
    </row>
    <row r="4398" spans="1:10" ht="25.5" x14ac:dyDescent="0.2">
      <c r="A4398" s="1" t="s">
        <v>1</v>
      </c>
      <c r="B4398" s="2" t="s">
        <v>295</v>
      </c>
      <c r="C4398" s="5" t="s">
        <v>1008</v>
      </c>
      <c r="D4398" s="5" t="s">
        <v>1009</v>
      </c>
      <c r="E4398" s="3">
        <f>103785+19200</f>
        <v>122985</v>
      </c>
      <c r="F4398" s="3">
        <f>106380+19680</f>
        <v>126060</v>
      </c>
      <c r="G4398" s="57">
        <f t="shared" si="69"/>
        <v>2.500304915233565E-2</v>
      </c>
      <c r="J4398" s="5" t="s">
        <v>2894</v>
      </c>
    </row>
    <row r="4399" spans="1:10" ht="25.5" x14ac:dyDescent="0.2">
      <c r="A4399" s="1" t="s">
        <v>1</v>
      </c>
      <c r="B4399" s="2" t="s">
        <v>295</v>
      </c>
      <c r="C4399" s="7" t="s">
        <v>2895</v>
      </c>
      <c r="D4399" s="7" t="s">
        <v>520</v>
      </c>
      <c r="E4399" s="6">
        <f>86274+15961</f>
        <v>102235</v>
      </c>
      <c r="F4399" s="6">
        <f>84045+15548</f>
        <v>99593</v>
      </c>
      <c r="G4399" s="57">
        <f t="shared" ref="G4399:G4462" si="70">IF(ISERROR((F4399-E4399)/E4399),"-",(F4399-E4399)/E4399)</f>
        <v>-2.5842421871179147E-2</v>
      </c>
      <c r="H4399" s="21"/>
      <c r="I4399" s="21"/>
      <c r="J4399" s="7" t="s">
        <v>2897</v>
      </c>
    </row>
    <row r="4400" spans="1:10" ht="25.5" x14ac:dyDescent="0.2">
      <c r="A4400" s="1" t="s">
        <v>1</v>
      </c>
      <c r="B4400" s="2" t="s">
        <v>295</v>
      </c>
      <c r="C4400" s="7" t="s">
        <v>2896</v>
      </c>
      <c r="D4400" s="7" t="s">
        <v>740</v>
      </c>
      <c r="E4400" s="6">
        <f>86274+15961</f>
        <v>102235</v>
      </c>
      <c r="F4400" s="6">
        <f>84045+15548</f>
        <v>99593</v>
      </c>
      <c r="G4400" s="57">
        <f t="shared" si="70"/>
        <v>-2.5842421871179147E-2</v>
      </c>
      <c r="H4400" s="21"/>
      <c r="I4400" s="21"/>
      <c r="J4400" s="7" t="s">
        <v>2897</v>
      </c>
    </row>
    <row r="4401" spans="1:10" ht="25.5" x14ac:dyDescent="0.2">
      <c r="A4401" s="1" t="s">
        <v>20</v>
      </c>
      <c r="B4401" s="2" t="s">
        <v>296</v>
      </c>
      <c r="C4401" s="5" t="s">
        <v>998</v>
      </c>
      <c r="D4401" s="5" t="s">
        <v>450</v>
      </c>
      <c r="E4401" s="3">
        <v>200084</v>
      </c>
      <c r="F4401" s="3">
        <v>205126</v>
      </c>
      <c r="G4401" s="57">
        <f t="shared" si="70"/>
        <v>2.5199416245177027E-2</v>
      </c>
      <c r="J4401" s="5" t="s">
        <v>2873</v>
      </c>
    </row>
    <row r="4402" spans="1:10" ht="25.5" x14ac:dyDescent="0.2">
      <c r="A4402" s="1" t="s">
        <v>20</v>
      </c>
      <c r="B4402" s="2" t="s">
        <v>296</v>
      </c>
      <c r="D4402" s="5" t="s">
        <v>999</v>
      </c>
      <c r="E4402" s="3">
        <v>141654</v>
      </c>
      <c r="F4402" s="3">
        <v>144939</v>
      </c>
      <c r="G4402" s="57">
        <f t="shared" si="70"/>
        <v>2.3190308780549791E-2</v>
      </c>
      <c r="J4402" s="5" t="s">
        <v>2874</v>
      </c>
    </row>
    <row r="4403" spans="1:10" ht="25.5" x14ac:dyDescent="0.2">
      <c r="A4403" s="1" t="s">
        <v>20</v>
      </c>
      <c r="B4403" s="2" t="s">
        <v>296</v>
      </c>
      <c r="D4403" s="5" t="s">
        <v>1000</v>
      </c>
      <c r="E4403" s="3">
        <v>106894</v>
      </c>
      <c r="F4403" s="3">
        <v>129256</v>
      </c>
      <c r="G4403" s="57">
        <f t="shared" si="70"/>
        <v>0.20919789698205699</v>
      </c>
      <c r="J4403" s="5" t="s">
        <v>4398</v>
      </c>
    </row>
    <row r="4404" spans="1:10" x14ac:dyDescent="0.2">
      <c r="A4404" s="1" t="s">
        <v>20</v>
      </c>
      <c r="B4404" s="2" t="s">
        <v>296</v>
      </c>
      <c r="D4404" s="5" t="s">
        <v>1001</v>
      </c>
      <c r="E4404" s="3">
        <v>160991</v>
      </c>
      <c r="F4404" s="3">
        <v>162650</v>
      </c>
      <c r="G4404" s="57">
        <f t="shared" si="70"/>
        <v>1.0304923877732295E-2</v>
      </c>
      <c r="J4404" s="5" t="s">
        <v>2875</v>
      </c>
    </row>
    <row r="4405" spans="1:10" ht="38.25" x14ac:dyDescent="0.2">
      <c r="A4405" s="1" t="s">
        <v>20</v>
      </c>
      <c r="B4405" s="2" t="s">
        <v>296</v>
      </c>
      <c r="D4405" s="5" t="s">
        <v>1002</v>
      </c>
      <c r="E4405" s="3">
        <v>108987</v>
      </c>
      <c r="F4405" s="3">
        <v>101531</v>
      </c>
      <c r="G4405" s="57">
        <f t="shared" si="70"/>
        <v>-6.8411828933726035E-2</v>
      </c>
      <c r="J4405" s="5" t="s">
        <v>4397</v>
      </c>
    </row>
    <row r="4406" spans="1:10" ht="25.5" x14ac:dyDescent="0.2">
      <c r="A4406" s="1" t="s">
        <v>20</v>
      </c>
      <c r="B4406" s="2" t="s">
        <v>296</v>
      </c>
      <c r="D4406" s="5" t="s">
        <v>1003</v>
      </c>
      <c r="E4406" s="3">
        <v>128537</v>
      </c>
      <c r="F4406" s="3">
        <v>130054</v>
      </c>
      <c r="G4406" s="57">
        <f t="shared" si="70"/>
        <v>1.1802049215401013E-2</v>
      </c>
      <c r="J4406" s="5" t="s">
        <v>2889</v>
      </c>
    </row>
    <row r="4407" spans="1:10" ht="25.5" x14ac:dyDescent="0.2">
      <c r="A4407" s="1" t="s">
        <v>20</v>
      </c>
      <c r="B4407" s="2" t="s">
        <v>296</v>
      </c>
      <c r="D4407" s="5" t="s">
        <v>613</v>
      </c>
      <c r="E4407" s="3">
        <v>105492</v>
      </c>
      <c r="F4407" s="3">
        <v>108641</v>
      </c>
      <c r="G4407" s="57">
        <f t="shared" si="70"/>
        <v>2.9850604785196983E-2</v>
      </c>
      <c r="J4407" s="5" t="s">
        <v>2890</v>
      </c>
    </row>
    <row r="4408" spans="1:10" x14ac:dyDescent="0.2">
      <c r="A4408" s="1" t="s">
        <v>20</v>
      </c>
      <c r="B4408" s="2" t="s">
        <v>296</v>
      </c>
      <c r="D4408" s="5" t="s">
        <v>464</v>
      </c>
      <c r="G4408" s="57" t="str">
        <f t="shared" si="70"/>
        <v>-</v>
      </c>
      <c r="H4408" s="19">
        <v>92500</v>
      </c>
      <c r="I4408" s="19" t="s">
        <v>465</v>
      </c>
    </row>
    <row r="4409" spans="1:10" x14ac:dyDescent="0.2">
      <c r="A4409" s="1" t="s">
        <v>20</v>
      </c>
      <c r="B4409" s="2" t="s">
        <v>296</v>
      </c>
      <c r="D4409" s="5" t="s">
        <v>464</v>
      </c>
      <c r="G4409" s="57" t="str">
        <f t="shared" si="70"/>
        <v>-</v>
      </c>
      <c r="H4409" s="19">
        <v>92500</v>
      </c>
      <c r="I4409" s="19" t="s">
        <v>465</v>
      </c>
    </row>
    <row r="4410" spans="1:10" x14ac:dyDescent="0.2">
      <c r="A4410" s="1" t="s">
        <v>20</v>
      </c>
      <c r="B4410" s="2" t="s">
        <v>296</v>
      </c>
      <c r="D4410" s="5" t="s">
        <v>464</v>
      </c>
      <c r="G4410" s="57" t="str">
        <f t="shared" si="70"/>
        <v>-</v>
      </c>
      <c r="H4410" s="19">
        <v>92500</v>
      </c>
      <c r="I4410" s="19" t="s">
        <v>465</v>
      </c>
    </row>
    <row r="4411" spans="1:10" x14ac:dyDescent="0.2">
      <c r="A4411" s="1" t="s">
        <v>20</v>
      </c>
      <c r="B4411" s="2" t="s">
        <v>296</v>
      </c>
      <c r="D4411" s="5" t="s">
        <v>464</v>
      </c>
      <c r="G4411" s="57" t="str">
        <f t="shared" si="70"/>
        <v>-</v>
      </c>
      <c r="H4411" s="19">
        <v>92500</v>
      </c>
      <c r="I4411" s="19" t="s">
        <v>465</v>
      </c>
    </row>
    <row r="4412" spans="1:10" x14ac:dyDescent="0.2">
      <c r="A4412" s="1" t="s">
        <v>20</v>
      </c>
      <c r="B4412" s="2" t="s">
        <v>296</v>
      </c>
      <c r="D4412" s="5" t="s">
        <v>464</v>
      </c>
      <c r="G4412" s="57" t="str">
        <f t="shared" si="70"/>
        <v>-</v>
      </c>
      <c r="H4412" s="19">
        <v>92500</v>
      </c>
      <c r="I4412" s="19" t="s">
        <v>465</v>
      </c>
    </row>
    <row r="4413" spans="1:10" x14ac:dyDescent="0.2">
      <c r="A4413" s="1" t="s">
        <v>20</v>
      </c>
      <c r="B4413" s="2" t="s">
        <v>296</v>
      </c>
      <c r="D4413" s="5" t="s">
        <v>464</v>
      </c>
      <c r="G4413" s="57" t="str">
        <f t="shared" si="70"/>
        <v>-</v>
      </c>
      <c r="H4413" s="19">
        <v>92500</v>
      </c>
      <c r="I4413" s="19" t="s">
        <v>465</v>
      </c>
    </row>
    <row r="4414" spans="1:10" x14ac:dyDescent="0.2">
      <c r="A4414" s="1" t="s">
        <v>20</v>
      </c>
      <c r="B4414" s="2" t="s">
        <v>296</v>
      </c>
      <c r="D4414" s="5" t="s">
        <v>464</v>
      </c>
      <c r="G4414" s="57" t="str">
        <f t="shared" si="70"/>
        <v>-</v>
      </c>
      <c r="H4414" s="19" t="s">
        <v>465</v>
      </c>
      <c r="I4414" s="19">
        <v>92500</v>
      </c>
    </row>
    <row r="4415" spans="1:10" x14ac:dyDescent="0.2">
      <c r="A4415" s="1" t="s">
        <v>20</v>
      </c>
      <c r="B4415" s="2" t="s">
        <v>296</v>
      </c>
      <c r="D4415" s="5" t="s">
        <v>464</v>
      </c>
      <c r="G4415" s="57" t="str">
        <f t="shared" si="70"/>
        <v>-</v>
      </c>
      <c r="H4415" s="19" t="s">
        <v>465</v>
      </c>
      <c r="I4415" s="19">
        <v>92500</v>
      </c>
    </row>
    <row r="4416" spans="1:10" x14ac:dyDescent="0.2">
      <c r="A4416" s="1" t="s">
        <v>20</v>
      </c>
      <c r="B4416" s="2" t="s">
        <v>296</v>
      </c>
      <c r="D4416" s="5" t="s">
        <v>464</v>
      </c>
      <c r="G4416" s="57" t="str">
        <f t="shared" si="70"/>
        <v>-</v>
      </c>
      <c r="H4416" s="19" t="s">
        <v>465</v>
      </c>
      <c r="I4416" s="19">
        <v>92500</v>
      </c>
    </row>
    <row r="4417" spans="1:10" x14ac:dyDescent="0.2">
      <c r="A4417" s="1" t="s">
        <v>20</v>
      </c>
      <c r="B4417" s="2" t="s">
        <v>296</v>
      </c>
      <c r="D4417" s="5" t="s">
        <v>464</v>
      </c>
      <c r="G4417" s="57" t="str">
        <f t="shared" si="70"/>
        <v>-</v>
      </c>
      <c r="H4417" s="19" t="s">
        <v>465</v>
      </c>
      <c r="I4417" s="19">
        <v>92500</v>
      </c>
    </row>
    <row r="4418" spans="1:10" x14ac:dyDescent="0.2">
      <c r="A4418" s="1" t="s">
        <v>20</v>
      </c>
      <c r="B4418" s="2" t="s">
        <v>296</v>
      </c>
      <c r="D4418" s="5" t="s">
        <v>464</v>
      </c>
      <c r="G4418" s="57" t="str">
        <f t="shared" si="70"/>
        <v>-</v>
      </c>
      <c r="H4418" s="19" t="s">
        <v>465</v>
      </c>
      <c r="I4418" s="19">
        <v>92500</v>
      </c>
    </row>
    <row r="4419" spans="1:10" x14ac:dyDescent="0.2">
      <c r="A4419" s="1" t="s">
        <v>20</v>
      </c>
      <c r="B4419" s="2" t="s">
        <v>296</v>
      </c>
      <c r="D4419" s="5" t="s">
        <v>464</v>
      </c>
      <c r="G4419" s="57" t="str">
        <f t="shared" si="70"/>
        <v>-</v>
      </c>
      <c r="H4419" s="19" t="s">
        <v>465</v>
      </c>
      <c r="I4419" s="19">
        <v>92500</v>
      </c>
    </row>
    <row r="4420" spans="1:10" x14ac:dyDescent="0.2">
      <c r="A4420" s="1" t="s">
        <v>20</v>
      </c>
      <c r="B4420" s="2" t="s">
        <v>296</v>
      </c>
      <c r="D4420" s="5" t="s">
        <v>464</v>
      </c>
      <c r="G4420" s="57" t="str">
        <f t="shared" si="70"/>
        <v>-</v>
      </c>
      <c r="H4420" s="19" t="s">
        <v>465</v>
      </c>
      <c r="I4420" s="19">
        <v>92500</v>
      </c>
    </row>
    <row r="4421" spans="1:10" x14ac:dyDescent="0.2">
      <c r="A4421" s="1" t="s">
        <v>20</v>
      </c>
      <c r="B4421" s="2" t="s">
        <v>296</v>
      </c>
      <c r="D4421" s="5" t="s">
        <v>464</v>
      </c>
      <c r="G4421" s="57" t="str">
        <f t="shared" si="70"/>
        <v>-</v>
      </c>
      <c r="H4421" s="19" t="s">
        <v>465</v>
      </c>
      <c r="I4421" s="19">
        <v>97500</v>
      </c>
    </row>
    <row r="4422" spans="1:10" x14ac:dyDescent="0.2">
      <c r="A4422" s="1" t="s">
        <v>20</v>
      </c>
      <c r="B4422" s="2" t="s">
        <v>296</v>
      </c>
      <c r="D4422" s="5" t="s">
        <v>464</v>
      </c>
      <c r="E4422" s="3">
        <v>102500</v>
      </c>
      <c r="F4422" s="3" t="s">
        <v>465</v>
      </c>
      <c r="G4422" s="57" t="str">
        <f t="shared" si="70"/>
        <v>-</v>
      </c>
    </row>
    <row r="4423" spans="1:10" x14ac:dyDescent="0.2">
      <c r="A4423" s="1" t="s">
        <v>20</v>
      </c>
      <c r="B4423" s="2" t="s">
        <v>296</v>
      </c>
      <c r="D4423" s="5" t="s">
        <v>464</v>
      </c>
      <c r="E4423" s="3" t="s">
        <v>465</v>
      </c>
      <c r="F4423" s="3">
        <v>102500</v>
      </c>
      <c r="G4423" s="57" t="str">
        <f t="shared" si="70"/>
        <v>-</v>
      </c>
    </row>
    <row r="4424" spans="1:10" x14ac:dyDescent="0.2">
      <c r="A4424" s="1" t="s">
        <v>20</v>
      </c>
      <c r="B4424" s="2" t="s">
        <v>296</v>
      </c>
      <c r="D4424" s="5" t="s">
        <v>464</v>
      </c>
      <c r="E4424" s="3" t="s">
        <v>465</v>
      </c>
      <c r="F4424" s="3">
        <v>107500</v>
      </c>
      <c r="G4424" s="57" t="str">
        <f t="shared" si="70"/>
        <v>-</v>
      </c>
    </row>
    <row r="4425" spans="1:10" x14ac:dyDescent="0.2">
      <c r="A4425" s="1" t="s">
        <v>20</v>
      </c>
      <c r="B4425" s="2" t="s">
        <v>296</v>
      </c>
      <c r="D4425" s="5" t="s">
        <v>464</v>
      </c>
      <c r="E4425" s="3" t="s">
        <v>465</v>
      </c>
      <c r="F4425" s="3">
        <v>112500</v>
      </c>
      <c r="G4425" s="57" t="str">
        <f t="shared" si="70"/>
        <v>-</v>
      </c>
    </row>
    <row r="4426" spans="1:10" x14ac:dyDescent="0.2">
      <c r="A4426" s="1" t="s">
        <v>20</v>
      </c>
      <c r="B4426" s="2" t="s">
        <v>296</v>
      </c>
      <c r="D4426" s="5" t="s">
        <v>464</v>
      </c>
      <c r="E4426" s="3">
        <v>127500</v>
      </c>
      <c r="F4426" s="3" t="s">
        <v>465</v>
      </c>
      <c r="G4426" s="57" t="str">
        <f t="shared" si="70"/>
        <v>-</v>
      </c>
    </row>
    <row r="4427" spans="1:10" x14ac:dyDescent="0.2">
      <c r="A4427" s="1" t="s">
        <v>20</v>
      </c>
      <c r="B4427" s="2" t="s">
        <v>296</v>
      </c>
      <c r="D4427" s="5" t="s">
        <v>464</v>
      </c>
      <c r="E4427" s="3">
        <v>132500</v>
      </c>
      <c r="F4427" s="3" t="s">
        <v>465</v>
      </c>
      <c r="G4427" s="57" t="str">
        <f t="shared" si="70"/>
        <v>-</v>
      </c>
    </row>
    <row r="4428" spans="1:10" x14ac:dyDescent="0.2">
      <c r="A4428" s="1" t="s">
        <v>20</v>
      </c>
      <c r="B4428" s="2" t="s">
        <v>296</v>
      </c>
      <c r="D4428" s="5" t="s">
        <v>464</v>
      </c>
      <c r="E4428" s="3">
        <v>142500</v>
      </c>
      <c r="F4428" s="3" t="s">
        <v>465</v>
      </c>
      <c r="G4428" s="57" t="str">
        <f t="shared" si="70"/>
        <v>-</v>
      </c>
    </row>
    <row r="4429" spans="1:10" x14ac:dyDescent="0.2">
      <c r="A4429" s="1" t="s">
        <v>20</v>
      </c>
      <c r="B4429" s="2" t="s">
        <v>296</v>
      </c>
      <c r="D4429" s="5" t="s">
        <v>464</v>
      </c>
      <c r="E4429" s="3">
        <v>147500</v>
      </c>
      <c r="F4429" s="3" t="s">
        <v>465</v>
      </c>
      <c r="G4429" s="57" t="str">
        <f t="shared" si="70"/>
        <v>-</v>
      </c>
    </row>
    <row r="4430" spans="1:10" x14ac:dyDescent="0.2">
      <c r="A4430" s="1" t="s">
        <v>20</v>
      </c>
      <c r="B4430" s="2" t="s">
        <v>296</v>
      </c>
      <c r="D4430" s="5" t="s">
        <v>464</v>
      </c>
      <c r="E4430" s="3" t="s">
        <v>465</v>
      </c>
      <c r="F4430" s="3">
        <v>157500</v>
      </c>
      <c r="G4430" s="57" t="str">
        <f t="shared" si="70"/>
        <v>-</v>
      </c>
    </row>
    <row r="4431" spans="1:10" ht="25.5" x14ac:dyDescent="0.2">
      <c r="A4431" s="1" t="s">
        <v>34</v>
      </c>
      <c r="B4431" s="2" t="s">
        <v>297</v>
      </c>
      <c r="C4431" s="5" t="s">
        <v>993</v>
      </c>
      <c r="D4431" s="5" t="s">
        <v>450</v>
      </c>
      <c r="E4431" s="3">
        <v>204297</v>
      </c>
      <c r="F4431" s="3">
        <v>211323</v>
      </c>
      <c r="G4431" s="57">
        <f t="shared" si="70"/>
        <v>3.4391107064714606E-2</v>
      </c>
      <c r="J4431" s="5" t="s">
        <v>2867</v>
      </c>
    </row>
    <row r="4432" spans="1:10" ht="25.5" x14ac:dyDescent="0.2">
      <c r="A4432" s="1" t="s">
        <v>34</v>
      </c>
      <c r="B4432" s="2" t="s">
        <v>297</v>
      </c>
      <c r="D4432" s="5" t="s">
        <v>451</v>
      </c>
      <c r="E4432" s="3">
        <v>66939</v>
      </c>
      <c r="F4432" s="3">
        <v>114713</v>
      </c>
      <c r="G4432" s="57">
        <f t="shared" si="70"/>
        <v>0.71369455773166612</v>
      </c>
      <c r="J4432" s="7" t="s">
        <v>4399</v>
      </c>
    </row>
    <row r="4433" spans="1:10" ht="25.5" x14ac:dyDescent="0.2">
      <c r="A4433" s="1" t="s">
        <v>34</v>
      </c>
      <c r="B4433" s="2" t="s">
        <v>297</v>
      </c>
      <c r="D4433" s="5" t="s">
        <v>994</v>
      </c>
      <c r="E4433" s="3">
        <v>151169</v>
      </c>
      <c r="F4433" s="3">
        <v>151273</v>
      </c>
      <c r="G4433" s="57">
        <f t="shared" si="70"/>
        <v>6.8797174023774719E-4</v>
      </c>
      <c r="J4433" s="5" t="s">
        <v>2868</v>
      </c>
    </row>
    <row r="4434" spans="1:10" ht="25.5" x14ac:dyDescent="0.2">
      <c r="A4434" s="1" t="s">
        <v>34</v>
      </c>
      <c r="B4434" s="2" t="s">
        <v>297</v>
      </c>
      <c r="D4434" s="5" t="s">
        <v>995</v>
      </c>
      <c r="E4434" s="3">
        <v>133003</v>
      </c>
      <c r="F4434" s="3">
        <v>134153</v>
      </c>
      <c r="G4434" s="57">
        <f t="shared" si="70"/>
        <v>8.6464215092892649E-3</v>
      </c>
      <c r="J4434" s="5" t="s">
        <v>2869</v>
      </c>
    </row>
    <row r="4435" spans="1:10" x14ac:dyDescent="0.2">
      <c r="A4435" s="1" t="s">
        <v>34</v>
      </c>
      <c r="B4435" s="2" t="s">
        <v>297</v>
      </c>
      <c r="D4435" s="5" t="s">
        <v>996</v>
      </c>
      <c r="E4435" s="3">
        <v>130081</v>
      </c>
      <c r="F4435" s="3">
        <v>127436</v>
      </c>
      <c r="G4435" s="57">
        <f t="shared" si="70"/>
        <v>-2.0333484521182957E-2</v>
      </c>
      <c r="J4435" s="5" t="s">
        <v>2870</v>
      </c>
    </row>
    <row r="4436" spans="1:10" x14ac:dyDescent="0.2">
      <c r="A4436" s="1" t="s">
        <v>34</v>
      </c>
      <c r="B4436" s="2" t="s">
        <v>297</v>
      </c>
      <c r="D4436" s="5" t="s">
        <v>997</v>
      </c>
      <c r="E4436" s="3">
        <v>64696</v>
      </c>
      <c r="F4436" s="3">
        <v>131833</v>
      </c>
      <c r="G4436" s="57">
        <f t="shared" si="70"/>
        <v>1.0377303079015705</v>
      </c>
      <c r="J4436" s="5" t="s">
        <v>2871</v>
      </c>
    </row>
    <row r="4437" spans="1:10" ht="38.25" x14ac:dyDescent="0.2">
      <c r="A4437" s="1" t="s">
        <v>34</v>
      </c>
      <c r="B4437" s="2" t="s">
        <v>297</v>
      </c>
      <c r="D4437" s="5" t="s">
        <v>4675</v>
      </c>
      <c r="E4437" s="3">
        <v>101760</v>
      </c>
      <c r="F4437" s="3">
        <v>97344</v>
      </c>
      <c r="G4437" s="57">
        <f t="shared" si="70"/>
        <v>-4.3396226415094337E-2</v>
      </c>
      <c r="J4437" s="5" t="s">
        <v>2872</v>
      </c>
    </row>
    <row r="4438" spans="1:10" x14ac:dyDescent="0.2">
      <c r="A4438" s="1" t="s">
        <v>34</v>
      </c>
      <c r="B4438" s="2" t="s">
        <v>297</v>
      </c>
      <c r="D4438" s="5" t="s">
        <v>464</v>
      </c>
      <c r="G4438" s="57" t="str">
        <f t="shared" si="70"/>
        <v>-</v>
      </c>
      <c r="H4438" s="19" t="s">
        <v>465</v>
      </c>
      <c r="I4438" s="19">
        <v>92500</v>
      </c>
    </row>
    <row r="4439" spans="1:10" x14ac:dyDescent="0.2">
      <c r="A4439" s="1" t="s">
        <v>34</v>
      </c>
      <c r="B4439" s="2" t="s">
        <v>297</v>
      </c>
      <c r="D4439" s="5" t="s">
        <v>464</v>
      </c>
      <c r="G4439" s="57" t="str">
        <f t="shared" si="70"/>
        <v>-</v>
      </c>
      <c r="H4439" s="19" t="s">
        <v>465</v>
      </c>
      <c r="I4439" s="19">
        <v>92500</v>
      </c>
    </row>
    <row r="4440" spans="1:10" x14ac:dyDescent="0.2">
      <c r="A4440" s="1" t="s">
        <v>34</v>
      </c>
      <c r="B4440" s="2" t="s">
        <v>297</v>
      </c>
      <c r="D4440" s="5" t="s">
        <v>464</v>
      </c>
      <c r="G4440" s="57" t="str">
        <f t="shared" si="70"/>
        <v>-</v>
      </c>
      <c r="H4440" s="19">
        <v>97500</v>
      </c>
      <c r="I4440" s="19" t="s">
        <v>465</v>
      </c>
    </row>
    <row r="4441" spans="1:10" x14ac:dyDescent="0.2">
      <c r="A4441" s="1" t="s">
        <v>34</v>
      </c>
      <c r="B4441" s="2" t="s">
        <v>297</v>
      </c>
      <c r="D4441" s="5" t="s">
        <v>464</v>
      </c>
      <c r="G4441" s="57" t="str">
        <f t="shared" si="70"/>
        <v>-</v>
      </c>
      <c r="H4441" s="19">
        <v>97500</v>
      </c>
      <c r="I4441" s="19" t="s">
        <v>465</v>
      </c>
    </row>
    <row r="4442" spans="1:10" x14ac:dyDescent="0.2">
      <c r="A4442" s="1" t="s">
        <v>34</v>
      </c>
      <c r="B4442" s="2" t="s">
        <v>297</v>
      </c>
      <c r="D4442" s="5" t="s">
        <v>464</v>
      </c>
      <c r="G4442" s="57" t="str">
        <f t="shared" si="70"/>
        <v>-</v>
      </c>
      <c r="H4442" s="19">
        <v>97500</v>
      </c>
      <c r="I4442" s="19" t="s">
        <v>465</v>
      </c>
    </row>
    <row r="4443" spans="1:10" x14ac:dyDescent="0.2">
      <c r="A4443" s="1" t="s">
        <v>34</v>
      </c>
      <c r="B4443" s="2" t="s">
        <v>297</v>
      </c>
      <c r="D4443" s="5" t="s">
        <v>464</v>
      </c>
      <c r="G4443" s="57" t="str">
        <f t="shared" si="70"/>
        <v>-</v>
      </c>
      <c r="H4443" s="19">
        <v>97500</v>
      </c>
      <c r="I4443" s="19" t="s">
        <v>465</v>
      </c>
    </row>
    <row r="4444" spans="1:10" x14ac:dyDescent="0.2">
      <c r="A4444" s="1" t="s">
        <v>34</v>
      </c>
      <c r="B4444" s="2" t="s">
        <v>297</v>
      </c>
      <c r="D4444" s="5" t="s">
        <v>464</v>
      </c>
      <c r="G4444" s="57" t="str">
        <f t="shared" si="70"/>
        <v>-</v>
      </c>
      <c r="H4444" s="19" t="s">
        <v>465</v>
      </c>
      <c r="I4444" s="19">
        <v>97500</v>
      </c>
    </row>
    <row r="4445" spans="1:10" x14ac:dyDescent="0.2">
      <c r="A4445" s="1" t="s">
        <v>34</v>
      </c>
      <c r="B4445" s="2" t="s">
        <v>297</v>
      </c>
      <c r="D4445" s="5" t="s">
        <v>464</v>
      </c>
      <c r="G4445" s="57" t="str">
        <f t="shared" si="70"/>
        <v>-</v>
      </c>
      <c r="H4445" s="19" t="s">
        <v>465</v>
      </c>
      <c r="I4445" s="19">
        <v>97500</v>
      </c>
    </row>
    <row r="4446" spans="1:10" ht="13.5" customHeight="1" x14ac:dyDescent="0.2">
      <c r="A4446" s="1" t="s">
        <v>34</v>
      </c>
      <c r="B4446" s="2" t="s">
        <v>297</v>
      </c>
      <c r="D4446" s="5" t="s">
        <v>464</v>
      </c>
      <c r="E4446" s="3" t="s">
        <v>465</v>
      </c>
      <c r="F4446" s="3">
        <v>102500</v>
      </c>
      <c r="G4446" s="57" t="str">
        <f t="shared" si="70"/>
        <v>-</v>
      </c>
    </row>
    <row r="4447" spans="1:10" x14ac:dyDescent="0.2">
      <c r="A4447" s="1" t="s">
        <v>34</v>
      </c>
      <c r="B4447" s="2" t="s">
        <v>297</v>
      </c>
      <c r="D4447" s="5" t="s">
        <v>464</v>
      </c>
      <c r="E4447" s="3">
        <v>107500</v>
      </c>
      <c r="F4447" s="3" t="s">
        <v>465</v>
      </c>
      <c r="G4447" s="57" t="str">
        <f t="shared" si="70"/>
        <v>-</v>
      </c>
    </row>
    <row r="4448" spans="1:10" x14ac:dyDescent="0.2">
      <c r="A4448" s="1" t="s">
        <v>34</v>
      </c>
      <c r="B4448" s="2" t="s">
        <v>297</v>
      </c>
      <c r="D4448" s="5" t="s">
        <v>464</v>
      </c>
      <c r="E4448" s="3">
        <v>107500</v>
      </c>
      <c r="F4448" s="3" t="s">
        <v>465</v>
      </c>
      <c r="G4448" s="57" t="str">
        <f t="shared" si="70"/>
        <v>-</v>
      </c>
    </row>
    <row r="4449" spans="1:10" x14ac:dyDescent="0.2">
      <c r="A4449" s="1" t="s">
        <v>34</v>
      </c>
      <c r="B4449" s="2" t="s">
        <v>297</v>
      </c>
      <c r="D4449" s="5" t="s">
        <v>464</v>
      </c>
      <c r="E4449" s="3" t="s">
        <v>465</v>
      </c>
      <c r="F4449" s="3">
        <v>107500</v>
      </c>
      <c r="G4449" s="57" t="str">
        <f t="shared" si="70"/>
        <v>-</v>
      </c>
    </row>
    <row r="4450" spans="1:10" x14ac:dyDescent="0.2">
      <c r="A4450" s="1" t="s">
        <v>34</v>
      </c>
      <c r="B4450" s="2" t="s">
        <v>297</v>
      </c>
      <c r="D4450" s="5" t="s">
        <v>464</v>
      </c>
      <c r="E4450" s="3" t="s">
        <v>465</v>
      </c>
      <c r="F4450" s="3">
        <v>112500</v>
      </c>
      <c r="G4450" s="57" t="str">
        <f t="shared" si="70"/>
        <v>-</v>
      </c>
    </row>
    <row r="4451" spans="1:10" ht="25.5" x14ac:dyDescent="0.2">
      <c r="A4451" s="1" t="s">
        <v>34</v>
      </c>
      <c r="B4451" s="2" t="s">
        <v>298</v>
      </c>
      <c r="D4451" s="5" t="s">
        <v>450</v>
      </c>
      <c r="E4451" s="3">
        <v>146983</v>
      </c>
      <c r="F4451" s="3">
        <v>147020</v>
      </c>
      <c r="G4451" s="57">
        <f t="shared" si="70"/>
        <v>2.5172979188069368E-4</v>
      </c>
      <c r="J4451" s="5" t="s">
        <v>2862</v>
      </c>
    </row>
    <row r="4452" spans="1:10" ht="25.5" x14ac:dyDescent="0.2">
      <c r="A4452" s="1" t="s">
        <v>34</v>
      </c>
      <c r="B4452" s="2" t="s">
        <v>298</v>
      </c>
      <c r="D4452" s="5" t="s">
        <v>991</v>
      </c>
      <c r="E4452" s="3">
        <v>111131</v>
      </c>
      <c r="F4452" s="3">
        <v>111606</v>
      </c>
      <c r="G4452" s="57">
        <f t="shared" si="70"/>
        <v>4.2742349119507606E-3</v>
      </c>
      <c r="J4452" s="5" t="s">
        <v>2863</v>
      </c>
    </row>
    <row r="4453" spans="1:10" ht="25.5" x14ac:dyDescent="0.2">
      <c r="A4453" s="1" t="s">
        <v>34</v>
      </c>
      <c r="B4453" s="2" t="s">
        <v>298</v>
      </c>
      <c r="D4453" s="5" t="s">
        <v>992</v>
      </c>
      <c r="E4453" s="3">
        <v>125354</v>
      </c>
      <c r="F4453" s="3">
        <v>122902</v>
      </c>
      <c r="G4453" s="57">
        <f t="shared" si="70"/>
        <v>-1.9560604368428609E-2</v>
      </c>
      <c r="J4453" s="5" t="s">
        <v>2864</v>
      </c>
    </row>
    <row r="4454" spans="1:10" ht="25.5" x14ac:dyDescent="0.2">
      <c r="A4454" s="1" t="s">
        <v>34</v>
      </c>
      <c r="B4454" s="2" t="s">
        <v>298</v>
      </c>
      <c r="D4454" s="5" t="s">
        <v>504</v>
      </c>
      <c r="E4454" s="3" t="s">
        <v>465</v>
      </c>
      <c r="F4454" s="3">
        <v>111674</v>
      </c>
      <c r="G4454" s="57" t="str">
        <f t="shared" si="70"/>
        <v>-</v>
      </c>
      <c r="J4454" s="5" t="s">
        <v>2865</v>
      </c>
    </row>
    <row r="4455" spans="1:10" ht="25.5" x14ac:dyDescent="0.2">
      <c r="A4455" s="1" t="s">
        <v>34</v>
      </c>
      <c r="B4455" s="2" t="s">
        <v>298</v>
      </c>
      <c r="D4455" s="5" t="s">
        <v>504</v>
      </c>
      <c r="E4455" s="3" t="s">
        <v>465</v>
      </c>
      <c r="F4455" s="3">
        <v>120283</v>
      </c>
      <c r="G4455" s="57" t="str">
        <f t="shared" si="70"/>
        <v>-</v>
      </c>
      <c r="J4455" s="5" t="s">
        <v>2866</v>
      </c>
    </row>
    <row r="4456" spans="1:10" x14ac:dyDescent="0.2">
      <c r="A4456" s="1" t="s">
        <v>34</v>
      </c>
      <c r="B4456" s="2" t="s">
        <v>298</v>
      </c>
      <c r="D4456" s="5" t="s">
        <v>504</v>
      </c>
      <c r="E4456" s="3">
        <v>108857</v>
      </c>
      <c r="F4456" s="3" t="s">
        <v>465</v>
      </c>
      <c r="G4456" s="57" t="str">
        <f t="shared" si="70"/>
        <v>-</v>
      </c>
    </row>
    <row r="4457" spans="1:10" x14ac:dyDescent="0.2">
      <c r="A4457" s="1" t="s">
        <v>34</v>
      </c>
      <c r="B4457" s="2" t="s">
        <v>298</v>
      </c>
      <c r="D4457" s="5" t="s">
        <v>504</v>
      </c>
      <c r="E4457" s="3">
        <v>122768</v>
      </c>
      <c r="F4457" s="3" t="s">
        <v>465</v>
      </c>
      <c r="G4457" s="57" t="str">
        <f t="shared" si="70"/>
        <v>-</v>
      </c>
    </row>
    <row r="4458" spans="1:10" x14ac:dyDescent="0.2">
      <c r="A4458" s="1" t="s">
        <v>34</v>
      </c>
      <c r="B4458" s="2" t="s">
        <v>298</v>
      </c>
      <c r="D4458" s="5" t="s">
        <v>504</v>
      </c>
      <c r="E4458" s="3">
        <v>110918</v>
      </c>
      <c r="F4458" s="3" t="s">
        <v>465</v>
      </c>
      <c r="G4458" s="57" t="str">
        <f t="shared" si="70"/>
        <v>-</v>
      </c>
    </row>
    <row r="4459" spans="1:10" x14ac:dyDescent="0.2">
      <c r="A4459" s="1" t="s">
        <v>34</v>
      </c>
      <c r="B4459" s="2" t="s">
        <v>298</v>
      </c>
      <c r="D4459" s="5" t="s">
        <v>464</v>
      </c>
      <c r="G4459" s="57" t="str">
        <f t="shared" si="70"/>
        <v>-</v>
      </c>
      <c r="H4459" s="19">
        <v>92500</v>
      </c>
      <c r="I4459" s="19" t="s">
        <v>465</v>
      </c>
    </row>
    <row r="4460" spans="1:10" x14ac:dyDescent="0.2">
      <c r="A4460" s="1" t="s">
        <v>34</v>
      </c>
      <c r="B4460" s="2" t="s">
        <v>298</v>
      </c>
      <c r="D4460" s="5" t="s">
        <v>464</v>
      </c>
      <c r="G4460" s="57" t="str">
        <f t="shared" si="70"/>
        <v>-</v>
      </c>
      <c r="H4460" s="19" t="s">
        <v>465</v>
      </c>
      <c r="I4460" s="19">
        <v>92500</v>
      </c>
    </row>
    <row r="4461" spans="1:10" x14ac:dyDescent="0.2">
      <c r="A4461" s="1" t="s">
        <v>34</v>
      </c>
      <c r="B4461" s="2" t="s">
        <v>298</v>
      </c>
      <c r="D4461" s="5" t="s">
        <v>464</v>
      </c>
      <c r="G4461" s="57" t="str">
        <f t="shared" si="70"/>
        <v>-</v>
      </c>
      <c r="H4461" s="19" t="s">
        <v>465</v>
      </c>
      <c r="I4461" s="19">
        <v>92500</v>
      </c>
    </row>
    <row r="4462" spans="1:10" x14ac:dyDescent="0.2">
      <c r="A4462" s="1" t="s">
        <v>34</v>
      </c>
      <c r="B4462" s="2" t="s">
        <v>298</v>
      </c>
      <c r="D4462" s="5" t="s">
        <v>464</v>
      </c>
      <c r="G4462" s="57" t="str">
        <f t="shared" si="70"/>
        <v>-</v>
      </c>
      <c r="H4462" s="19" t="s">
        <v>465</v>
      </c>
      <c r="I4462" s="19">
        <v>92500</v>
      </c>
    </row>
    <row r="4463" spans="1:10" x14ac:dyDescent="0.2">
      <c r="A4463" s="1" t="s">
        <v>34</v>
      </c>
      <c r="B4463" s="2" t="s">
        <v>298</v>
      </c>
      <c r="D4463" s="5" t="s">
        <v>464</v>
      </c>
      <c r="E4463" s="3" t="s">
        <v>465</v>
      </c>
      <c r="F4463" s="3">
        <v>122500</v>
      </c>
      <c r="G4463" s="57" t="str">
        <f t="shared" ref="G4463:G4526" si="71">IF(ISERROR((F4463-E4463)/E4463),"-",(F4463-E4463)/E4463)</f>
        <v>-</v>
      </c>
    </row>
    <row r="4464" spans="1:10" x14ac:dyDescent="0.2">
      <c r="A4464" s="1" t="s">
        <v>4</v>
      </c>
      <c r="B4464" s="2" t="s">
        <v>299</v>
      </c>
      <c r="D4464" s="5" t="s">
        <v>450</v>
      </c>
      <c r="E4464" s="3">
        <v>176578</v>
      </c>
      <c r="F4464" s="3">
        <v>177322</v>
      </c>
      <c r="G4464" s="57">
        <f t="shared" si="71"/>
        <v>4.2134354223062895E-3</v>
      </c>
      <c r="J4464" s="5" t="s">
        <v>2857</v>
      </c>
    </row>
    <row r="4465" spans="1:10" x14ac:dyDescent="0.2">
      <c r="A4465" s="1" t="s">
        <v>4</v>
      </c>
      <c r="B4465" s="2" t="s">
        <v>299</v>
      </c>
      <c r="D4465" s="5" t="s">
        <v>2861</v>
      </c>
      <c r="E4465" s="3">
        <v>136751</v>
      </c>
      <c r="F4465" s="3">
        <v>130331</v>
      </c>
      <c r="G4465" s="57">
        <f t="shared" si="71"/>
        <v>-4.6946640243947027E-2</v>
      </c>
      <c r="J4465" s="5" t="s">
        <v>2858</v>
      </c>
    </row>
    <row r="4466" spans="1:10" x14ac:dyDescent="0.2">
      <c r="A4466" s="1" t="s">
        <v>4</v>
      </c>
      <c r="B4466" s="2" t="s">
        <v>299</v>
      </c>
      <c r="D4466" s="5" t="s">
        <v>986</v>
      </c>
      <c r="E4466" s="3">
        <v>129784</v>
      </c>
      <c r="F4466" s="3">
        <v>130331</v>
      </c>
      <c r="G4466" s="57">
        <f t="shared" si="71"/>
        <v>4.2146951858472543E-3</v>
      </c>
      <c r="J4466" s="5" t="s">
        <v>2858</v>
      </c>
    </row>
    <row r="4467" spans="1:10" x14ac:dyDescent="0.2">
      <c r="A4467" s="1" t="s">
        <v>4</v>
      </c>
      <c r="B4467" s="2" t="s">
        <v>299</v>
      </c>
      <c r="D4467" s="5" t="s">
        <v>987</v>
      </c>
      <c r="E4467" s="3">
        <v>128489</v>
      </c>
      <c r="F4467" s="3">
        <v>130331</v>
      </c>
      <c r="G4467" s="57">
        <f t="shared" si="71"/>
        <v>1.4335857544225577E-2</v>
      </c>
      <c r="J4467" s="5" t="s">
        <v>2858</v>
      </c>
    </row>
    <row r="4468" spans="1:10" x14ac:dyDescent="0.2">
      <c r="A4468" s="1" t="s">
        <v>4</v>
      </c>
      <c r="B4468" s="2" t="s">
        <v>299</v>
      </c>
      <c r="D4468" s="5" t="s">
        <v>988</v>
      </c>
      <c r="E4468" s="3">
        <v>122367</v>
      </c>
      <c r="F4468" s="3">
        <v>125366</v>
      </c>
      <c r="G4468" s="57">
        <f t="shared" si="71"/>
        <v>2.4508241601085261E-2</v>
      </c>
      <c r="J4468" s="5" t="s">
        <v>2859</v>
      </c>
    </row>
    <row r="4469" spans="1:10" x14ac:dyDescent="0.2">
      <c r="A4469" s="1" t="s">
        <v>4</v>
      </c>
      <c r="B4469" s="2" t="s">
        <v>299</v>
      </c>
      <c r="D4469" s="5" t="s">
        <v>989</v>
      </c>
      <c r="E4469" s="3">
        <v>119896</v>
      </c>
      <c r="F4469" s="3">
        <v>122883</v>
      </c>
      <c r="G4469" s="57">
        <f t="shared" si="71"/>
        <v>2.4913258157069459E-2</v>
      </c>
      <c r="J4469" s="5" t="s">
        <v>2860</v>
      </c>
    </row>
    <row r="4470" spans="1:10" x14ac:dyDescent="0.2">
      <c r="A4470" s="1" t="s">
        <v>4</v>
      </c>
      <c r="B4470" s="2" t="s">
        <v>299</v>
      </c>
      <c r="D4470" s="5" t="s">
        <v>990</v>
      </c>
      <c r="E4470" s="3">
        <v>75707</v>
      </c>
      <c r="F4470" s="3">
        <v>130331</v>
      </c>
      <c r="G4470" s="57">
        <f t="shared" si="71"/>
        <v>0.7215184857410808</v>
      </c>
      <c r="J4470" s="5" t="s">
        <v>2858</v>
      </c>
    </row>
    <row r="4471" spans="1:10" x14ac:dyDescent="0.2">
      <c r="A4471" s="1" t="s">
        <v>4</v>
      </c>
      <c r="B4471" s="2" t="s">
        <v>299</v>
      </c>
      <c r="D4471" s="5" t="s">
        <v>464</v>
      </c>
      <c r="G4471" s="57" t="str">
        <f t="shared" si="71"/>
        <v>-</v>
      </c>
      <c r="H4471" s="19">
        <v>92500</v>
      </c>
      <c r="I4471" s="19" t="s">
        <v>465</v>
      </c>
    </row>
    <row r="4472" spans="1:10" x14ac:dyDescent="0.2">
      <c r="A4472" s="1" t="s">
        <v>4</v>
      </c>
      <c r="B4472" s="2" t="s">
        <v>299</v>
      </c>
      <c r="D4472" s="5" t="s">
        <v>464</v>
      </c>
      <c r="G4472" s="57" t="str">
        <f t="shared" si="71"/>
        <v>-</v>
      </c>
      <c r="H4472" s="19">
        <v>97500</v>
      </c>
      <c r="I4472" s="19" t="s">
        <v>465</v>
      </c>
    </row>
    <row r="4473" spans="1:10" x14ac:dyDescent="0.2">
      <c r="A4473" s="1" t="s">
        <v>4</v>
      </c>
      <c r="B4473" s="2" t="s">
        <v>299</v>
      </c>
      <c r="D4473" s="5" t="s">
        <v>464</v>
      </c>
      <c r="G4473" s="57" t="str">
        <f t="shared" si="71"/>
        <v>-</v>
      </c>
      <c r="H4473" s="19" t="s">
        <v>465</v>
      </c>
      <c r="I4473" s="19">
        <v>97500</v>
      </c>
    </row>
    <row r="4474" spans="1:10" x14ac:dyDescent="0.2">
      <c r="A4474" s="1" t="s">
        <v>4</v>
      </c>
      <c r="B4474" s="2" t="s">
        <v>299</v>
      </c>
      <c r="D4474" s="5" t="s">
        <v>464</v>
      </c>
      <c r="G4474" s="57" t="str">
        <f t="shared" si="71"/>
        <v>-</v>
      </c>
      <c r="H4474" s="19" t="s">
        <v>465</v>
      </c>
      <c r="I4474" s="19">
        <v>97500</v>
      </c>
    </row>
    <row r="4475" spans="1:10" x14ac:dyDescent="0.2">
      <c r="A4475" s="1" t="s">
        <v>4</v>
      </c>
      <c r="B4475" s="2" t="s">
        <v>299</v>
      </c>
      <c r="D4475" s="5" t="s">
        <v>464</v>
      </c>
      <c r="E4475" s="3">
        <v>102500</v>
      </c>
      <c r="F4475" s="3" t="s">
        <v>465</v>
      </c>
      <c r="G4475" s="57" t="str">
        <f t="shared" si="71"/>
        <v>-</v>
      </c>
    </row>
    <row r="4476" spans="1:10" x14ac:dyDescent="0.2">
      <c r="A4476" s="1" t="s">
        <v>4</v>
      </c>
      <c r="B4476" s="2" t="s">
        <v>299</v>
      </c>
      <c r="D4476" s="5" t="s">
        <v>464</v>
      </c>
      <c r="E4476" s="3" t="s">
        <v>465</v>
      </c>
      <c r="F4476" s="3">
        <v>102500</v>
      </c>
      <c r="G4476" s="57" t="str">
        <f t="shared" si="71"/>
        <v>-</v>
      </c>
    </row>
    <row r="4477" spans="1:10" x14ac:dyDescent="0.2">
      <c r="A4477" s="1" t="s">
        <v>4</v>
      </c>
      <c r="B4477" s="2" t="s">
        <v>299</v>
      </c>
      <c r="D4477" s="5" t="s">
        <v>464</v>
      </c>
      <c r="E4477" s="3" t="s">
        <v>465</v>
      </c>
      <c r="F4477" s="3">
        <v>112500</v>
      </c>
      <c r="G4477" s="57" t="str">
        <f t="shared" si="71"/>
        <v>-</v>
      </c>
    </row>
    <row r="4478" spans="1:10" x14ac:dyDescent="0.2">
      <c r="A4478" s="1" t="s">
        <v>4</v>
      </c>
      <c r="B4478" s="2" t="s">
        <v>299</v>
      </c>
      <c r="D4478" s="5" t="s">
        <v>464</v>
      </c>
      <c r="E4478" s="3" t="s">
        <v>465</v>
      </c>
      <c r="F4478" s="3">
        <v>127500</v>
      </c>
      <c r="G4478" s="57" t="str">
        <f t="shared" si="71"/>
        <v>-</v>
      </c>
    </row>
    <row r="4479" spans="1:10" ht="25.5" x14ac:dyDescent="0.2">
      <c r="A4479" s="1" t="s">
        <v>44</v>
      </c>
      <c r="B4479" s="2" t="s">
        <v>300</v>
      </c>
      <c r="D4479" s="5" t="s">
        <v>450</v>
      </c>
      <c r="E4479" s="3">
        <v>153000</v>
      </c>
      <c r="F4479" s="3">
        <v>157000</v>
      </c>
      <c r="G4479" s="57">
        <f t="shared" si="71"/>
        <v>2.6143790849673203E-2</v>
      </c>
      <c r="J4479" s="5" t="s">
        <v>2853</v>
      </c>
    </row>
    <row r="4480" spans="1:10" ht="25.5" x14ac:dyDescent="0.2">
      <c r="A4480" s="1" t="s">
        <v>44</v>
      </c>
      <c r="B4480" s="2" t="s">
        <v>300</v>
      </c>
      <c r="D4480" s="5" t="s">
        <v>982</v>
      </c>
      <c r="E4480" s="3">
        <v>121000</v>
      </c>
      <c r="F4480" s="3">
        <v>121000</v>
      </c>
      <c r="G4480" s="57">
        <f t="shared" si="71"/>
        <v>0</v>
      </c>
      <c r="J4480" s="5" t="s">
        <v>2854</v>
      </c>
    </row>
    <row r="4481" spans="1:10" ht="25.5" x14ac:dyDescent="0.2">
      <c r="A4481" s="1" t="s">
        <v>44</v>
      </c>
      <c r="B4481" s="2" t="s">
        <v>300</v>
      </c>
      <c r="D4481" s="5" t="s">
        <v>983</v>
      </c>
      <c r="E4481" s="3">
        <v>113000</v>
      </c>
      <c r="F4481" s="3">
        <v>121000</v>
      </c>
      <c r="G4481" s="57">
        <f t="shared" si="71"/>
        <v>7.0796460176991149E-2</v>
      </c>
      <c r="J4481" s="5" t="s">
        <v>2854</v>
      </c>
    </row>
    <row r="4482" spans="1:10" ht="25.5" x14ac:dyDescent="0.2">
      <c r="A4482" s="1" t="s">
        <v>44</v>
      </c>
      <c r="B4482" s="2" t="s">
        <v>300</v>
      </c>
      <c r="D4482" s="5" t="s">
        <v>984</v>
      </c>
      <c r="E4482" s="3">
        <v>96000</v>
      </c>
      <c r="F4482" s="3">
        <v>114000</v>
      </c>
      <c r="G4482" s="57">
        <f t="shared" si="71"/>
        <v>0.1875</v>
      </c>
      <c r="J4482" s="5" t="s">
        <v>2855</v>
      </c>
    </row>
    <row r="4483" spans="1:10" ht="25.5" x14ac:dyDescent="0.2">
      <c r="A4483" s="1" t="s">
        <v>44</v>
      </c>
      <c r="B4483" s="2" t="s">
        <v>300</v>
      </c>
      <c r="D4483" s="5" t="s">
        <v>985</v>
      </c>
      <c r="E4483" s="3">
        <v>91000</v>
      </c>
      <c r="F4483" s="3">
        <v>102000</v>
      </c>
      <c r="G4483" s="57">
        <f t="shared" si="71"/>
        <v>0.12087912087912088</v>
      </c>
      <c r="J4483" s="5" t="s">
        <v>2856</v>
      </c>
    </row>
    <row r="4484" spans="1:10" ht="25.5" x14ac:dyDescent="0.2">
      <c r="A4484" s="1" t="s">
        <v>6</v>
      </c>
      <c r="B4484" s="2" t="s">
        <v>301</v>
      </c>
      <c r="D4484" s="5" t="s">
        <v>450</v>
      </c>
      <c r="E4484" s="3">
        <v>111000</v>
      </c>
      <c r="F4484" s="3">
        <v>136000</v>
      </c>
      <c r="G4484" s="57">
        <f t="shared" si="71"/>
        <v>0.22522522522522523</v>
      </c>
      <c r="J4484" s="5" t="s">
        <v>2850</v>
      </c>
    </row>
    <row r="4485" spans="1:10" ht="25.5" x14ac:dyDescent="0.2">
      <c r="A4485" s="1" t="s">
        <v>6</v>
      </c>
      <c r="B4485" s="2" t="s">
        <v>301</v>
      </c>
      <c r="D4485" s="5" t="s">
        <v>980</v>
      </c>
      <c r="E4485" s="3">
        <v>24000</v>
      </c>
      <c r="F4485" s="3">
        <v>100000</v>
      </c>
      <c r="G4485" s="57">
        <f t="shared" si="71"/>
        <v>3.1666666666666665</v>
      </c>
      <c r="J4485" s="5" t="s">
        <v>2851</v>
      </c>
    </row>
    <row r="4486" spans="1:10" ht="25.5" x14ac:dyDescent="0.2">
      <c r="A4486" s="1" t="s">
        <v>6</v>
      </c>
      <c r="B4486" s="2" t="s">
        <v>301</v>
      </c>
      <c r="D4486" s="5" t="s">
        <v>981</v>
      </c>
      <c r="E4486" s="3">
        <v>114000</v>
      </c>
      <c r="F4486" s="3">
        <v>117500</v>
      </c>
      <c r="G4486" s="57">
        <f t="shared" si="71"/>
        <v>3.0701754385964911E-2</v>
      </c>
      <c r="J4486" s="5" t="s">
        <v>2852</v>
      </c>
    </row>
    <row r="4487" spans="1:10" x14ac:dyDescent="0.2">
      <c r="A4487" s="1" t="s">
        <v>6</v>
      </c>
      <c r="B4487" s="2" t="s">
        <v>301</v>
      </c>
      <c r="D4487" s="5" t="s">
        <v>464</v>
      </c>
      <c r="E4487" s="3">
        <v>127500</v>
      </c>
      <c r="F4487" s="3" t="s">
        <v>465</v>
      </c>
      <c r="G4487" s="57" t="str">
        <f t="shared" si="71"/>
        <v>-</v>
      </c>
    </row>
    <row r="4488" spans="1:10" ht="25.5" x14ac:dyDescent="0.2">
      <c r="A4488" s="1" t="s">
        <v>34</v>
      </c>
      <c r="B4488" s="2" t="s">
        <v>302</v>
      </c>
      <c r="C4488" s="29" t="s">
        <v>2849</v>
      </c>
      <c r="G4488" s="57" t="str">
        <f t="shared" si="71"/>
        <v>-</v>
      </c>
    </row>
    <row r="4489" spans="1:10" ht="25.5" x14ac:dyDescent="0.2">
      <c r="A4489" s="1" t="s">
        <v>4</v>
      </c>
      <c r="B4489" s="2" t="s">
        <v>303</v>
      </c>
      <c r="C4489" s="7" t="s">
        <v>4676</v>
      </c>
      <c r="D4489" s="7" t="s">
        <v>450</v>
      </c>
      <c r="E4489" s="6">
        <v>165213</v>
      </c>
      <c r="F4489" s="6">
        <v>170188</v>
      </c>
      <c r="G4489" s="57">
        <f t="shared" si="71"/>
        <v>3.0112642467602427E-2</v>
      </c>
      <c r="J4489" s="5" t="s">
        <v>2846</v>
      </c>
    </row>
    <row r="4490" spans="1:10" ht="25.5" x14ac:dyDescent="0.2">
      <c r="A4490" s="1" t="s">
        <v>4</v>
      </c>
      <c r="B4490" s="2" t="s">
        <v>303</v>
      </c>
      <c r="C4490" s="7" t="s">
        <v>971</v>
      </c>
      <c r="D4490" s="7" t="s">
        <v>854</v>
      </c>
      <c r="E4490" s="6">
        <v>131881</v>
      </c>
      <c r="F4490" s="6">
        <v>290082</v>
      </c>
      <c r="G4490" s="57">
        <f t="shared" si="71"/>
        <v>1.1995738582509989</v>
      </c>
      <c r="J4490" s="5" t="s">
        <v>4401</v>
      </c>
    </row>
    <row r="4491" spans="1:10" ht="25.5" x14ac:dyDescent="0.2">
      <c r="A4491" s="1" t="s">
        <v>4</v>
      </c>
      <c r="B4491" s="2" t="s">
        <v>303</v>
      </c>
      <c r="C4491" s="7" t="s">
        <v>972</v>
      </c>
      <c r="D4491" s="7" t="s">
        <v>973</v>
      </c>
      <c r="E4491" s="6">
        <v>137616</v>
      </c>
      <c r="F4491" s="6">
        <v>137616</v>
      </c>
      <c r="G4491" s="57">
        <f t="shared" si="71"/>
        <v>0</v>
      </c>
      <c r="J4491" s="5" t="s">
        <v>2847</v>
      </c>
    </row>
    <row r="4492" spans="1:10" ht="38.25" x14ac:dyDescent="0.2">
      <c r="A4492" s="1" t="s">
        <v>4</v>
      </c>
      <c r="B4492" s="2" t="s">
        <v>303</v>
      </c>
      <c r="C4492" s="7" t="s">
        <v>974</v>
      </c>
      <c r="D4492" s="7" t="s">
        <v>975</v>
      </c>
      <c r="E4492" s="6">
        <v>131952</v>
      </c>
      <c r="F4492" s="6">
        <v>187683</v>
      </c>
      <c r="G4492" s="57">
        <f t="shared" si="71"/>
        <v>0.42235813022917423</v>
      </c>
      <c r="J4492" s="5" t="s">
        <v>4402</v>
      </c>
    </row>
    <row r="4493" spans="1:10" ht="25.5" x14ac:dyDescent="0.2">
      <c r="A4493" s="1" t="s">
        <v>4</v>
      </c>
      <c r="B4493" s="2" t="s">
        <v>303</v>
      </c>
      <c r="C4493" s="7" t="s">
        <v>976</v>
      </c>
      <c r="D4493" s="7" t="s">
        <v>977</v>
      </c>
      <c r="E4493" s="6" t="s">
        <v>465</v>
      </c>
      <c r="F4493" s="6">
        <v>102555</v>
      </c>
      <c r="G4493" s="57" t="str">
        <f t="shared" si="71"/>
        <v>-</v>
      </c>
      <c r="J4493" s="5" t="s">
        <v>2848</v>
      </c>
    </row>
    <row r="4494" spans="1:10" ht="25.5" x14ac:dyDescent="0.2">
      <c r="A4494" s="1" t="s">
        <v>4</v>
      </c>
      <c r="B4494" s="2" t="s">
        <v>303</v>
      </c>
      <c r="C4494" s="7" t="s">
        <v>978</v>
      </c>
      <c r="D4494" s="7" t="s">
        <v>979</v>
      </c>
      <c r="E4494" s="6">
        <v>92996</v>
      </c>
      <c r="F4494" s="6">
        <v>138414</v>
      </c>
      <c r="G4494" s="57">
        <f t="shared" si="71"/>
        <v>0.48838659727300099</v>
      </c>
      <c r="J4494" s="5" t="s">
        <v>4400</v>
      </c>
    </row>
    <row r="4495" spans="1:10" x14ac:dyDescent="0.2">
      <c r="A4495" s="1" t="s">
        <v>4</v>
      </c>
      <c r="B4495" s="2" t="s">
        <v>303</v>
      </c>
      <c r="C4495" s="7" t="s">
        <v>2138</v>
      </c>
      <c r="D4495" s="7" t="s">
        <v>977</v>
      </c>
      <c r="E4495" s="6">
        <v>137616</v>
      </c>
      <c r="F4495" s="6" t="s">
        <v>465</v>
      </c>
      <c r="G4495" s="57" t="str">
        <f t="shared" si="71"/>
        <v>-</v>
      </c>
    </row>
    <row r="4496" spans="1:10" x14ac:dyDescent="0.2">
      <c r="A4496" s="1" t="s">
        <v>4</v>
      </c>
      <c r="B4496" s="2" t="s">
        <v>303</v>
      </c>
      <c r="D4496" s="5" t="s">
        <v>464</v>
      </c>
      <c r="G4496" s="57" t="str">
        <f t="shared" si="71"/>
        <v>-</v>
      </c>
      <c r="H4496" s="19" t="s">
        <v>465</v>
      </c>
      <c r="I4496" s="19">
        <v>92500</v>
      </c>
      <c r="J4496" s="5" t="s">
        <v>539</v>
      </c>
    </row>
    <row r="4497" spans="1:10" x14ac:dyDescent="0.2">
      <c r="A4497" s="1" t="s">
        <v>4</v>
      </c>
      <c r="B4497" s="2" t="s">
        <v>303</v>
      </c>
      <c r="D4497" s="5" t="s">
        <v>464</v>
      </c>
      <c r="G4497" s="57" t="str">
        <f t="shared" si="71"/>
        <v>-</v>
      </c>
      <c r="H4497" s="19" t="s">
        <v>465</v>
      </c>
      <c r="I4497" s="19">
        <v>92500</v>
      </c>
      <c r="J4497" s="5" t="s">
        <v>539</v>
      </c>
    </row>
    <row r="4498" spans="1:10" x14ac:dyDescent="0.2">
      <c r="A4498" s="1" t="s">
        <v>4</v>
      </c>
      <c r="B4498" s="2" t="s">
        <v>303</v>
      </c>
      <c r="D4498" s="5" t="s">
        <v>464</v>
      </c>
      <c r="G4498" s="57" t="str">
        <f t="shared" si="71"/>
        <v>-</v>
      </c>
      <c r="H4498" s="19" t="s">
        <v>465</v>
      </c>
      <c r="I4498" s="19">
        <v>97500</v>
      </c>
    </row>
    <row r="4499" spans="1:10" x14ac:dyDescent="0.2">
      <c r="A4499" s="1" t="s">
        <v>4</v>
      </c>
      <c r="B4499" s="2" t="s">
        <v>303</v>
      </c>
      <c r="D4499" s="5" t="s">
        <v>464</v>
      </c>
      <c r="E4499" s="3">
        <v>102500</v>
      </c>
      <c r="F4499" s="3" t="s">
        <v>465</v>
      </c>
      <c r="G4499" s="57" t="str">
        <f t="shared" si="71"/>
        <v>-</v>
      </c>
    </row>
    <row r="4500" spans="1:10" x14ac:dyDescent="0.2">
      <c r="A4500" s="1" t="s">
        <v>4</v>
      </c>
      <c r="B4500" s="2" t="s">
        <v>303</v>
      </c>
      <c r="D4500" s="5" t="s">
        <v>464</v>
      </c>
      <c r="E4500" s="3" t="s">
        <v>465</v>
      </c>
      <c r="F4500" s="3">
        <v>102500</v>
      </c>
      <c r="G4500" s="57" t="str">
        <f t="shared" si="71"/>
        <v>-</v>
      </c>
      <c r="J4500" s="5" t="s">
        <v>539</v>
      </c>
    </row>
    <row r="4501" spans="1:10" x14ac:dyDescent="0.2">
      <c r="A4501" s="1" t="s">
        <v>4</v>
      </c>
      <c r="B4501" s="2" t="s">
        <v>303</v>
      </c>
      <c r="D4501" s="5" t="s">
        <v>464</v>
      </c>
      <c r="E4501" s="3" t="s">
        <v>465</v>
      </c>
      <c r="F4501" s="3">
        <v>107500</v>
      </c>
      <c r="G4501" s="57" t="str">
        <f t="shared" si="71"/>
        <v>-</v>
      </c>
      <c r="J4501" s="5" t="s">
        <v>539</v>
      </c>
    </row>
    <row r="4502" spans="1:10" x14ac:dyDescent="0.2">
      <c r="A4502" s="1" t="s">
        <v>4</v>
      </c>
      <c r="B4502" s="2" t="s">
        <v>303</v>
      </c>
      <c r="D4502" s="5" t="s">
        <v>464</v>
      </c>
      <c r="E4502" s="3" t="s">
        <v>465</v>
      </c>
      <c r="F4502" s="3">
        <v>132500</v>
      </c>
      <c r="G4502" s="57" t="str">
        <f t="shared" si="71"/>
        <v>-</v>
      </c>
      <c r="J4502" s="5" t="s">
        <v>539</v>
      </c>
    </row>
    <row r="4503" spans="1:10" x14ac:dyDescent="0.2">
      <c r="A4503" s="1" t="s">
        <v>4</v>
      </c>
      <c r="B4503" s="2" t="s">
        <v>303</v>
      </c>
      <c r="D4503" s="5" t="s">
        <v>464</v>
      </c>
      <c r="E4503" s="3">
        <v>152500</v>
      </c>
      <c r="F4503" s="3" t="s">
        <v>465</v>
      </c>
      <c r="G4503" s="57" t="str">
        <f t="shared" si="71"/>
        <v>-</v>
      </c>
    </row>
    <row r="4504" spans="1:10" x14ac:dyDescent="0.2">
      <c r="A4504" s="1" t="s">
        <v>4</v>
      </c>
      <c r="B4504" s="2" t="s">
        <v>303</v>
      </c>
      <c r="D4504" s="5" t="s">
        <v>464</v>
      </c>
      <c r="E4504" s="3">
        <v>177500</v>
      </c>
      <c r="F4504" s="3" t="s">
        <v>465</v>
      </c>
      <c r="G4504" s="57" t="str">
        <f t="shared" si="71"/>
        <v>-</v>
      </c>
    </row>
    <row r="4505" spans="1:10" ht="25.5" x14ac:dyDescent="0.2">
      <c r="A4505" s="1" t="s">
        <v>25</v>
      </c>
      <c r="B4505" s="2" t="s">
        <v>304</v>
      </c>
      <c r="C4505" s="5" t="s">
        <v>966</v>
      </c>
      <c r="D4505" s="5" t="s">
        <v>450</v>
      </c>
      <c r="E4505" s="3">
        <v>223478</v>
      </c>
      <c r="F4505" s="3">
        <v>223478</v>
      </c>
      <c r="G4505" s="57">
        <f t="shared" si="71"/>
        <v>0</v>
      </c>
      <c r="J4505" s="5" t="s">
        <v>2840</v>
      </c>
    </row>
    <row r="4506" spans="1:10" ht="25.5" x14ac:dyDescent="0.2">
      <c r="A4506" s="1" t="s">
        <v>25</v>
      </c>
      <c r="B4506" s="2" t="s">
        <v>304</v>
      </c>
      <c r="D4506" s="5" t="s">
        <v>967</v>
      </c>
      <c r="E4506" s="3">
        <v>172094</v>
      </c>
      <c r="F4506" s="3">
        <v>170003</v>
      </c>
      <c r="G4506" s="57">
        <f t="shared" si="71"/>
        <v>-1.2150336444036399E-2</v>
      </c>
      <c r="J4506" s="5" t="s">
        <v>2841</v>
      </c>
    </row>
    <row r="4507" spans="1:10" ht="25.5" x14ac:dyDescent="0.2">
      <c r="A4507" s="1" t="s">
        <v>25</v>
      </c>
      <c r="B4507" s="2" t="s">
        <v>304</v>
      </c>
      <c r="D4507" s="5" t="s">
        <v>968</v>
      </c>
      <c r="E4507" s="3">
        <v>166524</v>
      </c>
      <c r="F4507" s="3">
        <v>166608</v>
      </c>
      <c r="G4507" s="57">
        <f t="shared" si="71"/>
        <v>5.0443179361533475E-4</v>
      </c>
      <c r="J4507" s="5" t="s">
        <v>2842</v>
      </c>
    </row>
    <row r="4508" spans="1:10" ht="25.5" x14ac:dyDescent="0.2">
      <c r="A4508" s="1" t="s">
        <v>25</v>
      </c>
      <c r="B4508" s="2" t="s">
        <v>304</v>
      </c>
      <c r="D4508" s="5" t="s">
        <v>562</v>
      </c>
      <c r="E4508" s="3">
        <v>159050</v>
      </c>
      <c r="F4508" s="3">
        <v>161513</v>
      </c>
      <c r="G4508" s="57">
        <f t="shared" si="71"/>
        <v>1.5485696321911348E-2</v>
      </c>
      <c r="J4508" s="5" t="s">
        <v>2843</v>
      </c>
    </row>
    <row r="4509" spans="1:10" ht="25.5" x14ac:dyDescent="0.2">
      <c r="A4509" s="1" t="s">
        <v>25</v>
      </c>
      <c r="B4509" s="2" t="s">
        <v>304</v>
      </c>
      <c r="D4509" s="7" t="s">
        <v>969</v>
      </c>
      <c r="E4509" s="3" t="s">
        <v>465</v>
      </c>
      <c r="F4509" s="3">
        <v>115753</v>
      </c>
      <c r="G4509" s="57" t="str">
        <f t="shared" si="71"/>
        <v>-</v>
      </c>
      <c r="J4509" s="5" t="s">
        <v>2844</v>
      </c>
    </row>
    <row r="4510" spans="1:10" ht="25.5" x14ac:dyDescent="0.2">
      <c r="A4510" s="1" t="s">
        <v>25</v>
      </c>
      <c r="B4510" s="2" t="s">
        <v>304</v>
      </c>
      <c r="D4510" s="5" t="s">
        <v>524</v>
      </c>
      <c r="E4510" s="3">
        <v>156873</v>
      </c>
      <c r="F4510" s="3">
        <v>153817</v>
      </c>
      <c r="G4510" s="57">
        <f t="shared" si="71"/>
        <v>-1.9480726447508496E-2</v>
      </c>
      <c r="J4510" s="7" t="s">
        <v>2845</v>
      </c>
    </row>
    <row r="4511" spans="1:10" ht="25.5" x14ac:dyDescent="0.2">
      <c r="A4511" s="1" t="s">
        <v>25</v>
      </c>
      <c r="B4511" s="2" t="s">
        <v>304</v>
      </c>
      <c r="D4511" s="5" t="s">
        <v>970</v>
      </c>
      <c r="E4511" s="3">
        <v>152457</v>
      </c>
      <c r="F4511" s="3">
        <v>153817</v>
      </c>
      <c r="G4511" s="57">
        <f t="shared" si="71"/>
        <v>8.9205480889693479E-3</v>
      </c>
      <c r="J4511" s="5" t="s">
        <v>2845</v>
      </c>
    </row>
    <row r="4512" spans="1:10" x14ac:dyDescent="0.2">
      <c r="A4512" s="1" t="s">
        <v>25</v>
      </c>
      <c r="B4512" s="2" t="s">
        <v>304</v>
      </c>
      <c r="D4512" s="5" t="s">
        <v>464</v>
      </c>
      <c r="G4512" s="57" t="str">
        <f t="shared" si="71"/>
        <v>-</v>
      </c>
      <c r="H4512" s="19">
        <v>92500</v>
      </c>
      <c r="I4512" s="19" t="s">
        <v>465</v>
      </c>
    </row>
    <row r="4513" spans="1:10" x14ac:dyDescent="0.2">
      <c r="A4513" s="1" t="s">
        <v>25</v>
      </c>
      <c r="B4513" s="2" t="s">
        <v>304</v>
      </c>
      <c r="D4513" s="5" t="s">
        <v>464</v>
      </c>
      <c r="G4513" s="57" t="str">
        <f t="shared" si="71"/>
        <v>-</v>
      </c>
      <c r="H4513" s="19">
        <v>92500</v>
      </c>
      <c r="I4513" s="19" t="s">
        <v>465</v>
      </c>
    </row>
    <row r="4514" spans="1:10" x14ac:dyDescent="0.2">
      <c r="A4514" s="1" t="s">
        <v>25</v>
      </c>
      <c r="B4514" s="2" t="s">
        <v>304</v>
      </c>
      <c r="D4514" s="5" t="s">
        <v>464</v>
      </c>
      <c r="G4514" s="57" t="str">
        <f t="shared" si="71"/>
        <v>-</v>
      </c>
      <c r="H4514" s="19" t="s">
        <v>465</v>
      </c>
      <c r="I4514" s="19">
        <v>92500</v>
      </c>
    </row>
    <row r="4515" spans="1:10" x14ac:dyDescent="0.2">
      <c r="A4515" s="1" t="s">
        <v>25</v>
      </c>
      <c r="B4515" s="2" t="s">
        <v>304</v>
      </c>
      <c r="D4515" s="5" t="s">
        <v>464</v>
      </c>
      <c r="G4515" s="57" t="str">
        <f t="shared" si="71"/>
        <v>-</v>
      </c>
      <c r="H4515" s="19" t="s">
        <v>465</v>
      </c>
      <c r="I4515" s="19">
        <v>92500</v>
      </c>
    </row>
    <row r="4516" spans="1:10" x14ac:dyDescent="0.2">
      <c r="A4516" s="1" t="s">
        <v>25</v>
      </c>
      <c r="B4516" s="2" t="s">
        <v>304</v>
      </c>
      <c r="D4516" s="5" t="s">
        <v>464</v>
      </c>
      <c r="G4516" s="57" t="str">
        <f t="shared" si="71"/>
        <v>-</v>
      </c>
      <c r="H4516" s="19" t="s">
        <v>465</v>
      </c>
      <c r="I4516" s="19">
        <v>92500</v>
      </c>
    </row>
    <row r="4517" spans="1:10" x14ac:dyDescent="0.2">
      <c r="A4517" s="1" t="s">
        <v>25</v>
      </c>
      <c r="B4517" s="2" t="s">
        <v>304</v>
      </c>
      <c r="D4517" s="5" t="s">
        <v>464</v>
      </c>
      <c r="G4517" s="57" t="str">
        <f t="shared" si="71"/>
        <v>-</v>
      </c>
      <c r="H4517" s="19">
        <v>97500</v>
      </c>
      <c r="I4517" s="19" t="s">
        <v>465</v>
      </c>
    </row>
    <row r="4518" spans="1:10" x14ac:dyDescent="0.2">
      <c r="A4518" s="1" t="s">
        <v>25</v>
      </c>
      <c r="B4518" s="2" t="s">
        <v>304</v>
      </c>
      <c r="D4518" s="5" t="s">
        <v>464</v>
      </c>
      <c r="E4518" s="3">
        <v>102500</v>
      </c>
      <c r="F4518" s="3" t="s">
        <v>465</v>
      </c>
      <c r="G4518" s="57" t="str">
        <f t="shared" si="71"/>
        <v>-</v>
      </c>
    </row>
    <row r="4519" spans="1:10" x14ac:dyDescent="0.2">
      <c r="A4519" s="1" t="s">
        <v>25</v>
      </c>
      <c r="B4519" s="2" t="s">
        <v>304</v>
      </c>
      <c r="D4519" s="5" t="s">
        <v>464</v>
      </c>
      <c r="E4519" s="3" t="s">
        <v>465</v>
      </c>
      <c r="F4519" s="3">
        <v>102500</v>
      </c>
      <c r="G4519" s="57" t="str">
        <f t="shared" si="71"/>
        <v>-</v>
      </c>
    </row>
    <row r="4520" spans="1:10" x14ac:dyDescent="0.2">
      <c r="A4520" s="1" t="s">
        <v>25</v>
      </c>
      <c r="B4520" s="2" t="s">
        <v>304</v>
      </c>
      <c r="D4520" s="5" t="s">
        <v>464</v>
      </c>
      <c r="E4520" s="3" t="s">
        <v>465</v>
      </c>
      <c r="F4520" s="3">
        <v>102500</v>
      </c>
      <c r="G4520" s="57" t="str">
        <f t="shared" si="71"/>
        <v>-</v>
      </c>
    </row>
    <row r="4521" spans="1:10" ht="38.25" x14ac:dyDescent="0.2">
      <c r="A4521" s="1" t="s">
        <v>111</v>
      </c>
      <c r="B4521" s="2" t="s">
        <v>305</v>
      </c>
      <c r="D4521" s="5" t="s">
        <v>451</v>
      </c>
      <c r="E4521" s="3">
        <v>115596</v>
      </c>
      <c r="F4521" s="3">
        <v>182055</v>
      </c>
      <c r="G4521" s="57">
        <f t="shared" si="71"/>
        <v>0.57492473788020348</v>
      </c>
      <c r="J4521" s="5" t="s">
        <v>4403</v>
      </c>
    </row>
    <row r="4522" spans="1:10" ht="25.5" x14ac:dyDescent="0.2">
      <c r="A4522" s="1" t="s">
        <v>111</v>
      </c>
      <c r="B4522" s="2" t="s">
        <v>305</v>
      </c>
      <c r="D4522" s="5" t="s">
        <v>450</v>
      </c>
      <c r="E4522" s="3">
        <v>168146</v>
      </c>
      <c r="F4522" s="3">
        <v>167329</v>
      </c>
      <c r="G4522" s="57">
        <f t="shared" si="71"/>
        <v>-4.8588726463906365E-3</v>
      </c>
      <c r="J4522" s="5" t="s">
        <v>2831</v>
      </c>
    </row>
    <row r="4523" spans="1:10" ht="38.25" x14ac:dyDescent="0.2">
      <c r="A4523" s="1" t="s">
        <v>111</v>
      </c>
      <c r="B4523" s="2" t="s">
        <v>305</v>
      </c>
      <c r="D4523" s="5" t="s">
        <v>854</v>
      </c>
      <c r="E4523" s="3">
        <v>135697</v>
      </c>
      <c r="F4523" s="3">
        <v>135292</v>
      </c>
      <c r="G4523" s="57">
        <f t="shared" si="71"/>
        <v>-2.9845906689167779E-3</v>
      </c>
      <c r="J4523" s="5" t="s">
        <v>2832</v>
      </c>
    </row>
    <row r="4524" spans="1:10" ht="25.5" x14ac:dyDescent="0.2">
      <c r="A4524" s="1" t="s">
        <v>111</v>
      </c>
      <c r="B4524" s="2" t="s">
        <v>305</v>
      </c>
      <c r="D4524" s="5" t="s">
        <v>964</v>
      </c>
      <c r="E4524" s="3">
        <v>134683</v>
      </c>
      <c r="F4524" s="3">
        <v>134734</v>
      </c>
      <c r="G4524" s="57">
        <f t="shared" si="71"/>
        <v>3.7866694386076938E-4</v>
      </c>
      <c r="J4524" s="5" t="s">
        <v>2833</v>
      </c>
    </row>
    <row r="4525" spans="1:10" ht="25.5" x14ac:dyDescent="0.2">
      <c r="A4525" s="1" t="s">
        <v>111</v>
      </c>
      <c r="B4525" s="2" t="s">
        <v>305</v>
      </c>
      <c r="D4525" s="5" t="s">
        <v>965</v>
      </c>
      <c r="E4525" s="3">
        <v>138938</v>
      </c>
      <c r="F4525" s="3">
        <v>134607</v>
      </c>
      <c r="G4525" s="57">
        <f t="shared" si="71"/>
        <v>-3.1172177518029625E-2</v>
      </c>
      <c r="J4525" s="5" t="s">
        <v>2834</v>
      </c>
    </row>
    <row r="4526" spans="1:10" ht="38.25" x14ac:dyDescent="0.2">
      <c r="A4526" s="1" t="s">
        <v>111</v>
      </c>
      <c r="B4526" s="2" t="s">
        <v>305</v>
      </c>
      <c r="D4526" s="5" t="s">
        <v>479</v>
      </c>
      <c r="E4526" s="3">
        <v>114470</v>
      </c>
      <c r="F4526" s="3">
        <v>116267</v>
      </c>
      <c r="G4526" s="57">
        <f t="shared" si="71"/>
        <v>1.5698436271512187E-2</v>
      </c>
      <c r="J4526" s="5" t="s">
        <v>2835</v>
      </c>
    </row>
    <row r="4527" spans="1:10" ht="38.25" customHeight="1" x14ac:dyDescent="0.2">
      <c r="A4527" s="1" t="s">
        <v>111</v>
      </c>
      <c r="B4527" s="2" t="s">
        <v>305</v>
      </c>
      <c r="D4527" s="7" t="s">
        <v>2838</v>
      </c>
      <c r="E4527" s="6">
        <v>134372</v>
      </c>
      <c r="F4527" s="6">
        <v>92851</v>
      </c>
      <c r="G4527" s="57">
        <f t="shared" ref="G4527:G4590" si="72">IF(ISERROR((F4527-E4527)/E4527),"-",(F4527-E4527)/E4527)</f>
        <v>-0.30900038698538385</v>
      </c>
      <c r="H4527" s="21"/>
      <c r="I4527" s="21"/>
      <c r="J4527" s="7" t="s">
        <v>2839</v>
      </c>
    </row>
    <row r="4528" spans="1:10" ht="25.5" x14ac:dyDescent="0.2">
      <c r="A4528" s="1" t="s">
        <v>111</v>
      </c>
      <c r="B4528" s="2" t="s">
        <v>305</v>
      </c>
      <c r="D4528" s="5" t="s">
        <v>2836</v>
      </c>
      <c r="E4528" s="3">
        <v>108450</v>
      </c>
      <c r="F4528" s="3">
        <v>106376</v>
      </c>
      <c r="G4528" s="57">
        <f t="shared" si="72"/>
        <v>-1.9124020285846012E-2</v>
      </c>
      <c r="J4528" s="5" t="s">
        <v>2837</v>
      </c>
    </row>
    <row r="4529" spans="1:10" x14ac:dyDescent="0.2">
      <c r="A4529" s="1" t="s">
        <v>111</v>
      </c>
      <c r="B4529" s="2" t="s">
        <v>305</v>
      </c>
      <c r="D4529" s="5" t="s">
        <v>464</v>
      </c>
      <c r="G4529" s="57" t="str">
        <f t="shared" si="72"/>
        <v>-</v>
      </c>
      <c r="H4529" s="19">
        <v>92500</v>
      </c>
      <c r="I4529" s="19" t="s">
        <v>465</v>
      </c>
    </row>
    <row r="4530" spans="1:10" x14ac:dyDescent="0.2">
      <c r="A4530" s="1" t="s">
        <v>111</v>
      </c>
      <c r="B4530" s="2" t="s">
        <v>305</v>
      </c>
      <c r="D4530" s="5" t="s">
        <v>464</v>
      </c>
      <c r="G4530" s="57" t="str">
        <f t="shared" si="72"/>
        <v>-</v>
      </c>
      <c r="H4530" s="19">
        <v>92500</v>
      </c>
      <c r="I4530" s="19" t="s">
        <v>465</v>
      </c>
    </row>
    <row r="4531" spans="1:10" x14ac:dyDescent="0.2">
      <c r="A4531" s="1" t="s">
        <v>111</v>
      </c>
      <c r="B4531" s="2" t="s">
        <v>305</v>
      </c>
      <c r="D4531" s="5" t="s">
        <v>464</v>
      </c>
      <c r="G4531" s="57" t="str">
        <f t="shared" si="72"/>
        <v>-</v>
      </c>
      <c r="H4531" s="19">
        <v>97500</v>
      </c>
      <c r="I4531" s="19" t="s">
        <v>465</v>
      </c>
    </row>
    <row r="4532" spans="1:10" x14ac:dyDescent="0.2">
      <c r="A4532" s="1" t="s">
        <v>111</v>
      </c>
      <c r="B4532" s="2" t="s">
        <v>305</v>
      </c>
      <c r="D4532" s="5" t="s">
        <v>464</v>
      </c>
      <c r="G4532" s="57" t="str">
        <f t="shared" si="72"/>
        <v>-</v>
      </c>
      <c r="H4532" s="19">
        <v>97500</v>
      </c>
      <c r="I4532" s="19" t="s">
        <v>465</v>
      </c>
    </row>
    <row r="4533" spans="1:10" x14ac:dyDescent="0.2">
      <c r="A4533" s="1" t="s">
        <v>111</v>
      </c>
      <c r="B4533" s="2" t="s">
        <v>305</v>
      </c>
      <c r="D4533" s="5" t="s">
        <v>464</v>
      </c>
      <c r="G4533" s="57" t="str">
        <f t="shared" si="72"/>
        <v>-</v>
      </c>
      <c r="H4533" s="19" t="s">
        <v>465</v>
      </c>
      <c r="I4533" s="19">
        <v>97500</v>
      </c>
    </row>
    <row r="4534" spans="1:10" x14ac:dyDescent="0.2">
      <c r="A4534" s="1" t="s">
        <v>111</v>
      </c>
      <c r="B4534" s="2" t="s">
        <v>305</v>
      </c>
      <c r="D4534" s="5" t="s">
        <v>464</v>
      </c>
      <c r="E4534" s="3">
        <v>102500</v>
      </c>
      <c r="F4534" s="3" t="s">
        <v>465</v>
      </c>
      <c r="G4534" s="57" t="str">
        <f t="shared" si="72"/>
        <v>-</v>
      </c>
    </row>
    <row r="4535" spans="1:10" x14ac:dyDescent="0.2">
      <c r="A4535" s="1" t="s">
        <v>111</v>
      </c>
      <c r="B4535" s="2" t="s">
        <v>305</v>
      </c>
      <c r="D4535" s="5" t="s">
        <v>464</v>
      </c>
      <c r="E4535" s="3">
        <v>102500</v>
      </c>
      <c r="F4535" s="3" t="s">
        <v>465</v>
      </c>
      <c r="G4535" s="57" t="str">
        <f t="shared" si="72"/>
        <v>-</v>
      </c>
    </row>
    <row r="4536" spans="1:10" x14ac:dyDescent="0.2">
      <c r="A4536" s="1" t="s">
        <v>111</v>
      </c>
      <c r="B4536" s="2" t="s">
        <v>305</v>
      </c>
      <c r="D4536" s="5" t="s">
        <v>464</v>
      </c>
      <c r="E4536" s="3" t="s">
        <v>465</v>
      </c>
      <c r="F4536" s="3">
        <v>102500</v>
      </c>
      <c r="G4536" s="57" t="str">
        <f t="shared" si="72"/>
        <v>-</v>
      </c>
    </row>
    <row r="4537" spans="1:10" x14ac:dyDescent="0.2">
      <c r="A4537" s="1" t="s">
        <v>111</v>
      </c>
      <c r="B4537" s="2" t="s">
        <v>305</v>
      </c>
      <c r="D4537" s="5" t="s">
        <v>464</v>
      </c>
      <c r="E4537" s="3">
        <v>107500</v>
      </c>
      <c r="F4537" s="3" t="s">
        <v>465</v>
      </c>
      <c r="G4537" s="57" t="str">
        <f t="shared" si="72"/>
        <v>-</v>
      </c>
    </row>
    <row r="4538" spans="1:10" x14ac:dyDescent="0.2">
      <c r="A4538" s="1" t="s">
        <v>111</v>
      </c>
      <c r="B4538" s="2" t="s">
        <v>305</v>
      </c>
      <c r="D4538" s="5" t="s">
        <v>464</v>
      </c>
      <c r="E4538" s="3">
        <v>107500</v>
      </c>
      <c r="F4538" s="3" t="s">
        <v>465</v>
      </c>
      <c r="G4538" s="57" t="str">
        <f t="shared" si="72"/>
        <v>-</v>
      </c>
    </row>
    <row r="4539" spans="1:10" x14ac:dyDescent="0.2">
      <c r="A4539" s="1" t="s">
        <v>111</v>
      </c>
      <c r="B4539" s="2" t="s">
        <v>305</v>
      </c>
      <c r="D4539" s="5" t="s">
        <v>464</v>
      </c>
      <c r="E4539" s="3">
        <v>112500</v>
      </c>
      <c r="F4539" s="3" t="s">
        <v>465</v>
      </c>
      <c r="G4539" s="57" t="str">
        <f t="shared" si="72"/>
        <v>-</v>
      </c>
    </row>
    <row r="4540" spans="1:10" ht="38.25" x14ac:dyDescent="0.2">
      <c r="A4540" s="1" t="s">
        <v>39</v>
      </c>
      <c r="B4540" s="17" t="s">
        <v>4193</v>
      </c>
      <c r="D4540" s="5" t="s">
        <v>963</v>
      </c>
      <c r="E4540" s="3">
        <v>87857</v>
      </c>
      <c r="F4540" s="3">
        <v>103912</v>
      </c>
      <c r="G4540" s="57">
        <f t="shared" si="72"/>
        <v>0.18274013453680413</v>
      </c>
      <c r="J4540" s="5" t="s">
        <v>4194</v>
      </c>
    </row>
    <row r="4541" spans="1:10" ht="40.5" customHeight="1" x14ac:dyDescent="0.2">
      <c r="A4541" s="1" t="s">
        <v>39</v>
      </c>
      <c r="B4541" s="12" t="s">
        <v>306</v>
      </c>
      <c r="D4541" s="5" t="s">
        <v>455</v>
      </c>
      <c r="E4541" s="3">
        <v>96508</v>
      </c>
      <c r="F4541" s="3">
        <v>116163</v>
      </c>
      <c r="G4541" s="57">
        <f t="shared" si="72"/>
        <v>0.20366187259087329</v>
      </c>
      <c r="J4541" s="5" t="s">
        <v>4195</v>
      </c>
    </row>
    <row r="4542" spans="1:10" x14ac:dyDescent="0.2">
      <c r="A4542" s="1" t="s">
        <v>39</v>
      </c>
      <c r="B4542" s="12" t="s">
        <v>306</v>
      </c>
      <c r="D4542" s="5" t="s">
        <v>2829</v>
      </c>
      <c r="E4542" s="3">
        <v>128662</v>
      </c>
      <c r="F4542" s="3" t="s">
        <v>465</v>
      </c>
      <c r="G4542" s="57" t="str">
        <f t="shared" si="72"/>
        <v>-</v>
      </c>
    </row>
    <row r="4543" spans="1:10" x14ac:dyDescent="0.2">
      <c r="A4543" s="1" t="s">
        <v>39</v>
      </c>
      <c r="B4543" s="12" t="s">
        <v>306</v>
      </c>
      <c r="D4543" s="5" t="s">
        <v>2830</v>
      </c>
      <c r="E4543" s="3">
        <v>163208</v>
      </c>
      <c r="F4543" s="3" t="s">
        <v>465</v>
      </c>
      <c r="G4543" s="57" t="str">
        <f t="shared" si="72"/>
        <v>-</v>
      </c>
    </row>
    <row r="4544" spans="1:10" x14ac:dyDescent="0.2">
      <c r="A4544" s="1" t="s">
        <v>4</v>
      </c>
      <c r="B4544" s="2" t="s">
        <v>307</v>
      </c>
      <c r="D4544" s="5" t="s">
        <v>450</v>
      </c>
      <c r="E4544" s="3">
        <v>143000</v>
      </c>
      <c r="F4544" s="3">
        <v>119000</v>
      </c>
      <c r="G4544" s="57">
        <f t="shared" si="72"/>
        <v>-0.16783216783216784</v>
      </c>
      <c r="J4544" s="5" t="s">
        <v>2823</v>
      </c>
    </row>
    <row r="4545" spans="1:10" ht="25.5" x14ac:dyDescent="0.2">
      <c r="A4545" s="1" t="s">
        <v>4</v>
      </c>
      <c r="B4545" s="2" t="s">
        <v>307</v>
      </c>
      <c r="D4545" s="5" t="s">
        <v>944</v>
      </c>
      <c r="E4545" s="3">
        <v>104000</v>
      </c>
      <c r="F4545" s="3">
        <v>111000</v>
      </c>
      <c r="G4545" s="57">
        <f t="shared" si="72"/>
        <v>6.7307692307692304E-2</v>
      </c>
      <c r="J4545" s="5" t="s">
        <v>2824</v>
      </c>
    </row>
    <row r="4546" spans="1:10" ht="25.5" x14ac:dyDescent="0.2">
      <c r="A4546" s="1" t="s">
        <v>4</v>
      </c>
      <c r="B4546" s="2" t="s">
        <v>307</v>
      </c>
      <c r="D4546" s="5" t="s">
        <v>463</v>
      </c>
      <c r="E4546" s="3">
        <v>112000</v>
      </c>
      <c r="F4546" s="3">
        <v>216000</v>
      </c>
      <c r="G4546" s="57">
        <f t="shared" si="72"/>
        <v>0.9285714285714286</v>
      </c>
      <c r="J4546" s="5" t="s">
        <v>2825</v>
      </c>
    </row>
    <row r="4547" spans="1:10" x14ac:dyDescent="0.2">
      <c r="A4547" s="1" t="s">
        <v>4</v>
      </c>
      <c r="B4547" s="2" t="s">
        <v>307</v>
      </c>
      <c r="D4547" s="5" t="s">
        <v>960</v>
      </c>
      <c r="E4547" s="3">
        <v>112000</v>
      </c>
      <c r="F4547" s="3">
        <v>119000</v>
      </c>
      <c r="G4547" s="57">
        <f t="shared" si="72"/>
        <v>6.25E-2</v>
      </c>
      <c r="J4547" s="5" t="s">
        <v>2826</v>
      </c>
    </row>
    <row r="4548" spans="1:10" ht="25.5" x14ac:dyDescent="0.2">
      <c r="A4548" s="1" t="s">
        <v>4</v>
      </c>
      <c r="B4548" s="2" t="s">
        <v>307</v>
      </c>
      <c r="D4548" s="5" t="s">
        <v>961</v>
      </c>
      <c r="E4548" s="3" t="s">
        <v>465</v>
      </c>
      <c r="F4548" s="3">
        <v>113000</v>
      </c>
      <c r="G4548" s="57" t="str">
        <f t="shared" si="72"/>
        <v>-</v>
      </c>
      <c r="J4548" s="5" t="s">
        <v>2827</v>
      </c>
    </row>
    <row r="4549" spans="1:10" ht="25.5" x14ac:dyDescent="0.2">
      <c r="A4549" s="1" t="s">
        <v>4</v>
      </c>
      <c r="B4549" s="2" t="s">
        <v>307</v>
      </c>
      <c r="D4549" s="5" t="s">
        <v>962</v>
      </c>
      <c r="E4549" s="3" t="s">
        <v>465</v>
      </c>
      <c r="F4549" s="3">
        <v>168000</v>
      </c>
      <c r="G4549" s="57" t="str">
        <f t="shared" si="72"/>
        <v>-</v>
      </c>
      <c r="J4549" s="5" t="s">
        <v>2828</v>
      </c>
    </row>
    <row r="4550" spans="1:10" ht="25.5" x14ac:dyDescent="0.2">
      <c r="A4550" s="1" t="s">
        <v>1</v>
      </c>
      <c r="B4550" s="12" t="s">
        <v>308</v>
      </c>
      <c r="C4550" s="5" t="s">
        <v>950</v>
      </c>
      <c r="D4550" s="5" t="s">
        <v>450</v>
      </c>
      <c r="E4550" s="6">
        <v>140167</v>
      </c>
      <c r="F4550" s="3">
        <f>132722+6053+65+25000</f>
        <v>163840</v>
      </c>
      <c r="G4550" s="57">
        <f t="shared" si="72"/>
        <v>0.16889139383735116</v>
      </c>
      <c r="J4550" s="5" t="s">
        <v>4406</v>
      </c>
    </row>
    <row r="4551" spans="1:10" ht="25.5" x14ac:dyDescent="0.2">
      <c r="A4551" s="1" t="s">
        <v>1</v>
      </c>
      <c r="B4551" s="12" t="s">
        <v>308</v>
      </c>
      <c r="C4551" s="5" t="s">
        <v>951</v>
      </c>
      <c r="D4551" s="5" t="s">
        <v>4404</v>
      </c>
      <c r="E4551" s="6" t="s">
        <v>465</v>
      </c>
      <c r="F4551" s="3">
        <f>107844+20000</f>
        <v>127844</v>
      </c>
      <c r="G4551" s="57" t="str">
        <f t="shared" si="72"/>
        <v>-</v>
      </c>
      <c r="J4551" s="5" t="s">
        <v>4405</v>
      </c>
    </row>
    <row r="4552" spans="1:10" ht="51" x14ac:dyDescent="0.2">
      <c r="A4552" s="1" t="s">
        <v>1</v>
      </c>
      <c r="B4552" s="12" t="s">
        <v>308</v>
      </c>
      <c r="C4552" s="5" t="s">
        <v>952</v>
      </c>
      <c r="D4552" s="5" t="s">
        <v>452</v>
      </c>
      <c r="E4552" s="6">
        <v>110134</v>
      </c>
      <c r="F4552" s="3">
        <f>37913+2600+134883+7000</f>
        <v>182396</v>
      </c>
      <c r="G4552" s="57">
        <f t="shared" si="72"/>
        <v>0.65612798954001494</v>
      </c>
      <c r="J4552" s="5" t="s">
        <v>4407</v>
      </c>
    </row>
    <row r="4553" spans="1:10" ht="38.25" x14ac:dyDescent="0.2">
      <c r="A4553" s="1" t="s">
        <v>1</v>
      </c>
      <c r="B4553" s="12" t="s">
        <v>308</v>
      </c>
      <c r="C4553" s="5" t="s">
        <v>953</v>
      </c>
      <c r="D4553" s="5" t="s">
        <v>476</v>
      </c>
      <c r="E4553" s="6">
        <v>107349</v>
      </c>
      <c r="F4553" s="3">
        <f>107844+200+20000</f>
        <v>128044</v>
      </c>
      <c r="G4553" s="57">
        <f t="shared" si="72"/>
        <v>0.19278241995733542</v>
      </c>
      <c r="J4553" s="5" t="s">
        <v>4408</v>
      </c>
    </row>
    <row r="4554" spans="1:10" ht="38.25" x14ac:dyDescent="0.2">
      <c r="A4554" s="1" t="s">
        <v>1</v>
      </c>
      <c r="B4554" s="12" t="s">
        <v>308</v>
      </c>
      <c r="C4554" s="5" t="s">
        <v>954</v>
      </c>
      <c r="D4554" s="5" t="s">
        <v>938</v>
      </c>
      <c r="E4554" s="6">
        <v>108170</v>
      </c>
      <c r="F4554" s="3">
        <f>107844+300+20000</f>
        <v>128144</v>
      </c>
      <c r="G4554" s="57">
        <f t="shared" si="72"/>
        <v>0.18465378570768234</v>
      </c>
      <c r="J4554" s="5" t="s">
        <v>4409</v>
      </c>
    </row>
    <row r="4555" spans="1:10" ht="25.5" x14ac:dyDescent="0.2">
      <c r="A4555" s="1" t="s">
        <v>1</v>
      </c>
      <c r="B4555" s="12" t="s">
        <v>308</v>
      </c>
      <c r="C4555" s="5" t="s">
        <v>955</v>
      </c>
      <c r="D4555" s="5" t="s">
        <v>956</v>
      </c>
      <c r="E4555" s="6">
        <v>107149</v>
      </c>
      <c r="F4555" s="3">
        <f>107844+20000</f>
        <v>127844</v>
      </c>
      <c r="G4555" s="57">
        <f t="shared" si="72"/>
        <v>0.19314225984376895</v>
      </c>
      <c r="J4555" s="5" t="s">
        <v>4410</v>
      </c>
    </row>
    <row r="4556" spans="1:10" ht="25.5" x14ac:dyDescent="0.2">
      <c r="A4556" s="1" t="s">
        <v>1</v>
      </c>
      <c r="B4556" s="12" t="s">
        <v>308</v>
      </c>
      <c r="C4556" s="5" t="s">
        <v>957</v>
      </c>
      <c r="D4556" s="5" t="s">
        <v>958</v>
      </c>
      <c r="E4556" s="6">
        <v>107149</v>
      </c>
      <c r="F4556" s="3">
        <f>107844+20000</f>
        <v>127844</v>
      </c>
      <c r="G4556" s="57">
        <f t="shared" si="72"/>
        <v>0.19314225984376895</v>
      </c>
      <c r="J4556" s="5" t="s">
        <v>4410</v>
      </c>
    </row>
    <row r="4557" spans="1:10" ht="25.5" x14ac:dyDescent="0.2">
      <c r="A4557" s="1" t="s">
        <v>1</v>
      </c>
      <c r="B4557" s="12" t="s">
        <v>308</v>
      </c>
      <c r="C4557" s="5" t="s">
        <v>959</v>
      </c>
      <c r="D4557" s="5" t="s">
        <v>908</v>
      </c>
      <c r="E4557" s="6">
        <v>107149</v>
      </c>
      <c r="F4557" s="3">
        <f>107844+20000</f>
        <v>127844</v>
      </c>
      <c r="G4557" s="57">
        <f t="shared" si="72"/>
        <v>0.19314225984376895</v>
      </c>
      <c r="J4557" s="5" t="s">
        <v>4410</v>
      </c>
    </row>
    <row r="4558" spans="1:10" x14ac:dyDescent="0.2">
      <c r="A4558" s="1" t="s">
        <v>1</v>
      </c>
      <c r="B4558" s="12" t="s">
        <v>308</v>
      </c>
      <c r="D4558" s="5" t="s">
        <v>464</v>
      </c>
      <c r="G4558" s="57" t="str">
        <f t="shared" si="72"/>
        <v>-</v>
      </c>
      <c r="H4558" s="19" t="s">
        <v>465</v>
      </c>
      <c r="I4558" s="19">
        <v>92500</v>
      </c>
      <c r="J4558" s="5" t="s">
        <v>539</v>
      </c>
    </row>
    <row r="4559" spans="1:10" x14ac:dyDescent="0.2">
      <c r="A4559" s="1" t="s">
        <v>1</v>
      </c>
      <c r="B4559" s="12" t="s">
        <v>308</v>
      </c>
      <c r="D4559" s="5" t="s">
        <v>464</v>
      </c>
      <c r="G4559" s="57" t="str">
        <f t="shared" si="72"/>
        <v>-</v>
      </c>
      <c r="H4559" s="19" t="s">
        <v>465</v>
      </c>
      <c r="I4559" s="19">
        <v>92500</v>
      </c>
      <c r="J4559" s="5" t="s">
        <v>539</v>
      </c>
    </row>
    <row r="4560" spans="1:10" x14ac:dyDescent="0.2">
      <c r="A4560" s="1" t="s">
        <v>1</v>
      </c>
      <c r="B4560" s="12" t="s">
        <v>308</v>
      </c>
      <c r="D4560" s="5" t="s">
        <v>464</v>
      </c>
      <c r="E4560" s="3" t="s">
        <v>465</v>
      </c>
      <c r="F4560" s="3">
        <v>102500</v>
      </c>
      <c r="G4560" s="57" t="str">
        <f t="shared" si="72"/>
        <v>-</v>
      </c>
      <c r="J4560" s="5" t="s">
        <v>539</v>
      </c>
    </row>
    <row r="4561" spans="1:10" x14ac:dyDescent="0.2">
      <c r="A4561" s="1" t="s">
        <v>1</v>
      </c>
      <c r="B4561" s="12" t="s">
        <v>308</v>
      </c>
      <c r="D4561" s="5" t="s">
        <v>464</v>
      </c>
      <c r="E4561" s="3" t="s">
        <v>465</v>
      </c>
      <c r="F4561" s="3">
        <v>107500</v>
      </c>
      <c r="G4561" s="57" t="str">
        <f t="shared" si="72"/>
        <v>-</v>
      </c>
      <c r="J4561" s="5" t="s">
        <v>539</v>
      </c>
    </row>
    <row r="4562" spans="1:10" x14ac:dyDescent="0.2">
      <c r="A4562" s="1" t="s">
        <v>1</v>
      </c>
      <c r="B4562" s="12" t="s">
        <v>308</v>
      </c>
      <c r="D4562" s="5" t="s">
        <v>464</v>
      </c>
      <c r="E4562" s="3" t="s">
        <v>465</v>
      </c>
      <c r="F4562" s="3">
        <v>107500</v>
      </c>
      <c r="G4562" s="57" t="str">
        <f t="shared" si="72"/>
        <v>-</v>
      </c>
      <c r="J4562" s="5" t="s">
        <v>539</v>
      </c>
    </row>
    <row r="4563" spans="1:10" x14ac:dyDescent="0.2">
      <c r="A4563" s="1" t="s">
        <v>1</v>
      </c>
      <c r="B4563" s="12" t="s">
        <v>308</v>
      </c>
      <c r="D4563" s="5" t="s">
        <v>464</v>
      </c>
      <c r="E4563" s="3" t="s">
        <v>465</v>
      </c>
      <c r="F4563" s="3">
        <v>107500</v>
      </c>
      <c r="G4563" s="57" t="str">
        <f t="shared" si="72"/>
        <v>-</v>
      </c>
      <c r="J4563" s="5" t="s">
        <v>539</v>
      </c>
    </row>
    <row r="4564" spans="1:10" x14ac:dyDescent="0.2">
      <c r="A4564" s="1" t="s">
        <v>1</v>
      </c>
      <c r="B4564" s="12" t="s">
        <v>308</v>
      </c>
      <c r="D4564" s="5" t="s">
        <v>464</v>
      </c>
      <c r="E4564" s="3">
        <v>112500</v>
      </c>
      <c r="F4564" s="3" t="s">
        <v>465</v>
      </c>
      <c r="G4564" s="57" t="str">
        <f t="shared" si="72"/>
        <v>-</v>
      </c>
    </row>
    <row r="4565" spans="1:10" x14ac:dyDescent="0.2">
      <c r="A4565" s="1" t="s">
        <v>1</v>
      </c>
      <c r="B4565" s="12" t="s">
        <v>308</v>
      </c>
      <c r="D4565" s="5" t="s">
        <v>464</v>
      </c>
      <c r="E4565" s="3" t="s">
        <v>465</v>
      </c>
      <c r="F4565" s="3">
        <v>112500</v>
      </c>
      <c r="G4565" s="57" t="str">
        <f t="shared" si="72"/>
        <v>-</v>
      </c>
      <c r="J4565" s="5" t="s">
        <v>539</v>
      </c>
    </row>
    <row r="4566" spans="1:10" x14ac:dyDescent="0.2">
      <c r="A4566" s="1" t="s">
        <v>1</v>
      </c>
      <c r="B4566" s="12" t="s">
        <v>308</v>
      </c>
      <c r="D4566" s="5" t="s">
        <v>464</v>
      </c>
      <c r="E4566" s="3" t="s">
        <v>465</v>
      </c>
      <c r="F4566" s="3">
        <v>112500</v>
      </c>
      <c r="G4566" s="57" t="str">
        <f t="shared" si="72"/>
        <v>-</v>
      </c>
      <c r="J4566" s="5" t="s">
        <v>539</v>
      </c>
    </row>
    <row r="4567" spans="1:10" x14ac:dyDescent="0.2">
      <c r="A4567" s="1" t="s">
        <v>1</v>
      </c>
      <c r="B4567" s="12" t="s">
        <v>308</v>
      </c>
      <c r="D4567" s="5" t="s">
        <v>464</v>
      </c>
      <c r="E4567" s="3" t="s">
        <v>465</v>
      </c>
      <c r="F4567" s="3">
        <v>117500</v>
      </c>
      <c r="G4567" s="57" t="str">
        <f t="shared" si="72"/>
        <v>-</v>
      </c>
      <c r="J4567" s="5" t="s">
        <v>539</v>
      </c>
    </row>
    <row r="4568" spans="1:10" x14ac:dyDescent="0.2">
      <c r="A4568" s="1" t="s">
        <v>1</v>
      </c>
      <c r="B4568" s="12" t="s">
        <v>308</v>
      </c>
      <c r="D4568" s="5" t="s">
        <v>464</v>
      </c>
      <c r="E4568" s="3" t="s">
        <v>465</v>
      </c>
      <c r="F4568" s="3">
        <v>122500</v>
      </c>
      <c r="G4568" s="57" t="str">
        <f t="shared" si="72"/>
        <v>-</v>
      </c>
      <c r="J4568" s="5" t="s">
        <v>539</v>
      </c>
    </row>
    <row r="4569" spans="1:10" x14ac:dyDescent="0.2">
      <c r="A4569" s="1" t="s">
        <v>1</v>
      </c>
      <c r="B4569" s="12" t="s">
        <v>308</v>
      </c>
      <c r="D4569" s="5" t="s">
        <v>464</v>
      </c>
      <c r="E4569" s="3" t="s">
        <v>465</v>
      </c>
      <c r="F4569" s="3">
        <v>177500</v>
      </c>
      <c r="G4569" s="57" t="str">
        <f t="shared" si="72"/>
        <v>-</v>
      </c>
      <c r="J4569" s="5" t="s">
        <v>539</v>
      </c>
    </row>
    <row r="4570" spans="1:10" x14ac:dyDescent="0.2">
      <c r="A4570" s="1" t="s">
        <v>44</v>
      </c>
      <c r="B4570" s="2" t="s">
        <v>309</v>
      </c>
      <c r="D4570" s="5" t="s">
        <v>450</v>
      </c>
      <c r="E4570" s="3">
        <v>171000</v>
      </c>
      <c r="F4570" s="3">
        <v>171000</v>
      </c>
      <c r="G4570" s="57">
        <f t="shared" si="72"/>
        <v>0</v>
      </c>
      <c r="J4570" s="5" t="s">
        <v>2817</v>
      </c>
    </row>
    <row r="4571" spans="1:10" ht="25.5" x14ac:dyDescent="0.2">
      <c r="A4571" s="1" t="s">
        <v>44</v>
      </c>
      <c r="B4571" s="2" t="s">
        <v>309</v>
      </c>
      <c r="D4571" s="5" t="s">
        <v>945</v>
      </c>
      <c r="E4571" s="3">
        <v>147000</v>
      </c>
      <c r="F4571" s="3">
        <v>147000</v>
      </c>
      <c r="G4571" s="57">
        <f t="shared" si="72"/>
        <v>0</v>
      </c>
      <c r="J4571" s="5" t="s">
        <v>2818</v>
      </c>
    </row>
    <row r="4572" spans="1:10" ht="25.5" x14ac:dyDescent="0.2">
      <c r="A4572" s="1" t="s">
        <v>44</v>
      </c>
      <c r="B4572" s="2" t="s">
        <v>309</v>
      </c>
      <c r="D4572" s="5" t="s">
        <v>946</v>
      </c>
      <c r="E4572" s="3">
        <v>137000</v>
      </c>
      <c r="F4572" s="3">
        <v>137000</v>
      </c>
      <c r="G4572" s="57">
        <f t="shared" si="72"/>
        <v>0</v>
      </c>
      <c r="J4572" s="5" t="s">
        <v>2819</v>
      </c>
    </row>
    <row r="4573" spans="1:10" x14ac:dyDescent="0.2">
      <c r="A4573" s="1" t="s">
        <v>44</v>
      </c>
      <c r="B4573" s="2" t="s">
        <v>309</v>
      </c>
      <c r="D4573" s="5" t="s">
        <v>947</v>
      </c>
      <c r="E4573" s="3">
        <v>136000</v>
      </c>
      <c r="F4573" s="3">
        <v>136000</v>
      </c>
      <c r="G4573" s="57">
        <f t="shared" si="72"/>
        <v>0</v>
      </c>
      <c r="J4573" s="5" t="s">
        <v>2820</v>
      </c>
    </row>
    <row r="4574" spans="1:10" x14ac:dyDescent="0.2">
      <c r="A4574" s="1" t="s">
        <v>44</v>
      </c>
      <c r="B4574" s="2" t="s">
        <v>309</v>
      </c>
      <c r="D4574" s="5" t="s">
        <v>948</v>
      </c>
      <c r="E4574" s="3">
        <v>111000</v>
      </c>
      <c r="F4574" s="3">
        <v>111000</v>
      </c>
      <c r="G4574" s="57">
        <f t="shared" si="72"/>
        <v>0</v>
      </c>
      <c r="J4574" s="5" t="s">
        <v>2821</v>
      </c>
    </row>
    <row r="4575" spans="1:10" x14ac:dyDescent="0.2">
      <c r="A4575" s="1" t="s">
        <v>44</v>
      </c>
      <c r="B4575" s="2" t="s">
        <v>309</v>
      </c>
      <c r="D4575" s="5" t="s">
        <v>949</v>
      </c>
      <c r="E4575" s="3">
        <v>111000</v>
      </c>
      <c r="F4575" s="3">
        <v>111000</v>
      </c>
      <c r="G4575" s="57">
        <f t="shared" si="72"/>
        <v>0</v>
      </c>
      <c r="J4575" s="5" t="s">
        <v>2821</v>
      </c>
    </row>
    <row r="4576" spans="1:10" ht="25.5" x14ac:dyDescent="0.2">
      <c r="A4576" s="1" t="s">
        <v>44</v>
      </c>
      <c r="B4576" s="2" t="s">
        <v>309</v>
      </c>
      <c r="D4576" s="5" t="s">
        <v>904</v>
      </c>
      <c r="E4576" s="3">
        <v>112000</v>
      </c>
      <c r="F4576" s="3">
        <v>112000</v>
      </c>
      <c r="G4576" s="57">
        <f t="shared" si="72"/>
        <v>0</v>
      </c>
      <c r="J4576" s="5" t="s">
        <v>2822</v>
      </c>
    </row>
    <row r="4577" spans="1:10" x14ac:dyDescent="0.2">
      <c r="A4577" s="1" t="s">
        <v>44</v>
      </c>
      <c r="B4577" s="2" t="s">
        <v>309</v>
      </c>
      <c r="D4577" s="5" t="s">
        <v>464</v>
      </c>
      <c r="G4577" s="57" t="str">
        <f t="shared" si="72"/>
        <v>-</v>
      </c>
      <c r="H4577" s="19">
        <v>92500</v>
      </c>
      <c r="I4577" s="19" t="s">
        <v>465</v>
      </c>
    </row>
    <row r="4578" spans="1:10" x14ac:dyDescent="0.2">
      <c r="A4578" s="1" t="s">
        <v>44</v>
      </c>
      <c r="B4578" s="2" t="s">
        <v>309</v>
      </c>
      <c r="D4578" s="5" t="s">
        <v>464</v>
      </c>
      <c r="G4578" s="57" t="str">
        <f t="shared" si="72"/>
        <v>-</v>
      </c>
      <c r="H4578" s="19" t="s">
        <v>465</v>
      </c>
      <c r="I4578" s="19">
        <v>92500</v>
      </c>
    </row>
    <row r="4579" spans="1:10" x14ac:dyDescent="0.2">
      <c r="A4579" s="1" t="s">
        <v>44</v>
      </c>
      <c r="B4579" s="2" t="s">
        <v>309</v>
      </c>
      <c r="D4579" s="5" t="s">
        <v>464</v>
      </c>
      <c r="G4579" s="57" t="str">
        <f t="shared" si="72"/>
        <v>-</v>
      </c>
      <c r="H4579" s="19" t="s">
        <v>465</v>
      </c>
      <c r="I4579" s="19">
        <v>92500</v>
      </c>
    </row>
    <row r="4580" spans="1:10" x14ac:dyDescent="0.2">
      <c r="A4580" s="1" t="s">
        <v>44</v>
      </c>
      <c r="B4580" s="2" t="s">
        <v>309</v>
      </c>
      <c r="D4580" s="5" t="s">
        <v>464</v>
      </c>
      <c r="G4580" s="57" t="str">
        <f t="shared" si="72"/>
        <v>-</v>
      </c>
      <c r="H4580" s="19" t="s">
        <v>465</v>
      </c>
      <c r="I4580" s="19">
        <v>92500</v>
      </c>
      <c r="J4580" s="5" t="s">
        <v>539</v>
      </c>
    </row>
    <row r="4581" spans="1:10" x14ac:dyDescent="0.2">
      <c r="A4581" s="1" t="s">
        <v>44</v>
      </c>
      <c r="B4581" s="2" t="s">
        <v>309</v>
      </c>
      <c r="D4581" s="5" t="s">
        <v>464</v>
      </c>
      <c r="G4581" s="57" t="str">
        <f t="shared" si="72"/>
        <v>-</v>
      </c>
      <c r="H4581" s="19" t="s">
        <v>465</v>
      </c>
      <c r="I4581" s="19">
        <v>92500</v>
      </c>
      <c r="J4581" s="5" t="s">
        <v>539</v>
      </c>
    </row>
    <row r="4582" spans="1:10" x14ac:dyDescent="0.2">
      <c r="A4582" s="1" t="s">
        <v>44</v>
      </c>
      <c r="B4582" s="2" t="s">
        <v>309</v>
      </c>
      <c r="D4582" s="5" t="s">
        <v>464</v>
      </c>
      <c r="G4582" s="57" t="str">
        <f t="shared" si="72"/>
        <v>-</v>
      </c>
      <c r="H4582" s="19">
        <v>97500</v>
      </c>
      <c r="I4582" s="19" t="s">
        <v>465</v>
      </c>
    </row>
    <row r="4583" spans="1:10" x14ac:dyDescent="0.2">
      <c r="A4583" s="1" t="s">
        <v>44</v>
      </c>
      <c r="B4583" s="2" t="s">
        <v>309</v>
      </c>
      <c r="D4583" s="5" t="s">
        <v>464</v>
      </c>
      <c r="G4583" s="57" t="str">
        <f t="shared" si="72"/>
        <v>-</v>
      </c>
      <c r="H4583" s="19">
        <v>97500</v>
      </c>
      <c r="I4583" s="19" t="s">
        <v>465</v>
      </c>
    </row>
    <row r="4584" spans="1:10" x14ac:dyDescent="0.2">
      <c r="A4584" s="1" t="s">
        <v>44</v>
      </c>
      <c r="B4584" s="2" t="s">
        <v>309</v>
      </c>
      <c r="D4584" s="5" t="s">
        <v>464</v>
      </c>
      <c r="G4584" s="57" t="str">
        <f t="shared" si="72"/>
        <v>-</v>
      </c>
      <c r="H4584" s="19">
        <v>97500</v>
      </c>
      <c r="I4584" s="19" t="s">
        <v>465</v>
      </c>
    </row>
    <row r="4585" spans="1:10" x14ac:dyDescent="0.2">
      <c r="A4585" s="1" t="s">
        <v>44</v>
      </c>
      <c r="B4585" s="2" t="s">
        <v>309</v>
      </c>
      <c r="D4585" s="5" t="s">
        <v>464</v>
      </c>
      <c r="G4585" s="57" t="str">
        <f t="shared" si="72"/>
        <v>-</v>
      </c>
      <c r="H4585" s="19">
        <v>97500</v>
      </c>
      <c r="I4585" s="19" t="s">
        <v>465</v>
      </c>
    </row>
    <row r="4586" spans="1:10" x14ac:dyDescent="0.2">
      <c r="A4586" s="1" t="s">
        <v>44</v>
      </c>
      <c r="B4586" s="2" t="s">
        <v>309</v>
      </c>
      <c r="D4586" s="5" t="s">
        <v>464</v>
      </c>
      <c r="G4586" s="57" t="str">
        <f t="shared" si="72"/>
        <v>-</v>
      </c>
      <c r="H4586" s="19" t="s">
        <v>465</v>
      </c>
      <c r="I4586" s="19">
        <v>97500</v>
      </c>
      <c r="J4586" s="5" t="s">
        <v>539</v>
      </c>
    </row>
    <row r="4587" spans="1:10" x14ac:dyDescent="0.2">
      <c r="A4587" s="1" t="s">
        <v>44</v>
      </c>
      <c r="B4587" s="2" t="s">
        <v>309</v>
      </c>
      <c r="D4587" s="5" t="s">
        <v>464</v>
      </c>
      <c r="G4587" s="57" t="str">
        <f t="shared" si="72"/>
        <v>-</v>
      </c>
      <c r="H4587" s="19" t="s">
        <v>465</v>
      </c>
      <c r="I4587" s="19">
        <v>97500</v>
      </c>
    </row>
    <row r="4588" spans="1:10" x14ac:dyDescent="0.2">
      <c r="A4588" s="1" t="s">
        <v>44</v>
      </c>
      <c r="B4588" s="2" t="s">
        <v>309</v>
      </c>
      <c r="D4588" s="5" t="s">
        <v>464</v>
      </c>
      <c r="E4588" s="3" t="s">
        <v>465</v>
      </c>
      <c r="F4588" s="3">
        <v>107500</v>
      </c>
      <c r="G4588" s="57" t="str">
        <f t="shared" si="72"/>
        <v>-</v>
      </c>
      <c r="J4588" s="5" t="s">
        <v>539</v>
      </c>
    </row>
    <row r="4589" spans="1:10" x14ac:dyDescent="0.2">
      <c r="A4589" s="1" t="s">
        <v>44</v>
      </c>
      <c r="B4589" s="2" t="s">
        <v>309</v>
      </c>
      <c r="D4589" s="5" t="s">
        <v>464</v>
      </c>
      <c r="E4589" s="3">
        <v>112500</v>
      </c>
      <c r="F4589" s="3" t="s">
        <v>465</v>
      </c>
      <c r="G4589" s="57" t="str">
        <f t="shared" si="72"/>
        <v>-</v>
      </c>
    </row>
    <row r="4590" spans="1:10" x14ac:dyDescent="0.2">
      <c r="A4590" s="1" t="s">
        <v>44</v>
      </c>
      <c r="B4590" s="2" t="s">
        <v>309</v>
      </c>
      <c r="D4590" s="5" t="s">
        <v>464</v>
      </c>
      <c r="E4590" s="3">
        <v>112500</v>
      </c>
      <c r="F4590" s="3" t="s">
        <v>465</v>
      </c>
      <c r="G4590" s="57" t="str">
        <f t="shared" si="72"/>
        <v>-</v>
      </c>
    </row>
    <row r="4591" spans="1:10" x14ac:dyDescent="0.2">
      <c r="A4591" s="1" t="s">
        <v>44</v>
      </c>
      <c r="B4591" s="2" t="s">
        <v>309</v>
      </c>
      <c r="D4591" s="5" t="s">
        <v>464</v>
      </c>
      <c r="E4591" s="3">
        <v>112500</v>
      </c>
      <c r="F4591" s="3" t="s">
        <v>465</v>
      </c>
      <c r="G4591" s="57" t="str">
        <f t="shared" ref="G4591:G4654" si="73">IF(ISERROR((F4591-E4591)/E4591),"-",(F4591-E4591)/E4591)</f>
        <v>-</v>
      </c>
    </row>
    <row r="4592" spans="1:10" x14ac:dyDescent="0.2">
      <c r="A4592" s="1" t="s">
        <v>44</v>
      </c>
      <c r="B4592" s="2" t="s">
        <v>309</v>
      </c>
      <c r="D4592" s="5" t="s">
        <v>464</v>
      </c>
      <c r="E4592" s="3" t="s">
        <v>465</v>
      </c>
      <c r="F4592" s="3">
        <v>112500</v>
      </c>
      <c r="G4592" s="57" t="str">
        <f t="shared" si="73"/>
        <v>-</v>
      </c>
      <c r="J4592" s="5" t="s">
        <v>539</v>
      </c>
    </row>
    <row r="4593" spans="1:10" x14ac:dyDescent="0.2">
      <c r="A4593" s="1" t="s">
        <v>44</v>
      </c>
      <c r="B4593" s="2" t="s">
        <v>309</v>
      </c>
      <c r="D4593" s="5" t="s">
        <v>464</v>
      </c>
      <c r="E4593" s="3" t="s">
        <v>465</v>
      </c>
      <c r="F4593" s="3">
        <v>112500</v>
      </c>
      <c r="G4593" s="57" t="str">
        <f t="shared" si="73"/>
        <v>-</v>
      </c>
      <c r="J4593" s="5" t="s">
        <v>539</v>
      </c>
    </row>
    <row r="4594" spans="1:10" x14ac:dyDescent="0.2">
      <c r="A4594" s="1" t="s">
        <v>44</v>
      </c>
      <c r="B4594" s="2" t="s">
        <v>309</v>
      </c>
      <c r="D4594" s="5" t="s">
        <v>464</v>
      </c>
      <c r="E4594" s="3" t="s">
        <v>465</v>
      </c>
      <c r="F4594" s="3">
        <v>112500</v>
      </c>
      <c r="G4594" s="57" t="str">
        <f t="shared" si="73"/>
        <v>-</v>
      </c>
      <c r="J4594" s="5" t="s">
        <v>539</v>
      </c>
    </row>
    <row r="4595" spans="1:10" x14ac:dyDescent="0.2">
      <c r="A4595" s="1" t="s">
        <v>44</v>
      </c>
      <c r="B4595" s="2" t="s">
        <v>309</v>
      </c>
      <c r="D4595" s="5" t="s">
        <v>464</v>
      </c>
      <c r="E4595" s="3" t="s">
        <v>465</v>
      </c>
      <c r="F4595" s="3">
        <v>112500</v>
      </c>
      <c r="G4595" s="57" t="str">
        <f t="shared" si="73"/>
        <v>-</v>
      </c>
      <c r="J4595" s="5" t="s">
        <v>539</v>
      </c>
    </row>
    <row r="4596" spans="1:10" x14ac:dyDescent="0.2">
      <c r="A4596" s="1" t="s">
        <v>44</v>
      </c>
      <c r="B4596" s="2" t="s">
        <v>309</v>
      </c>
      <c r="D4596" s="5" t="s">
        <v>464</v>
      </c>
      <c r="E4596" s="3">
        <v>117500</v>
      </c>
      <c r="F4596" s="3" t="s">
        <v>465</v>
      </c>
      <c r="G4596" s="57" t="str">
        <f t="shared" si="73"/>
        <v>-</v>
      </c>
    </row>
    <row r="4597" spans="1:10" x14ac:dyDescent="0.2">
      <c r="A4597" s="1" t="s">
        <v>44</v>
      </c>
      <c r="B4597" s="2" t="s">
        <v>309</v>
      </c>
      <c r="D4597" s="5" t="s">
        <v>464</v>
      </c>
      <c r="E4597" s="3" t="s">
        <v>465</v>
      </c>
      <c r="F4597" s="3">
        <v>117500</v>
      </c>
      <c r="G4597" s="57" t="str">
        <f t="shared" si="73"/>
        <v>-</v>
      </c>
      <c r="J4597" s="5" t="s">
        <v>539</v>
      </c>
    </row>
    <row r="4598" spans="1:10" x14ac:dyDescent="0.2">
      <c r="A4598" s="1" t="s">
        <v>44</v>
      </c>
      <c r="B4598" s="2" t="s">
        <v>309</v>
      </c>
      <c r="D4598" s="5" t="s">
        <v>464</v>
      </c>
      <c r="E4598" s="3" t="s">
        <v>465</v>
      </c>
      <c r="F4598" s="3">
        <v>122500</v>
      </c>
      <c r="G4598" s="57" t="str">
        <f t="shared" si="73"/>
        <v>-</v>
      </c>
      <c r="J4598" s="5" t="s">
        <v>539</v>
      </c>
    </row>
    <row r="4599" spans="1:10" x14ac:dyDescent="0.2">
      <c r="A4599" s="1" t="s">
        <v>44</v>
      </c>
      <c r="B4599" s="2" t="s">
        <v>309</v>
      </c>
      <c r="D4599" s="5" t="s">
        <v>464</v>
      </c>
      <c r="E4599" s="3" t="s">
        <v>465</v>
      </c>
      <c r="F4599" s="3">
        <v>137500</v>
      </c>
      <c r="G4599" s="57" t="str">
        <f t="shared" si="73"/>
        <v>-</v>
      </c>
      <c r="J4599" s="5" t="s">
        <v>539</v>
      </c>
    </row>
    <row r="4600" spans="1:10" x14ac:dyDescent="0.2">
      <c r="A4600" s="1" t="s">
        <v>44</v>
      </c>
      <c r="B4600" s="2" t="s">
        <v>309</v>
      </c>
      <c r="D4600" s="5" t="s">
        <v>464</v>
      </c>
      <c r="E4600" s="3" t="s">
        <v>465</v>
      </c>
      <c r="F4600" s="3">
        <v>147500</v>
      </c>
      <c r="G4600" s="57" t="str">
        <f t="shared" si="73"/>
        <v>-</v>
      </c>
      <c r="J4600" s="5" t="s">
        <v>539</v>
      </c>
    </row>
    <row r="4601" spans="1:10" x14ac:dyDescent="0.2">
      <c r="A4601" s="1" t="s">
        <v>44</v>
      </c>
      <c r="B4601" s="2" t="s">
        <v>309</v>
      </c>
      <c r="D4601" s="5" t="s">
        <v>464</v>
      </c>
      <c r="E4601" s="3" t="s">
        <v>465</v>
      </c>
      <c r="F4601" s="3">
        <v>152500</v>
      </c>
      <c r="G4601" s="57" t="str">
        <f t="shared" si="73"/>
        <v>-</v>
      </c>
      <c r="J4601" s="5" t="s">
        <v>539</v>
      </c>
    </row>
    <row r="4602" spans="1:10" x14ac:dyDescent="0.2">
      <c r="A4602" s="1" t="s">
        <v>44</v>
      </c>
      <c r="B4602" s="2" t="s">
        <v>309</v>
      </c>
      <c r="D4602" s="5" t="s">
        <v>464</v>
      </c>
      <c r="E4602" s="3">
        <v>177500</v>
      </c>
      <c r="F4602" s="3" t="s">
        <v>465</v>
      </c>
      <c r="G4602" s="57" t="str">
        <f t="shared" si="73"/>
        <v>-</v>
      </c>
    </row>
    <row r="4603" spans="1:10" ht="25.5" x14ac:dyDescent="0.2">
      <c r="A4603" s="1" t="s">
        <v>6</v>
      </c>
      <c r="B4603" s="2" t="s">
        <v>310</v>
      </c>
      <c r="D4603" s="5" t="s">
        <v>450</v>
      </c>
      <c r="E4603" s="3">
        <v>105849</v>
      </c>
      <c r="F4603" s="3">
        <v>106150</v>
      </c>
      <c r="G4603" s="57">
        <f t="shared" si="73"/>
        <v>2.8436735349412841E-3</v>
      </c>
      <c r="J4603" s="5" t="s">
        <v>2815</v>
      </c>
    </row>
    <row r="4604" spans="1:10" ht="25.5" x14ac:dyDescent="0.2">
      <c r="A4604" s="1" t="s">
        <v>6</v>
      </c>
      <c r="B4604" s="2" t="s">
        <v>310</v>
      </c>
      <c r="D4604" s="5" t="s">
        <v>944</v>
      </c>
      <c r="E4604" s="3">
        <v>82817</v>
      </c>
      <c r="F4604" s="3">
        <v>149622</v>
      </c>
      <c r="G4604" s="57">
        <f t="shared" si="73"/>
        <v>0.80665805329823592</v>
      </c>
      <c r="J4604" s="5" t="s">
        <v>2816</v>
      </c>
    </row>
    <row r="4605" spans="1:10" ht="25.5" x14ac:dyDescent="0.2">
      <c r="A4605" s="1" t="s">
        <v>25</v>
      </c>
      <c r="B4605" s="2" t="s">
        <v>311</v>
      </c>
      <c r="C4605" s="5" t="s">
        <v>936</v>
      </c>
      <c r="D4605" s="5" t="s">
        <v>450</v>
      </c>
      <c r="E4605" s="3">
        <v>215657</v>
      </c>
      <c r="F4605" s="3">
        <v>220859</v>
      </c>
      <c r="G4605" s="57">
        <f t="shared" si="73"/>
        <v>2.4121637600448862E-2</v>
      </c>
      <c r="J4605" s="5" t="s">
        <v>2809</v>
      </c>
    </row>
    <row r="4606" spans="1:10" ht="25.5" x14ac:dyDescent="0.2">
      <c r="A4606" s="1" t="s">
        <v>25</v>
      </c>
      <c r="B4606" s="2" t="s">
        <v>311</v>
      </c>
      <c r="C4606" s="5" t="s">
        <v>937</v>
      </c>
      <c r="D4606" s="5" t="s">
        <v>938</v>
      </c>
      <c r="E4606" s="3">
        <v>153374</v>
      </c>
      <c r="F4606" s="3">
        <v>157048</v>
      </c>
      <c r="G4606" s="57">
        <f t="shared" si="73"/>
        <v>2.3954516410864945E-2</v>
      </c>
      <c r="J4606" s="5" t="s">
        <v>2810</v>
      </c>
    </row>
    <row r="4607" spans="1:10" ht="25.5" x14ac:dyDescent="0.2">
      <c r="A4607" s="1" t="s">
        <v>25</v>
      </c>
      <c r="B4607" s="2" t="s">
        <v>311</v>
      </c>
      <c r="C4607" s="5" t="s">
        <v>939</v>
      </c>
      <c r="D4607" s="5" t="s">
        <v>940</v>
      </c>
      <c r="E4607" s="3">
        <v>147372</v>
      </c>
      <c r="F4607" s="3">
        <v>150243</v>
      </c>
      <c r="G4607" s="57">
        <f t="shared" si="73"/>
        <v>1.948131259669408E-2</v>
      </c>
      <c r="J4607" s="5" t="s">
        <v>2811</v>
      </c>
    </row>
    <row r="4608" spans="1:10" ht="25.5" x14ac:dyDescent="0.2">
      <c r="A4608" s="1" t="s">
        <v>25</v>
      </c>
      <c r="B4608" s="2" t="s">
        <v>311</v>
      </c>
      <c r="C4608" s="5" t="s">
        <v>941</v>
      </c>
      <c r="D4608" s="5" t="s">
        <v>942</v>
      </c>
      <c r="E4608" s="3">
        <v>131616</v>
      </c>
      <c r="F4608" s="3">
        <v>149499</v>
      </c>
      <c r="G4608" s="57">
        <f t="shared" si="73"/>
        <v>0.13587253829321663</v>
      </c>
      <c r="J4608" s="5" t="s">
        <v>2812</v>
      </c>
    </row>
    <row r="4609" spans="1:10" ht="25.5" x14ac:dyDescent="0.2">
      <c r="A4609" s="1" t="s">
        <v>25</v>
      </c>
      <c r="B4609" s="2" t="s">
        <v>311</v>
      </c>
      <c r="C4609" s="5" t="s">
        <v>943</v>
      </c>
      <c r="D4609" s="5" t="s">
        <v>4677</v>
      </c>
      <c r="E4609" s="3">
        <v>152324</v>
      </c>
      <c r="F4609" s="3">
        <v>158596</v>
      </c>
      <c r="G4609" s="57">
        <f t="shared" si="73"/>
        <v>4.1175389301751526E-2</v>
      </c>
      <c r="J4609" s="5" t="s">
        <v>2813</v>
      </c>
    </row>
    <row r="4610" spans="1:10" ht="25.5" x14ac:dyDescent="0.2">
      <c r="A4610" s="1" t="s">
        <v>25</v>
      </c>
      <c r="B4610" s="2" t="s">
        <v>311</v>
      </c>
      <c r="D4610" s="5" t="s">
        <v>569</v>
      </c>
      <c r="E4610" s="3">
        <v>101950</v>
      </c>
      <c r="F4610" s="3">
        <v>104479</v>
      </c>
      <c r="G4610" s="57">
        <f t="shared" si="73"/>
        <v>2.4806277587052478E-2</v>
      </c>
      <c r="J4610" s="5" t="s">
        <v>2814</v>
      </c>
    </row>
    <row r="4611" spans="1:10" ht="38.25" x14ac:dyDescent="0.2">
      <c r="A4611" s="1" t="s">
        <v>25</v>
      </c>
      <c r="B4611" s="2" t="s">
        <v>311</v>
      </c>
      <c r="D4611" s="5" t="s">
        <v>464</v>
      </c>
      <c r="G4611" s="57" t="str">
        <f t="shared" si="73"/>
        <v>-</v>
      </c>
      <c r="H4611" s="19">
        <v>92500</v>
      </c>
      <c r="I4611" s="19" t="s">
        <v>465</v>
      </c>
      <c r="J4611" s="5" t="s">
        <v>4678</v>
      </c>
    </row>
    <row r="4612" spans="1:10" x14ac:dyDescent="0.2">
      <c r="A4612" s="1" t="s">
        <v>25</v>
      </c>
      <c r="B4612" s="2" t="s">
        <v>311</v>
      </c>
      <c r="D4612" s="5" t="s">
        <v>464</v>
      </c>
      <c r="G4612" s="57" t="str">
        <f t="shared" si="73"/>
        <v>-</v>
      </c>
      <c r="H4612" s="19">
        <v>92500</v>
      </c>
      <c r="I4612" s="19" t="s">
        <v>465</v>
      </c>
    </row>
    <row r="4613" spans="1:10" x14ac:dyDescent="0.2">
      <c r="A4613" s="1" t="s">
        <v>25</v>
      </c>
      <c r="B4613" s="2" t="s">
        <v>311</v>
      </c>
      <c r="D4613" s="5" t="s">
        <v>464</v>
      </c>
      <c r="G4613" s="57" t="str">
        <f t="shared" si="73"/>
        <v>-</v>
      </c>
      <c r="H4613" s="19">
        <v>92500</v>
      </c>
      <c r="I4613" s="19" t="s">
        <v>465</v>
      </c>
    </row>
    <row r="4614" spans="1:10" x14ac:dyDescent="0.2">
      <c r="A4614" s="1" t="s">
        <v>25</v>
      </c>
      <c r="B4614" s="2" t="s">
        <v>311</v>
      </c>
      <c r="D4614" s="5" t="s">
        <v>464</v>
      </c>
      <c r="G4614" s="57" t="str">
        <f t="shared" si="73"/>
        <v>-</v>
      </c>
      <c r="H4614" s="19">
        <v>92500</v>
      </c>
      <c r="I4614" s="19" t="s">
        <v>465</v>
      </c>
    </row>
    <row r="4615" spans="1:10" x14ac:dyDescent="0.2">
      <c r="A4615" s="1" t="s">
        <v>25</v>
      </c>
      <c r="B4615" s="2" t="s">
        <v>311</v>
      </c>
      <c r="D4615" s="5" t="s">
        <v>464</v>
      </c>
      <c r="G4615" s="57" t="str">
        <f t="shared" si="73"/>
        <v>-</v>
      </c>
      <c r="H4615" s="19">
        <v>92500</v>
      </c>
      <c r="I4615" s="19" t="s">
        <v>465</v>
      </c>
    </row>
    <row r="4616" spans="1:10" x14ac:dyDescent="0.2">
      <c r="A4616" s="1" t="s">
        <v>25</v>
      </c>
      <c r="B4616" s="2" t="s">
        <v>311</v>
      </c>
      <c r="D4616" s="5" t="s">
        <v>464</v>
      </c>
      <c r="G4616" s="57" t="str">
        <f t="shared" si="73"/>
        <v>-</v>
      </c>
      <c r="H4616" s="19" t="s">
        <v>465</v>
      </c>
      <c r="I4616" s="19">
        <v>92500</v>
      </c>
    </row>
    <row r="4617" spans="1:10" x14ac:dyDescent="0.2">
      <c r="A4617" s="1" t="s">
        <v>25</v>
      </c>
      <c r="B4617" s="2" t="s">
        <v>311</v>
      </c>
      <c r="D4617" s="5" t="s">
        <v>464</v>
      </c>
      <c r="G4617" s="57" t="str">
        <f t="shared" si="73"/>
        <v>-</v>
      </c>
      <c r="H4617" s="19" t="s">
        <v>465</v>
      </c>
      <c r="I4617" s="19">
        <v>92500</v>
      </c>
    </row>
    <row r="4618" spans="1:10" x14ac:dyDescent="0.2">
      <c r="A4618" s="1" t="s">
        <v>25</v>
      </c>
      <c r="B4618" s="2" t="s">
        <v>311</v>
      </c>
      <c r="D4618" s="5" t="s">
        <v>464</v>
      </c>
      <c r="G4618" s="57" t="str">
        <f t="shared" si="73"/>
        <v>-</v>
      </c>
      <c r="H4618" s="19" t="s">
        <v>465</v>
      </c>
      <c r="I4618" s="19">
        <v>92500</v>
      </c>
    </row>
    <row r="4619" spans="1:10" x14ac:dyDescent="0.2">
      <c r="A4619" s="1" t="s">
        <v>25</v>
      </c>
      <c r="B4619" s="2" t="s">
        <v>311</v>
      </c>
      <c r="D4619" s="5" t="s">
        <v>464</v>
      </c>
      <c r="G4619" s="57" t="str">
        <f t="shared" si="73"/>
        <v>-</v>
      </c>
      <c r="H4619" s="19" t="s">
        <v>465</v>
      </c>
      <c r="I4619" s="19">
        <v>92500</v>
      </c>
    </row>
    <row r="4620" spans="1:10" x14ac:dyDescent="0.2">
      <c r="A4620" s="1" t="s">
        <v>25</v>
      </c>
      <c r="B4620" s="2" t="s">
        <v>311</v>
      </c>
      <c r="D4620" s="5" t="s">
        <v>464</v>
      </c>
      <c r="G4620" s="57" t="str">
        <f t="shared" si="73"/>
        <v>-</v>
      </c>
      <c r="H4620" s="19" t="s">
        <v>465</v>
      </c>
      <c r="I4620" s="19">
        <v>92500</v>
      </c>
    </row>
    <row r="4621" spans="1:10" x14ac:dyDescent="0.2">
      <c r="A4621" s="1" t="s">
        <v>25</v>
      </c>
      <c r="B4621" s="2" t="s">
        <v>311</v>
      </c>
      <c r="D4621" s="5" t="s">
        <v>464</v>
      </c>
      <c r="G4621" s="57" t="str">
        <f t="shared" si="73"/>
        <v>-</v>
      </c>
      <c r="H4621" s="19" t="s">
        <v>465</v>
      </c>
      <c r="I4621" s="19">
        <v>92500</v>
      </c>
    </row>
    <row r="4622" spans="1:10" x14ac:dyDescent="0.2">
      <c r="A4622" s="1" t="s">
        <v>25</v>
      </c>
      <c r="B4622" s="2" t="s">
        <v>311</v>
      </c>
      <c r="D4622" s="5" t="s">
        <v>464</v>
      </c>
      <c r="G4622" s="57" t="str">
        <f t="shared" si="73"/>
        <v>-</v>
      </c>
      <c r="H4622" s="19" t="s">
        <v>465</v>
      </c>
      <c r="I4622" s="19">
        <v>92500</v>
      </c>
    </row>
    <row r="4623" spans="1:10" x14ac:dyDescent="0.2">
      <c r="A4623" s="1" t="s">
        <v>25</v>
      </c>
      <c r="B4623" s="2" t="s">
        <v>311</v>
      </c>
      <c r="D4623" s="5" t="s">
        <v>464</v>
      </c>
      <c r="G4623" s="57" t="str">
        <f t="shared" si="73"/>
        <v>-</v>
      </c>
      <c r="H4623" s="19">
        <v>97500</v>
      </c>
      <c r="I4623" s="19" t="s">
        <v>465</v>
      </c>
    </row>
    <row r="4624" spans="1:10" x14ac:dyDescent="0.2">
      <c r="A4624" s="1" t="s">
        <v>25</v>
      </c>
      <c r="B4624" s="2" t="s">
        <v>311</v>
      </c>
      <c r="D4624" s="5" t="s">
        <v>464</v>
      </c>
      <c r="G4624" s="57" t="str">
        <f t="shared" si="73"/>
        <v>-</v>
      </c>
      <c r="H4624" s="19">
        <v>97500</v>
      </c>
      <c r="I4624" s="19" t="s">
        <v>465</v>
      </c>
    </row>
    <row r="4625" spans="1:9" s="1" customFormat="1" x14ac:dyDescent="0.2">
      <c r="A4625" s="1" t="s">
        <v>25</v>
      </c>
      <c r="B4625" s="2" t="s">
        <v>311</v>
      </c>
      <c r="C4625" s="5"/>
      <c r="D4625" s="5" t="s">
        <v>464</v>
      </c>
      <c r="E4625" s="3"/>
      <c r="F4625" s="3"/>
      <c r="G4625" s="57" t="str">
        <f t="shared" si="73"/>
        <v>-</v>
      </c>
      <c r="H4625" s="19">
        <v>97500</v>
      </c>
      <c r="I4625" s="19" t="s">
        <v>465</v>
      </c>
    </row>
    <row r="4626" spans="1:9" s="1" customFormat="1" x14ac:dyDescent="0.2">
      <c r="A4626" s="1" t="s">
        <v>25</v>
      </c>
      <c r="B4626" s="2" t="s">
        <v>311</v>
      </c>
      <c r="C4626" s="5"/>
      <c r="D4626" s="5" t="s">
        <v>464</v>
      </c>
      <c r="E4626" s="3"/>
      <c r="F4626" s="3"/>
      <c r="G4626" s="57" t="str">
        <f t="shared" si="73"/>
        <v>-</v>
      </c>
      <c r="H4626" s="19">
        <v>97500</v>
      </c>
      <c r="I4626" s="19" t="s">
        <v>465</v>
      </c>
    </row>
    <row r="4627" spans="1:9" s="1" customFormat="1" x14ac:dyDescent="0.2">
      <c r="A4627" s="1" t="s">
        <v>25</v>
      </c>
      <c r="B4627" s="2" t="s">
        <v>311</v>
      </c>
      <c r="C4627" s="5"/>
      <c r="D4627" s="5" t="s">
        <v>464</v>
      </c>
      <c r="E4627" s="3"/>
      <c r="F4627" s="3"/>
      <c r="G4627" s="57" t="str">
        <f t="shared" si="73"/>
        <v>-</v>
      </c>
      <c r="H4627" s="19">
        <v>97500</v>
      </c>
      <c r="I4627" s="19" t="s">
        <v>465</v>
      </c>
    </row>
    <row r="4628" spans="1:9" s="1" customFormat="1" x14ac:dyDescent="0.2">
      <c r="A4628" s="1" t="s">
        <v>25</v>
      </c>
      <c r="B4628" s="2" t="s">
        <v>311</v>
      </c>
      <c r="C4628" s="5"/>
      <c r="D4628" s="5" t="s">
        <v>464</v>
      </c>
      <c r="E4628" s="3"/>
      <c r="F4628" s="3"/>
      <c r="G4628" s="57" t="str">
        <f t="shared" si="73"/>
        <v>-</v>
      </c>
      <c r="H4628" s="19" t="s">
        <v>465</v>
      </c>
      <c r="I4628" s="19">
        <v>97500</v>
      </c>
    </row>
    <row r="4629" spans="1:9" s="1" customFormat="1" x14ac:dyDescent="0.2">
      <c r="A4629" s="1" t="s">
        <v>25</v>
      </c>
      <c r="B4629" s="2" t="s">
        <v>311</v>
      </c>
      <c r="C4629" s="5"/>
      <c r="D4629" s="5" t="s">
        <v>464</v>
      </c>
      <c r="E4629" s="3"/>
      <c r="F4629" s="3"/>
      <c r="G4629" s="57" t="str">
        <f t="shared" si="73"/>
        <v>-</v>
      </c>
      <c r="H4629" s="19" t="s">
        <v>465</v>
      </c>
      <c r="I4629" s="19">
        <v>97500</v>
      </c>
    </row>
    <row r="4630" spans="1:9" s="1" customFormat="1" x14ac:dyDescent="0.2">
      <c r="A4630" s="1" t="s">
        <v>25</v>
      </c>
      <c r="B4630" s="2" t="s">
        <v>311</v>
      </c>
      <c r="C4630" s="5"/>
      <c r="D4630" s="5" t="s">
        <v>464</v>
      </c>
      <c r="E4630" s="3"/>
      <c r="F4630" s="3"/>
      <c r="G4630" s="57" t="str">
        <f t="shared" si="73"/>
        <v>-</v>
      </c>
      <c r="H4630" s="19" t="s">
        <v>465</v>
      </c>
      <c r="I4630" s="19">
        <v>97500</v>
      </c>
    </row>
    <row r="4631" spans="1:9" s="1" customFormat="1" x14ac:dyDescent="0.2">
      <c r="A4631" s="1" t="s">
        <v>25</v>
      </c>
      <c r="B4631" s="2" t="s">
        <v>311</v>
      </c>
      <c r="C4631" s="5"/>
      <c r="D4631" s="5" t="s">
        <v>464</v>
      </c>
      <c r="E4631" s="3"/>
      <c r="F4631" s="3"/>
      <c r="G4631" s="57" t="str">
        <f t="shared" si="73"/>
        <v>-</v>
      </c>
      <c r="H4631" s="19" t="s">
        <v>465</v>
      </c>
      <c r="I4631" s="19">
        <v>97500</v>
      </c>
    </row>
    <row r="4632" spans="1:9" s="1" customFormat="1" x14ac:dyDescent="0.2">
      <c r="A4632" s="1" t="s">
        <v>25</v>
      </c>
      <c r="B4632" s="2" t="s">
        <v>311</v>
      </c>
      <c r="C4632" s="5"/>
      <c r="D4632" s="5" t="s">
        <v>464</v>
      </c>
      <c r="E4632" s="3">
        <v>102500</v>
      </c>
      <c r="F4632" s="3" t="s">
        <v>465</v>
      </c>
      <c r="G4632" s="57" t="str">
        <f t="shared" si="73"/>
        <v>-</v>
      </c>
      <c r="H4632" s="19"/>
      <c r="I4632" s="19"/>
    </row>
    <row r="4633" spans="1:9" s="1" customFormat="1" x14ac:dyDescent="0.2">
      <c r="A4633" s="1" t="s">
        <v>25</v>
      </c>
      <c r="B4633" s="2" t="s">
        <v>311</v>
      </c>
      <c r="C4633" s="5"/>
      <c r="D4633" s="5" t="s">
        <v>464</v>
      </c>
      <c r="E4633" s="3" t="s">
        <v>465</v>
      </c>
      <c r="F4633" s="3">
        <v>102500</v>
      </c>
      <c r="G4633" s="57" t="str">
        <f t="shared" si="73"/>
        <v>-</v>
      </c>
      <c r="H4633" s="19"/>
      <c r="I4633" s="19"/>
    </row>
    <row r="4634" spans="1:9" s="1" customFormat="1" x14ac:dyDescent="0.2">
      <c r="A4634" s="1" t="s">
        <v>25</v>
      </c>
      <c r="B4634" s="2" t="s">
        <v>311</v>
      </c>
      <c r="C4634" s="5"/>
      <c r="D4634" s="5" t="s">
        <v>464</v>
      </c>
      <c r="E4634" s="3" t="s">
        <v>465</v>
      </c>
      <c r="F4634" s="3">
        <v>102500</v>
      </c>
      <c r="G4634" s="57" t="str">
        <f t="shared" si="73"/>
        <v>-</v>
      </c>
      <c r="H4634" s="19"/>
      <c r="I4634" s="19"/>
    </row>
    <row r="4635" spans="1:9" s="1" customFormat="1" x14ac:dyDescent="0.2">
      <c r="A4635" s="1" t="s">
        <v>25</v>
      </c>
      <c r="B4635" s="2" t="s">
        <v>311</v>
      </c>
      <c r="C4635" s="5"/>
      <c r="D4635" s="5" t="s">
        <v>464</v>
      </c>
      <c r="E4635" s="3" t="s">
        <v>465</v>
      </c>
      <c r="F4635" s="3">
        <v>102500</v>
      </c>
      <c r="G4635" s="57" t="str">
        <f t="shared" si="73"/>
        <v>-</v>
      </c>
      <c r="H4635" s="19"/>
      <c r="I4635" s="19"/>
    </row>
    <row r="4636" spans="1:9" s="1" customFormat="1" x14ac:dyDescent="0.2">
      <c r="A4636" s="1" t="s">
        <v>25</v>
      </c>
      <c r="B4636" s="2" t="s">
        <v>311</v>
      </c>
      <c r="C4636" s="5"/>
      <c r="D4636" s="5" t="s">
        <v>464</v>
      </c>
      <c r="E4636" s="3" t="s">
        <v>465</v>
      </c>
      <c r="F4636" s="3">
        <v>102500</v>
      </c>
      <c r="G4636" s="57" t="str">
        <f t="shared" si="73"/>
        <v>-</v>
      </c>
      <c r="H4636" s="19"/>
      <c r="I4636" s="19"/>
    </row>
    <row r="4637" spans="1:9" s="1" customFormat="1" x14ac:dyDescent="0.2">
      <c r="A4637" s="1" t="s">
        <v>25</v>
      </c>
      <c r="B4637" s="2" t="s">
        <v>311</v>
      </c>
      <c r="C4637" s="5"/>
      <c r="D4637" s="5" t="s">
        <v>464</v>
      </c>
      <c r="E4637" s="3" t="s">
        <v>465</v>
      </c>
      <c r="F4637" s="3">
        <v>102500</v>
      </c>
      <c r="G4637" s="57" t="str">
        <f t="shared" si="73"/>
        <v>-</v>
      </c>
      <c r="H4637" s="19"/>
      <c r="I4637" s="19"/>
    </row>
    <row r="4638" spans="1:9" s="1" customFormat="1" x14ac:dyDescent="0.2">
      <c r="A4638" s="1" t="s">
        <v>25</v>
      </c>
      <c r="B4638" s="2" t="s">
        <v>311</v>
      </c>
      <c r="C4638" s="5"/>
      <c r="D4638" s="5" t="s">
        <v>464</v>
      </c>
      <c r="E4638" s="3" t="s">
        <v>465</v>
      </c>
      <c r="F4638" s="3">
        <v>102500</v>
      </c>
      <c r="G4638" s="57" t="str">
        <f t="shared" si="73"/>
        <v>-</v>
      </c>
      <c r="H4638" s="19"/>
      <c r="I4638" s="19"/>
    </row>
    <row r="4639" spans="1:9" s="1" customFormat="1" x14ac:dyDescent="0.2">
      <c r="A4639" s="1" t="s">
        <v>25</v>
      </c>
      <c r="B4639" s="2" t="s">
        <v>311</v>
      </c>
      <c r="C4639" s="5"/>
      <c r="D4639" s="5" t="s">
        <v>464</v>
      </c>
      <c r="E4639" s="3">
        <v>117500</v>
      </c>
      <c r="F4639" s="3" t="s">
        <v>465</v>
      </c>
      <c r="G4639" s="57" t="str">
        <f t="shared" si="73"/>
        <v>-</v>
      </c>
      <c r="H4639" s="19"/>
      <c r="I4639" s="19"/>
    </row>
    <row r="4640" spans="1:9" s="1" customFormat="1" x14ac:dyDescent="0.2">
      <c r="A4640" s="1" t="s">
        <v>25</v>
      </c>
      <c r="B4640" s="2" t="s">
        <v>311</v>
      </c>
      <c r="C4640" s="5"/>
      <c r="D4640" s="5" t="s">
        <v>464</v>
      </c>
      <c r="E4640" s="3" t="s">
        <v>465</v>
      </c>
      <c r="F4640" s="3">
        <v>117500</v>
      </c>
      <c r="G4640" s="57" t="str">
        <f t="shared" si="73"/>
        <v>-</v>
      </c>
      <c r="H4640" s="19"/>
      <c r="I4640" s="19"/>
    </row>
    <row r="4641" spans="1:10" ht="25.5" x14ac:dyDescent="0.2">
      <c r="A4641" s="1" t="s">
        <v>28</v>
      </c>
      <c r="B4641" s="2" t="s">
        <v>312</v>
      </c>
      <c r="D4641" s="5" t="s">
        <v>455</v>
      </c>
      <c r="E4641" s="3">
        <v>111741</v>
      </c>
      <c r="F4641" s="3">
        <v>110026</v>
      </c>
      <c r="G4641" s="57">
        <f t="shared" si="73"/>
        <v>-1.5347992232036584E-2</v>
      </c>
      <c r="J4641" s="5" t="s">
        <v>2807</v>
      </c>
    </row>
    <row r="4642" spans="1:10" ht="25.5" x14ac:dyDescent="0.2">
      <c r="A4642" s="1" t="s">
        <v>28</v>
      </c>
      <c r="B4642" s="2" t="s">
        <v>312</v>
      </c>
      <c r="D4642" s="5" t="s">
        <v>455</v>
      </c>
      <c r="E4642" s="3">
        <v>108558</v>
      </c>
      <c r="F4642" s="3">
        <v>109818</v>
      </c>
      <c r="G4642" s="57">
        <f t="shared" si="73"/>
        <v>1.1606698723263141E-2</v>
      </c>
      <c r="J4642" s="5" t="s">
        <v>2808</v>
      </c>
    </row>
    <row r="4643" spans="1:10" ht="25.5" x14ac:dyDescent="0.2">
      <c r="A4643" s="1" t="s">
        <v>6</v>
      </c>
      <c r="B4643" s="2" t="s">
        <v>313</v>
      </c>
      <c r="C4643" s="5" t="s">
        <v>932</v>
      </c>
      <c r="D4643" s="5" t="s">
        <v>450</v>
      </c>
      <c r="E4643" s="6">
        <v>174000</v>
      </c>
      <c r="F4643" s="6">
        <v>175000</v>
      </c>
      <c r="G4643" s="57">
        <f t="shared" si="73"/>
        <v>5.7471264367816091E-3</v>
      </c>
      <c r="H4643" s="21"/>
      <c r="I4643" s="21"/>
      <c r="J4643" s="7" t="s">
        <v>2803</v>
      </c>
    </row>
    <row r="4644" spans="1:10" ht="25.5" x14ac:dyDescent="0.2">
      <c r="A4644" s="1" t="s">
        <v>6</v>
      </c>
      <c r="B4644" s="2" t="s">
        <v>313</v>
      </c>
      <c r="D4644" s="5" t="s">
        <v>4679</v>
      </c>
      <c r="E4644" s="6">
        <v>133000</v>
      </c>
      <c r="F4644" s="6">
        <v>141000</v>
      </c>
      <c r="G4644" s="57">
        <f t="shared" si="73"/>
        <v>6.0150375939849621E-2</v>
      </c>
      <c r="H4644" s="21"/>
      <c r="I4644" s="21"/>
      <c r="J4644" s="7" t="s">
        <v>2804</v>
      </c>
    </row>
    <row r="4645" spans="1:10" ht="38.25" x14ac:dyDescent="0.2">
      <c r="A4645" s="1" t="s">
        <v>6</v>
      </c>
      <c r="B4645" s="2" t="s">
        <v>313</v>
      </c>
      <c r="D4645" s="5" t="s">
        <v>933</v>
      </c>
      <c r="E4645" s="6">
        <v>133000</v>
      </c>
      <c r="F4645" s="6">
        <v>141000</v>
      </c>
      <c r="G4645" s="57">
        <f t="shared" si="73"/>
        <v>6.0150375939849621E-2</v>
      </c>
      <c r="H4645" s="21"/>
      <c r="I4645" s="21"/>
      <c r="J4645" s="7" t="s">
        <v>2804</v>
      </c>
    </row>
    <row r="4646" spans="1:10" ht="38.25" x14ac:dyDescent="0.2">
      <c r="A4646" s="1" t="s">
        <v>6</v>
      </c>
      <c r="B4646" s="2" t="s">
        <v>313</v>
      </c>
      <c r="D4646" s="5" t="s">
        <v>934</v>
      </c>
      <c r="E4646" s="6">
        <v>104000</v>
      </c>
      <c r="F4646" s="6">
        <v>113000</v>
      </c>
      <c r="G4646" s="57">
        <f t="shared" si="73"/>
        <v>8.6538461538461536E-2</v>
      </c>
      <c r="H4646" s="21"/>
      <c r="I4646" s="21"/>
      <c r="J4646" s="7" t="s">
        <v>2805</v>
      </c>
    </row>
    <row r="4647" spans="1:10" ht="38.25" x14ac:dyDescent="0.2">
      <c r="A4647" s="1" t="s">
        <v>6</v>
      </c>
      <c r="B4647" s="2" t="s">
        <v>313</v>
      </c>
      <c r="D4647" s="5" t="s">
        <v>4680</v>
      </c>
      <c r="E4647" s="6">
        <v>6000</v>
      </c>
      <c r="F4647" s="6">
        <v>139000</v>
      </c>
      <c r="G4647" s="57">
        <f t="shared" si="73"/>
        <v>22.166666666666668</v>
      </c>
      <c r="H4647" s="21"/>
      <c r="I4647" s="21"/>
      <c r="J4647" s="7" t="s">
        <v>2806</v>
      </c>
    </row>
    <row r="4648" spans="1:10" x14ac:dyDescent="0.2">
      <c r="A4648" s="1" t="s">
        <v>6</v>
      </c>
      <c r="B4648" s="2" t="s">
        <v>313</v>
      </c>
      <c r="D4648" s="5" t="s">
        <v>464</v>
      </c>
      <c r="G4648" s="57" t="str">
        <f t="shared" si="73"/>
        <v>-</v>
      </c>
      <c r="H4648" s="19">
        <v>92500</v>
      </c>
      <c r="I4648" s="19" t="s">
        <v>465</v>
      </c>
    </row>
    <row r="4649" spans="1:10" x14ac:dyDescent="0.2">
      <c r="A4649" s="1" t="s">
        <v>6</v>
      </c>
      <c r="B4649" s="2" t="s">
        <v>313</v>
      </c>
      <c r="D4649" s="5" t="s">
        <v>464</v>
      </c>
      <c r="G4649" s="57" t="str">
        <f t="shared" si="73"/>
        <v>-</v>
      </c>
      <c r="H4649" s="19">
        <v>97500</v>
      </c>
      <c r="I4649" s="19" t="s">
        <v>465</v>
      </c>
    </row>
    <row r="4650" spans="1:10" x14ac:dyDescent="0.2">
      <c r="A4650" s="1" t="s">
        <v>6</v>
      </c>
      <c r="B4650" s="2" t="s">
        <v>313</v>
      </c>
      <c r="D4650" s="5" t="s">
        <v>464</v>
      </c>
      <c r="G4650" s="57" t="str">
        <f t="shared" si="73"/>
        <v>-</v>
      </c>
      <c r="H4650" s="19" t="s">
        <v>465</v>
      </c>
      <c r="I4650" s="19">
        <v>97500</v>
      </c>
    </row>
    <row r="4651" spans="1:10" x14ac:dyDescent="0.2">
      <c r="A4651" s="1" t="s">
        <v>6</v>
      </c>
      <c r="B4651" s="2" t="s">
        <v>313</v>
      </c>
      <c r="D4651" s="5" t="s">
        <v>464</v>
      </c>
      <c r="E4651" s="3">
        <v>102500</v>
      </c>
      <c r="F4651" s="3" t="s">
        <v>465</v>
      </c>
      <c r="G4651" s="57" t="str">
        <f t="shared" si="73"/>
        <v>-</v>
      </c>
    </row>
    <row r="4652" spans="1:10" x14ac:dyDescent="0.2">
      <c r="A4652" s="1" t="s">
        <v>6</v>
      </c>
      <c r="B4652" s="2" t="s">
        <v>313</v>
      </c>
      <c r="D4652" s="5" t="s">
        <v>464</v>
      </c>
      <c r="E4652" s="3" t="s">
        <v>465</v>
      </c>
      <c r="F4652" s="3">
        <v>102500</v>
      </c>
      <c r="G4652" s="57" t="str">
        <f t="shared" si="73"/>
        <v>-</v>
      </c>
    </row>
    <row r="4653" spans="1:10" x14ac:dyDescent="0.2">
      <c r="A4653" s="1" t="s">
        <v>6</v>
      </c>
      <c r="B4653" s="2" t="s">
        <v>313</v>
      </c>
      <c r="D4653" s="5" t="s">
        <v>464</v>
      </c>
      <c r="E4653" s="3" t="s">
        <v>465</v>
      </c>
      <c r="F4653" s="3">
        <v>117500</v>
      </c>
      <c r="G4653" s="57" t="str">
        <f t="shared" si="73"/>
        <v>-</v>
      </c>
    </row>
    <row r="4654" spans="1:10" ht="38.25" x14ac:dyDescent="0.2">
      <c r="A4654" s="1" t="s">
        <v>20</v>
      </c>
      <c r="B4654" s="2" t="s">
        <v>314</v>
      </c>
      <c r="D4654" s="5" t="s">
        <v>450</v>
      </c>
      <c r="E4654" s="3">
        <v>132942</v>
      </c>
      <c r="F4654" s="3">
        <v>133065</v>
      </c>
      <c r="G4654" s="57">
        <f t="shared" si="73"/>
        <v>9.2521550751455519E-4</v>
      </c>
      <c r="J4654" s="5" t="s">
        <v>2801</v>
      </c>
    </row>
    <row r="4655" spans="1:10" ht="51" x14ac:dyDescent="0.2">
      <c r="A4655" s="1" t="s">
        <v>20</v>
      </c>
      <c r="B4655" s="2" t="s">
        <v>314</v>
      </c>
      <c r="D4655" s="5" t="s">
        <v>455</v>
      </c>
      <c r="E4655" s="3">
        <v>104087</v>
      </c>
      <c r="F4655" s="3">
        <v>157856</v>
      </c>
      <c r="G4655" s="57">
        <f t="shared" ref="G4655:G4666" si="74">IF(ISERROR((F4655-E4655)/E4655),"-",(F4655-E4655)/E4655)</f>
        <v>0.51657747845552282</v>
      </c>
      <c r="J4655" s="5" t="s">
        <v>4681</v>
      </c>
    </row>
    <row r="4656" spans="1:10" ht="38.25" x14ac:dyDescent="0.2">
      <c r="A4656" s="1" t="s">
        <v>20</v>
      </c>
      <c r="B4656" s="2" t="s">
        <v>314</v>
      </c>
      <c r="D4656" s="7" t="s">
        <v>2800</v>
      </c>
      <c r="E4656" s="6">
        <v>108725</v>
      </c>
      <c r="F4656" s="6">
        <v>71995</v>
      </c>
      <c r="G4656" s="57">
        <f t="shared" si="74"/>
        <v>-0.33782478730742699</v>
      </c>
      <c r="H4656" s="21"/>
      <c r="I4656" s="21"/>
      <c r="J4656" s="7" t="s">
        <v>2802</v>
      </c>
    </row>
    <row r="4657" spans="1:10" ht="25.5" x14ac:dyDescent="0.2">
      <c r="A4657" s="1" t="s">
        <v>6</v>
      </c>
      <c r="B4657" s="2" t="s">
        <v>315</v>
      </c>
      <c r="D4657" s="5" t="s">
        <v>450</v>
      </c>
      <c r="E4657" s="3">
        <v>116269</v>
      </c>
      <c r="F4657" s="3">
        <v>119459</v>
      </c>
      <c r="G4657" s="57">
        <f t="shared" si="74"/>
        <v>2.7436375990160747E-2</v>
      </c>
      <c r="J4657" s="5" t="s">
        <v>2799</v>
      </c>
    </row>
    <row r="4658" spans="1:10" ht="25.5" x14ac:dyDescent="0.2">
      <c r="A4658" s="1" t="s">
        <v>4</v>
      </c>
      <c r="B4658" s="2" t="s">
        <v>316</v>
      </c>
      <c r="D4658" s="5" t="s">
        <v>450</v>
      </c>
      <c r="E4658" s="3">
        <v>121000</v>
      </c>
      <c r="F4658" s="3">
        <v>122000</v>
      </c>
      <c r="G4658" s="57">
        <f t="shared" si="74"/>
        <v>8.2644628099173556E-3</v>
      </c>
      <c r="J4658" s="5" t="s">
        <v>2798</v>
      </c>
    </row>
    <row r="4659" spans="1:10" x14ac:dyDescent="0.2">
      <c r="A4659" s="1" t="s">
        <v>28</v>
      </c>
      <c r="B4659" s="2" t="s">
        <v>317</v>
      </c>
      <c r="C4659" s="5" t="s">
        <v>924</v>
      </c>
      <c r="D4659" s="5" t="s">
        <v>450</v>
      </c>
      <c r="E4659" s="6">
        <f>69247.3+11841.29</f>
        <v>81088.59</v>
      </c>
      <c r="F4659" s="6">
        <f>159999.96+27360</f>
        <v>187359.96</v>
      </c>
      <c r="G4659" s="57">
        <f t="shared" si="74"/>
        <v>1.3105588591440547</v>
      </c>
      <c r="H4659" s="21"/>
      <c r="I4659" s="21"/>
      <c r="J4659" s="7" t="s">
        <v>2797</v>
      </c>
    </row>
    <row r="4660" spans="1:10" x14ac:dyDescent="0.2">
      <c r="A4660" s="1" t="s">
        <v>28</v>
      </c>
      <c r="B4660" s="2" t="s">
        <v>317</v>
      </c>
      <c r="C4660" s="5" t="s">
        <v>4411</v>
      </c>
      <c r="D4660" s="5" t="s">
        <v>4412</v>
      </c>
      <c r="E4660" s="6">
        <f>86805.22+14133.71</f>
        <v>100938.93</v>
      </c>
      <c r="F4660" s="6">
        <f>86787.04+14130.59</f>
        <v>100917.62999999999</v>
      </c>
      <c r="G4660" s="57">
        <f t="shared" si="74"/>
        <v>-2.1101868228643708E-4</v>
      </c>
      <c r="H4660" s="21"/>
      <c r="I4660" s="21"/>
      <c r="J4660" s="7" t="s">
        <v>4413</v>
      </c>
    </row>
    <row r="4661" spans="1:10" ht="25.5" x14ac:dyDescent="0.2">
      <c r="A4661" s="1" t="s">
        <v>28</v>
      </c>
      <c r="B4661" s="2" t="s">
        <v>317</v>
      </c>
      <c r="C4661" s="5" t="s">
        <v>925</v>
      </c>
      <c r="D4661" s="5" t="s">
        <v>926</v>
      </c>
      <c r="E4661" s="6">
        <f t="shared" ref="E4661:F4664" si="75">113384.04+19388.64</f>
        <v>132772.68</v>
      </c>
      <c r="F4661" s="6">
        <f t="shared" si="75"/>
        <v>132772.68</v>
      </c>
      <c r="G4661" s="57">
        <f t="shared" si="74"/>
        <v>0</v>
      </c>
      <c r="H4661" s="21"/>
      <c r="I4661" s="21"/>
      <c r="J4661" s="7" t="s">
        <v>2796</v>
      </c>
    </row>
    <row r="4662" spans="1:10" ht="25.5" x14ac:dyDescent="0.2">
      <c r="A4662" s="1" t="s">
        <v>28</v>
      </c>
      <c r="B4662" s="2" t="s">
        <v>317</v>
      </c>
      <c r="C4662" s="5" t="s">
        <v>927</v>
      </c>
      <c r="D4662" s="5" t="s">
        <v>4682</v>
      </c>
      <c r="E4662" s="6">
        <f t="shared" si="75"/>
        <v>132772.68</v>
      </c>
      <c r="F4662" s="6">
        <f t="shared" si="75"/>
        <v>132772.68</v>
      </c>
      <c r="G4662" s="57">
        <f t="shared" si="74"/>
        <v>0</v>
      </c>
      <c r="H4662" s="21"/>
      <c r="I4662" s="21"/>
      <c r="J4662" s="7" t="s">
        <v>2796</v>
      </c>
    </row>
    <row r="4663" spans="1:10" ht="24.75" customHeight="1" x14ac:dyDescent="0.2">
      <c r="A4663" s="1" t="s">
        <v>28</v>
      </c>
      <c r="B4663" s="2" t="s">
        <v>317</v>
      </c>
      <c r="C4663" s="5" t="s">
        <v>928</v>
      </c>
      <c r="D4663" s="5" t="s">
        <v>929</v>
      </c>
      <c r="E4663" s="6">
        <f t="shared" si="75"/>
        <v>132772.68</v>
      </c>
      <c r="F4663" s="6">
        <f t="shared" si="75"/>
        <v>132772.68</v>
      </c>
      <c r="G4663" s="57">
        <f t="shared" si="74"/>
        <v>0</v>
      </c>
      <c r="H4663" s="21"/>
      <c r="I4663" s="21"/>
      <c r="J4663" s="7" t="s">
        <v>2796</v>
      </c>
    </row>
    <row r="4664" spans="1:10" ht="25.5" x14ac:dyDescent="0.2">
      <c r="A4664" s="1" t="s">
        <v>28</v>
      </c>
      <c r="B4664" s="2" t="s">
        <v>317</v>
      </c>
      <c r="C4664" s="5" t="s">
        <v>930</v>
      </c>
      <c r="D4664" s="5" t="s">
        <v>931</v>
      </c>
      <c r="E4664" s="6">
        <f t="shared" si="75"/>
        <v>132772.68</v>
      </c>
      <c r="F4664" s="6">
        <f t="shared" si="75"/>
        <v>132772.68</v>
      </c>
      <c r="G4664" s="57">
        <f t="shared" si="74"/>
        <v>0</v>
      </c>
      <c r="H4664" s="21"/>
      <c r="I4664" s="21"/>
      <c r="J4664" s="7" t="s">
        <v>2796</v>
      </c>
    </row>
    <row r="4665" spans="1:10" x14ac:dyDescent="0.2">
      <c r="A4665" s="1" t="s">
        <v>28</v>
      </c>
      <c r="B4665" s="2" t="s">
        <v>317</v>
      </c>
      <c r="D4665" s="5" t="s">
        <v>464</v>
      </c>
      <c r="G4665" s="57" t="str">
        <f t="shared" si="74"/>
        <v>-</v>
      </c>
      <c r="H4665" s="19" t="s">
        <v>465</v>
      </c>
      <c r="I4665" s="19">
        <v>97500</v>
      </c>
    </row>
    <row r="4666" spans="1:10" x14ac:dyDescent="0.2">
      <c r="A4666" s="1" t="s">
        <v>28</v>
      </c>
      <c r="B4666" s="2" t="s">
        <v>317</v>
      </c>
      <c r="D4666" s="5" t="s">
        <v>464</v>
      </c>
      <c r="G4666" s="57" t="str">
        <f t="shared" si="74"/>
        <v>-</v>
      </c>
      <c r="H4666" s="19" t="s">
        <v>465</v>
      </c>
      <c r="I4666" s="19">
        <v>97500</v>
      </c>
    </row>
    <row r="4667" spans="1:10" x14ac:dyDescent="0.2">
      <c r="A4667" s="1" t="s">
        <v>28</v>
      </c>
      <c r="B4667" s="2" t="s">
        <v>317</v>
      </c>
      <c r="D4667" s="5" t="s">
        <v>464</v>
      </c>
      <c r="E4667" s="3" t="s">
        <v>465</v>
      </c>
      <c r="F4667" s="19">
        <v>102500</v>
      </c>
      <c r="G4667" s="57" t="str">
        <f>IF(ISERROR((#REF!-E4667)/E4667),"-",(#REF!-E4667)/E4667)</f>
        <v>-</v>
      </c>
      <c r="H4667" s="19" t="s">
        <v>465</v>
      </c>
    </row>
    <row r="4668" spans="1:10" x14ac:dyDescent="0.2">
      <c r="A4668" s="1" t="s">
        <v>28</v>
      </c>
      <c r="B4668" s="2" t="s">
        <v>317</v>
      </c>
      <c r="D4668" s="5" t="s">
        <v>464</v>
      </c>
      <c r="E4668" s="3" t="s">
        <v>465</v>
      </c>
      <c r="F4668" s="3">
        <v>132500</v>
      </c>
      <c r="G4668" s="57" t="str">
        <f t="shared" ref="G4668:G4731" si="76">IF(ISERROR((F4668-E4668)/E4668),"-",(F4668-E4668)/E4668)</f>
        <v>-</v>
      </c>
    </row>
    <row r="4669" spans="1:10" ht="38.25" x14ac:dyDescent="0.2">
      <c r="A4669" s="1" t="s">
        <v>39</v>
      </c>
      <c r="B4669" s="2" t="s">
        <v>318</v>
      </c>
      <c r="D4669" s="5" t="s">
        <v>529</v>
      </c>
      <c r="E4669" s="3">
        <v>94370</v>
      </c>
      <c r="F4669" s="3">
        <v>103700</v>
      </c>
      <c r="G4669" s="57">
        <f t="shared" si="76"/>
        <v>9.8866165094839462E-2</v>
      </c>
      <c r="J4669" s="5" t="s">
        <v>2793</v>
      </c>
    </row>
    <row r="4670" spans="1:10" ht="38.25" x14ac:dyDescent="0.2">
      <c r="A4670" s="1" t="s">
        <v>39</v>
      </c>
      <c r="B4670" s="2" t="s">
        <v>318</v>
      </c>
      <c r="D4670" s="5" t="s">
        <v>529</v>
      </c>
      <c r="E4670" s="3">
        <v>92660</v>
      </c>
      <c r="F4670" s="3">
        <v>102050</v>
      </c>
      <c r="G4670" s="57">
        <f t="shared" si="76"/>
        <v>0.10133822577163824</v>
      </c>
      <c r="J4670" s="5" t="s">
        <v>2794</v>
      </c>
    </row>
    <row r="4671" spans="1:10" ht="38.25" x14ac:dyDescent="0.2">
      <c r="A4671" s="1" t="s">
        <v>39</v>
      </c>
      <c r="B4671" s="2" t="s">
        <v>318</v>
      </c>
      <c r="D4671" s="5" t="s">
        <v>923</v>
      </c>
      <c r="E4671" s="3">
        <v>75920</v>
      </c>
      <c r="F4671" s="3">
        <v>118380</v>
      </c>
      <c r="G4671" s="57">
        <f t="shared" si="76"/>
        <v>0.55927291886195996</v>
      </c>
      <c r="J4671" s="5" t="s">
        <v>2795</v>
      </c>
    </row>
    <row r="4672" spans="1:10" x14ac:dyDescent="0.2">
      <c r="A4672" s="1" t="s">
        <v>39</v>
      </c>
      <c r="B4672" s="2" t="s">
        <v>318</v>
      </c>
      <c r="D4672" s="7" t="s">
        <v>450</v>
      </c>
      <c r="E4672" s="6">
        <v>117930</v>
      </c>
      <c r="F4672" s="6" t="s">
        <v>465</v>
      </c>
      <c r="G4672" s="57" t="str">
        <f t="shared" si="76"/>
        <v>-</v>
      </c>
      <c r="J4672" s="5" t="s">
        <v>4414</v>
      </c>
    </row>
    <row r="4673" spans="1:10" ht="25.5" x14ac:dyDescent="0.2">
      <c r="A4673" s="1" t="s">
        <v>4</v>
      </c>
      <c r="B4673" s="2" t="s">
        <v>319</v>
      </c>
      <c r="D4673" s="5" t="s">
        <v>450</v>
      </c>
      <c r="E4673" s="3">
        <v>64400</v>
      </c>
      <c r="F4673" s="3">
        <v>110400</v>
      </c>
      <c r="G4673" s="57">
        <f t="shared" si="76"/>
        <v>0.7142857142857143</v>
      </c>
      <c r="J4673" s="5" t="s">
        <v>4416</v>
      </c>
    </row>
    <row r="4674" spans="1:10" ht="25.5" x14ac:dyDescent="0.2">
      <c r="A4674" s="1" t="s">
        <v>4</v>
      </c>
      <c r="B4674" s="2" t="s">
        <v>319</v>
      </c>
      <c r="D4674" s="5" t="s">
        <v>506</v>
      </c>
      <c r="E4674" s="3">
        <v>118752</v>
      </c>
      <c r="F4674" s="3">
        <v>104878</v>
      </c>
      <c r="G4674" s="57">
        <f t="shared" si="76"/>
        <v>-0.11683171651845864</v>
      </c>
      <c r="J4674" s="5" t="s">
        <v>2791</v>
      </c>
    </row>
    <row r="4675" spans="1:10" ht="25.5" x14ac:dyDescent="0.2">
      <c r="A4675" s="1" t="s">
        <v>4</v>
      </c>
      <c r="B4675" s="2" t="s">
        <v>319</v>
      </c>
      <c r="D4675" s="5" t="s">
        <v>921</v>
      </c>
      <c r="E4675" s="3">
        <v>109029</v>
      </c>
      <c r="F4675" s="3">
        <v>104878</v>
      </c>
      <c r="G4675" s="57">
        <f t="shared" si="76"/>
        <v>-3.8072439442717078E-2</v>
      </c>
      <c r="J4675" s="5" t="s">
        <v>2791</v>
      </c>
    </row>
    <row r="4676" spans="1:10" ht="38.25" x14ac:dyDescent="0.2">
      <c r="A4676" s="1" t="s">
        <v>4</v>
      </c>
      <c r="B4676" s="2" t="s">
        <v>319</v>
      </c>
      <c r="D4676" s="5" t="s">
        <v>507</v>
      </c>
      <c r="E4676" s="3">
        <v>108529</v>
      </c>
      <c r="F4676" s="3">
        <v>262588</v>
      </c>
      <c r="G4676" s="57">
        <f t="shared" si="76"/>
        <v>1.4195192068479392</v>
      </c>
      <c r="J4676" s="5" t="s">
        <v>4415</v>
      </c>
    </row>
    <row r="4677" spans="1:10" ht="102" x14ac:dyDescent="0.2">
      <c r="A4677" s="1" t="s">
        <v>4</v>
      </c>
      <c r="B4677" s="2" t="s">
        <v>319</v>
      </c>
      <c r="D4677" s="5" t="s">
        <v>922</v>
      </c>
      <c r="E4677" s="3">
        <v>108885</v>
      </c>
      <c r="F4677" s="3">
        <v>280432</v>
      </c>
      <c r="G4677" s="57">
        <f t="shared" si="76"/>
        <v>1.5754879000780639</v>
      </c>
      <c r="J4677" s="5" t="s">
        <v>2792</v>
      </c>
    </row>
    <row r="4678" spans="1:10" ht="25.5" x14ac:dyDescent="0.2">
      <c r="A4678" s="1" t="s">
        <v>8</v>
      </c>
      <c r="B4678" s="2" t="s">
        <v>320</v>
      </c>
      <c r="D4678" s="5" t="s">
        <v>450</v>
      </c>
      <c r="E4678" s="3">
        <v>127537</v>
      </c>
      <c r="F4678" s="3">
        <v>131170</v>
      </c>
      <c r="G4678" s="57">
        <f t="shared" si="76"/>
        <v>2.8485851164760032E-2</v>
      </c>
      <c r="J4678" s="5" t="s">
        <v>2790</v>
      </c>
    </row>
    <row r="4679" spans="1:10" ht="25.5" x14ac:dyDescent="0.2">
      <c r="A4679" s="1" t="s">
        <v>4</v>
      </c>
      <c r="B4679" s="2" t="s">
        <v>321</v>
      </c>
      <c r="D4679" s="5" t="s">
        <v>450</v>
      </c>
      <c r="E4679" s="3">
        <v>137543</v>
      </c>
      <c r="F4679" s="3">
        <v>141028</v>
      </c>
      <c r="G4679" s="57">
        <f t="shared" si="76"/>
        <v>2.5337530808547146E-2</v>
      </c>
      <c r="J4679" s="5" t="s">
        <v>2789</v>
      </c>
    </row>
    <row r="4680" spans="1:10" ht="38.25" x14ac:dyDescent="0.2">
      <c r="A4680" s="1" t="s">
        <v>8</v>
      </c>
      <c r="B4680" s="2" t="s">
        <v>322</v>
      </c>
      <c r="D4680" s="5" t="s">
        <v>450</v>
      </c>
      <c r="E4680" s="3">
        <v>129334</v>
      </c>
      <c r="F4680" s="3">
        <v>132024</v>
      </c>
      <c r="G4680" s="57">
        <f t="shared" si="76"/>
        <v>2.0798861861536795E-2</v>
      </c>
      <c r="J4680" s="5" t="s">
        <v>2787</v>
      </c>
    </row>
    <row r="4681" spans="1:10" ht="38.25" x14ac:dyDescent="0.2">
      <c r="A4681" s="1" t="s">
        <v>8</v>
      </c>
      <c r="B4681" s="2" t="s">
        <v>322</v>
      </c>
      <c r="D4681" s="5" t="s">
        <v>919</v>
      </c>
      <c r="E4681" s="3">
        <v>89005</v>
      </c>
      <c r="F4681" s="3">
        <v>101136</v>
      </c>
      <c r="G4681" s="57">
        <f t="shared" si="76"/>
        <v>0.13629571372394808</v>
      </c>
      <c r="J4681" s="5" t="s">
        <v>2788</v>
      </c>
    </row>
    <row r="4682" spans="1:10" ht="51" x14ac:dyDescent="0.2">
      <c r="A4682" s="1" t="s">
        <v>8</v>
      </c>
      <c r="B4682" s="2" t="s">
        <v>322</v>
      </c>
      <c r="D4682" s="5" t="s">
        <v>855</v>
      </c>
      <c r="E4682" s="3">
        <v>89005</v>
      </c>
      <c r="F4682" s="3">
        <v>219598</v>
      </c>
      <c r="G4682" s="57">
        <f t="shared" si="76"/>
        <v>1.4672546486152462</v>
      </c>
      <c r="J4682" s="5" t="s">
        <v>4417</v>
      </c>
    </row>
    <row r="4683" spans="1:10" ht="51" x14ac:dyDescent="0.2">
      <c r="A4683" s="1" t="s">
        <v>8</v>
      </c>
      <c r="B4683" s="2" t="s">
        <v>322</v>
      </c>
      <c r="D4683" s="5" t="s">
        <v>920</v>
      </c>
      <c r="E4683" s="3">
        <v>89005</v>
      </c>
      <c r="F4683" s="3">
        <v>129537</v>
      </c>
      <c r="G4683" s="57">
        <f t="shared" si="76"/>
        <v>0.45539014662097638</v>
      </c>
      <c r="J4683" s="5" t="s">
        <v>4683</v>
      </c>
    </row>
    <row r="4684" spans="1:10" ht="25.5" x14ac:dyDescent="0.2">
      <c r="A4684" s="1" t="s">
        <v>28</v>
      </c>
      <c r="B4684" s="2" t="s">
        <v>323</v>
      </c>
      <c r="D4684" s="5" t="s">
        <v>450</v>
      </c>
      <c r="E4684" s="3">
        <v>130858</v>
      </c>
      <c r="F4684" s="3">
        <v>131066</v>
      </c>
      <c r="G4684" s="57">
        <f t="shared" si="76"/>
        <v>1.5895092390224518E-3</v>
      </c>
      <c r="J4684" s="5" t="s">
        <v>2785</v>
      </c>
    </row>
    <row r="4685" spans="1:10" ht="38.25" x14ac:dyDescent="0.2">
      <c r="A4685" s="1" t="s">
        <v>28</v>
      </c>
      <c r="B4685" s="2" t="s">
        <v>323</v>
      </c>
      <c r="D4685" s="5" t="s">
        <v>468</v>
      </c>
      <c r="E4685" s="3">
        <v>81275</v>
      </c>
      <c r="F4685" s="3">
        <v>121561</v>
      </c>
      <c r="G4685" s="57">
        <f t="shared" si="76"/>
        <v>0.49567517686865581</v>
      </c>
      <c r="J4685" s="5" t="s">
        <v>2786</v>
      </c>
    </row>
    <row r="4686" spans="1:10" ht="25.5" x14ac:dyDescent="0.2">
      <c r="A4686" s="1" t="s">
        <v>6</v>
      </c>
      <c r="B4686" s="2" t="s">
        <v>324</v>
      </c>
      <c r="C4686" s="5" t="s">
        <v>913</v>
      </c>
      <c r="D4686" s="5" t="s">
        <v>450</v>
      </c>
      <c r="E4686" s="3">
        <v>208977</v>
      </c>
      <c r="F4686" s="3">
        <v>210392</v>
      </c>
      <c r="G4686" s="57">
        <f t="shared" si="76"/>
        <v>6.7710800710125991E-3</v>
      </c>
      <c r="J4686" s="5" t="s">
        <v>2779</v>
      </c>
    </row>
    <row r="4687" spans="1:10" ht="25.5" x14ac:dyDescent="0.2">
      <c r="A4687" s="1" t="s">
        <v>6</v>
      </c>
      <c r="B4687" s="2" t="s">
        <v>324</v>
      </c>
      <c r="D4687" s="5" t="s">
        <v>914</v>
      </c>
      <c r="E4687" s="3" t="s">
        <v>465</v>
      </c>
      <c r="F4687" s="3">
        <v>104124</v>
      </c>
      <c r="G4687" s="57" t="str">
        <f t="shared" si="76"/>
        <v>-</v>
      </c>
      <c r="J4687" s="5" t="s">
        <v>2780</v>
      </c>
    </row>
    <row r="4688" spans="1:10" ht="38.25" x14ac:dyDescent="0.2">
      <c r="A4688" s="1" t="s">
        <v>6</v>
      </c>
      <c r="B4688" s="2" t="s">
        <v>324</v>
      </c>
      <c r="D4688" s="5" t="s">
        <v>915</v>
      </c>
      <c r="E4688" s="3">
        <v>133297</v>
      </c>
      <c r="F4688" s="3">
        <v>134371</v>
      </c>
      <c r="G4688" s="57">
        <f t="shared" si="76"/>
        <v>8.0571955857971292E-3</v>
      </c>
      <c r="J4688" s="5" t="s">
        <v>2781</v>
      </c>
    </row>
    <row r="4689" spans="1:10" ht="25.5" x14ac:dyDescent="0.2">
      <c r="A4689" s="1" t="s">
        <v>6</v>
      </c>
      <c r="B4689" s="2" t="s">
        <v>324</v>
      </c>
      <c r="D4689" s="5" t="s">
        <v>916</v>
      </c>
      <c r="E4689" s="3">
        <v>133439</v>
      </c>
      <c r="F4689" s="3">
        <v>134681</v>
      </c>
      <c r="G4689" s="57">
        <f t="shared" si="76"/>
        <v>9.3076237082112424E-3</v>
      </c>
      <c r="J4689" s="5" t="s">
        <v>2782</v>
      </c>
    </row>
    <row r="4690" spans="1:10" ht="25.5" x14ac:dyDescent="0.2">
      <c r="A4690" s="1" t="s">
        <v>6</v>
      </c>
      <c r="B4690" s="2" t="s">
        <v>324</v>
      </c>
      <c r="D4690" s="5" t="s">
        <v>451</v>
      </c>
      <c r="E4690" s="3">
        <v>125009</v>
      </c>
      <c r="F4690" s="3">
        <v>134502</v>
      </c>
      <c r="G4690" s="57">
        <f t="shared" si="76"/>
        <v>7.5938532425665353E-2</v>
      </c>
      <c r="J4690" s="5" t="s">
        <v>2783</v>
      </c>
    </row>
    <row r="4691" spans="1:10" ht="25.5" x14ac:dyDescent="0.2">
      <c r="A4691" s="1" t="s">
        <v>6</v>
      </c>
      <c r="B4691" s="2" t="s">
        <v>324</v>
      </c>
      <c r="D4691" s="5" t="s">
        <v>917</v>
      </c>
      <c r="E4691" s="3">
        <v>130907</v>
      </c>
      <c r="F4691" s="3">
        <v>134502</v>
      </c>
      <c r="G4691" s="57">
        <f t="shared" si="76"/>
        <v>2.7462244188622458E-2</v>
      </c>
      <c r="J4691" s="5" t="s">
        <v>2783</v>
      </c>
    </row>
    <row r="4692" spans="1:10" ht="25.5" x14ac:dyDescent="0.2">
      <c r="A4692" s="1" t="s">
        <v>6</v>
      </c>
      <c r="B4692" s="2" t="s">
        <v>324</v>
      </c>
      <c r="D4692" s="5" t="s">
        <v>517</v>
      </c>
      <c r="E4692" s="3">
        <v>87124</v>
      </c>
      <c r="F4692" s="3">
        <v>113536</v>
      </c>
      <c r="G4692" s="57">
        <f t="shared" si="76"/>
        <v>0.30315412515495155</v>
      </c>
      <c r="J4692" s="5" t="s">
        <v>2784</v>
      </c>
    </row>
    <row r="4693" spans="1:10" ht="38.25" x14ac:dyDescent="0.2">
      <c r="A4693" s="1" t="s">
        <v>6</v>
      </c>
      <c r="B4693" s="2" t="s">
        <v>324</v>
      </c>
      <c r="D4693" s="5" t="s">
        <v>918</v>
      </c>
      <c r="E4693" s="3">
        <v>107198</v>
      </c>
      <c r="F4693" s="3">
        <v>173594</v>
      </c>
      <c r="G4693" s="57">
        <f t="shared" si="76"/>
        <v>0.61937722718707433</v>
      </c>
      <c r="J4693" s="5" t="s">
        <v>4418</v>
      </c>
    </row>
    <row r="4694" spans="1:10" x14ac:dyDescent="0.2">
      <c r="A4694" s="1" t="s">
        <v>6</v>
      </c>
      <c r="B4694" s="2" t="s">
        <v>324</v>
      </c>
      <c r="D4694" s="5" t="s">
        <v>464</v>
      </c>
      <c r="G4694" s="57" t="str">
        <f t="shared" si="76"/>
        <v>-</v>
      </c>
      <c r="H4694" s="19">
        <v>92500</v>
      </c>
      <c r="I4694" s="19" t="s">
        <v>465</v>
      </c>
    </row>
    <row r="4695" spans="1:10" x14ac:dyDescent="0.2">
      <c r="A4695" s="1" t="s">
        <v>6</v>
      </c>
      <c r="B4695" s="2" t="s">
        <v>324</v>
      </c>
      <c r="D4695" s="5" t="s">
        <v>464</v>
      </c>
      <c r="G4695" s="57" t="str">
        <f t="shared" si="76"/>
        <v>-</v>
      </c>
      <c r="H4695" s="19">
        <v>92500</v>
      </c>
      <c r="I4695" s="19" t="s">
        <v>465</v>
      </c>
    </row>
    <row r="4696" spans="1:10" x14ac:dyDescent="0.2">
      <c r="A4696" s="1" t="s">
        <v>6</v>
      </c>
      <c r="B4696" s="2" t="s">
        <v>324</v>
      </c>
      <c r="D4696" s="5" t="s">
        <v>464</v>
      </c>
      <c r="G4696" s="57" t="str">
        <f t="shared" si="76"/>
        <v>-</v>
      </c>
      <c r="H4696" s="19">
        <v>92500</v>
      </c>
      <c r="I4696" s="19" t="s">
        <v>465</v>
      </c>
    </row>
    <row r="4697" spans="1:10" x14ac:dyDescent="0.2">
      <c r="A4697" s="1" t="s">
        <v>6</v>
      </c>
      <c r="B4697" s="2" t="s">
        <v>324</v>
      </c>
      <c r="D4697" s="5" t="s">
        <v>464</v>
      </c>
      <c r="G4697" s="57" t="str">
        <f t="shared" si="76"/>
        <v>-</v>
      </c>
      <c r="H4697" s="19">
        <v>92500</v>
      </c>
      <c r="I4697" s="19" t="s">
        <v>465</v>
      </c>
    </row>
    <row r="4698" spans="1:10" x14ac:dyDescent="0.2">
      <c r="A4698" s="1" t="s">
        <v>6</v>
      </c>
      <c r="B4698" s="2" t="s">
        <v>324</v>
      </c>
      <c r="D4698" s="5" t="s">
        <v>464</v>
      </c>
      <c r="G4698" s="57" t="str">
        <f t="shared" si="76"/>
        <v>-</v>
      </c>
      <c r="H4698" s="19">
        <v>92500</v>
      </c>
      <c r="I4698" s="19" t="s">
        <v>465</v>
      </c>
    </row>
    <row r="4699" spans="1:10" x14ac:dyDescent="0.2">
      <c r="A4699" s="1" t="s">
        <v>6</v>
      </c>
      <c r="B4699" s="2" t="s">
        <v>324</v>
      </c>
      <c r="D4699" s="5" t="s">
        <v>464</v>
      </c>
      <c r="G4699" s="57" t="str">
        <f t="shared" si="76"/>
        <v>-</v>
      </c>
      <c r="H4699" s="19" t="s">
        <v>465</v>
      </c>
      <c r="I4699" s="19">
        <v>92500</v>
      </c>
    </row>
    <row r="4700" spans="1:10" x14ac:dyDescent="0.2">
      <c r="A4700" s="1" t="s">
        <v>6</v>
      </c>
      <c r="B4700" s="2" t="s">
        <v>324</v>
      </c>
      <c r="D4700" s="5" t="s">
        <v>464</v>
      </c>
      <c r="G4700" s="57" t="str">
        <f t="shared" si="76"/>
        <v>-</v>
      </c>
      <c r="H4700" s="19" t="s">
        <v>465</v>
      </c>
      <c r="I4700" s="19">
        <v>92500</v>
      </c>
    </row>
    <row r="4701" spans="1:10" x14ac:dyDescent="0.2">
      <c r="A4701" s="1" t="s">
        <v>6</v>
      </c>
      <c r="B4701" s="2" t="s">
        <v>324</v>
      </c>
      <c r="D4701" s="5" t="s">
        <v>464</v>
      </c>
      <c r="G4701" s="57" t="str">
        <f t="shared" si="76"/>
        <v>-</v>
      </c>
      <c r="H4701" s="19">
        <v>97500</v>
      </c>
      <c r="I4701" s="19" t="s">
        <v>465</v>
      </c>
    </row>
    <row r="4702" spans="1:10" x14ac:dyDescent="0.2">
      <c r="A4702" s="1" t="s">
        <v>6</v>
      </c>
      <c r="B4702" s="2" t="s">
        <v>324</v>
      </c>
      <c r="D4702" s="5" t="s">
        <v>464</v>
      </c>
      <c r="G4702" s="57" t="str">
        <f t="shared" si="76"/>
        <v>-</v>
      </c>
      <c r="H4702" s="19">
        <v>97500</v>
      </c>
      <c r="I4702" s="19" t="s">
        <v>465</v>
      </c>
    </row>
    <row r="4703" spans="1:10" x14ac:dyDescent="0.2">
      <c r="A4703" s="1" t="s">
        <v>6</v>
      </c>
      <c r="B4703" s="2" t="s">
        <v>324</v>
      </c>
      <c r="D4703" s="5" t="s">
        <v>464</v>
      </c>
      <c r="G4703" s="57" t="str">
        <f t="shared" si="76"/>
        <v>-</v>
      </c>
      <c r="H4703" s="19">
        <v>97500</v>
      </c>
      <c r="I4703" s="19" t="s">
        <v>465</v>
      </c>
    </row>
    <row r="4704" spans="1:10" x14ac:dyDescent="0.2">
      <c r="A4704" s="1" t="s">
        <v>6</v>
      </c>
      <c r="B4704" s="2" t="s">
        <v>324</v>
      </c>
      <c r="D4704" s="5" t="s">
        <v>464</v>
      </c>
      <c r="G4704" s="57" t="str">
        <f t="shared" si="76"/>
        <v>-</v>
      </c>
      <c r="H4704" s="19" t="s">
        <v>465</v>
      </c>
      <c r="I4704" s="19">
        <v>97500</v>
      </c>
    </row>
    <row r="4705" spans="1:10" x14ac:dyDescent="0.2">
      <c r="A4705" s="1" t="s">
        <v>6</v>
      </c>
      <c r="B4705" s="2" t="s">
        <v>324</v>
      </c>
      <c r="D4705" s="5" t="s">
        <v>464</v>
      </c>
      <c r="G4705" s="57" t="str">
        <f t="shared" si="76"/>
        <v>-</v>
      </c>
      <c r="H4705" s="19" t="s">
        <v>465</v>
      </c>
      <c r="I4705" s="19">
        <v>97500</v>
      </c>
    </row>
    <row r="4706" spans="1:10" x14ac:dyDescent="0.2">
      <c r="A4706" s="1" t="s">
        <v>6</v>
      </c>
      <c r="B4706" s="2" t="s">
        <v>324</v>
      </c>
      <c r="D4706" s="5" t="s">
        <v>464</v>
      </c>
      <c r="E4706" s="3">
        <v>102500</v>
      </c>
      <c r="F4706" s="3" t="s">
        <v>465</v>
      </c>
      <c r="G4706" s="57" t="str">
        <f t="shared" si="76"/>
        <v>-</v>
      </c>
    </row>
    <row r="4707" spans="1:10" x14ac:dyDescent="0.2">
      <c r="A4707" s="1" t="s">
        <v>6</v>
      </c>
      <c r="B4707" s="2" t="s">
        <v>324</v>
      </c>
      <c r="D4707" s="5" t="s">
        <v>464</v>
      </c>
      <c r="E4707" s="3">
        <v>102500</v>
      </c>
      <c r="F4707" s="3" t="s">
        <v>465</v>
      </c>
      <c r="G4707" s="57" t="str">
        <f t="shared" si="76"/>
        <v>-</v>
      </c>
    </row>
    <row r="4708" spans="1:10" x14ac:dyDescent="0.2">
      <c r="A4708" s="1" t="s">
        <v>6</v>
      </c>
      <c r="B4708" s="2" t="s">
        <v>324</v>
      </c>
      <c r="D4708" s="5" t="s">
        <v>464</v>
      </c>
      <c r="E4708" s="3" t="s">
        <v>465</v>
      </c>
      <c r="F4708" s="3">
        <v>102500</v>
      </c>
      <c r="G4708" s="57" t="str">
        <f t="shared" si="76"/>
        <v>-</v>
      </c>
    </row>
    <row r="4709" spans="1:10" x14ac:dyDescent="0.2">
      <c r="A4709" s="1" t="s">
        <v>6</v>
      </c>
      <c r="B4709" s="2" t="s">
        <v>324</v>
      </c>
      <c r="D4709" s="5" t="s">
        <v>464</v>
      </c>
      <c r="E4709" s="3" t="s">
        <v>465</v>
      </c>
      <c r="F4709" s="3">
        <v>102500</v>
      </c>
      <c r="G4709" s="57" t="str">
        <f t="shared" si="76"/>
        <v>-</v>
      </c>
    </row>
    <row r="4710" spans="1:10" x14ac:dyDescent="0.2">
      <c r="A4710" s="1" t="s">
        <v>6</v>
      </c>
      <c r="B4710" s="2" t="s">
        <v>324</v>
      </c>
      <c r="D4710" s="5" t="s">
        <v>464</v>
      </c>
      <c r="E4710" s="3" t="s">
        <v>465</v>
      </c>
      <c r="F4710" s="3">
        <v>107500</v>
      </c>
      <c r="G4710" s="57" t="str">
        <f t="shared" si="76"/>
        <v>-</v>
      </c>
    </row>
    <row r="4711" spans="1:10" ht="25.5" x14ac:dyDescent="0.2">
      <c r="A4711" s="1" t="s">
        <v>39</v>
      </c>
      <c r="B4711" s="2" t="s">
        <v>325</v>
      </c>
      <c r="C4711" s="5" t="s">
        <v>910</v>
      </c>
      <c r="D4711" s="5" t="s">
        <v>450</v>
      </c>
      <c r="E4711" s="6">
        <v>176978</v>
      </c>
      <c r="F4711" s="3">
        <v>112595</v>
      </c>
      <c r="G4711" s="57">
        <f t="shared" si="76"/>
        <v>-0.36379097966978946</v>
      </c>
      <c r="J4711" s="5" t="s">
        <v>4419</v>
      </c>
    </row>
    <row r="4712" spans="1:10" x14ac:dyDescent="0.2">
      <c r="A4712" s="1" t="s">
        <v>39</v>
      </c>
      <c r="B4712" s="2" t="s">
        <v>325</v>
      </c>
      <c r="D4712" s="5" t="s">
        <v>911</v>
      </c>
      <c r="E4712" s="6">
        <v>127782</v>
      </c>
      <c r="F4712" s="3">
        <v>102084</v>
      </c>
      <c r="G4712" s="57">
        <f t="shared" si="76"/>
        <v>-0.20110813729633281</v>
      </c>
      <c r="J4712" s="5" t="s">
        <v>2776</v>
      </c>
    </row>
    <row r="4713" spans="1:10" ht="25.5" x14ac:dyDescent="0.2">
      <c r="A4713" s="1" t="s">
        <v>39</v>
      </c>
      <c r="B4713" s="2" t="s">
        <v>325</v>
      </c>
      <c r="D4713" s="5" t="s">
        <v>912</v>
      </c>
      <c r="E4713" s="6">
        <v>130690</v>
      </c>
      <c r="F4713" s="3">
        <v>107045</v>
      </c>
      <c r="G4713" s="57">
        <f t="shared" si="76"/>
        <v>-0.18092432473792947</v>
      </c>
      <c r="J4713" s="5" t="s">
        <v>2777</v>
      </c>
    </row>
    <row r="4714" spans="1:10" ht="25.5" x14ac:dyDescent="0.2">
      <c r="A4714" s="1" t="s">
        <v>39</v>
      </c>
      <c r="B4714" s="2" t="s">
        <v>325</v>
      </c>
      <c r="D4714" s="5" t="s">
        <v>1905</v>
      </c>
      <c r="E4714" s="6">
        <v>111594</v>
      </c>
      <c r="F4714" s="3">
        <v>54816</v>
      </c>
      <c r="G4714" s="57">
        <f t="shared" si="76"/>
        <v>-0.50879079520404324</v>
      </c>
      <c r="J4714" s="5" t="s">
        <v>2778</v>
      </c>
    </row>
    <row r="4715" spans="1:10" x14ac:dyDescent="0.2">
      <c r="A4715" s="1" t="s">
        <v>39</v>
      </c>
      <c r="B4715" s="2" t="s">
        <v>325</v>
      </c>
      <c r="D4715" s="5" t="s">
        <v>464</v>
      </c>
      <c r="G4715" s="57" t="str">
        <f t="shared" si="76"/>
        <v>-</v>
      </c>
      <c r="H4715" s="19">
        <v>92500</v>
      </c>
    </row>
    <row r="4716" spans="1:10" x14ac:dyDescent="0.2">
      <c r="A4716" s="1" t="s">
        <v>39</v>
      </c>
      <c r="B4716" s="2" t="s">
        <v>325</v>
      </c>
      <c r="D4716" s="5" t="s">
        <v>464</v>
      </c>
      <c r="G4716" s="57" t="str">
        <f t="shared" si="76"/>
        <v>-</v>
      </c>
      <c r="H4716" s="19">
        <v>97500</v>
      </c>
    </row>
    <row r="4717" spans="1:10" x14ac:dyDescent="0.2">
      <c r="A4717" s="1" t="s">
        <v>39</v>
      </c>
      <c r="B4717" s="2" t="s">
        <v>325</v>
      </c>
      <c r="D4717" s="5" t="s">
        <v>464</v>
      </c>
      <c r="G4717" s="57" t="str">
        <f t="shared" si="76"/>
        <v>-</v>
      </c>
      <c r="H4717" s="19">
        <v>97500</v>
      </c>
    </row>
    <row r="4718" spans="1:10" x14ac:dyDescent="0.2">
      <c r="A4718" s="1" t="s">
        <v>39</v>
      </c>
      <c r="B4718" s="2" t="s">
        <v>325</v>
      </c>
      <c r="D4718" s="5" t="s">
        <v>464</v>
      </c>
      <c r="G4718" s="57" t="str">
        <f t="shared" si="76"/>
        <v>-</v>
      </c>
      <c r="I4718" s="19">
        <v>92500</v>
      </c>
    </row>
    <row r="4719" spans="1:10" x14ac:dyDescent="0.2">
      <c r="A4719" s="1" t="s">
        <v>39</v>
      </c>
      <c r="B4719" s="2" t="s">
        <v>325</v>
      </c>
      <c r="D4719" s="5" t="s">
        <v>464</v>
      </c>
      <c r="G4719" s="57" t="str">
        <f t="shared" si="76"/>
        <v>-</v>
      </c>
      <c r="I4719" s="19">
        <v>92500</v>
      </c>
    </row>
    <row r="4720" spans="1:10" x14ac:dyDescent="0.2">
      <c r="A4720" s="1" t="s">
        <v>39</v>
      </c>
      <c r="B4720" s="2" t="s">
        <v>325</v>
      </c>
      <c r="D4720" s="5" t="s">
        <v>464</v>
      </c>
      <c r="G4720" s="57" t="str">
        <f t="shared" si="76"/>
        <v>-</v>
      </c>
      <c r="I4720" s="19">
        <v>97500</v>
      </c>
      <c r="J4720" s="5" t="s">
        <v>1241</v>
      </c>
    </row>
    <row r="4721" spans="1:10" x14ac:dyDescent="0.2">
      <c r="A4721" s="1" t="s">
        <v>39</v>
      </c>
      <c r="B4721" s="2" t="s">
        <v>325</v>
      </c>
      <c r="D4721" s="5" t="s">
        <v>464</v>
      </c>
      <c r="G4721" s="57" t="str">
        <f t="shared" si="76"/>
        <v>-</v>
      </c>
      <c r="I4721" s="19">
        <v>97500</v>
      </c>
      <c r="J4721" s="5" t="s">
        <v>1241</v>
      </c>
    </row>
    <row r="4722" spans="1:10" x14ac:dyDescent="0.2">
      <c r="A4722" s="1" t="s">
        <v>39</v>
      </c>
      <c r="B4722" s="2" t="s">
        <v>325</v>
      </c>
      <c r="D4722" s="5" t="s">
        <v>464</v>
      </c>
      <c r="G4722" s="57" t="str">
        <f t="shared" si="76"/>
        <v>-</v>
      </c>
      <c r="I4722" s="19">
        <v>97500</v>
      </c>
    </row>
    <row r="4723" spans="1:10" x14ac:dyDescent="0.2">
      <c r="A4723" s="1" t="s">
        <v>39</v>
      </c>
      <c r="B4723" s="2" t="s">
        <v>325</v>
      </c>
      <c r="D4723" s="5" t="s">
        <v>464</v>
      </c>
      <c r="E4723" s="3">
        <v>102500</v>
      </c>
      <c r="G4723" s="57">
        <f t="shared" si="76"/>
        <v>-1</v>
      </c>
    </row>
    <row r="4724" spans="1:10" x14ac:dyDescent="0.2">
      <c r="A4724" s="1" t="s">
        <v>39</v>
      </c>
      <c r="B4724" s="2" t="s">
        <v>325</v>
      </c>
      <c r="D4724" s="5" t="s">
        <v>464</v>
      </c>
      <c r="E4724" s="3">
        <v>102500</v>
      </c>
      <c r="G4724" s="57">
        <f t="shared" si="76"/>
        <v>-1</v>
      </c>
    </row>
    <row r="4725" spans="1:10" x14ac:dyDescent="0.2">
      <c r="A4725" s="1" t="s">
        <v>39</v>
      </c>
      <c r="B4725" s="2" t="s">
        <v>325</v>
      </c>
      <c r="D4725" s="5" t="s">
        <v>464</v>
      </c>
      <c r="F4725" s="3">
        <v>102500</v>
      </c>
      <c r="G4725" s="57" t="str">
        <f t="shared" si="76"/>
        <v>-</v>
      </c>
      <c r="J4725" s="5" t="s">
        <v>1241</v>
      </c>
    </row>
    <row r="4726" spans="1:10" x14ac:dyDescent="0.2">
      <c r="A4726" s="1" t="s">
        <v>39</v>
      </c>
      <c r="B4726" s="2" t="s">
        <v>325</v>
      </c>
      <c r="D4726" s="5" t="s">
        <v>464</v>
      </c>
      <c r="F4726" s="3">
        <v>102500</v>
      </c>
      <c r="G4726" s="57" t="str">
        <f t="shared" si="76"/>
        <v>-</v>
      </c>
      <c r="J4726" s="5" t="s">
        <v>1241</v>
      </c>
    </row>
    <row r="4727" spans="1:10" x14ac:dyDescent="0.2">
      <c r="A4727" s="1" t="s">
        <v>39</v>
      </c>
      <c r="B4727" s="2" t="s">
        <v>325</v>
      </c>
      <c r="D4727" s="5" t="s">
        <v>464</v>
      </c>
      <c r="E4727" s="3">
        <v>107500</v>
      </c>
      <c r="G4727" s="57">
        <f t="shared" si="76"/>
        <v>-1</v>
      </c>
    </row>
    <row r="4728" spans="1:10" x14ac:dyDescent="0.2">
      <c r="A4728" s="1" t="s">
        <v>39</v>
      </c>
      <c r="B4728" s="2" t="s">
        <v>325</v>
      </c>
      <c r="D4728" s="5" t="s">
        <v>464</v>
      </c>
      <c r="F4728" s="3">
        <v>107500</v>
      </c>
      <c r="G4728" s="57" t="str">
        <f t="shared" si="76"/>
        <v>-</v>
      </c>
      <c r="J4728" s="5" t="s">
        <v>1241</v>
      </c>
    </row>
    <row r="4729" spans="1:10" x14ac:dyDescent="0.2">
      <c r="A4729" s="1" t="s">
        <v>39</v>
      </c>
      <c r="B4729" s="2" t="s">
        <v>325</v>
      </c>
      <c r="D4729" s="5" t="s">
        <v>464</v>
      </c>
      <c r="F4729" s="3">
        <v>112500</v>
      </c>
      <c r="G4729" s="57" t="str">
        <f t="shared" si="76"/>
        <v>-</v>
      </c>
      <c r="J4729" s="5" t="s">
        <v>1241</v>
      </c>
    </row>
    <row r="4730" spans="1:10" x14ac:dyDescent="0.2">
      <c r="A4730" s="1" t="s">
        <v>39</v>
      </c>
      <c r="B4730" s="2" t="s">
        <v>325</v>
      </c>
      <c r="D4730" s="5" t="s">
        <v>464</v>
      </c>
      <c r="E4730" s="3">
        <v>117500</v>
      </c>
      <c r="G4730" s="57">
        <f t="shared" si="76"/>
        <v>-1</v>
      </c>
    </row>
    <row r="4731" spans="1:10" x14ac:dyDescent="0.2">
      <c r="A4731" s="1" t="s">
        <v>39</v>
      </c>
      <c r="B4731" s="2" t="s">
        <v>325</v>
      </c>
      <c r="D4731" s="5" t="s">
        <v>464</v>
      </c>
      <c r="E4731" s="3">
        <v>117500</v>
      </c>
      <c r="G4731" s="57">
        <f t="shared" si="76"/>
        <v>-1</v>
      </c>
    </row>
    <row r="4732" spans="1:10" x14ac:dyDescent="0.2">
      <c r="A4732" s="1" t="s">
        <v>39</v>
      </c>
      <c r="B4732" s="2" t="s">
        <v>325</v>
      </c>
      <c r="D4732" s="5" t="s">
        <v>464</v>
      </c>
      <c r="F4732" s="3">
        <v>127500</v>
      </c>
      <c r="G4732" s="57" t="str">
        <f t="shared" ref="G4732:G4795" si="77">IF(ISERROR((F4732-E4732)/E4732),"-",(F4732-E4732)/E4732)</f>
        <v>-</v>
      </c>
      <c r="J4732" s="5" t="s">
        <v>1241</v>
      </c>
    </row>
    <row r="4733" spans="1:10" x14ac:dyDescent="0.2">
      <c r="A4733" s="1" t="s">
        <v>39</v>
      </c>
      <c r="B4733" s="2" t="s">
        <v>325</v>
      </c>
      <c r="D4733" s="5" t="s">
        <v>464</v>
      </c>
      <c r="F4733" s="3">
        <v>127500</v>
      </c>
      <c r="G4733" s="57" t="str">
        <f t="shared" si="77"/>
        <v>-</v>
      </c>
      <c r="J4733" s="5" t="s">
        <v>1241</v>
      </c>
    </row>
    <row r="4734" spans="1:10" x14ac:dyDescent="0.2">
      <c r="A4734" s="1" t="s">
        <v>39</v>
      </c>
      <c r="B4734" s="2" t="s">
        <v>325</v>
      </c>
      <c r="D4734" s="5" t="s">
        <v>464</v>
      </c>
      <c r="F4734" s="3">
        <v>147500</v>
      </c>
      <c r="G4734" s="57" t="str">
        <f t="shared" si="77"/>
        <v>-</v>
      </c>
      <c r="J4734" s="5" t="s">
        <v>1241</v>
      </c>
    </row>
    <row r="4735" spans="1:10" x14ac:dyDescent="0.2">
      <c r="A4735" s="1" t="s">
        <v>39</v>
      </c>
      <c r="B4735" s="2" t="s">
        <v>325</v>
      </c>
      <c r="D4735" s="5" t="s">
        <v>464</v>
      </c>
      <c r="F4735" s="3">
        <v>152500</v>
      </c>
      <c r="G4735" s="57" t="str">
        <f t="shared" si="77"/>
        <v>-</v>
      </c>
      <c r="J4735" s="5" t="s">
        <v>1241</v>
      </c>
    </row>
    <row r="4736" spans="1:10" x14ac:dyDescent="0.2">
      <c r="A4736" s="1" t="s">
        <v>39</v>
      </c>
      <c r="B4736" s="2" t="s">
        <v>325</v>
      </c>
      <c r="D4736" s="5" t="s">
        <v>464</v>
      </c>
      <c r="F4736" s="3">
        <v>157500</v>
      </c>
      <c r="G4736" s="57" t="str">
        <f t="shared" si="77"/>
        <v>-</v>
      </c>
      <c r="J4736" s="5" t="s">
        <v>1241</v>
      </c>
    </row>
    <row r="4737" spans="1:10" x14ac:dyDescent="0.2">
      <c r="A4737" s="1" t="s">
        <v>39</v>
      </c>
      <c r="B4737" s="2" t="s">
        <v>325</v>
      </c>
      <c r="D4737" s="5" t="s">
        <v>464</v>
      </c>
      <c r="F4737" s="3">
        <v>157500</v>
      </c>
      <c r="G4737" s="57" t="str">
        <f t="shared" si="77"/>
        <v>-</v>
      </c>
      <c r="J4737" s="5" t="s">
        <v>1241</v>
      </c>
    </row>
    <row r="4738" spans="1:10" x14ac:dyDescent="0.2">
      <c r="A4738" s="1" t="s">
        <v>39</v>
      </c>
      <c r="B4738" s="2" t="s">
        <v>325</v>
      </c>
      <c r="D4738" s="5" t="s">
        <v>464</v>
      </c>
      <c r="F4738" s="3">
        <v>162500</v>
      </c>
      <c r="G4738" s="57" t="str">
        <f t="shared" si="77"/>
        <v>-</v>
      </c>
      <c r="J4738" s="5" t="s">
        <v>1241</v>
      </c>
    </row>
    <row r="4739" spans="1:10" ht="25.5" x14ac:dyDescent="0.2">
      <c r="A4739" s="1" t="s">
        <v>28</v>
      </c>
      <c r="B4739" s="2" t="s">
        <v>326</v>
      </c>
      <c r="D4739" s="5" t="s">
        <v>450</v>
      </c>
      <c r="E4739" s="3">
        <v>140364</v>
      </c>
      <c r="F4739" s="3">
        <v>133794</v>
      </c>
      <c r="G4739" s="57">
        <f t="shared" si="77"/>
        <v>-4.6806873557322388E-2</v>
      </c>
      <c r="J4739" s="5" t="s">
        <v>2773</v>
      </c>
    </row>
    <row r="4740" spans="1:10" ht="25.5" x14ac:dyDescent="0.2">
      <c r="A4740" s="1" t="s">
        <v>28</v>
      </c>
      <c r="B4740" s="2" t="s">
        <v>326</v>
      </c>
      <c r="D4740" s="5" t="s">
        <v>472</v>
      </c>
      <c r="E4740" s="3">
        <v>113985</v>
      </c>
      <c r="F4740" s="3">
        <v>114102</v>
      </c>
      <c r="G4740" s="57">
        <f t="shared" si="77"/>
        <v>1.0264508487958942E-3</v>
      </c>
      <c r="J4740" s="5" t="s">
        <v>2774</v>
      </c>
    </row>
    <row r="4741" spans="1:10" ht="25.5" x14ac:dyDescent="0.2">
      <c r="A4741" s="1" t="s">
        <v>28</v>
      </c>
      <c r="B4741" s="2" t="s">
        <v>326</v>
      </c>
      <c r="D4741" s="5" t="s">
        <v>473</v>
      </c>
      <c r="E4741" s="3">
        <v>106313</v>
      </c>
      <c r="F4741" s="3">
        <v>108959</v>
      </c>
      <c r="G4741" s="57">
        <f t="shared" si="77"/>
        <v>2.4888771834112478E-2</v>
      </c>
      <c r="J4741" s="5" t="s">
        <v>2775</v>
      </c>
    </row>
    <row r="4742" spans="1:10" ht="25.5" x14ac:dyDescent="0.2">
      <c r="A4742" s="1" t="s">
        <v>1</v>
      </c>
      <c r="B4742" s="2" t="s">
        <v>327</v>
      </c>
      <c r="C4742" s="5" t="s">
        <v>901</v>
      </c>
      <c r="D4742" s="5" t="s">
        <v>450</v>
      </c>
      <c r="E4742" s="3">
        <f>119656+21438</f>
        <v>141094</v>
      </c>
      <c r="F4742" s="3">
        <f>119634+3502+21460</f>
        <v>144596</v>
      </c>
      <c r="G4742" s="57">
        <f t="shared" si="77"/>
        <v>2.4820332544261272E-2</v>
      </c>
      <c r="J4742" s="5" t="s">
        <v>2768</v>
      </c>
    </row>
    <row r="4743" spans="1:10" ht="25.5" x14ac:dyDescent="0.2">
      <c r="A4743" s="1" t="s">
        <v>1</v>
      </c>
      <c r="B4743" s="2" t="s">
        <v>327</v>
      </c>
      <c r="C4743" s="5" t="s">
        <v>902</v>
      </c>
      <c r="D4743" s="5" t="s">
        <v>463</v>
      </c>
      <c r="E4743" s="3">
        <f>95333+17365</f>
        <v>112698</v>
      </c>
      <c r="F4743" s="3">
        <f>101039+296+18187</f>
        <v>119522</v>
      </c>
      <c r="G4743" s="57">
        <f t="shared" si="77"/>
        <v>6.0551207652309716E-2</v>
      </c>
      <c r="J4743" s="5" t="s">
        <v>4454</v>
      </c>
    </row>
    <row r="4744" spans="1:10" ht="25.5" x14ac:dyDescent="0.2">
      <c r="A4744" s="1" t="s">
        <v>1</v>
      </c>
      <c r="B4744" s="2" t="s">
        <v>327</v>
      </c>
      <c r="C4744" s="5" t="s">
        <v>903</v>
      </c>
      <c r="D4744" s="5" t="s">
        <v>904</v>
      </c>
      <c r="E4744" s="3">
        <f>99078+17756</f>
        <v>116834</v>
      </c>
      <c r="F4744" s="3">
        <f>101394+18200</f>
        <v>119594</v>
      </c>
      <c r="G4744" s="57">
        <f t="shared" si="77"/>
        <v>2.3623260352294707E-2</v>
      </c>
      <c r="J4744" s="5" t="s">
        <v>2769</v>
      </c>
    </row>
    <row r="4745" spans="1:10" ht="25.5" x14ac:dyDescent="0.2">
      <c r="A4745" s="1" t="s">
        <v>1</v>
      </c>
      <c r="B4745" s="2" t="s">
        <v>327</v>
      </c>
      <c r="C4745" s="5" t="s">
        <v>905</v>
      </c>
      <c r="D4745" s="5" t="s">
        <v>906</v>
      </c>
      <c r="E4745" s="3">
        <f>89136+15950</f>
        <v>105086</v>
      </c>
      <c r="F4745" s="3">
        <f>91106+16348</f>
        <v>107454</v>
      </c>
      <c r="G4745" s="57">
        <f t="shared" si="77"/>
        <v>2.2533924595093541E-2</v>
      </c>
      <c r="J4745" s="5" t="s">
        <v>2770</v>
      </c>
    </row>
    <row r="4746" spans="1:10" ht="25.5" x14ac:dyDescent="0.2">
      <c r="A4746" s="1" t="s">
        <v>1</v>
      </c>
      <c r="B4746" s="2" t="s">
        <v>327</v>
      </c>
      <c r="C4746" s="5" t="s">
        <v>907</v>
      </c>
      <c r="D4746" s="5" t="s">
        <v>908</v>
      </c>
      <c r="E4746" s="3">
        <f>99110+17756</f>
        <v>116866</v>
      </c>
      <c r="F4746" s="3">
        <f>101394+18200</f>
        <v>119594</v>
      </c>
      <c r="G4746" s="57">
        <f t="shared" si="77"/>
        <v>2.3342974004415314E-2</v>
      </c>
      <c r="J4746" s="5" t="s">
        <v>2769</v>
      </c>
    </row>
    <row r="4747" spans="1:10" ht="51" x14ac:dyDescent="0.2">
      <c r="A4747" s="1" t="s">
        <v>1</v>
      </c>
      <c r="B4747" s="2" t="s">
        <v>327</v>
      </c>
      <c r="C4747" s="5" t="s">
        <v>909</v>
      </c>
      <c r="D4747" s="5" t="s">
        <v>4441</v>
      </c>
      <c r="E4747" s="3">
        <f>79944+14365</f>
        <v>94309</v>
      </c>
      <c r="F4747" s="3">
        <f>59089+80388+10636</f>
        <v>150113</v>
      </c>
      <c r="G4747" s="57">
        <f t="shared" si="77"/>
        <v>0.59171447051712989</v>
      </c>
      <c r="J4747" s="5" t="s">
        <v>4442</v>
      </c>
    </row>
    <row r="4748" spans="1:10" ht="25.5" x14ac:dyDescent="0.2">
      <c r="A4748" s="1" t="s">
        <v>1</v>
      </c>
      <c r="B4748" s="2" t="s">
        <v>327</v>
      </c>
      <c r="D4748" s="5" t="s">
        <v>464</v>
      </c>
      <c r="E4748" s="3" t="s">
        <v>465</v>
      </c>
      <c r="F4748" s="3">
        <v>107500</v>
      </c>
      <c r="G4748" s="57" t="str">
        <f t="shared" si="77"/>
        <v>-</v>
      </c>
      <c r="J4748" s="5" t="s">
        <v>2771</v>
      </c>
    </row>
    <row r="4749" spans="1:10" ht="25.5" x14ac:dyDescent="0.2">
      <c r="A4749" s="1" t="s">
        <v>1</v>
      </c>
      <c r="B4749" s="2" t="s">
        <v>327</v>
      </c>
      <c r="D4749" s="5" t="s">
        <v>464</v>
      </c>
      <c r="E4749" s="3" t="s">
        <v>465</v>
      </c>
      <c r="F4749" s="3">
        <v>107500</v>
      </c>
      <c r="G4749" s="57" t="str">
        <f t="shared" si="77"/>
        <v>-</v>
      </c>
      <c r="J4749" s="5" t="s">
        <v>2771</v>
      </c>
    </row>
    <row r="4750" spans="1:10" x14ac:dyDescent="0.2">
      <c r="A4750" s="1" t="s">
        <v>1</v>
      </c>
      <c r="B4750" s="2" t="s">
        <v>327</v>
      </c>
      <c r="D4750" s="5" t="s">
        <v>464</v>
      </c>
      <c r="E4750" s="3">
        <v>107500</v>
      </c>
      <c r="F4750" s="3" t="s">
        <v>465</v>
      </c>
      <c r="G4750" s="57" t="str">
        <f t="shared" si="77"/>
        <v>-</v>
      </c>
      <c r="J4750" s="5" t="s">
        <v>2772</v>
      </c>
    </row>
    <row r="4751" spans="1:10" ht="25.5" x14ac:dyDescent="0.2">
      <c r="A4751" s="1" t="s">
        <v>34</v>
      </c>
      <c r="B4751" s="2" t="s">
        <v>328</v>
      </c>
      <c r="D4751" s="5" t="s">
        <v>450</v>
      </c>
      <c r="E4751" s="3">
        <v>119376</v>
      </c>
      <c r="F4751" s="3">
        <v>119331</v>
      </c>
      <c r="G4751" s="57">
        <f t="shared" si="77"/>
        <v>-3.7696019300361881E-4</v>
      </c>
      <c r="J4751" s="5" t="s">
        <v>2767</v>
      </c>
    </row>
    <row r="4752" spans="1:10" x14ac:dyDescent="0.2">
      <c r="A4752" s="1" t="s">
        <v>34</v>
      </c>
      <c r="B4752" s="2" t="s">
        <v>328</v>
      </c>
      <c r="D4752" s="5" t="s">
        <v>464</v>
      </c>
      <c r="G4752" s="57" t="str">
        <f t="shared" si="77"/>
        <v>-</v>
      </c>
      <c r="H4752" s="19">
        <v>97500</v>
      </c>
      <c r="J4752" s="5" t="s">
        <v>2081</v>
      </c>
    </row>
    <row r="4753" spans="1:10" ht="25.5" x14ac:dyDescent="0.2">
      <c r="A4753" s="1" t="s">
        <v>6</v>
      </c>
      <c r="B4753" s="2" t="s">
        <v>329</v>
      </c>
      <c r="C4753" s="5" t="s">
        <v>891</v>
      </c>
      <c r="D4753" s="5" t="s">
        <v>450</v>
      </c>
      <c r="E4753" s="3">
        <v>176465</v>
      </c>
      <c r="F4753" s="3">
        <v>174142</v>
      </c>
      <c r="G4753" s="57">
        <f t="shared" si="77"/>
        <v>-1.3164083529311761E-2</v>
      </c>
      <c r="J4753" s="5" t="s">
        <v>2760</v>
      </c>
    </row>
    <row r="4754" spans="1:10" ht="38.25" x14ac:dyDescent="0.2">
      <c r="A4754" s="1" t="s">
        <v>6</v>
      </c>
      <c r="B4754" s="2" t="s">
        <v>329</v>
      </c>
      <c r="D4754" s="7" t="s">
        <v>892</v>
      </c>
      <c r="E4754" s="6">
        <v>134531</v>
      </c>
      <c r="F4754" s="6">
        <v>188905</v>
      </c>
      <c r="G4754" s="57">
        <f t="shared" si="77"/>
        <v>0.40417450253101517</v>
      </c>
      <c r="J4754" s="5" t="s">
        <v>4420</v>
      </c>
    </row>
    <row r="4755" spans="1:10" ht="38.25" x14ac:dyDescent="0.2">
      <c r="A4755" s="1" t="s">
        <v>6</v>
      </c>
      <c r="B4755" s="2" t="s">
        <v>329</v>
      </c>
      <c r="D4755" s="7" t="s">
        <v>893</v>
      </c>
      <c r="E4755" s="6" t="s">
        <v>465</v>
      </c>
      <c r="F4755" s="6">
        <v>140910</v>
      </c>
      <c r="G4755" s="57" t="str">
        <f t="shared" si="77"/>
        <v>-</v>
      </c>
      <c r="J4755" s="5" t="s">
        <v>4421</v>
      </c>
    </row>
    <row r="4756" spans="1:10" ht="51" x14ac:dyDescent="0.2">
      <c r="A4756" s="1" t="s">
        <v>6</v>
      </c>
      <c r="B4756" s="2" t="s">
        <v>329</v>
      </c>
      <c r="D4756" s="7" t="s">
        <v>893</v>
      </c>
      <c r="E4756" s="6">
        <v>167589</v>
      </c>
      <c r="F4756" s="6" t="s">
        <v>465</v>
      </c>
      <c r="G4756" s="57" t="str">
        <f t="shared" si="77"/>
        <v>-</v>
      </c>
      <c r="J4756" s="5" t="s">
        <v>4445</v>
      </c>
    </row>
    <row r="4757" spans="1:10" ht="25.5" x14ac:dyDescent="0.2">
      <c r="A4757" s="1" t="s">
        <v>6</v>
      </c>
      <c r="B4757" s="2" t="s">
        <v>329</v>
      </c>
      <c r="D4757" s="5" t="s">
        <v>894</v>
      </c>
      <c r="E4757" s="3">
        <v>125844</v>
      </c>
      <c r="F4757" s="3">
        <v>125794</v>
      </c>
      <c r="G4757" s="57">
        <f t="shared" si="77"/>
        <v>-3.9731731349925304E-4</v>
      </c>
      <c r="J4757" s="5" t="s">
        <v>2761</v>
      </c>
    </row>
    <row r="4758" spans="1:10" ht="25.5" x14ac:dyDescent="0.2">
      <c r="A4758" s="1" t="s">
        <v>6</v>
      </c>
      <c r="B4758" s="2" t="s">
        <v>329</v>
      </c>
      <c r="D4758" s="7" t="s">
        <v>452</v>
      </c>
      <c r="E4758" s="3">
        <v>30481</v>
      </c>
      <c r="F4758" s="3">
        <v>104912</v>
      </c>
      <c r="G4758" s="57">
        <f t="shared" si="77"/>
        <v>2.4418818280240151</v>
      </c>
      <c r="J4758" s="5" t="s">
        <v>2762</v>
      </c>
    </row>
    <row r="4759" spans="1:10" ht="114.75" x14ac:dyDescent="0.2">
      <c r="A4759" s="1" t="s">
        <v>6</v>
      </c>
      <c r="B4759" s="2" t="s">
        <v>329</v>
      </c>
      <c r="D4759" s="7" t="s">
        <v>895</v>
      </c>
      <c r="E4759" s="6" t="s">
        <v>465</v>
      </c>
      <c r="F4759" s="6">
        <v>146784</v>
      </c>
      <c r="G4759" s="57" t="str">
        <f t="shared" si="77"/>
        <v>-</v>
      </c>
      <c r="J4759" s="5" t="s">
        <v>4443</v>
      </c>
    </row>
    <row r="4760" spans="1:10" x14ac:dyDescent="0.2">
      <c r="A4760" s="1" t="s">
        <v>6</v>
      </c>
      <c r="B4760" s="2" t="s">
        <v>329</v>
      </c>
      <c r="D4760" s="7" t="s">
        <v>895</v>
      </c>
      <c r="E4760" s="6">
        <v>125839</v>
      </c>
      <c r="F4760" s="6" t="s">
        <v>465</v>
      </c>
      <c r="G4760" s="57" t="str">
        <f t="shared" si="77"/>
        <v>-</v>
      </c>
      <c r="J4760" s="5" t="s">
        <v>4422</v>
      </c>
    </row>
    <row r="4761" spans="1:10" x14ac:dyDescent="0.2">
      <c r="A4761" s="1" t="s">
        <v>6</v>
      </c>
      <c r="B4761" s="2" t="s">
        <v>329</v>
      </c>
      <c r="D4761" s="7" t="s">
        <v>896</v>
      </c>
      <c r="E4761" s="6">
        <v>345688</v>
      </c>
      <c r="F4761" s="6" t="s">
        <v>465</v>
      </c>
      <c r="G4761" s="57" t="str">
        <f t="shared" si="77"/>
        <v>-</v>
      </c>
      <c r="J4761" s="5" t="s">
        <v>4423</v>
      </c>
    </row>
    <row r="4762" spans="1:10" ht="127.5" x14ac:dyDescent="0.2">
      <c r="A4762" s="1" t="s">
        <v>6</v>
      </c>
      <c r="B4762" s="2" t="s">
        <v>329</v>
      </c>
      <c r="D4762" s="7" t="s">
        <v>896</v>
      </c>
      <c r="E4762" s="6" t="s">
        <v>465</v>
      </c>
      <c r="F4762" s="6">
        <v>146737</v>
      </c>
      <c r="G4762" s="57" t="str">
        <f t="shared" si="77"/>
        <v>-</v>
      </c>
      <c r="J4762" s="5" t="s">
        <v>4444</v>
      </c>
    </row>
    <row r="4763" spans="1:10" ht="25.5" x14ac:dyDescent="0.2">
      <c r="A4763" s="1" t="s">
        <v>6</v>
      </c>
      <c r="B4763" s="2" t="s">
        <v>329</v>
      </c>
      <c r="D4763" s="5" t="s">
        <v>897</v>
      </c>
      <c r="E4763" s="3" t="s">
        <v>465</v>
      </c>
      <c r="F4763" s="3">
        <v>115687</v>
      </c>
      <c r="G4763" s="57" t="str">
        <f t="shared" si="77"/>
        <v>-</v>
      </c>
      <c r="J4763" s="5" t="s">
        <v>2763</v>
      </c>
    </row>
    <row r="4764" spans="1:10" ht="25.5" x14ac:dyDescent="0.2">
      <c r="A4764" s="1" t="s">
        <v>6</v>
      </c>
      <c r="B4764" s="2" t="s">
        <v>329</v>
      </c>
      <c r="D4764" s="5" t="s">
        <v>898</v>
      </c>
      <c r="E4764" s="3">
        <v>100918</v>
      </c>
      <c r="F4764" s="3">
        <v>100837</v>
      </c>
      <c r="G4764" s="57">
        <f t="shared" si="77"/>
        <v>-8.0263183971144886E-4</v>
      </c>
      <c r="J4764" s="5" t="s">
        <v>2764</v>
      </c>
    </row>
    <row r="4765" spans="1:10" ht="25.5" x14ac:dyDescent="0.2">
      <c r="A4765" s="1" t="s">
        <v>6</v>
      </c>
      <c r="B4765" s="2" t="s">
        <v>329</v>
      </c>
      <c r="D4765" s="5" t="s">
        <v>899</v>
      </c>
      <c r="E4765" s="3" t="s">
        <v>465</v>
      </c>
      <c r="F4765" s="3">
        <v>105204</v>
      </c>
      <c r="G4765" s="57" t="str">
        <f t="shared" si="77"/>
        <v>-</v>
      </c>
      <c r="J4765" s="5" t="s">
        <v>2765</v>
      </c>
    </row>
    <row r="4766" spans="1:10" ht="25.5" x14ac:dyDescent="0.2">
      <c r="A4766" s="1" t="s">
        <v>6</v>
      </c>
      <c r="B4766" s="2" t="s">
        <v>329</v>
      </c>
      <c r="D4766" s="5" t="s">
        <v>900</v>
      </c>
      <c r="E4766" s="3">
        <v>104341</v>
      </c>
      <c r="F4766" s="3">
        <v>105559</v>
      </c>
      <c r="G4766" s="57">
        <f t="shared" si="77"/>
        <v>1.1673263625995535E-2</v>
      </c>
      <c r="J4766" s="5" t="s">
        <v>2766</v>
      </c>
    </row>
    <row r="4767" spans="1:10" ht="25.5" x14ac:dyDescent="0.2">
      <c r="A4767" s="1" t="s">
        <v>28</v>
      </c>
      <c r="B4767" s="2" t="s">
        <v>330</v>
      </c>
      <c r="D4767" s="5" t="s">
        <v>450</v>
      </c>
      <c r="E4767" s="3">
        <v>113164</v>
      </c>
      <c r="F4767" s="3">
        <v>114057</v>
      </c>
      <c r="G4767" s="57">
        <f t="shared" si="77"/>
        <v>7.8912021490933505E-3</v>
      </c>
      <c r="J4767" s="5" t="s">
        <v>2759</v>
      </c>
    </row>
    <row r="4768" spans="1:10" ht="25.5" x14ac:dyDescent="0.2">
      <c r="A4768" s="1" t="s">
        <v>4</v>
      </c>
      <c r="B4768" s="2" t="s">
        <v>331</v>
      </c>
      <c r="D4768" s="5" t="s">
        <v>450</v>
      </c>
      <c r="E4768" s="3">
        <v>160390</v>
      </c>
      <c r="F4768" s="3">
        <v>158156</v>
      </c>
      <c r="G4768" s="57">
        <f t="shared" si="77"/>
        <v>-1.3928549161419041E-2</v>
      </c>
      <c r="J4768" s="5" t="s">
        <v>2756</v>
      </c>
    </row>
    <row r="4769" spans="1:10" x14ac:dyDescent="0.2">
      <c r="A4769" s="1" t="s">
        <v>4</v>
      </c>
      <c r="B4769" s="2" t="s">
        <v>331</v>
      </c>
      <c r="D4769" s="5" t="s">
        <v>889</v>
      </c>
      <c r="E4769" s="3">
        <v>123961</v>
      </c>
      <c r="F4769" s="3">
        <v>129405</v>
      </c>
      <c r="G4769" s="57">
        <f t="shared" si="77"/>
        <v>4.391703842337509E-2</v>
      </c>
      <c r="J4769" s="5" t="s">
        <v>2757</v>
      </c>
    </row>
    <row r="4770" spans="1:10" x14ac:dyDescent="0.2">
      <c r="A4770" s="1" t="s">
        <v>4</v>
      </c>
      <c r="B4770" s="2" t="s">
        <v>331</v>
      </c>
      <c r="D4770" s="5" t="s">
        <v>890</v>
      </c>
      <c r="E4770" s="3">
        <v>123328</v>
      </c>
      <c r="F4770" s="3">
        <v>129426</v>
      </c>
      <c r="G4770" s="57">
        <f t="shared" si="77"/>
        <v>4.9445381421899325E-2</v>
      </c>
      <c r="J4770" s="5" t="s">
        <v>2758</v>
      </c>
    </row>
    <row r="4771" spans="1:10" ht="25.5" x14ac:dyDescent="0.2">
      <c r="A4771" s="1" t="s">
        <v>28</v>
      </c>
      <c r="B4771" s="2" t="s">
        <v>332</v>
      </c>
      <c r="C4771" s="5" t="s">
        <v>885</v>
      </c>
      <c r="D4771" s="5" t="s">
        <v>450</v>
      </c>
      <c r="E4771" s="3">
        <v>217814</v>
      </c>
      <c r="F4771" s="3">
        <v>217814</v>
      </c>
      <c r="G4771" s="57">
        <f t="shared" si="77"/>
        <v>0</v>
      </c>
      <c r="J4771" s="5" t="s">
        <v>2750</v>
      </c>
    </row>
    <row r="4772" spans="1:10" ht="51" x14ac:dyDescent="0.2">
      <c r="A4772" s="1" t="s">
        <v>28</v>
      </c>
      <c r="B4772" s="2" t="s">
        <v>332</v>
      </c>
      <c r="D4772" s="5" t="s">
        <v>455</v>
      </c>
      <c r="E4772" s="3">
        <v>153928</v>
      </c>
      <c r="F4772" s="3">
        <v>159734</v>
      </c>
      <c r="G4772" s="57">
        <f t="shared" si="77"/>
        <v>3.7718933527363441E-2</v>
      </c>
      <c r="J4772" s="5" t="s">
        <v>2751</v>
      </c>
    </row>
    <row r="4773" spans="1:10" ht="25.5" x14ac:dyDescent="0.2">
      <c r="A4773" s="1" t="s">
        <v>28</v>
      </c>
      <c r="B4773" s="2" t="s">
        <v>332</v>
      </c>
      <c r="D4773" s="5" t="s">
        <v>886</v>
      </c>
      <c r="E4773" s="3">
        <v>150733</v>
      </c>
      <c r="F4773" s="3">
        <v>150733</v>
      </c>
      <c r="G4773" s="57">
        <f t="shared" si="77"/>
        <v>0</v>
      </c>
      <c r="J4773" s="5" t="s">
        <v>2752</v>
      </c>
    </row>
    <row r="4774" spans="1:10" ht="38.25" x14ac:dyDescent="0.2">
      <c r="A4774" s="1" t="s">
        <v>28</v>
      </c>
      <c r="B4774" s="2" t="s">
        <v>332</v>
      </c>
      <c r="D4774" s="5" t="s">
        <v>887</v>
      </c>
      <c r="E4774" s="3">
        <v>88625</v>
      </c>
      <c r="F4774" s="3">
        <v>145218</v>
      </c>
      <c r="G4774" s="57">
        <f t="shared" si="77"/>
        <v>0.63856699576868825</v>
      </c>
      <c r="J4774" s="5" t="s">
        <v>2753</v>
      </c>
    </row>
    <row r="4775" spans="1:10" ht="38.25" x14ac:dyDescent="0.2">
      <c r="A4775" s="1" t="s">
        <v>28</v>
      </c>
      <c r="B4775" s="2" t="s">
        <v>332</v>
      </c>
      <c r="D4775" s="5" t="s">
        <v>888</v>
      </c>
      <c r="E4775" s="3">
        <v>93299</v>
      </c>
      <c r="F4775" s="3">
        <v>152476</v>
      </c>
      <c r="G4775" s="57">
        <f t="shared" si="77"/>
        <v>0.63427260742344505</v>
      </c>
      <c r="J4775" s="5" t="s">
        <v>2754</v>
      </c>
    </row>
    <row r="4776" spans="1:10" ht="25.5" x14ac:dyDescent="0.2">
      <c r="A4776" s="1" t="s">
        <v>28</v>
      </c>
      <c r="B4776" s="2" t="s">
        <v>332</v>
      </c>
      <c r="D4776" s="5" t="s">
        <v>4684</v>
      </c>
      <c r="E4776" s="3">
        <v>167172</v>
      </c>
      <c r="F4776" s="3">
        <v>167012</v>
      </c>
      <c r="G4776" s="57">
        <f t="shared" si="77"/>
        <v>-9.570980786256072E-4</v>
      </c>
      <c r="J4776" s="5" t="s">
        <v>2755</v>
      </c>
    </row>
    <row r="4777" spans="1:10" ht="25.5" x14ac:dyDescent="0.2">
      <c r="A4777" s="1" t="s">
        <v>28</v>
      </c>
      <c r="B4777" s="2" t="s">
        <v>332</v>
      </c>
      <c r="D4777" s="7" t="s">
        <v>2744</v>
      </c>
      <c r="E4777" s="6">
        <v>119170</v>
      </c>
      <c r="F4777" s="6" t="s">
        <v>465</v>
      </c>
      <c r="G4777" s="57" t="str">
        <f t="shared" si="77"/>
        <v>-</v>
      </c>
      <c r="J4777" s="5" t="s">
        <v>2749</v>
      </c>
    </row>
    <row r="4778" spans="1:10" x14ac:dyDescent="0.2">
      <c r="A4778" s="1" t="s">
        <v>28</v>
      </c>
      <c r="B4778" s="2" t="s">
        <v>332</v>
      </c>
      <c r="D4778" s="7" t="s">
        <v>2745</v>
      </c>
      <c r="E4778" s="6">
        <v>372752</v>
      </c>
      <c r="F4778" s="6" t="s">
        <v>465</v>
      </c>
      <c r="G4778" s="57" t="str">
        <f t="shared" si="77"/>
        <v>-</v>
      </c>
      <c r="J4778" s="5" t="s">
        <v>2747</v>
      </c>
    </row>
    <row r="4779" spans="1:10" ht="27" customHeight="1" x14ac:dyDescent="0.2">
      <c r="A4779" s="1" t="s">
        <v>28</v>
      </c>
      <c r="B4779" s="2" t="s">
        <v>332</v>
      </c>
      <c r="D4779" s="7" t="s">
        <v>2746</v>
      </c>
      <c r="E4779" s="6">
        <v>161595</v>
      </c>
      <c r="F4779" s="6" t="s">
        <v>465</v>
      </c>
      <c r="G4779" s="57" t="str">
        <f t="shared" si="77"/>
        <v>-</v>
      </c>
      <c r="J4779" s="5" t="s">
        <v>2748</v>
      </c>
    </row>
    <row r="4780" spans="1:10" ht="27" customHeight="1" x14ac:dyDescent="0.2">
      <c r="A4780" s="1" t="s">
        <v>28</v>
      </c>
      <c r="B4780" s="2" t="s">
        <v>332</v>
      </c>
      <c r="D4780" s="7" t="s">
        <v>4685</v>
      </c>
      <c r="E4780" s="6">
        <v>257349</v>
      </c>
      <c r="F4780" s="6" t="s">
        <v>465</v>
      </c>
      <c r="G4780" s="57" t="str">
        <f t="shared" si="77"/>
        <v>-</v>
      </c>
      <c r="J4780" s="5" t="s">
        <v>2424</v>
      </c>
    </row>
    <row r="4781" spans="1:10" x14ac:dyDescent="0.2">
      <c r="A4781" s="1" t="s">
        <v>28</v>
      </c>
      <c r="B4781" s="2" t="s">
        <v>332</v>
      </c>
      <c r="D4781" s="5" t="s">
        <v>464</v>
      </c>
      <c r="G4781" s="57" t="str">
        <f t="shared" si="77"/>
        <v>-</v>
      </c>
      <c r="H4781" s="19">
        <v>92500</v>
      </c>
      <c r="I4781" s="19" t="s">
        <v>465</v>
      </c>
    </row>
    <row r="4782" spans="1:10" x14ac:dyDescent="0.2">
      <c r="A4782" s="1" t="s">
        <v>28</v>
      </c>
      <c r="B4782" s="2" t="s">
        <v>332</v>
      </c>
      <c r="D4782" s="5" t="s">
        <v>464</v>
      </c>
      <c r="G4782" s="57" t="str">
        <f t="shared" si="77"/>
        <v>-</v>
      </c>
      <c r="H4782" s="19">
        <v>92500</v>
      </c>
      <c r="I4782" s="19" t="s">
        <v>465</v>
      </c>
    </row>
    <row r="4783" spans="1:10" x14ac:dyDescent="0.2">
      <c r="A4783" s="1" t="s">
        <v>28</v>
      </c>
      <c r="B4783" s="2" t="s">
        <v>332</v>
      </c>
      <c r="D4783" s="5" t="s">
        <v>464</v>
      </c>
      <c r="G4783" s="57" t="str">
        <f t="shared" si="77"/>
        <v>-</v>
      </c>
      <c r="H4783" s="19">
        <v>92500</v>
      </c>
      <c r="I4783" s="19" t="s">
        <v>465</v>
      </c>
    </row>
    <row r="4784" spans="1:10" x14ac:dyDescent="0.2">
      <c r="A4784" s="1" t="s">
        <v>28</v>
      </c>
      <c r="B4784" s="2" t="s">
        <v>332</v>
      </c>
      <c r="D4784" s="5" t="s">
        <v>464</v>
      </c>
      <c r="G4784" s="57" t="str">
        <f t="shared" si="77"/>
        <v>-</v>
      </c>
      <c r="H4784" s="19">
        <v>92500</v>
      </c>
      <c r="I4784" s="19" t="s">
        <v>465</v>
      </c>
    </row>
    <row r="4785" spans="1:9" s="1" customFormat="1" x14ac:dyDescent="0.2">
      <c r="A4785" s="1" t="s">
        <v>28</v>
      </c>
      <c r="B4785" s="2" t="s">
        <v>332</v>
      </c>
      <c r="C4785" s="5"/>
      <c r="D4785" s="5" t="s">
        <v>464</v>
      </c>
      <c r="E4785" s="3"/>
      <c r="F4785" s="3"/>
      <c r="G4785" s="57" t="str">
        <f t="shared" si="77"/>
        <v>-</v>
      </c>
      <c r="H4785" s="19" t="s">
        <v>465</v>
      </c>
      <c r="I4785" s="19">
        <v>92500</v>
      </c>
    </row>
    <row r="4786" spans="1:9" s="1" customFormat="1" x14ac:dyDescent="0.2">
      <c r="A4786" s="1" t="s">
        <v>28</v>
      </c>
      <c r="B4786" s="2" t="s">
        <v>332</v>
      </c>
      <c r="C4786" s="5"/>
      <c r="D4786" s="5" t="s">
        <v>464</v>
      </c>
      <c r="E4786" s="3"/>
      <c r="F4786" s="3"/>
      <c r="G4786" s="57" t="str">
        <f t="shared" si="77"/>
        <v>-</v>
      </c>
      <c r="H4786" s="19">
        <v>97500</v>
      </c>
      <c r="I4786" s="19" t="s">
        <v>465</v>
      </c>
    </row>
    <row r="4787" spans="1:9" s="1" customFormat="1" x14ac:dyDescent="0.2">
      <c r="A4787" s="1" t="s">
        <v>28</v>
      </c>
      <c r="B4787" s="2" t="s">
        <v>332</v>
      </c>
      <c r="C4787" s="5"/>
      <c r="D4787" s="5" t="s">
        <v>464</v>
      </c>
      <c r="E4787" s="3"/>
      <c r="F4787" s="3"/>
      <c r="G4787" s="57" t="str">
        <f t="shared" si="77"/>
        <v>-</v>
      </c>
      <c r="H4787" s="19">
        <v>97500</v>
      </c>
      <c r="I4787" s="19" t="s">
        <v>465</v>
      </c>
    </row>
    <row r="4788" spans="1:9" s="1" customFormat="1" x14ac:dyDescent="0.2">
      <c r="A4788" s="1" t="s">
        <v>28</v>
      </c>
      <c r="B4788" s="2" t="s">
        <v>332</v>
      </c>
      <c r="C4788" s="5"/>
      <c r="D4788" s="5" t="s">
        <v>464</v>
      </c>
      <c r="E4788" s="3"/>
      <c r="F4788" s="3"/>
      <c r="G4788" s="57" t="str">
        <f t="shared" si="77"/>
        <v>-</v>
      </c>
      <c r="H4788" s="19">
        <v>97500</v>
      </c>
      <c r="I4788" s="19" t="s">
        <v>465</v>
      </c>
    </row>
    <row r="4789" spans="1:9" s="1" customFormat="1" x14ac:dyDescent="0.2">
      <c r="A4789" s="1" t="s">
        <v>28</v>
      </c>
      <c r="B4789" s="2" t="s">
        <v>332</v>
      </c>
      <c r="C4789" s="5"/>
      <c r="D4789" s="5" t="s">
        <v>464</v>
      </c>
      <c r="E4789" s="3"/>
      <c r="F4789" s="3"/>
      <c r="G4789" s="57" t="str">
        <f t="shared" si="77"/>
        <v>-</v>
      </c>
      <c r="H4789" s="19">
        <v>97500</v>
      </c>
      <c r="I4789" s="19" t="s">
        <v>465</v>
      </c>
    </row>
    <row r="4790" spans="1:9" s="1" customFormat="1" x14ac:dyDescent="0.2">
      <c r="A4790" s="1" t="s">
        <v>28</v>
      </c>
      <c r="B4790" s="2" t="s">
        <v>332</v>
      </c>
      <c r="C4790" s="5"/>
      <c r="D4790" s="5" t="s">
        <v>464</v>
      </c>
      <c r="E4790" s="3"/>
      <c r="F4790" s="3"/>
      <c r="G4790" s="57" t="str">
        <f t="shared" si="77"/>
        <v>-</v>
      </c>
      <c r="H4790" s="19">
        <v>97500</v>
      </c>
      <c r="I4790" s="19" t="s">
        <v>465</v>
      </c>
    </row>
    <row r="4791" spans="1:9" s="1" customFormat="1" x14ac:dyDescent="0.2">
      <c r="A4791" s="1" t="s">
        <v>28</v>
      </c>
      <c r="B4791" s="2" t="s">
        <v>332</v>
      </c>
      <c r="C4791" s="5"/>
      <c r="D4791" s="5" t="s">
        <v>464</v>
      </c>
      <c r="E4791" s="3"/>
      <c r="F4791" s="3"/>
      <c r="G4791" s="57" t="str">
        <f t="shared" si="77"/>
        <v>-</v>
      </c>
      <c r="H4791" s="19" t="s">
        <v>465</v>
      </c>
      <c r="I4791" s="19">
        <v>97500</v>
      </c>
    </row>
    <row r="4792" spans="1:9" s="1" customFormat="1" x14ac:dyDescent="0.2">
      <c r="A4792" s="1" t="s">
        <v>28</v>
      </c>
      <c r="B4792" s="2" t="s">
        <v>332</v>
      </c>
      <c r="C4792" s="5"/>
      <c r="D4792" s="5" t="s">
        <v>464</v>
      </c>
      <c r="E4792" s="3"/>
      <c r="F4792" s="3"/>
      <c r="G4792" s="57" t="str">
        <f t="shared" si="77"/>
        <v>-</v>
      </c>
      <c r="H4792" s="19" t="s">
        <v>465</v>
      </c>
      <c r="I4792" s="19">
        <v>97500</v>
      </c>
    </row>
    <row r="4793" spans="1:9" s="1" customFormat="1" x14ac:dyDescent="0.2">
      <c r="A4793" s="1" t="s">
        <v>28</v>
      </c>
      <c r="B4793" s="2" t="s">
        <v>332</v>
      </c>
      <c r="C4793" s="5"/>
      <c r="D4793" s="5" t="s">
        <v>464</v>
      </c>
      <c r="E4793" s="3"/>
      <c r="F4793" s="3"/>
      <c r="G4793" s="57" t="str">
        <f t="shared" si="77"/>
        <v>-</v>
      </c>
      <c r="H4793" s="19" t="s">
        <v>465</v>
      </c>
      <c r="I4793" s="19">
        <v>97500</v>
      </c>
    </row>
    <row r="4794" spans="1:9" s="1" customFormat="1" x14ac:dyDescent="0.2">
      <c r="A4794" s="1" t="s">
        <v>28</v>
      </c>
      <c r="B4794" s="2" t="s">
        <v>332</v>
      </c>
      <c r="C4794" s="5"/>
      <c r="D4794" s="5" t="s">
        <v>464</v>
      </c>
      <c r="E4794" s="3"/>
      <c r="F4794" s="3"/>
      <c r="G4794" s="57" t="str">
        <f t="shared" si="77"/>
        <v>-</v>
      </c>
      <c r="H4794" s="19" t="s">
        <v>465</v>
      </c>
      <c r="I4794" s="19">
        <v>97500</v>
      </c>
    </row>
    <row r="4795" spans="1:9" s="1" customFormat="1" x14ac:dyDescent="0.2">
      <c r="A4795" s="1" t="s">
        <v>28</v>
      </c>
      <c r="B4795" s="2" t="s">
        <v>332</v>
      </c>
      <c r="C4795" s="5"/>
      <c r="D4795" s="5" t="s">
        <v>464</v>
      </c>
      <c r="E4795" s="3"/>
      <c r="F4795" s="3"/>
      <c r="G4795" s="57" t="str">
        <f t="shared" si="77"/>
        <v>-</v>
      </c>
      <c r="H4795" s="19" t="s">
        <v>465</v>
      </c>
      <c r="I4795" s="19">
        <v>97500</v>
      </c>
    </row>
    <row r="4796" spans="1:9" s="1" customFormat="1" x14ac:dyDescent="0.2">
      <c r="A4796" s="1" t="s">
        <v>28</v>
      </c>
      <c r="B4796" s="2" t="s">
        <v>332</v>
      </c>
      <c r="C4796" s="5"/>
      <c r="D4796" s="5" t="s">
        <v>464</v>
      </c>
      <c r="E4796" s="3">
        <v>102500</v>
      </c>
      <c r="F4796" s="3" t="s">
        <v>465</v>
      </c>
      <c r="G4796" s="57" t="str">
        <f t="shared" ref="G4796:G4859" si="78">IF(ISERROR((F4796-E4796)/E4796),"-",(F4796-E4796)/E4796)</f>
        <v>-</v>
      </c>
      <c r="H4796" s="19"/>
      <c r="I4796" s="19"/>
    </row>
    <row r="4797" spans="1:9" s="1" customFormat="1" x14ac:dyDescent="0.2">
      <c r="A4797" s="1" t="s">
        <v>28</v>
      </c>
      <c r="B4797" s="2" t="s">
        <v>332</v>
      </c>
      <c r="C4797" s="5"/>
      <c r="D4797" s="5" t="s">
        <v>464</v>
      </c>
      <c r="E4797" s="3" t="s">
        <v>465</v>
      </c>
      <c r="F4797" s="3">
        <v>102500</v>
      </c>
      <c r="G4797" s="57" t="str">
        <f t="shared" si="78"/>
        <v>-</v>
      </c>
      <c r="H4797" s="19"/>
      <c r="I4797" s="19"/>
    </row>
    <row r="4798" spans="1:9" s="1" customFormat="1" x14ac:dyDescent="0.2">
      <c r="A4798" s="1" t="s">
        <v>28</v>
      </c>
      <c r="B4798" s="2" t="s">
        <v>332</v>
      </c>
      <c r="C4798" s="5"/>
      <c r="D4798" s="5" t="s">
        <v>464</v>
      </c>
      <c r="E4798" s="3">
        <v>107500</v>
      </c>
      <c r="F4798" s="3" t="s">
        <v>465</v>
      </c>
      <c r="G4798" s="57" t="str">
        <f t="shared" si="78"/>
        <v>-</v>
      </c>
      <c r="H4798" s="19"/>
      <c r="I4798" s="19"/>
    </row>
    <row r="4799" spans="1:9" s="1" customFormat="1" x14ac:dyDescent="0.2">
      <c r="A4799" s="1" t="s">
        <v>28</v>
      </c>
      <c r="B4799" s="2" t="s">
        <v>332</v>
      </c>
      <c r="C4799" s="5"/>
      <c r="D4799" s="5" t="s">
        <v>464</v>
      </c>
      <c r="E4799" s="3" t="s">
        <v>465</v>
      </c>
      <c r="F4799" s="3">
        <v>107500</v>
      </c>
      <c r="G4799" s="57" t="str">
        <f t="shared" si="78"/>
        <v>-</v>
      </c>
      <c r="H4799" s="19"/>
      <c r="I4799" s="19"/>
    </row>
    <row r="4800" spans="1:9" s="1" customFormat="1" x14ac:dyDescent="0.2">
      <c r="A4800" s="1" t="s">
        <v>28</v>
      </c>
      <c r="B4800" s="2" t="s">
        <v>332</v>
      </c>
      <c r="C4800" s="5"/>
      <c r="D4800" s="5" t="s">
        <v>464</v>
      </c>
      <c r="E4800" s="3" t="s">
        <v>465</v>
      </c>
      <c r="F4800" s="3">
        <v>107500</v>
      </c>
      <c r="G4800" s="57" t="str">
        <f t="shared" si="78"/>
        <v>-</v>
      </c>
      <c r="H4800" s="19"/>
      <c r="I4800" s="19"/>
    </row>
    <row r="4801" spans="1:10" x14ac:dyDescent="0.2">
      <c r="A4801" s="1" t="s">
        <v>28</v>
      </c>
      <c r="B4801" s="2" t="s">
        <v>332</v>
      </c>
      <c r="D4801" s="5" t="s">
        <v>464</v>
      </c>
      <c r="E4801" s="3" t="s">
        <v>465</v>
      </c>
      <c r="F4801" s="3">
        <v>112500</v>
      </c>
      <c r="G4801" s="57" t="str">
        <f t="shared" si="78"/>
        <v>-</v>
      </c>
    </row>
    <row r="4802" spans="1:10" x14ac:dyDescent="0.2">
      <c r="A4802" s="1" t="s">
        <v>28</v>
      </c>
      <c r="B4802" s="2" t="s">
        <v>332</v>
      </c>
      <c r="D4802" s="5" t="s">
        <v>464</v>
      </c>
      <c r="E4802" s="3">
        <v>122500</v>
      </c>
      <c r="F4802" s="3" t="s">
        <v>465</v>
      </c>
      <c r="G4802" s="57" t="str">
        <f t="shared" si="78"/>
        <v>-</v>
      </c>
    </row>
    <row r="4803" spans="1:10" x14ac:dyDescent="0.2">
      <c r="A4803" s="1" t="s">
        <v>28</v>
      </c>
      <c r="B4803" s="2" t="s">
        <v>332</v>
      </c>
      <c r="D4803" s="5" t="s">
        <v>464</v>
      </c>
      <c r="E4803" s="3" t="s">
        <v>465</v>
      </c>
      <c r="F4803" s="3">
        <v>122500</v>
      </c>
      <c r="G4803" s="57" t="str">
        <f t="shared" si="78"/>
        <v>-</v>
      </c>
    </row>
    <row r="4804" spans="1:10" x14ac:dyDescent="0.2">
      <c r="A4804" s="1" t="s">
        <v>28</v>
      </c>
      <c r="B4804" s="2" t="s">
        <v>332</v>
      </c>
      <c r="D4804" s="5" t="s">
        <v>464</v>
      </c>
      <c r="E4804" s="3" t="s">
        <v>465</v>
      </c>
      <c r="F4804" s="3">
        <v>122500</v>
      </c>
      <c r="G4804" s="57" t="str">
        <f t="shared" si="78"/>
        <v>-</v>
      </c>
    </row>
    <row r="4805" spans="1:10" x14ac:dyDescent="0.2">
      <c r="A4805" s="1" t="s">
        <v>28</v>
      </c>
      <c r="B4805" s="2" t="s">
        <v>332</v>
      </c>
      <c r="D4805" s="5" t="s">
        <v>464</v>
      </c>
      <c r="E4805" s="3">
        <v>132500</v>
      </c>
      <c r="F4805" s="3" t="s">
        <v>465</v>
      </c>
      <c r="G4805" s="57" t="str">
        <f t="shared" si="78"/>
        <v>-</v>
      </c>
    </row>
    <row r="4806" spans="1:10" x14ac:dyDescent="0.2">
      <c r="A4806" s="1" t="s">
        <v>28</v>
      </c>
      <c r="B4806" s="2" t="s">
        <v>332</v>
      </c>
      <c r="D4806" s="5" t="s">
        <v>464</v>
      </c>
      <c r="E4806" s="3" t="s">
        <v>465</v>
      </c>
      <c r="F4806" s="3">
        <v>142500</v>
      </c>
      <c r="G4806" s="57" t="str">
        <f t="shared" si="78"/>
        <v>-</v>
      </c>
    </row>
    <row r="4807" spans="1:10" x14ac:dyDescent="0.2">
      <c r="A4807" s="1" t="s">
        <v>28</v>
      </c>
      <c r="B4807" s="2" t="s">
        <v>332</v>
      </c>
      <c r="D4807" s="5" t="s">
        <v>464</v>
      </c>
      <c r="E4807" s="3" t="s">
        <v>465</v>
      </c>
      <c r="F4807" s="3">
        <v>162500</v>
      </c>
      <c r="G4807" s="57" t="str">
        <f t="shared" si="78"/>
        <v>-</v>
      </c>
    </row>
    <row r="4808" spans="1:10" ht="25.5" x14ac:dyDescent="0.2">
      <c r="A4808" s="1" t="s">
        <v>4</v>
      </c>
      <c r="B4808" s="2" t="s">
        <v>333</v>
      </c>
      <c r="D4808" s="5" t="s">
        <v>450</v>
      </c>
      <c r="E4808" s="3">
        <v>136377</v>
      </c>
      <c r="F4808" s="3">
        <v>127886</v>
      </c>
      <c r="G4808" s="57">
        <f t="shared" si="78"/>
        <v>-6.2261231732623538E-2</v>
      </c>
      <c r="J4808" s="5" t="s">
        <v>2743</v>
      </c>
    </row>
    <row r="4809" spans="1:10" ht="38.25" x14ac:dyDescent="0.2">
      <c r="A4809" s="1" t="s">
        <v>4</v>
      </c>
      <c r="B4809" s="2" t="s">
        <v>333</v>
      </c>
      <c r="D4809" s="5" t="s">
        <v>655</v>
      </c>
      <c r="E4809" s="3">
        <v>16995</v>
      </c>
      <c r="F4809" s="3">
        <v>101970</v>
      </c>
      <c r="G4809" s="57">
        <f t="shared" si="78"/>
        <v>5</v>
      </c>
      <c r="J4809" s="5" t="s">
        <v>4597</v>
      </c>
    </row>
    <row r="4810" spans="1:10" ht="25.5" x14ac:dyDescent="0.2">
      <c r="A4810" s="1" t="s">
        <v>1</v>
      </c>
      <c r="B4810" s="2" t="s">
        <v>334</v>
      </c>
      <c r="C4810" s="29" t="s">
        <v>884</v>
      </c>
      <c r="D4810" s="29"/>
      <c r="G4810" s="57" t="str">
        <f t="shared" si="78"/>
        <v>-</v>
      </c>
    </row>
    <row r="4811" spans="1:10" ht="25.5" x14ac:dyDescent="0.2">
      <c r="A4811" s="1" t="s">
        <v>39</v>
      </c>
      <c r="B4811" s="2" t="s">
        <v>335</v>
      </c>
      <c r="C4811" s="7" t="s">
        <v>880</v>
      </c>
      <c r="D4811" s="7" t="s">
        <v>450</v>
      </c>
      <c r="E4811" s="6">
        <v>104625</v>
      </c>
      <c r="F4811" s="6">
        <v>212520</v>
      </c>
      <c r="G4811" s="57">
        <f t="shared" si="78"/>
        <v>1.0312544802867383</v>
      </c>
      <c r="H4811" s="21"/>
      <c r="I4811" s="21"/>
      <c r="J4811" s="7" t="s">
        <v>4596</v>
      </c>
    </row>
    <row r="4812" spans="1:10" x14ac:dyDescent="0.2">
      <c r="A4812" s="1" t="s">
        <v>39</v>
      </c>
      <c r="B4812" s="2" t="s">
        <v>335</v>
      </c>
      <c r="C4812" s="7" t="s">
        <v>2735</v>
      </c>
      <c r="D4812" s="7" t="s">
        <v>450</v>
      </c>
      <c r="E4812" s="6">
        <v>101985</v>
      </c>
      <c r="F4812" s="6" t="s">
        <v>465</v>
      </c>
      <c r="G4812" s="57" t="str">
        <f t="shared" si="78"/>
        <v>-</v>
      </c>
      <c r="H4812" s="21"/>
      <c r="I4812" s="21"/>
      <c r="J4812" s="7" t="s">
        <v>2736</v>
      </c>
    </row>
    <row r="4813" spans="1:10" ht="25.5" x14ac:dyDescent="0.2">
      <c r="A4813" s="1" t="s">
        <v>39</v>
      </c>
      <c r="B4813" s="2" t="s">
        <v>335</v>
      </c>
      <c r="D4813" s="5" t="s">
        <v>881</v>
      </c>
      <c r="E4813" s="3">
        <v>84463</v>
      </c>
      <c r="F4813" s="3">
        <v>106857</v>
      </c>
      <c r="G4813" s="57">
        <f t="shared" si="78"/>
        <v>0.2651338455891929</v>
      </c>
      <c r="J4813" s="5" t="s">
        <v>2738</v>
      </c>
    </row>
    <row r="4814" spans="1:10" ht="25.5" x14ac:dyDescent="0.2">
      <c r="A4814" s="1" t="s">
        <v>39</v>
      </c>
      <c r="B4814" s="2" t="s">
        <v>335</v>
      </c>
      <c r="D4814" s="5" t="s">
        <v>882</v>
      </c>
      <c r="E4814" s="3">
        <v>112698</v>
      </c>
      <c r="F4814" s="3">
        <v>118452</v>
      </c>
      <c r="G4814" s="57">
        <f t="shared" si="78"/>
        <v>5.1056806686897729E-2</v>
      </c>
      <c r="J4814" s="5" t="s">
        <v>2739</v>
      </c>
    </row>
    <row r="4815" spans="1:10" ht="25.5" x14ac:dyDescent="0.2">
      <c r="A4815" s="1" t="s">
        <v>39</v>
      </c>
      <c r="B4815" s="2" t="s">
        <v>335</v>
      </c>
      <c r="D4815" s="5" t="s">
        <v>2600</v>
      </c>
      <c r="E4815" s="3">
        <v>151450</v>
      </c>
      <c r="F4815" s="3">
        <v>158470</v>
      </c>
      <c r="G4815" s="57">
        <f t="shared" si="78"/>
        <v>4.63519313304721E-2</v>
      </c>
      <c r="J4815" s="5" t="s">
        <v>2740</v>
      </c>
    </row>
    <row r="4816" spans="1:10" ht="25.5" x14ac:dyDescent="0.2">
      <c r="A4816" s="1" t="s">
        <v>39</v>
      </c>
      <c r="B4816" s="2" t="s">
        <v>335</v>
      </c>
      <c r="D4816" s="5" t="s">
        <v>855</v>
      </c>
      <c r="E4816" s="3">
        <v>139890</v>
      </c>
      <c r="F4816" s="3">
        <v>147265</v>
      </c>
      <c r="G4816" s="57">
        <f t="shared" si="78"/>
        <v>5.2719994281220962E-2</v>
      </c>
      <c r="J4816" s="5" t="s">
        <v>2741</v>
      </c>
    </row>
    <row r="4817" spans="1:10" ht="25.5" x14ac:dyDescent="0.2">
      <c r="A4817" s="1" t="s">
        <v>39</v>
      </c>
      <c r="B4817" s="2" t="s">
        <v>335</v>
      </c>
      <c r="D4817" s="5" t="s">
        <v>883</v>
      </c>
      <c r="E4817" s="3" t="s">
        <v>465</v>
      </c>
      <c r="F4817" s="3">
        <v>149046</v>
      </c>
      <c r="G4817" s="57" t="str">
        <f t="shared" si="78"/>
        <v>-</v>
      </c>
      <c r="J4817" s="5" t="s">
        <v>4594</v>
      </c>
    </row>
    <row r="4818" spans="1:10" ht="25.5" x14ac:dyDescent="0.2">
      <c r="A4818" s="1" t="s">
        <v>39</v>
      </c>
      <c r="B4818" s="2" t="s">
        <v>335</v>
      </c>
      <c r="D4818" s="5" t="s">
        <v>463</v>
      </c>
      <c r="E4818" s="3">
        <v>145670</v>
      </c>
      <c r="F4818" s="3">
        <v>106434</v>
      </c>
      <c r="G4818" s="57">
        <f t="shared" si="78"/>
        <v>-0.26934852749365001</v>
      </c>
      <c r="J4818" s="5" t="s">
        <v>4595</v>
      </c>
    </row>
    <row r="4819" spans="1:10" x14ac:dyDescent="0.2">
      <c r="A4819" s="1" t="s">
        <v>39</v>
      </c>
      <c r="B4819" s="2" t="s">
        <v>335</v>
      </c>
      <c r="D4819" s="7" t="s">
        <v>883</v>
      </c>
      <c r="E4819" s="6">
        <v>145670</v>
      </c>
      <c r="F4819" s="6" t="s">
        <v>465</v>
      </c>
      <c r="G4819" s="57" t="str">
        <f t="shared" si="78"/>
        <v>-</v>
      </c>
      <c r="J4819" s="5" t="s">
        <v>2737</v>
      </c>
    </row>
    <row r="4820" spans="1:10" x14ac:dyDescent="0.2">
      <c r="A4820" s="1" t="s">
        <v>39</v>
      </c>
      <c r="B4820" s="2" t="s">
        <v>335</v>
      </c>
      <c r="D4820" s="7" t="s">
        <v>464</v>
      </c>
      <c r="E4820" s="6"/>
      <c r="F4820" s="6"/>
      <c r="G4820" s="57" t="str">
        <f t="shared" si="78"/>
        <v>-</v>
      </c>
      <c r="H4820" s="21">
        <v>92500</v>
      </c>
      <c r="I4820" s="21" t="s">
        <v>465</v>
      </c>
    </row>
    <row r="4821" spans="1:10" x14ac:dyDescent="0.2">
      <c r="A4821" s="1" t="s">
        <v>39</v>
      </c>
      <c r="B4821" s="2" t="s">
        <v>335</v>
      </c>
      <c r="D4821" s="7" t="s">
        <v>464</v>
      </c>
      <c r="E4821" s="6"/>
      <c r="F4821" s="6"/>
      <c r="G4821" s="57" t="str">
        <f t="shared" si="78"/>
        <v>-</v>
      </c>
      <c r="H4821" s="21">
        <v>92500</v>
      </c>
      <c r="I4821" s="21" t="s">
        <v>465</v>
      </c>
    </row>
    <row r="4822" spans="1:10" x14ac:dyDescent="0.2">
      <c r="A4822" s="1" t="s">
        <v>39</v>
      </c>
      <c r="B4822" s="2" t="s">
        <v>335</v>
      </c>
      <c r="D4822" s="7" t="s">
        <v>464</v>
      </c>
      <c r="E4822" s="6"/>
      <c r="F4822" s="6"/>
      <c r="G4822" s="57" t="str">
        <f t="shared" si="78"/>
        <v>-</v>
      </c>
      <c r="H4822" s="21">
        <v>92500</v>
      </c>
      <c r="I4822" s="21" t="s">
        <v>465</v>
      </c>
    </row>
    <row r="4823" spans="1:10" x14ac:dyDescent="0.2">
      <c r="A4823" s="1" t="s">
        <v>39</v>
      </c>
      <c r="B4823" s="2" t="s">
        <v>335</v>
      </c>
      <c r="D4823" s="7" t="s">
        <v>464</v>
      </c>
      <c r="E4823" s="6"/>
      <c r="F4823" s="6"/>
      <c r="G4823" s="57" t="str">
        <f t="shared" si="78"/>
        <v>-</v>
      </c>
      <c r="H4823" s="21">
        <v>92500</v>
      </c>
      <c r="I4823" s="21" t="s">
        <v>465</v>
      </c>
      <c r="J4823" s="5" t="s">
        <v>2742</v>
      </c>
    </row>
    <row r="4824" spans="1:10" x14ac:dyDescent="0.2">
      <c r="A4824" s="1" t="s">
        <v>39</v>
      </c>
      <c r="B4824" s="2" t="s">
        <v>335</v>
      </c>
      <c r="D4824" s="7" t="s">
        <v>464</v>
      </c>
      <c r="E4824" s="6"/>
      <c r="F4824" s="6"/>
      <c r="G4824" s="57" t="str">
        <f t="shared" si="78"/>
        <v>-</v>
      </c>
      <c r="H4824" s="21" t="s">
        <v>465</v>
      </c>
      <c r="I4824" s="21">
        <v>92500</v>
      </c>
    </row>
    <row r="4825" spans="1:10" x14ac:dyDescent="0.2">
      <c r="A4825" s="1" t="s">
        <v>39</v>
      </c>
      <c r="B4825" s="2" t="s">
        <v>335</v>
      </c>
      <c r="D4825" s="7" t="s">
        <v>464</v>
      </c>
      <c r="E4825" s="6"/>
      <c r="F4825" s="6"/>
      <c r="G4825" s="57" t="str">
        <f t="shared" si="78"/>
        <v>-</v>
      </c>
      <c r="H4825" s="21" t="s">
        <v>465</v>
      </c>
      <c r="I4825" s="21">
        <v>92500</v>
      </c>
    </row>
    <row r="4826" spans="1:10" x14ac:dyDescent="0.2">
      <c r="A4826" s="1" t="s">
        <v>39</v>
      </c>
      <c r="B4826" s="2" t="s">
        <v>335</v>
      </c>
      <c r="D4826" s="7" t="s">
        <v>464</v>
      </c>
      <c r="E4826" s="6"/>
      <c r="F4826" s="6"/>
      <c r="G4826" s="57" t="str">
        <f t="shared" si="78"/>
        <v>-</v>
      </c>
      <c r="H4826" s="21" t="s">
        <v>465</v>
      </c>
      <c r="I4826" s="21">
        <v>92500</v>
      </c>
    </row>
    <row r="4827" spans="1:10" x14ac:dyDescent="0.2">
      <c r="A4827" s="1" t="s">
        <v>39</v>
      </c>
      <c r="B4827" s="2" t="s">
        <v>335</v>
      </c>
      <c r="D4827" s="7" t="s">
        <v>464</v>
      </c>
      <c r="E4827" s="6"/>
      <c r="F4827" s="6"/>
      <c r="G4827" s="57" t="str">
        <f t="shared" si="78"/>
        <v>-</v>
      </c>
      <c r="H4827" s="21" t="s">
        <v>465</v>
      </c>
      <c r="I4827" s="21">
        <v>92500</v>
      </c>
    </row>
    <row r="4828" spans="1:10" x14ac:dyDescent="0.2">
      <c r="A4828" s="1" t="s">
        <v>39</v>
      </c>
      <c r="B4828" s="2" t="s">
        <v>335</v>
      </c>
      <c r="D4828" s="7" t="s">
        <v>464</v>
      </c>
      <c r="E4828" s="6"/>
      <c r="F4828" s="6"/>
      <c r="G4828" s="57" t="str">
        <f t="shared" si="78"/>
        <v>-</v>
      </c>
      <c r="H4828" s="21" t="s">
        <v>465</v>
      </c>
      <c r="I4828" s="21">
        <v>92500</v>
      </c>
    </row>
    <row r="4829" spans="1:10" x14ac:dyDescent="0.2">
      <c r="A4829" s="1" t="s">
        <v>39</v>
      </c>
      <c r="B4829" s="2" t="s">
        <v>335</v>
      </c>
      <c r="D4829" s="7" t="s">
        <v>464</v>
      </c>
      <c r="E4829" s="6"/>
      <c r="F4829" s="6"/>
      <c r="G4829" s="57" t="str">
        <f t="shared" si="78"/>
        <v>-</v>
      </c>
      <c r="H4829" s="21" t="s">
        <v>465</v>
      </c>
      <c r="I4829" s="21">
        <v>92500</v>
      </c>
      <c r="J4829" s="5" t="s">
        <v>2742</v>
      </c>
    </row>
    <row r="4830" spans="1:10" x14ac:dyDescent="0.2">
      <c r="A4830" s="1" t="s">
        <v>39</v>
      </c>
      <c r="B4830" s="2" t="s">
        <v>335</v>
      </c>
      <c r="D4830" s="7" t="s">
        <v>464</v>
      </c>
      <c r="E4830" s="6"/>
      <c r="F4830" s="6"/>
      <c r="G4830" s="57" t="str">
        <f t="shared" si="78"/>
        <v>-</v>
      </c>
      <c r="H4830" s="21">
        <v>97500</v>
      </c>
      <c r="I4830" s="21" t="s">
        <v>465</v>
      </c>
      <c r="J4830" s="5" t="s">
        <v>2742</v>
      </c>
    </row>
    <row r="4831" spans="1:10" x14ac:dyDescent="0.2">
      <c r="A4831" s="1" t="s">
        <v>39</v>
      </c>
      <c r="B4831" s="2" t="s">
        <v>335</v>
      </c>
      <c r="D4831" s="7" t="s">
        <v>464</v>
      </c>
      <c r="E4831" s="6"/>
      <c r="F4831" s="6"/>
      <c r="G4831" s="57" t="str">
        <f t="shared" si="78"/>
        <v>-</v>
      </c>
      <c r="H4831" s="21">
        <v>97500</v>
      </c>
      <c r="I4831" s="21" t="s">
        <v>465</v>
      </c>
      <c r="J4831" s="5" t="s">
        <v>2742</v>
      </c>
    </row>
    <row r="4832" spans="1:10" x14ac:dyDescent="0.2">
      <c r="A4832" s="1" t="s">
        <v>39</v>
      </c>
      <c r="B4832" s="2" t="s">
        <v>335</v>
      </c>
      <c r="D4832" s="7" t="s">
        <v>464</v>
      </c>
      <c r="E4832" s="6"/>
      <c r="F4832" s="6"/>
      <c r="G4832" s="57" t="str">
        <f t="shared" si="78"/>
        <v>-</v>
      </c>
      <c r="H4832" s="21">
        <v>97500</v>
      </c>
      <c r="I4832" s="21" t="s">
        <v>465</v>
      </c>
    </row>
    <row r="4833" spans="1:10" x14ac:dyDescent="0.2">
      <c r="A4833" s="1" t="s">
        <v>39</v>
      </c>
      <c r="B4833" s="2" t="s">
        <v>335</v>
      </c>
      <c r="D4833" s="7" t="s">
        <v>464</v>
      </c>
      <c r="E4833" s="6"/>
      <c r="F4833" s="6"/>
      <c r="G4833" s="57" t="str">
        <f t="shared" si="78"/>
        <v>-</v>
      </c>
      <c r="H4833" s="21" t="s">
        <v>465</v>
      </c>
      <c r="I4833" s="21">
        <v>97500</v>
      </c>
    </row>
    <row r="4834" spans="1:10" x14ac:dyDescent="0.2">
      <c r="A4834" s="1" t="s">
        <v>39</v>
      </c>
      <c r="B4834" s="2" t="s">
        <v>335</v>
      </c>
      <c r="D4834" s="7" t="s">
        <v>464</v>
      </c>
      <c r="E4834" s="6"/>
      <c r="F4834" s="6"/>
      <c r="G4834" s="57" t="str">
        <f t="shared" si="78"/>
        <v>-</v>
      </c>
      <c r="H4834" s="21" t="s">
        <v>465</v>
      </c>
      <c r="I4834" s="21">
        <v>97500</v>
      </c>
    </row>
    <row r="4835" spans="1:10" x14ac:dyDescent="0.2">
      <c r="A4835" s="1" t="s">
        <v>39</v>
      </c>
      <c r="B4835" s="2" t="s">
        <v>335</v>
      </c>
      <c r="D4835" s="7" t="s">
        <v>464</v>
      </c>
      <c r="E4835" s="6"/>
      <c r="F4835" s="6"/>
      <c r="G4835" s="57" t="str">
        <f t="shared" si="78"/>
        <v>-</v>
      </c>
      <c r="H4835" s="21" t="s">
        <v>465</v>
      </c>
      <c r="I4835" s="21">
        <v>97500</v>
      </c>
      <c r="J4835" s="5" t="s">
        <v>2742</v>
      </c>
    </row>
    <row r="4836" spans="1:10" x14ac:dyDescent="0.2">
      <c r="A4836" s="1" t="s">
        <v>39</v>
      </c>
      <c r="B4836" s="2" t="s">
        <v>335</v>
      </c>
      <c r="D4836" s="7" t="s">
        <v>464</v>
      </c>
      <c r="E4836" s="6"/>
      <c r="F4836" s="6"/>
      <c r="G4836" s="57" t="str">
        <f t="shared" si="78"/>
        <v>-</v>
      </c>
      <c r="H4836" s="21" t="s">
        <v>465</v>
      </c>
      <c r="I4836" s="21">
        <v>97500</v>
      </c>
      <c r="J4836" s="5" t="s">
        <v>2742</v>
      </c>
    </row>
    <row r="4837" spans="1:10" x14ac:dyDescent="0.2">
      <c r="A4837" s="1" t="s">
        <v>39</v>
      </c>
      <c r="B4837" s="2" t="s">
        <v>335</v>
      </c>
      <c r="D4837" s="7" t="s">
        <v>464</v>
      </c>
      <c r="E4837" s="6">
        <v>102500</v>
      </c>
      <c r="F4837" s="6" t="s">
        <v>465</v>
      </c>
      <c r="G4837" s="57" t="str">
        <f t="shared" si="78"/>
        <v>-</v>
      </c>
      <c r="H4837" s="21"/>
      <c r="I4837" s="21"/>
    </row>
    <row r="4838" spans="1:10" x14ac:dyDescent="0.2">
      <c r="A4838" s="1" t="s">
        <v>39</v>
      </c>
      <c r="B4838" s="2" t="s">
        <v>335</v>
      </c>
      <c r="D4838" s="7" t="s">
        <v>464</v>
      </c>
      <c r="E4838" s="6" t="s">
        <v>465</v>
      </c>
      <c r="F4838" s="6">
        <v>102500</v>
      </c>
      <c r="G4838" s="57" t="str">
        <f t="shared" si="78"/>
        <v>-</v>
      </c>
      <c r="H4838" s="21"/>
      <c r="I4838" s="21"/>
    </row>
    <row r="4839" spans="1:10" x14ac:dyDescent="0.2">
      <c r="A4839" s="1" t="s">
        <v>39</v>
      </c>
      <c r="B4839" s="2" t="s">
        <v>335</v>
      </c>
      <c r="D4839" s="7" t="s">
        <v>464</v>
      </c>
      <c r="E4839" s="6" t="s">
        <v>465</v>
      </c>
      <c r="F4839" s="6">
        <v>102500</v>
      </c>
      <c r="G4839" s="57" t="str">
        <f t="shared" si="78"/>
        <v>-</v>
      </c>
      <c r="H4839" s="21"/>
      <c r="I4839" s="21"/>
      <c r="J4839" s="5" t="s">
        <v>2742</v>
      </c>
    </row>
    <row r="4840" spans="1:10" x14ac:dyDescent="0.2">
      <c r="A4840" s="1" t="s">
        <v>39</v>
      </c>
      <c r="B4840" s="2" t="s">
        <v>335</v>
      </c>
      <c r="D4840" s="7" t="s">
        <v>464</v>
      </c>
      <c r="E4840" s="6" t="s">
        <v>465</v>
      </c>
      <c r="F4840" s="6">
        <v>102500</v>
      </c>
      <c r="G4840" s="57" t="str">
        <f t="shared" si="78"/>
        <v>-</v>
      </c>
      <c r="H4840" s="21"/>
      <c r="I4840" s="21"/>
      <c r="J4840" s="5" t="s">
        <v>2742</v>
      </c>
    </row>
    <row r="4841" spans="1:10" x14ac:dyDescent="0.2">
      <c r="A4841" s="1" t="s">
        <v>39</v>
      </c>
      <c r="B4841" s="2" t="s">
        <v>335</v>
      </c>
      <c r="D4841" s="7" t="s">
        <v>464</v>
      </c>
      <c r="E4841" s="6" t="s">
        <v>465</v>
      </c>
      <c r="F4841" s="6">
        <v>122500</v>
      </c>
      <c r="G4841" s="57" t="str">
        <f t="shared" si="78"/>
        <v>-</v>
      </c>
      <c r="H4841" s="21"/>
      <c r="I4841" s="21"/>
    </row>
    <row r="4842" spans="1:10" x14ac:dyDescent="0.2">
      <c r="A4842" s="1" t="s">
        <v>39</v>
      </c>
      <c r="B4842" s="2" t="s">
        <v>335</v>
      </c>
      <c r="D4842" s="7" t="s">
        <v>464</v>
      </c>
      <c r="E4842" s="6">
        <v>122500</v>
      </c>
      <c r="F4842" s="6" t="s">
        <v>465</v>
      </c>
      <c r="G4842" s="57" t="str">
        <f t="shared" si="78"/>
        <v>-</v>
      </c>
      <c r="H4842" s="21"/>
      <c r="I4842" s="21"/>
    </row>
    <row r="4843" spans="1:10" x14ac:dyDescent="0.2">
      <c r="A4843" s="1" t="s">
        <v>39</v>
      </c>
      <c r="B4843" s="2" t="s">
        <v>335</v>
      </c>
      <c r="D4843" s="7" t="s">
        <v>464</v>
      </c>
      <c r="E4843" s="6">
        <v>127500</v>
      </c>
      <c r="F4843" s="6" t="s">
        <v>465</v>
      </c>
      <c r="G4843" s="57" t="str">
        <f t="shared" si="78"/>
        <v>-</v>
      </c>
      <c r="H4843" s="21"/>
      <c r="I4843" s="21"/>
    </row>
    <row r="4844" spans="1:10" x14ac:dyDescent="0.2">
      <c r="A4844" s="1" t="s">
        <v>39</v>
      </c>
      <c r="B4844" s="2" t="s">
        <v>335</v>
      </c>
      <c r="D4844" s="7" t="s">
        <v>464</v>
      </c>
      <c r="E4844" s="6">
        <v>127500</v>
      </c>
      <c r="F4844" s="6" t="s">
        <v>465</v>
      </c>
      <c r="G4844" s="57" t="str">
        <f t="shared" si="78"/>
        <v>-</v>
      </c>
      <c r="H4844" s="21"/>
      <c r="I4844" s="21"/>
    </row>
    <row r="4845" spans="1:10" x14ac:dyDescent="0.2">
      <c r="A4845" s="1" t="s">
        <v>39</v>
      </c>
      <c r="B4845" s="2" t="s">
        <v>335</v>
      </c>
      <c r="D4845" s="7" t="s">
        <v>464</v>
      </c>
      <c r="E4845" s="6">
        <v>127500</v>
      </c>
      <c r="F4845" s="6" t="s">
        <v>465</v>
      </c>
      <c r="G4845" s="57" t="str">
        <f t="shared" si="78"/>
        <v>-</v>
      </c>
      <c r="H4845" s="21"/>
      <c r="I4845" s="21"/>
    </row>
    <row r="4846" spans="1:10" x14ac:dyDescent="0.2">
      <c r="A4846" s="1" t="s">
        <v>39</v>
      </c>
      <c r="B4846" s="2" t="s">
        <v>335</v>
      </c>
      <c r="D4846" s="7" t="s">
        <v>464</v>
      </c>
      <c r="E4846" s="6">
        <v>127500</v>
      </c>
      <c r="F4846" s="6" t="s">
        <v>465</v>
      </c>
      <c r="G4846" s="57" t="str">
        <f t="shared" si="78"/>
        <v>-</v>
      </c>
      <c r="H4846" s="21"/>
      <c r="I4846" s="21"/>
      <c r="J4846" s="5" t="s">
        <v>2742</v>
      </c>
    </row>
    <row r="4847" spans="1:10" x14ac:dyDescent="0.2">
      <c r="A4847" s="1" t="s">
        <v>39</v>
      </c>
      <c r="B4847" s="2" t="s">
        <v>335</v>
      </c>
      <c r="D4847" s="7" t="s">
        <v>464</v>
      </c>
      <c r="E4847" s="6" t="s">
        <v>465</v>
      </c>
      <c r="F4847" s="6">
        <v>127500</v>
      </c>
      <c r="G4847" s="57" t="str">
        <f t="shared" si="78"/>
        <v>-</v>
      </c>
      <c r="H4847" s="21"/>
      <c r="I4847" s="21"/>
    </row>
    <row r="4848" spans="1:10" x14ac:dyDescent="0.2">
      <c r="A4848" s="1" t="s">
        <v>39</v>
      </c>
      <c r="B4848" s="2" t="s">
        <v>335</v>
      </c>
      <c r="D4848" s="7" t="s">
        <v>464</v>
      </c>
      <c r="E4848" s="6" t="s">
        <v>465</v>
      </c>
      <c r="F4848" s="6">
        <v>132500</v>
      </c>
      <c r="G4848" s="57" t="str">
        <f t="shared" si="78"/>
        <v>-</v>
      </c>
      <c r="H4848" s="21"/>
      <c r="I4848" s="21"/>
    </row>
    <row r="4849" spans="1:10" x14ac:dyDescent="0.2">
      <c r="A4849" s="1" t="s">
        <v>39</v>
      </c>
      <c r="B4849" s="2" t="s">
        <v>335</v>
      </c>
      <c r="D4849" s="7" t="s">
        <v>464</v>
      </c>
      <c r="E4849" s="6" t="s">
        <v>465</v>
      </c>
      <c r="F4849" s="6">
        <v>137500</v>
      </c>
      <c r="G4849" s="57" t="str">
        <f t="shared" si="78"/>
        <v>-</v>
      </c>
      <c r="H4849" s="21"/>
      <c r="I4849" s="21"/>
    </row>
    <row r="4850" spans="1:10" x14ac:dyDescent="0.2">
      <c r="A4850" s="1" t="s">
        <v>39</v>
      </c>
      <c r="B4850" s="2" t="s">
        <v>335</v>
      </c>
      <c r="D4850" s="7" t="s">
        <v>464</v>
      </c>
      <c r="E4850" s="6" t="s">
        <v>465</v>
      </c>
      <c r="F4850" s="6">
        <v>137500</v>
      </c>
      <c r="G4850" s="57" t="str">
        <f t="shared" si="78"/>
        <v>-</v>
      </c>
      <c r="H4850" s="21"/>
      <c r="I4850" s="21"/>
      <c r="J4850" s="5" t="s">
        <v>2742</v>
      </c>
    </row>
    <row r="4851" spans="1:10" x14ac:dyDescent="0.2">
      <c r="A4851" s="1" t="s">
        <v>39</v>
      </c>
      <c r="B4851" s="2" t="s">
        <v>335</v>
      </c>
      <c r="D4851" s="7" t="s">
        <v>464</v>
      </c>
      <c r="E4851" s="6" t="s">
        <v>465</v>
      </c>
      <c r="F4851" s="6">
        <v>152500</v>
      </c>
      <c r="G4851" s="57" t="str">
        <f t="shared" si="78"/>
        <v>-</v>
      </c>
      <c r="H4851" s="21"/>
      <c r="I4851" s="21"/>
      <c r="J4851" s="5" t="s">
        <v>2742</v>
      </c>
    </row>
    <row r="4852" spans="1:10" x14ac:dyDescent="0.2">
      <c r="A4852" s="1" t="s">
        <v>39</v>
      </c>
      <c r="B4852" s="2" t="s">
        <v>335</v>
      </c>
      <c r="D4852" s="7" t="s">
        <v>464</v>
      </c>
      <c r="E4852" s="6" t="s">
        <v>465</v>
      </c>
      <c r="F4852" s="6">
        <v>192500</v>
      </c>
      <c r="G4852" s="57" t="str">
        <f t="shared" si="78"/>
        <v>-</v>
      </c>
      <c r="H4852" s="21"/>
      <c r="I4852" s="21"/>
    </row>
    <row r="4853" spans="1:10" x14ac:dyDescent="0.2">
      <c r="A4853" s="1" t="s">
        <v>39</v>
      </c>
      <c r="B4853" s="2" t="s">
        <v>335</v>
      </c>
      <c r="D4853" s="7" t="s">
        <v>464</v>
      </c>
      <c r="E4853" s="6" t="s">
        <v>465</v>
      </c>
      <c r="F4853" s="6">
        <v>252500</v>
      </c>
      <c r="G4853" s="57" t="str">
        <f t="shared" si="78"/>
        <v>-</v>
      </c>
      <c r="H4853" s="21"/>
      <c r="I4853" s="21"/>
      <c r="J4853" s="5" t="s">
        <v>2742</v>
      </c>
    </row>
    <row r="4854" spans="1:10" x14ac:dyDescent="0.2">
      <c r="A4854" s="1" t="s">
        <v>39</v>
      </c>
      <c r="B4854" s="2" t="s">
        <v>335</v>
      </c>
      <c r="D4854" s="7" t="s">
        <v>464</v>
      </c>
      <c r="E4854" s="6">
        <v>177500</v>
      </c>
      <c r="F4854" s="6" t="s">
        <v>465</v>
      </c>
      <c r="G4854" s="57" t="str">
        <f t="shared" si="78"/>
        <v>-</v>
      </c>
      <c r="H4854" s="21"/>
      <c r="I4854" s="21"/>
      <c r="J4854" s="5" t="s">
        <v>2742</v>
      </c>
    </row>
    <row r="4855" spans="1:10" x14ac:dyDescent="0.2">
      <c r="A4855" s="1" t="s">
        <v>39</v>
      </c>
      <c r="B4855" s="2" t="s">
        <v>335</v>
      </c>
      <c r="D4855" s="7" t="s">
        <v>464</v>
      </c>
      <c r="E4855" s="6">
        <v>187500</v>
      </c>
      <c r="F4855" s="6" t="s">
        <v>465</v>
      </c>
      <c r="G4855" s="57" t="str">
        <f t="shared" si="78"/>
        <v>-</v>
      </c>
      <c r="H4855" s="21"/>
      <c r="I4855" s="21"/>
      <c r="J4855" s="5" t="s">
        <v>2742</v>
      </c>
    </row>
    <row r="4856" spans="1:10" ht="25.5" x14ac:dyDescent="0.2">
      <c r="A4856" s="1" t="s">
        <v>4</v>
      </c>
      <c r="B4856" s="2" t="s">
        <v>336</v>
      </c>
      <c r="C4856" s="5" t="s">
        <v>875</v>
      </c>
      <c r="D4856" s="5" t="s">
        <v>450</v>
      </c>
      <c r="E4856" s="3">
        <v>185890</v>
      </c>
      <c r="F4856" s="3">
        <v>185030</v>
      </c>
      <c r="G4856" s="57">
        <f t="shared" si="78"/>
        <v>-4.6263919522298138E-3</v>
      </c>
      <c r="J4856" s="5" t="s">
        <v>2731</v>
      </c>
    </row>
    <row r="4857" spans="1:10" ht="25.5" x14ac:dyDescent="0.2">
      <c r="A4857" s="1" t="s">
        <v>4</v>
      </c>
      <c r="B4857" s="2" t="s">
        <v>336</v>
      </c>
      <c r="D4857" s="5" t="s">
        <v>515</v>
      </c>
      <c r="E4857" s="3">
        <v>67360</v>
      </c>
      <c r="F4857" s="3">
        <v>145380</v>
      </c>
      <c r="G4857" s="57">
        <f t="shared" si="78"/>
        <v>1.1582541567695963</v>
      </c>
      <c r="J4857" s="5" t="s">
        <v>4425</v>
      </c>
    </row>
    <row r="4858" spans="1:10" ht="25.5" x14ac:dyDescent="0.2">
      <c r="A4858" s="1" t="s">
        <v>4</v>
      </c>
      <c r="B4858" s="2" t="s">
        <v>336</v>
      </c>
      <c r="D4858" s="5" t="s">
        <v>876</v>
      </c>
      <c r="E4858" s="3">
        <v>149540</v>
      </c>
      <c r="F4858" s="3">
        <v>145610</v>
      </c>
      <c r="G4858" s="57">
        <f t="shared" si="78"/>
        <v>-2.6280593821051225E-2</v>
      </c>
      <c r="J4858" s="5" t="s">
        <v>2732</v>
      </c>
    </row>
    <row r="4859" spans="1:10" ht="25.5" x14ac:dyDescent="0.2">
      <c r="A4859" s="1" t="s">
        <v>4</v>
      </c>
      <c r="B4859" s="2" t="s">
        <v>336</v>
      </c>
      <c r="D4859" s="5" t="s">
        <v>877</v>
      </c>
      <c r="E4859" s="3">
        <v>115410</v>
      </c>
      <c r="F4859" s="3">
        <v>120840</v>
      </c>
      <c r="G4859" s="57">
        <f t="shared" si="78"/>
        <v>4.7049649077203014E-2</v>
      </c>
      <c r="J4859" s="5" t="s">
        <v>2733</v>
      </c>
    </row>
    <row r="4860" spans="1:10" ht="25.5" x14ac:dyDescent="0.2">
      <c r="A4860" s="1" t="s">
        <v>4</v>
      </c>
      <c r="B4860" s="2" t="s">
        <v>336</v>
      </c>
      <c r="D4860" s="5" t="s">
        <v>878</v>
      </c>
      <c r="E4860" s="3">
        <v>135890</v>
      </c>
      <c r="F4860" s="3">
        <v>132850</v>
      </c>
      <c r="G4860" s="57">
        <f t="shared" ref="G4860:G4923" si="79">IF(ISERROR((F4860-E4860)/E4860),"-",(F4860-E4860)/E4860)</f>
        <v>-2.2371035396276402E-2</v>
      </c>
      <c r="J4860" s="5" t="s">
        <v>2734</v>
      </c>
    </row>
    <row r="4861" spans="1:10" ht="25.5" x14ac:dyDescent="0.2">
      <c r="A4861" s="1" t="s">
        <v>4</v>
      </c>
      <c r="B4861" s="2" t="s">
        <v>336</v>
      </c>
      <c r="D4861" s="5" t="s">
        <v>879</v>
      </c>
      <c r="E4861" s="3">
        <v>142350</v>
      </c>
      <c r="F4861" s="3">
        <v>352402</v>
      </c>
      <c r="G4861" s="57">
        <f t="shared" si="79"/>
        <v>1.4756023884791007</v>
      </c>
      <c r="J4861" s="5" t="s">
        <v>4424</v>
      </c>
    </row>
    <row r="4862" spans="1:10" x14ac:dyDescent="0.2">
      <c r="A4862" s="1" t="s">
        <v>4</v>
      </c>
      <c r="B4862" s="2" t="s">
        <v>336</v>
      </c>
      <c r="D4862" s="5" t="s">
        <v>464</v>
      </c>
      <c r="G4862" s="57" t="str">
        <f t="shared" si="79"/>
        <v>-</v>
      </c>
      <c r="H4862" s="19">
        <v>92500</v>
      </c>
      <c r="I4862" s="19" t="s">
        <v>465</v>
      </c>
    </row>
    <row r="4863" spans="1:10" x14ac:dyDescent="0.2">
      <c r="A4863" s="1" t="s">
        <v>4</v>
      </c>
      <c r="B4863" s="2" t="s">
        <v>336</v>
      </c>
      <c r="D4863" s="5" t="s">
        <v>464</v>
      </c>
      <c r="G4863" s="57" t="str">
        <f t="shared" si="79"/>
        <v>-</v>
      </c>
      <c r="H4863" s="19" t="s">
        <v>465</v>
      </c>
      <c r="I4863" s="19">
        <v>92500</v>
      </c>
    </row>
    <row r="4864" spans="1:10" x14ac:dyDescent="0.2">
      <c r="A4864" s="1" t="s">
        <v>4</v>
      </c>
      <c r="B4864" s="2" t="s">
        <v>336</v>
      </c>
      <c r="D4864" s="5" t="s">
        <v>464</v>
      </c>
      <c r="G4864" s="57" t="str">
        <f t="shared" si="79"/>
        <v>-</v>
      </c>
      <c r="H4864" s="19" t="s">
        <v>465</v>
      </c>
      <c r="I4864" s="19">
        <v>92500</v>
      </c>
    </row>
    <row r="4865" spans="1:9" s="1" customFormat="1" x14ac:dyDescent="0.2">
      <c r="A4865" s="1" t="s">
        <v>4</v>
      </c>
      <c r="B4865" s="2" t="s">
        <v>336</v>
      </c>
      <c r="C4865" s="5"/>
      <c r="D4865" s="5" t="s">
        <v>464</v>
      </c>
      <c r="E4865" s="3"/>
      <c r="F4865" s="3"/>
      <c r="G4865" s="57" t="str">
        <f t="shared" si="79"/>
        <v>-</v>
      </c>
      <c r="H4865" s="19" t="s">
        <v>465</v>
      </c>
      <c r="I4865" s="19">
        <v>92500</v>
      </c>
    </row>
    <row r="4866" spans="1:9" s="1" customFormat="1" x14ac:dyDescent="0.2">
      <c r="A4866" s="1" t="s">
        <v>4</v>
      </c>
      <c r="B4866" s="2" t="s">
        <v>336</v>
      </c>
      <c r="C4866" s="5"/>
      <c r="D4866" s="5" t="s">
        <v>464</v>
      </c>
      <c r="E4866" s="3"/>
      <c r="F4866" s="3"/>
      <c r="G4866" s="57" t="str">
        <f t="shared" si="79"/>
        <v>-</v>
      </c>
      <c r="H4866" s="19" t="s">
        <v>465</v>
      </c>
      <c r="I4866" s="19">
        <v>92500</v>
      </c>
    </row>
    <row r="4867" spans="1:9" s="1" customFormat="1" x14ac:dyDescent="0.2">
      <c r="A4867" s="1" t="s">
        <v>4</v>
      </c>
      <c r="B4867" s="2" t="s">
        <v>336</v>
      </c>
      <c r="C4867" s="5"/>
      <c r="D4867" s="5" t="s">
        <v>464</v>
      </c>
      <c r="E4867" s="3"/>
      <c r="F4867" s="3"/>
      <c r="G4867" s="57" t="str">
        <f t="shared" si="79"/>
        <v>-</v>
      </c>
      <c r="H4867" s="19" t="s">
        <v>465</v>
      </c>
      <c r="I4867" s="19">
        <v>92500</v>
      </c>
    </row>
    <row r="4868" spans="1:9" s="1" customFormat="1" x14ac:dyDescent="0.2">
      <c r="A4868" s="1" t="s">
        <v>4</v>
      </c>
      <c r="B4868" s="2" t="s">
        <v>336</v>
      </c>
      <c r="C4868" s="5"/>
      <c r="D4868" s="5" t="s">
        <v>464</v>
      </c>
      <c r="E4868" s="3"/>
      <c r="F4868" s="3"/>
      <c r="G4868" s="57" t="str">
        <f t="shared" si="79"/>
        <v>-</v>
      </c>
      <c r="H4868" s="19" t="s">
        <v>465</v>
      </c>
      <c r="I4868" s="19">
        <v>92500</v>
      </c>
    </row>
    <row r="4869" spans="1:9" s="1" customFormat="1" x14ac:dyDescent="0.2">
      <c r="A4869" s="1" t="s">
        <v>4</v>
      </c>
      <c r="B4869" s="2" t="s">
        <v>336</v>
      </c>
      <c r="C4869" s="5"/>
      <c r="D4869" s="5" t="s">
        <v>464</v>
      </c>
      <c r="E4869" s="3"/>
      <c r="F4869" s="3"/>
      <c r="G4869" s="57" t="str">
        <f t="shared" si="79"/>
        <v>-</v>
      </c>
      <c r="H4869" s="19">
        <v>97500</v>
      </c>
      <c r="I4869" s="19" t="s">
        <v>465</v>
      </c>
    </row>
    <row r="4870" spans="1:9" s="1" customFormat="1" x14ac:dyDescent="0.2">
      <c r="A4870" s="1" t="s">
        <v>4</v>
      </c>
      <c r="B4870" s="2" t="s">
        <v>336</v>
      </c>
      <c r="C4870" s="5"/>
      <c r="D4870" s="5" t="s">
        <v>464</v>
      </c>
      <c r="E4870" s="3"/>
      <c r="F4870" s="3"/>
      <c r="G4870" s="57" t="str">
        <f t="shared" si="79"/>
        <v>-</v>
      </c>
      <c r="H4870" s="19" t="s">
        <v>465</v>
      </c>
      <c r="I4870" s="19">
        <v>97500</v>
      </c>
    </row>
    <row r="4871" spans="1:9" s="1" customFormat="1" x14ac:dyDescent="0.2">
      <c r="A4871" s="1" t="s">
        <v>4</v>
      </c>
      <c r="B4871" s="2" t="s">
        <v>336</v>
      </c>
      <c r="C4871" s="5"/>
      <c r="D4871" s="5" t="s">
        <v>464</v>
      </c>
      <c r="E4871" s="3"/>
      <c r="F4871" s="3"/>
      <c r="G4871" s="57" t="str">
        <f t="shared" si="79"/>
        <v>-</v>
      </c>
      <c r="H4871" s="19" t="s">
        <v>465</v>
      </c>
      <c r="I4871" s="19">
        <v>97500</v>
      </c>
    </row>
    <row r="4872" spans="1:9" s="1" customFormat="1" x14ac:dyDescent="0.2">
      <c r="A4872" s="1" t="s">
        <v>4</v>
      </c>
      <c r="B4872" s="2" t="s">
        <v>336</v>
      </c>
      <c r="C4872" s="5"/>
      <c r="D4872" s="5" t="s">
        <v>464</v>
      </c>
      <c r="E4872" s="3"/>
      <c r="F4872" s="3"/>
      <c r="G4872" s="57" t="str">
        <f t="shared" si="79"/>
        <v>-</v>
      </c>
      <c r="H4872" s="19" t="s">
        <v>465</v>
      </c>
      <c r="I4872" s="19">
        <v>97500</v>
      </c>
    </row>
    <row r="4873" spans="1:9" s="1" customFormat="1" x14ac:dyDescent="0.2">
      <c r="A4873" s="1" t="s">
        <v>4</v>
      </c>
      <c r="B4873" s="2" t="s">
        <v>336</v>
      </c>
      <c r="C4873" s="5"/>
      <c r="D4873" s="5" t="s">
        <v>464</v>
      </c>
      <c r="E4873" s="3">
        <v>102500</v>
      </c>
      <c r="F4873" s="3" t="s">
        <v>465</v>
      </c>
      <c r="G4873" s="57" t="str">
        <f t="shared" si="79"/>
        <v>-</v>
      </c>
      <c r="H4873" s="19"/>
      <c r="I4873" s="19"/>
    </row>
    <row r="4874" spans="1:9" s="1" customFormat="1" x14ac:dyDescent="0.2">
      <c r="A4874" s="1" t="s">
        <v>4</v>
      </c>
      <c r="B4874" s="2" t="s">
        <v>336</v>
      </c>
      <c r="C4874" s="5"/>
      <c r="D4874" s="5" t="s">
        <v>464</v>
      </c>
      <c r="E4874" s="3" t="s">
        <v>465</v>
      </c>
      <c r="F4874" s="3">
        <v>102500</v>
      </c>
      <c r="G4874" s="57" t="str">
        <f t="shared" si="79"/>
        <v>-</v>
      </c>
      <c r="H4874" s="19"/>
      <c r="I4874" s="19"/>
    </row>
    <row r="4875" spans="1:9" s="1" customFormat="1" x14ac:dyDescent="0.2">
      <c r="A4875" s="1" t="s">
        <v>4</v>
      </c>
      <c r="B4875" s="2" t="s">
        <v>336</v>
      </c>
      <c r="C4875" s="5"/>
      <c r="D4875" s="5" t="s">
        <v>464</v>
      </c>
      <c r="E4875" s="3"/>
      <c r="F4875" s="3" t="s">
        <v>465</v>
      </c>
      <c r="G4875" s="57" t="str">
        <f t="shared" si="79"/>
        <v>-</v>
      </c>
      <c r="H4875" s="19"/>
      <c r="I4875" s="19"/>
    </row>
    <row r="4876" spans="1:9" s="1" customFormat="1" x14ac:dyDescent="0.2">
      <c r="A4876" s="1" t="s">
        <v>4</v>
      </c>
      <c r="B4876" s="2" t="s">
        <v>336</v>
      </c>
      <c r="C4876" s="5"/>
      <c r="D4876" s="5" t="s">
        <v>464</v>
      </c>
      <c r="E4876" s="3" t="s">
        <v>465</v>
      </c>
      <c r="F4876" s="3">
        <v>112500</v>
      </c>
      <c r="G4876" s="57" t="str">
        <f t="shared" si="79"/>
        <v>-</v>
      </c>
      <c r="H4876" s="19"/>
      <c r="I4876" s="19"/>
    </row>
    <row r="4877" spans="1:9" s="1" customFormat="1" x14ac:dyDescent="0.2">
      <c r="A4877" s="1" t="s">
        <v>4</v>
      </c>
      <c r="B4877" s="2" t="s">
        <v>336</v>
      </c>
      <c r="C4877" s="5"/>
      <c r="D4877" s="5" t="s">
        <v>464</v>
      </c>
      <c r="E4877" s="3" t="s">
        <v>465</v>
      </c>
      <c r="F4877" s="3">
        <v>112500</v>
      </c>
      <c r="G4877" s="57" t="str">
        <f t="shared" si="79"/>
        <v>-</v>
      </c>
      <c r="H4877" s="19"/>
      <c r="I4877" s="19"/>
    </row>
    <row r="4878" spans="1:9" s="1" customFormat="1" x14ac:dyDescent="0.2">
      <c r="A4878" s="1" t="s">
        <v>4</v>
      </c>
      <c r="B4878" s="2" t="s">
        <v>336</v>
      </c>
      <c r="C4878" s="5"/>
      <c r="D4878" s="5" t="s">
        <v>464</v>
      </c>
      <c r="E4878" s="3" t="s">
        <v>465</v>
      </c>
      <c r="F4878" s="3">
        <v>117500</v>
      </c>
      <c r="G4878" s="57" t="str">
        <f t="shared" si="79"/>
        <v>-</v>
      </c>
      <c r="H4878" s="19"/>
      <c r="I4878" s="19"/>
    </row>
    <row r="4879" spans="1:9" s="1" customFormat="1" x14ac:dyDescent="0.2">
      <c r="A4879" s="1" t="s">
        <v>4</v>
      </c>
      <c r="B4879" s="2" t="s">
        <v>336</v>
      </c>
      <c r="C4879" s="5"/>
      <c r="D4879" s="5" t="s">
        <v>464</v>
      </c>
      <c r="E4879" s="3" t="s">
        <v>465</v>
      </c>
      <c r="F4879" s="3">
        <v>117500</v>
      </c>
      <c r="G4879" s="57" t="str">
        <f t="shared" si="79"/>
        <v>-</v>
      </c>
      <c r="H4879" s="19"/>
      <c r="I4879" s="19"/>
    </row>
    <row r="4880" spans="1:9" s="1" customFormat="1" x14ac:dyDescent="0.2">
      <c r="A4880" s="1" t="s">
        <v>4</v>
      </c>
      <c r="B4880" s="2" t="s">
        <v>336</v>
      </c>
      <c r="C4880" s="5"/>
      <c r="D4880" s="5" t="s">
        <v>464</v>
      </c>
      <c r="E4880" s="3" t="s">
        <v>465</v>
      </c>
      <c r="F4880" s="3">
        <v>117500</v>
      </c>
      <c r="G4880" s="57" t="str">
        <f t="shared" si="79"/>
        <v>-</v>
      </c>
      <c r="H4880" s="19"/>
      <c r="I4880" s="19"/>
    </row>
    <row r="4881" spans="1:10" x14ac:dyDescent="0.2">
      <c r="A4881" s="1" t="s">
        <v>4</v>
      </c>
      <c r="B4881" s="2" t="s">
        <v>336</v>
      </c>
      <c r="D4881" s="5" t="s">
        <v>464</v>
      </c>
      <c r="E4881" s="3" t="s">
        <v>465</v>
      </c>
      <c r="F4881" s="3">
        <v>117500</v>
      </c>
      <c r="G4881" s="57" t="str">
        <f t="shared" si="79"/>
        <v>-</v>
      </c>
    </row>
    <row r="4882" spans="1:10" x14ac:dyDescent="0.2">
      <c r="A4882" s="1" t="s">
        <v>4</v>
      </c>
      <c r="B4882" s="2" t="s">
        <v>336</v>
      </c>
      <c r="D4882" s="5" t="s">
        <v>464</v>
      </c>
      <c r="E4882" s="3" t="s">
        <v>465</v>
      </c>
      <c r="F4882" s="3">
        <v>122500</v>
      </c>
      <c r="G4882" s="57" t="str">
        <f t="shared" si="79"/>
        <v>-</v>
      </c>
    </row>
    <row r="4883" spans="1:10" x14ac:dyDescent="0.2">
      <c r="A4883" s="1" t="s">
        <v>4</v>
      </c>
      <c r="B4883" s="2" t="s">
        <v>336</v>
      </c>
      <c r="D4883" s="5" t="s">
        <v>464</v>
      </c>
      <c r="E4883" s="3" t="s">
        <v>465</v>
      </c>
      <c r="F4883" s="3">
        <v>122500</v>
      </c>
      <c r="G4883" s="57" t="str">
        <f t="shared" si="79"/>
        <v>-</v>
      </c>
    </row>
    <row r="4884" spans="1:10" x14ac:dyDescent="0.2">
      <c r="A4884" s="1" t="s">
        <v>4</v>
      </c>
      <c r="B4884" s="2" t="s">
        <v>336</v>
      </c>
      <c r="D4884" s="5" t="s">
        <v>464</v>
      </c>
      <c r="E4884" s="3" t="s">
        <v>465</v>
      </c>
      <c r="F4884" s="3">
        <v>127500</v>
      </c>
      <c r="G4884" s="57" t="str">
        <f t="shared" si="79"/>
        <v>-</v>
      </c>
    </row>
    <row r="4885" spans="1:10" x14ac:dyDescent="0.2">
      <c r="A4885" s="1" t="s">
        <v>4</v>
      </c>
      <c r="B4885" s="2" t="s">
        <v>336</v>
      </c>
      <c r="D4885" s="5" t="s">
        <v>464</v>
      </c>
      <c r="E4885" s="3" t="s">
        <v>465</v>
      </c>
      <c r="F4885" s="3">
        <v>127500</v>
      </c>
      <c r="G4885" s="57" t="str">
        <f t="shared" si="79"/>
        <v>-</v>
      </c>
    </row>
    <row r="4886" spans="1:10" x14ac:dyDescent="0.2">
      <c r="A4886" s="1" t="s">
        <v>4</v>
      </c>
      <c r="B4886" s="2" t="s">
        <v>336</v>
      </c>
      <c r="D4886" s="5" t="s">
        <v>464</v>
      </c>
      <c r="E4886" s="3" t="s">
        <v>465</v>
      </c>
      <c r="F4886" s="3">
        <v>147500</v>
      </c>
      <c r="G4886" s="57" t="str">
        <f t="shared" si="79"/>
        <v>-</v>
      </c>
    </row>
    <row r="4887" spans="1:10" x14ac:dyDescent="0.2">
      <c r="A4887" s="1" t="s">
        <v>4</v>
      </c>
      <c r="B4887" s="2" t="s">
        <v>336</v>
      </c>
      <c r="D4887" s="5" t="s">
        <v>464</v>
      </c>
      <c r="E4887" s="3" t="s">
        <v>465</v>
      </c>
      <c r="F4887" s="3">
        <v>160000</v>
      </c>
      <c r="G4887" s="57" t="str">
        <f t="shared" si="79"/>
        <v>-</v>
      </c>
    </row>
    <row r="4888" spans="1:10" ht="25.5" x14ac:dyDescent="0.2">
      <c r="A4888" s="1" t="s">
        <v>39</v>
      </c>
      <c r="B4888" s="2" t="s">
        <v>337</v>
      </c>
      <c r="D4888" s="5" t="s">
        <v>450</v>
      </c>
      <c r="E4888" s="3">
        <v>152980</v>
      </c>
      <c r="F4888" s="3">
        <v>171958</v>
      </c>
      <c r="G4888" s="57">
        <f t="shared" si="79"/>
        <v>0.12405543208262518</v>
      </c>
      <c r="J4888" s="5" t="s">
        <v>2726</v>
      </c>
    </row>
    <row r="4889" spans="1:10" ht="25.5" x14ac:dyDescent="0.2">
      <c r="A4889" s="1" t="s">
        <v>39</v>
      </c>
      <c r="B4889" s="2" t="s">
        <v>337</v>
      </c>
      <c r="D4889" s="5" t="s">
        <v>4457</v>
      </c>
      <c r="E4889" s="3">
        <v>114050</v>
      </c>
      <c r="F4889" s="3">
        <v>119402</v>
      </c>
      <c r="G4889" s="57">
        <f t="shared" si="79"/>
        <v>4.6926786497150375E-2</v>
      </c>
      <c r="J4889" s="5" t="s">
        <v>2727</v>
      </c>
    </row>
    <row r="4890" spans="1:10" ht="25.5" x14ac:dyDescent="0.2">
      <c r="A4890" s="1" t="s">
        <v>39</v>
      </c>
      <c r="B4890" s="2" t="s">
        <v>337</v>
      </c>
      <c r="D4890" s="5" t="s">
        <v>4456</v>
      </c>
      <c r="E4890" s="3">
        <v>103733</v>
      </c>
      <c r="F4890" s="3">
        <v>106824</v>
      </c>
      <c r="G4890" s="57">
        <f t="shared" si="79"/>
        <v>2.9797653591431848E-2</v>
      </c>
      <c r="J4890" s="5" t="s">
        <v>2728</v>
      </c>
    </row>
    <row r="4891" spans="1:10" ht="25.5" x14ac:dyDescent="0.2">
      <c r="A4891" s="1" t="s">
        <v>39</v>
      </c>
      <c r="B4891" s="2" t="s">
        <v>337</v>
      </c>
      <c r="D4891" s="5" t="s">
        <v>4455</v>
      </c>
      <c r="E4891" s="3">
        <v>102965</v>
      </c>
      <c r="F4891" s="3">
        <v>105100</v>
      </c>
      <c r="G4891" s="57">
        <f t="shared" si="79"/>
        <v>2.0735201281989024E-2</v>
      </c>
      <c r="J4891" s="5" t="s">
        <v>2729</v>
      </c>
    </row>
    <row r="4892" spans="1:10" ht="38.25" x14ac:dyDescent="0.2">
      <c r="A4892" s="1" t="s">
        <v>39</v>
      </c>
      <c r="B4892" s="2" t="s">
        <v>337</v>
      </c>
      <c r="D4892" s="5" t="s">
        <v>873</v>
      </c>
      <c r="E4892" s="3">
        <v>78140</v>
      </c>
      <c r="F4892" s="3">
        <v>146883</v>
      </c>
      <c r="G4892" s="57">
        <f t="shared" si="79"/>
        <v>0.87974148963399024</v>
      </c>
      <c r="J4892" s="5" t="s">
        <v>4446</v>
      </c>
    </row>
    <row r="4893" spans="1:10" ht="25.5" x14ac:dyDescent="0.2">
      <c r="A4893" s="1" t="s">
        <v>39</v>
      </c>
      <c r="B4893" s="2" t="s">
        <v>337</v>
      </c>
      <c r="D4893" s="5" t="s">
        <v>874</v>
      </c>
      <c r="E4893" s="3">
        <v>117828</v>
      </c>
      <c r="F4893" s="3">
        <v>122271</v>
      </c>
      <c r="G4893" s="57">
        <f t="shared" si="79"/>
        <v>3.770750585599348E-2</v>
      </c>
      <c r="J4893" s="5" t="s">
        <v>2730</v>
      </c>
    </row>
    <row r="4894" spans="1:10" ht="39" customHeight="1" x14ac:dyDescent="0.2">
      <c r="A4894" s="1" t="s">
        <v>39</v>
      </c>
      <c r="B4894" s="2" t="s">
        <v>337</v>
      </c>
      <c r="D4894" s="5" t="s">
        <v>464</v>
      </c>
      <c r="G4894" s="57" t="str">
        <f t="shared" si="79"/>
        <v>-</v>
      </c>
      <c r="H4894" s="19" t="s">
        <v>465</v>
      </c>
      <c r="I4894" s="19">
        <v>92500</v>
      </c>
      <c r="J4894" s="5" t="s">
        <v>4447</v>
      </c>
    </row>
    <row r="4895" spans="1:10" x14ac:dyDescent="0.2">
      <c r="A4895" s="1" t="s">
        <v>39</v>
      </c>
      <c r="B4895" s="2" t="s">
        <v>337</v>
      </c>
      <c r="D4895" s="5" t="s">
        <v>464</v>
      </c>
      <c r="G4895" s="57" t="str">
        <f t="shared" si="79"/>
        <v>-</v>
      </c>
      <c r="H4895" s="19" t="s">
        <v>465</v>
      </c>
      <c r="I4895" s="19">
        <v>92500</v>
      </c>
    </row>
    <row r="4896" spans="1:10" x14ac:dyDescent="0.2">
      <c r="A4896" s="1" t="s">
        <v>39</v>
      </c>
      <c r="B4896" s="2" t="s">
        <v>337</v>
      </c>
      <c r="D4896" s="5" t="s">
        <v>464</v>
      </c>
      <c r="G4896" s="57" t="str">
        <f t="shared" si="79"/>
        <v>-</v>
      </c>
      <c r="H4896" s="19">
        <v>97500</v>
      </c>
      <c r="I4896" s="19" t="s">
        <v>465</v>
      </c>
    </row>
    <row r="4897" spans="1:10" x14ac:dyDescent="0.2">
      <c r="A4897" s="1" t="s">
        <v>39</v>
      </c>
      <c r="B4897" s="2" t="s">
        <v>337</v>
      </c>
      <c r="D4897" s="5" t="s">
        <v>464</v>
      </c>
      <c r="G4897" s="57" t="str">
        <f t="shared" si="79"/>
        <v>-</v>
      </c>
      <c r="H4897" s="19" t="s">
        <v>465</v>
      </c>
      <c r="I4897" s="19">
        <v>97500</v>
      </c>
    </row>
    <row r="4898" spans="1:10" x14ac:dyDescent="0.2">
      <c r="A4898" s="1" t="s">
        <v>39</v>
      </c>
      <c r="B4898" s="2" t="s">
        <v>337</v>
      </c>
      <c r="D4898" s="5" t="s">
        <v>464</v>
      </c>
      <c r="E4898" s="3" t="s">
        <v>465</v>
      </c>
      <c r="F4898" s="3">
        <v>102500</v>
      </c>
      <c r="G4898" s="57" t="str">
        <f t="shared" si="79"/>
        <v>-</v>
      </c>
    </row>
    <row r="4899" spans="1:10" x14ac:dyDescent="0.2">
      <c r="A4899" s="1" t="s">
        <v>39</v>
      </c>
      <c r="B4899" s="2" t="s">
        <v>337</v>
      </c>
      <c r="D4899" s="5" t="s">
        <v>464</v>
      </c>
      <c r="E4899" s="3">
        <v>107500</v>
      </c>
      <c r="F4899" s="3" t="s">
        <v>465</v>
      </c>
      <c r="G4899" s="57" t="str">
        <f t="shared" si="79"/>
        <v>-</v>
      </c>
    </row>
    <row r="4900" spans="1:10" x14ac:dyDescent="0.2">
      <c r="A4900" s="1" t="s">
        <v>39</v>
      </c>
      <c r="B4900" s="2" t="s">
        <v>337</v>
      </c>
      <c r="D4900" s="5" t="s">
        <v>464</v>
      </c>
      <c r="E4900" s="3">
        <v>117500</v>
      </c>
      <c r="F4900" s="3" t="s">
        <v>465</v>
      </c>
      <c r="G4900" s="57" t="str">
        <f t="shared" si="79"/>
        <v>-</v>
      </c>
    </row>
    <row r="4901" spans="1:10" x14ac:dyDescent="0.2">
      <c r="A4901" s="1" t="s">
        <v>39</v>
      </c>
      <c r="B4901" s="2" t="s">
        <v>337</v>
      </c>
      <c r="D4901" s="5" t="s">
        <v>464</v>
      </c>
      <c r="E4901" s="3" t="s">
        <v>465</v>
      </c>
      <c r="F4901" s="3">
        <v>127500</v>
      </c>
      <c r="G4901" s="57" t="str">
        <f t="shared" si="79"/>
        <v>-</v>
      </c>
    </row>
    <row r="4902" spans="1:10" ht="38.25" x14ac:dyDescent="0.2">
      <c r="A4902" s="1" t="s">
        <v>34</v>
      </c>
      <c r="B4902" s="2" t="s">
        <v>338</v>
      </c>
      <c r="C4902" s="5" t="s">
        <v>869</v>
      </c>
      <c r="D4902" s="5" t="s">
        <v>450</v>
      </c>
      <c r="E4902" s="3">
        <v>31015.88</v>
      </c>
      <c r="F4902" s="3">
        <v>184186.16</v>
      </c>
      <c r="G4902" s="57">
        <f t="shared" si="79"/>
        <v>4.9384470148839883</v>
      </c>
      <c r="J4902" s="5" t="s">
        <v>4448</v>
      </c>
    </row>
    <row r="4903" spans="1:10" x14ac:dyDescent="0.2">
      <c r="A4903" s="1" t="s">
        <v>34</v>
      </c>
      <c r="B4903" s="2" t="s">
        <v>338</v>
      </c>
      <c r="C4903" s="5" t="s">
        <v>2719</v>
      </c>
      <c r="D4903" s="5" t="s">
        <v>450</v>
      </c>
      <c r="E4903" s="3">
        <v>218488.24</v>
      </c>
      <c r="F4903" s="3" t="s">
        <v>465</v>
      </c>
      <c r="G4903" s="57" t="str">
        <f t="shared" si="79"/>
        <v>-</v>
      </c>
      <c r="J4903" s="5" t="s">
        <v>4449</v>
      </c>
    </row>
    <row r="4904" spans="1:10" ht="25.5" x14ac:dyDescent="0.2">
      <c r="A4904" s="1" t="s">
        <v>34</v>
      </c>
      <c r="B4904" s="2" t="s">
        <v>338</v>
      </c>
      <c r="D4904" s="5" t="s">
        <v>590</v>
      </c>
      <c r="E4904" s="3">
        <v>139472.76</v>
      </c>
      <c r="F4904" s="3">
        <v>140087.28</v>
      </c>
      <c r="G4904" s="57">
        <f t="shared" si="79"/>
        <v>4.4060216489584742E-3</v>
      </c>
      <c r="J4904" s="5" t="s">
        <v>2721</v>
      </c>
    </row>
    <row r="4905" spans="1:10" ht="38.25" x14ac:dyDescent="0.2">
      <c r="A4905" s="1" t="s">
        <v>34</v>
      </c>
      <c r="B4905" s="2" t="s">
        <v>338</v>
      </c>
      <c r="D4905" s="7" t="s">
        <v>2720</v>
      </c>
      <c r="E4905" s="6">
        <v>150754.35</v>
      </c>
      <c r="F4905" s="6">
        <v>17746.169999999998</v>
      </c>
      <c r="G4905" s="57">
        <f t="shared" si="79"/>
        <v>-0.88228419279443671</v>
      </c>
      <c r="J4905" s="5" t="s">
        <v>2722</v>
      </c>
    </row>
    <row r="4906" spans="1:10" ht="38.25" x14ac:dyDescent="0.2">
      <c r="A4906" s="1" t="s">
        <v>34</v>
      </c>
      <c r="B4906" s="2" t="s">
        <v>338</v>
      </c>
      <c r="D4906" s="5" t="s">
        <v>589</v>
      </c>
      <c r="E4906" s="3">
        <v>139699.54</v>
      </c>
      <c r="F4906" s="3">
        <v>221364.7</v>
      </c>
      <c r="G4906" s="57">
        <f t="shared" si="79"/>
        <v>0.58457715751963102</v>
      </c>
      <c r="J4906" s="5" t="s">
        <v>4450</v>
      </c>
    </row>
    <row r="4907" spans="1:10" ht="38.25" x14ac:dyDescent="0.2">
      <c r="A4907" s="1" t="s">
        <v>34</v>
      </c>
      <c r="B4907" s="2" t="s">
        <v>338</v>
      </c>
      <c r="D4907" s="5" t="s">
        <v>666</v>
      </c>
      <c r="E4907" s="3">
        <v>139672.71</v>
      </c>
      <c r="F4907" s="3">
        <v>111159.01</v>
      </c>
      <c r="G4907" s="57">
        <f t="shared" si="79"/>
        <v>-0.20414653657110254</v>
      </c>
      <c r="J4907" s="5" t="s">
        <v>2723</v>
      </c>
    </row>
    <row r="4908" spans="1:10" ht="25.5" x14ac:dyDescent="0.2">
      <c r="A4908" s="1" t="s">
        <v>34</v>
      </c>
      <c r="B4908" s="2" t="s">
        <v>338</v>
      </c>
      <c r="D4908" s="5" t="s">
        <v>870</v>
      </c>
      <c r="E4908" s="3">
        <v>99870.15</v>
      </c>
      <c r="F4908" s="3">
        <v>100255.07</v>
      </c>
      <c r="G4908" s="57">
        <f t="shared" si="79"/>
        <v>3.8542046847833194E-3</v>
      </c>
      <c r="J4908" s="5" t="s">
        <v>2724</v>
      </c>
    </row>
    <row r="4909" spans="1:10" ht="25.5" x14ac:dyDescent="0.2">
      <c r="A4909" s="1" t="s">
        <v>34</v>
      </c>
      <c r="B4909" s="2" t="s">
        <v>338</v>
      </c>
      <c r="D4909" s="5" t="s">
        <v>871</v>
      </c>
      <c r="E4909" s="3">
        <v>99767.8</v>
      </c>
      <c r="F4909" s="3">
        <v>100283.42</v>
      </c>
      <c r="G4909" s="57">
        <f t="shared" si="79"/>
        <v>5.1682005617042304E-3</v>
      </c>
      <c r="J4909" s="5" t="s">
        <v>2725</v>
      </c>
    </row>
    <row r="4910" spans="1:10" ht="38.25" x14ac:dyDescent="0.2">
      <c r="A4910" s="1" t="s">
        <v>34</v>
      </c>
      <c r="B4910" s="2" t="s">
        <v>338</v>
      </c>
      <c r="D4910" s="5" t="s">
        <v>872</v>
      </c>
      <c r="E4910" s="3">
        <v>94618.85</v>
      </c>
      <c r="F4910" s="3">
        <v>167682.9</v>
      </c>
      <c r="G4910" s="57">
        <f t="shared" si="79"/>
        <v>0.77219338429921713</v>
      </c>
      <c r="J4910" s="5" t="s">
        <v>4426</v>
      </c>
    </row>
    <row r="4911" spans="1:10" x14ac:dyDescent="0.2">
      <c r="A4911" s="1" t="s">
        <v>34</v>
      </c>
      <c r="B4911" s="2" t="s">
        <v>338</v>
      </c>
      <c r="D4911" s="5" t="s">
        <v>464</v>
      </c>
      <c r="G4911" s="57" t="str">
        <f t="shared" si="79"/>
        <v>-</v>
      </c>
      <c r="H4911" s="19" t="s">
        <v>465</v>
      </c>
      <c r="I4911" s="19">
        <v>92500</v>
      </c>
    </row>
    <row r="4912" spans="1:10" x14ac:dyDescent="0.2">
      <c r="A4912" s="1" t="s">
        <v>34</v>
      </c>
      <c r="B4912" s="2" t="s">
        <v>338</v>
      </c>
      <c r="D4912" s="5" t="s">
        <v>464</v>
      </c>
      <c r="G4912" s="57" t="str">
        <f t="shared" si="79"/>
        <v>-</v>
      </c>
      <c r="H4912" s="19" t="s">
        <v>465</v>
      </c>
      <c r="I4912" s="19">
        <v>92500</v>
      </c>
    </row>
    <row r="4913" spans="1:10" x14ac:dyDescent="0.2">
      <c r="A4913" s="1" t="s">
        <v>34</v>
      </c>
      <c r="B4913" s="2" t="s">
        <v>338</v>
      </c>
      <c r="D4913" s="5" t="s">
        <v>464</v>
      </c>
      <c r="G4913" s="57" t="str">
        <f t="shared" si="79"/>
        <v>-</v>
      </c>
      <c r="H4913" s="19" t="s">
        <v>465</v>
      </c>
      <c r="I4913" s="19">
        <v>97500</v>
      </c>
    </row>
    <row r="4914" spans="1:10" x14ac:dyDescent="0.2">
      <c r="A4914" s="1" t="s">
        <v>34</v>
      </c>
      <c r="B4914" s="2" t="s">
        <v>338</v>
      </c>
      <c r="D4914" s="5" t="s">
        <v>464</v>
      </c>
      <c r="G4914" s="57" t="str">
        <f t="shared" si="79"/>
        <v>-</v>
      </c>
      <c r="H4914" s="19" t="s">
        <v>465</v>
      </c>
      <c r="I4914" s="19">
        <v>97500</v>
      </c>
    </row>
    <row r="4915" spans="1:10" x14ac:dyDescent="0.2">
      <c r="A4915" s="1" t="s">
        <v>34</v>
      </c>
      <c r="B4915" s="2" t="s">
        <v>338</v>
      </c>
      <c r="D4915" s="5" t="s">
        <v>464</v>
      </c>
      <c r="E4915" s="3">
        <v>107500</v>
      </c>
      <c r="F4915" s="3" t="s">
        <v>465</v>
      </c>
      <c r="G4915" s="57" t="str">
        <f t="shared" si="79"/>
        <v>-</v>
      </c>
    </row>
    <row r="4916" spans="1:10" x14ac:dyDescent="0.2">
      <c r="A4916" s="1" t="s">
        <v>34</v>
      </c>
      <c r="B4916" s="2" t="s">
        <v>338</v>
      </c>
      <c r="D4916" s="5" t="s">
        <v>464</v>
      </c>
      <c r="E4916" s="3" t="s">
        <v>465</v>
      </c>
      <c r="F4916" s="3">
        <v>117500</v>
      </c>
      <c r="G4916" s="57" t="str">
        <f t="shared" si="79"/>
        <v>-</v>
      </c>
    </row>
    <row r="4917" spans="1:10" ht="25.5" x14ac:dyDescent="0.2">
      <c r="A4917" s="1" t="s">
        <v>1</v>
      </c>
      <c r="B4917" s="2" t="s">
        <v>339</v>
      </c>
      <c r="C4917" s="5" t="s">
        <v>864</v>
      </c>
      <c r="D4917" s="5" t="s">
        <v>450</v>
      </c>
      <c r="E4917" s="3">
        <f>128226+21706</f>
        <v>149932</v>
      </c>
      <c r="F4917" s="3">
        <f>128983+96+135+22575</f>
        <v>151789</v>
      </c>
      <c r="G4917" s="57">
        <f t="shared" si="79"/>
        <v>1.2385614812048128E-2</v>
      </c>
      <c r="J4917" s="5" t="s">
        <v>2715</v>
      </c>
    </row>
    <row r="4918" spans="1:10" ht="25.5" x14ac:dyDescent="0.2">
      <c r="A4918" s="1" t="s">
        <v>1</v>
      </c>
      <c r="B4918" s="2" t="s">
        <v>339</v>
      </c>
      <c r="C4918" s="5" t="s">
        <v>865</v>
      </c>
      <c r="D4918" s="5" t="s">
        <v>866</v>
      </c>
      <c r="E4918" s="3">
        <f>102737+17742</f>
        <v>120479</v>
      </c>
      <c r="F4918" s="3">
        <f>105041+2160+19089</f>
        <v>126290</v>
      </c>
      <c r="G4918" s="57">
        <f t="shared" si="79"/>
        <v>4.8232472049070794E-2</v>
      </c>
      <c r="J4918" s="5" t="s">
        <v>2717</v>
      </c>
    </row>
    <row r="4919" spans="1:10" ht="25.5" x14ac:dyDescent="0.2">
      <c r="A4919" s="1" t="s">
        <v>1</v>
      </c>
      <c r="B4919" s="2" t="s">
        <v>339</v>
      </c>
      <c r="C4919" s="5" t="s">
        <v>867</v>
      </c>
      <c r="D4919" s="5" t="s">
        <v>868</v>
      </c>
      <c r="E4919" s="3">
        <f>103533+17742</f>
        <v>121275</v>
      </c>
      <c r="F4919" s="3">
        <f>105685+19089</f>
        <v>124774</v>
      </c>
      <c r="G4919" s="57">
        <f t="shared" si="79"/>
        <v>2.8851783137497422E-2</v>
      </c>
      <c r="J4919" s="5" t="s">
        <v>2718</v>
      </c>
    </row>
    <row r="4920" spans="1:10" ht="25.5" x14ac:dyDescent="0.2">
      <c r="A4920" s="1" t="s">
        <v>1</v>
      </c>
      <c r="B4920" s="2" t="s">
        <v>339</v>
      </c>
      <c r="C4920" s="5" t="s">
        <v>2713</v>
      </c>
      <c r="D4920" s="5" t="s">
        <v>2714</v>
      </c>
      <c r="E4920" s="3">
        <f>105807+18033</f>
        <v>123840</v>
      </c>
      <c r="F4920" s="3">
        <f>9707+58016</f>
        <v>67723</v>
      </c>
      <c r="G4920" s="57">
        <f t="shared" si="79"/>
        <v>-0.45314114987080101</v>
      </c>
      <c r="J4920" s="5" t="s">
        <v>2716</v>
      </c>
    </row>
    <row r="4921" spans="1:10" ht="25.5" x14ac:dyDescent="0.2">
      <c r="A4921" s="1" t="s">
        <v>4</v>
      </c>
      <c r="B4921" s="2" t="s">
        <v>340</v>
      </c>
      <c r="D4921" s="5" t="s">
        <v>450</v>
      </c>
      <c r="E4921" s="6">
        <v>128238</v>
      </c>
      <c r="F4921" s="6">
        <v>128388</v>
      </c>
      <c r="G4921" s="57">
        <f t="shared" si="79"/>
        <v>1.1697000888972067E-3</v>
      </c>
      <c r="J4921" s="5" t="s">
        <v>2710</v>
      </c>
    </row>
    <row r="4922" spans="1:10" ht="25.5" x14ac:dyDescent="0.2">
      <c r="A4922" s="1" t="s">
        <v>4</v>
      </c>
      <c r="B4922" s="2" t="s">
        <v>340</v>
      </c>
      <c r="D4922" s="5" t="s">
        <v>463</v>
      </c>
      <c r="E4922" s="6">
        <v>106308</v>
      </c>
      <c r="F4922" s="6">
        <v>108102</v>
      </c>
      <c r="G4922" s="57">
        <f t="shared" si="79"/>
        <v>1.6875493848064117E-2</v>
      </c>
      <c r="J4922" s="5" t="s">
        <v>2711</v>
      </c>
    </row>
    <row r="4923" spans="1:10" ht="25.5" x14ac:dyDescent="0.2">
      <c r="A4923" s="1" t="s">
        <v>4</v>
      </c>
      <c r="B4923" s="2" t="s">
        <v>340</v>
      </c>
      <c r="D4923" s="5" t="s">
        <v>863</v>
      </c>
      <c r="E4923" s="6">
        <v>106118</v>
      </c>
      <c r="F4923" s="6">
        <v>107800</v>
      </c>
      <c r="G4923" s="57">
        <f t="shared" si="79"/>
        <v>1.5850279877117925E-2</v>
      </c>
      <c r="J4923" s="5" t="s">
        <v>2712</v>
      </c>
    </row>
    <row r="4924" spans="1:10" x14ac:dyDescent="0.2">
      <c r="A4924" s="1" t="s">
        <v>4</v>
      </c>
      <c r="B4924" s="2" t="s">
        <v>340</v>
      </c>
      <c r="D4924" s="5" t="s">
        <v>860</v>
      </c>
      <c r="E4924" s="6">
        <v>113820</v>
      </c>
      <c r="F4924" s="6" t="s">
        <v>465</v>
      </c>
      <c r="G4924" s="57" t="str">
        <f t="shared" ref="G4924:G4987" si="80">IF(ISERROR((F4924-E4924)/E4924),"-",(F4924-E4924)/E4924)</f>
        <v>-</v>
      </c>
    </row>
    <row r="4925" spans="1:10" ht="38.25" x14ac:dyDescent="0.2">
      <c r="A4925" s="1" t="s">
        <v>20</v>
      </c>
      <c r="B4925" s="2" t="s">
        <v>341</v>
      </c>
      <c r="D4925" s="5" t="s">
        <v>450</v>
      </c>
      <c r="E4925" s="3">
        <v>157029</v>
      </c>
      <c r="F4925" s="3">
        <v>211817</v>
      </c>
      <c r="G4925" s="57">
        <f t="shared" si="80"/>
        <v>0.34890370568493717</v>
      </c>
      <c r="J4925" s="5" t="s">
        <v>4427</v>
      </c>
    </row>
    <row r="4926" spans="1:10" ht="25.5" x14ac:dyDescent="0.2">
      <c r="A4926" s="1" t="s">
        <v>20</v>
      </c>
      <c r="B4926" s="2" t="s">
        <v>341</v>
      </c>
      <c r="D4926" s="5" t="s">
        <v>861</v>
      </c>
      <c r="E4926" s="3">
        <v>126994</v>
      </c>
      <c r="F4926" s="3">
        <v>128021</v>
      </c>
      <c r="G4926" s="57">
        <f t="shared" si="80"/>
        <v>8.086996236042648E-3</v>
      </c>
      <c r="J4926" s="5" t="s">
        <v>2708</v>
      </c>
    </row>
    <row r="4927" spans="1:10" ht="25.5" x14ac:dyDescent="0.2">
      <c r="A4927" s="1" t="s">
        <v>20</v>
      </c>
      <c r="B4927" s="2" t="s">
        <v>341</v>
      </c>
      <c r="D4927" s="5" t="s">
        <v>862</v>
      </c>
      <c r="E4927" s="3">
        <v>57313</v>
      </c>
      <c r="F4927" s="3">
        <v>120927</v>
      </c>
      <c r="G4927" s="57">
        <f t="shared" si="80"/>
        <v>1.1099401531938653</v>
      </c>
      <c r="J4927" s="5" t="s">
        <v>2709</v>
      </c>
    </row>
    <row r="4928" spans="1:10" ht="25.5" x14ac:dyDescent="0.2">
      <c r="A4928" s="1" t="s">
        <v>8</v>
      </c>
      <c r="B4928" s="2" t="s">
        <v>342</v>
      </c>
      <c r="D4928" s="5" t="s">
        <v>450</v>
      </c>
      <c r="E4928" s="3">
        <v>133667</v>
      </c>
      <c r="F4928" s="3">
        <v>133835</v>
      </c>
      <c r="G4928" s="57">
        <f t="shared" si="80"/>
        <v>1.2568547210605461E-3</v>
      </c>
      <c r="J4928" s="5" t="s">
        <v>2704</v>
      </c>
    </row>
    <row r="4929" spans="1:10" ht="25.5" x14ac:dyDescent="0.2">
      <c r="A4929" s="1" t="s">
        <v>8</v>
      </c>
      <c r="B4929" s="2" t="s">
        <v>342</v>
      </c>
      <c r="D4929" s="5" t="s">
        <v>858</v>
      </c>
      <c r="E4929" s="3">
        <v>104719</v>
      </c>
      <c r="F4929" s="3">
        <v>107268</v>
      </c>
      <c r="G4929" s="57">
        <f t="shared" si="80"/>
        <v>2.4341332518454148E-2</v>
      </c>
      <c r="J4929" s="5" t="s">
        <v>2705</v>
      </c>
    </row>
    <row r="4930" spans="1:10" ht="38.25" x14ac:dyDescent="0.2">
      <c r="A4930" s="1" t="s">
        <v>8</v>
      </c>
      <c r="B4930" s="2" t="s">
        <v>342</v>
      </c>
      <c r="C4930" s="5" t="s">
        <v>859</v>
      </c>
      <c r="D4930" s="5" t="s">
        <v>452</v>
      </c>
      <c r="E4930" s="3">
        <v>104624</v>
      </c>
      <c r="F4930" s="3">
        <v>182334</v>
      </c>
      <c r="G4930" s="57">
        <f t="shared" si="80"/>
        <v>0.742755008411072</v>
      </c>
      <c r="J4930" s="5" t="s">
        <v>2706</v>
      </c>
    </row>
    <row r="4931" spans="1:10" ht="38.25" x14ac:dyDescent="0.2">
      <c r="A4931" s="1" t="s">
        <v>8</v>
      </c>
      <c r="B4931" s="2" t="s">
        <v>342</v>
      </c>
      <c r="D4931" s="5" t="s">
        <v>860</v>
      </c>
      <c r="E4931" s="3">
        <v>74848</v>
      </c>
      <c r="F4931" s="3">
        <v>120415</v>
      </c>
      <c r="G4931" s="57">
        <f t="shared" si="80"/>
        <v>0.60879382214621636</v>
      </c>
      <c r="J4931" s="5" t="s">
        <v>2707</v>
      </c>
    </row>
    <row r="4932" spans="1:10" x14ac:dyDescent="0.2">
      <c r="A4932" s="1" t="s">
        <v>8</v>
      </c>
      <c r="B4932" s="2" t="s">
        <v>342</v>
      </c>
      <c r="D4932" s="5" t="s">
        <v>464</v>
      </c>
      <c r="E4932" s="3" t="s">
        <v>465</v>
      </c>
      <c r="F4932" s="3">
        <v>112500</v>
      </c>
      <c r="G4932" s="57" t="str">
        <f t="shared" si="80"/>
        <v>-</v>
      </c>
    </row>
    <row r="4933" spans="1:10" x14ac:dyDescent="0.2">
      <c r="A4933" s="1" t="s">
        <v>8</v>
      </c>
      <c r="B4933" s="2" t="s">
        <v>342</v>
      </c>
      <c r="D4933" s="5" t="s">
        <v>464</v>
      </c>
      <c r="E4933" s="3" t="s">
        <v>465</v>
      </c>
      <c r="F4933" s="3">
        <v>122500</v>
      </c>
      <c r="G4933" s="57" t="str">
        <f t="shared" si="80"/>
        <v>-</v>
      </c>
    </row>
    <row r="4934" spans="1:10" x14ac:dyDescent="0.2">
      <c r="A4934" s="1" t="s">
        <v>34</v>
      </c>
      <c r="B4934" s="2" t="s">
        <v>343</v>
      </c>
      <c r="C4934" s="5" t="s">
        <v>853</v>
      </c>
      <c r="D4934" s="5" t="s">
        <v>450</v>
      </c>
      <c r="E4934" s="3">
        <v>186590</v>
      </c>
      <c r="F4934" s="3">
        <v>191459</v>
      </c>
      <c r="G4934" s="57">
        <f t="shared" si="80"/>
        <v>2.6094646015327724E-2</v>
      </c>
      <c r="J4934" s="5" t="s">
        <v>2699</v>
      </c>
    </row>
    <row r="4935" spans="1:10" x14ac:dyDescent="0.2">
      <c r="A4935" s="1" t="s">
        <v>34</v>
      </c>
      <c r="B4935" s="2" t="s">
        <v>343</v>
      </c>
      <c r="D4935" s="5" t="s">
        <v>854</v>
      </c>
      <c r="E4935" s="3">
        <v>142262</v>
      </c>
      <c r="F4935" s="3">
        <v>145987</v>
      </c>
      <c r="G4935" s="57">
        <f t="shared" si="80"/>
        <v>2.6184082889316895E-2</v>
      </c>
      <c r="J4935" s="5" t="s">
        <v>2700</v>
      </c>
    </row>
    <row r="4936" spans="1:10" x14ac:dyDescent="0.2">
      <c r="A4936" s="1" t="s">
        <v>34</v>
      </c>
      <c r="B4936" s="2" t="s">
        <v>343</v>
      </c>
      <c r="D4936" s="5" t="s">
        <v>789</v>
      </c>
      <c r="E4936" s="3">
        <v>142334</v>
      </c>
      <c r="F4936" s="3">
        <v>145987</v>
      </c>
      <c r="G4936" s="57">
        <f t="shared" si="80"/>
        <v>2.5664985175713462E-2</v>
      </c>
      <c r="J4936" s="5" t="s">
        <v>2700</v>
      </c>
    </row>
    <row r="4937" spans="1:10" x14ac:dyDescent="0.2">
      <c r="A4937" s="1" t="s">
        <v>34</v>
      </c>
      <c r="B4937" s="2" t="s">
        <v>343</v>
      </c>
      <c r="D4937" s="5" t="s">
        <v>855</v>
      </c>
      <c r="E4937" s="3">
        <v>128875</v>
      </c>
      <c r="F4937" s="3">
        <v>131628</v>
      </c>
      <c r="G4937" s="57">
        <f t="shared" si="80"/>
        <v>2.1361784675072746E-2</v>
      </c>
      <c r="J4937" s="5" t="s">
        <v>2701</v>
      </c>
    </row>
    <row r="4938" spans="1:10" x14ac:dyDescent="0.2">
      <c r="A4938" s="1" t="s">
        <v>34</v>
      </c>
      <c r="B4938" s="2" t="s">
        <v>343</v>
      </c>
      <c r="D4938" s="5" t="s">
        <v>856</v>
      </c>
      <c r="E4938" s="3">
        <v>128875</v>
      </c>
      <c r="F4938" s="3">
        <v>131628</v>
      </c>
      <c r="G4938" s="57">
        <f t="shared" si="80"/>
        <v>2.1361784675072746E-2</v>
      </c>
      <c r="J4938" s="5" t="s">
        <v>2701</v>
      </c>
    </row>
    <row r="4939" spans="1:10" x14ac:dyDescent="0.2">
      <c r="A4939" s="1" t="s">
        <v>34</v>
      </c>
      <c r="B4939" s="2" t="s">
        <v>343</v>
      </c>
      <c r="D4939" s="5" t="s">
        <v>857</v>
      </c>
      <c r="E4939" s="3">
        <v>128875</v>
      </c>
      <c r="F4939" s="3">
        <v>132084</v>
      </c>
      <c r="G4939" s="57">
        <f t="shared" si="80"/>
        <v>2.4900096993210476E-2</v>
      </c>
      <c r="J4939" s="5" t="s">
        <v>2702</v>
      </c>
    </row>
    <row r="4940" spans="1:10" x14ac:dyDescent="0.2">
      <c r="A4940" s="1" t="s">
        <v>34</v>
      </c>
      <c r="B4940" s="2" t="s">
        <v>343</v>
      </c>
      <c r="D4940" s="5" t="s">
        <v>487</v>
      </c>
      <c r="E4940" s="3">
        <v>113368</v>
      </c>
      <c r="F4940" s="3">
        <v>116072</v>
      </c>
      <c r="G4940" s="57">
        <f t="shared" si="80"/>
        <v>2.3851527767976853E-2</v>
      </c>
      <c r="J4940" s="5" t="s">
        <v>2703</v>
      </c>
    </row>
    <row r="4941" spans="1:10" x14ac:dyDescent="0.2">
      <c r="A4941" s="1" t="s">
        <v>34</v>
      </c>
      <c r="B4941" s="2" t="s">
        <v>343</v>
      </c>
      <c r="D4941" s="5" t="s">
        <v>464</v>
      </c>
      <c r="G4941" s="57" t="str">
        <f t="shared" si="80"/>
        <v>-</v>
      </c>
      <c r="H4941" s="19">
        <v>97500</v>
      </c>
      <c r="I4941" s="19" t="s">
        <v>465</v>
      </c>
    </row>
    <row r="4942" spans="1:10" x14ac:dyDescent="0.2">
      <c r="A4942" s="1" t="s">
        <v>34</v>
      </c>
      <c r="B4942" s="2" t="s">
        <v>343</v>
      </c>
      <c r="D4942" s="5" t="s">
        <v>464</v>
      </c>
      <c r="G4942" s="57" t="str">
        <f t="shared" si="80"/>
        <v>-</v>
      </c>
      <c r="H4942" s="19" t="s">
        <v>465</v>
      </c>
      <c r="I4942" s="19">
        <v>97500</v>
      </c>
    </row>
    <row r="4943" spans="1:10" x14ac:dyDescent="0.2">
      <c r="A4943" s="1" t="s">
        <v>34</v>
      </c>
      <c r="B4943" s="2" t="s">
        <v>343</v>
      </c>
      <c r="D4943" s="5" t="s">
        <v>464</v>
      </c>
      <c r="E4943" s="3" t="s">
        <v>465</v>
      </c>
      <c r="F4943" s="3">
        <v>117500</v>
      </c>
      <c r="G4943" s="57" t="str">
        <f t="shared" si="80"/>
        <v>-</v>
      </c>
    </row>
    <row r="4944" spans="1:10" x14ac:dyDescent="0.2">
      <c r="A4944" s="1" t="s">
        <v>34</v>
      </c>
      <c r="B4944" s="2" t="s">
        <v>343</v>
      </c>
      <c r="D4944" s="5" t="s">
        <v>464</v>
      </c>
      <c r="E4944" s="3" t="s">
        <v>465</v>
      </c>
      <c r="F4944" s="3">
        <v>157500</v>
      </c>
      <c r="G4944" s="57" t="str">
        <f t="shared" si="80"/>
        <v>-</v>
      </c>
    </row>
    <row r="4945" spans="1:10" ht="76.5" x14ac:dyDescent="0.2">
      <c r="A4945" s="1" t="s">
        <v>34</v>
      </c>
      <c r="B4945" s="12" t="s">
        <v>344</v>
      </c>
      <c r="C4945" s="29" t="s">
        <v>2698</v>
      </c>
      <c r="D4945" s="29"/>
      <c r="G4945" s="57" t="str">
        <f t="shared" si="80"/>
        <v>-</v>
      </c>
    </row>
    <row r="4946" spans="1:10" ht="38.25" x14ac:dyDescent="0.2">
      <c r="A4946" s="1" t="s">
        <v>8</v>
      </c>
      <c r="B4946" s="2" t="s">
        <v>345</v>
      </c>
      <c r="D4946" s="5" t="s">
        <v>4167</v>
      </c>
      <c r="E4946" s="3">
        <v>139889</v>
      </c>
      <c r="F4946" s="3">
        <v>145187</v>
      </c>
      <c r="G4946" s="57">
        <f t="shared" si="80"/>
        <v>3.7872884930194653E-2</v>
      </c>
      <c r="J4946" s="5" t="s">
        <v>4458</v>
      </c>
    </row>
    <row r="4947" spans="1:10" ht="38.25" x14ac:dyDescent="0.2">
      <c r="A4947" s="1" t="s">
        <v>8</v>
      </c>
      <c r="B4947" s="2" t="s">
        <v>345</v>
      </c>
      <c r="D4947" s="5" t="s">
        <v>468</v>
      </c>
      <c r="E4947" s="3">
        <v>99059</v>
      </c>
      <c r="F4947" s="3">
        <v>238575</v>
      </c>
      <c r="G4947" s="57">
        <f t="shared" si="80"/>
        <v>1.4084131679100333</v>
      </c>
      <c r="J4947" s="5" t="s">
        <v>2695</v>
      </c>
    </row>
    <row r="4948" spans="1:10" ht="51" x14ac:dyDescent="0.2">
      <c r="A4948" s="1" t="s">
        <v>8</v>
      </c>
      <c r="B4948" s="2" t="s">
        <v>345</v>
      </c>
      <c r="D4948" s="5" t="s">
        <v>468</v>
      </c>
      <c r="E4948" s="3">
        <v>99241</v>
      </c>
      <c r="F4948" s="3">
        <v>157495</v>
      </c>
      <c r="G4948" s="57">
        <f t="shared" si="80"/>
        <v>0.58699529428361263</v>
      </c>
      <c r="J4948" s="5" t="s">
        <v>4459</v>
      </c>
    </row>
    <row r="4949" spans="1:10" ht="38.25" x14ac:dyDescent="0.2">
      <c r="A4949" s="1" t="s">
        <v>8</v>
      </c>
      <c r="B4949" s="2" t="s">
        <v>345</v>
      </c>
      <c r="D4949" s="5" t="s">
        <v>852</v>
      </c>
      <c r="E4949" s="3">
        <v>71200</v>
      </c>
      <c r="F4949" s="3">
        <v>156355</v>
      </c>
      <c r="G4949" s="57">
        <f t="shared" si="80"/>
        <v>1.1959971910112359</v>
      </c>
      <c r="J4949" s="5" t="s">
        <v>2696</v>
      </c>
    </row>
    <row r="4950" spans="1:10" x14ac:dyDescent="0.2">
      <c r="A4950" s="1" t="s">
        <v>8</v>
      </c>
      <c r="B4950" s="2" t="s">
        <v>345</v>
      </c>
      <c r="D4950" s="5" t="s">
        <v>464</v>
      </c>
      <c r="G4950" s="57" t="str">
        <f t="shared" si="80"/>
        <v>-</v>
      </c>
      <c r="I4950" s="19">
        <v>92500</v>
      </c>
    </row>
    <row r="4951" spans="1:10" ht="25.5" x14ac:dyDescent="0.2">
      <c r="A4951" s="1" t="s">
        <v>8</v>
      </c>
      <c r="B4951" s="2" t="s">
        <v>346</v>
      </c>
      <c r="D4951" s="5" t="s">
        <v>450</v>
      </c>
      <c r="E4951" s="3">
        <v>136000</v>
      </c>
      <c r="F4951" s="3">
        <v>134000</v>
      </c>
      <c r="G4951" s="57">
        <f t="shared" si="80"/>
        <v>-1.4705882352941176E-2</v>
      </c>
      <c r="J4951" s="5" t="s">
        <v>2692</v>
      </c>
    </row>
    <row r="4952" spans="1:10" ht="25.5" x14ac:dyDescent="0.2">
      <c r="A4952" s="1" t="s">
        <v>8</v>
      </c>
      <c r="B4952" s="2" t="s">
        <v>346</v>
      </c>
      <c r="D4952" s="5" t="s">
        <v>504</v>
      </c>
      <c r="E4952" s="3">
        <v>109000</v>
      </c>
      <c r="F4952" s="3">
        <v>108000</v>
      </c>
      <c r="G4952" s="57">
        <f t="shared" si="80"/>
        <v>-9.1743119266055051E-3</v>
      </c>
      <c r="J4952" s="5" t="s">
        <v>2693</v>
      </c>
    </row>
    <row r="4953" spans="1:10" ht="25.5" x14ac:dyDescent="0.2">
      <c r="A4953" s="1" t="s">
        <v>8</v>
      </c>
      <c r="B4953" s="2" t="s">
        <v>346</v>
      </c>
      <c r="D4953" s="5" t="s">
        <v>504</v>
      </c>
      <c r="E4953" s="3">
        <v>96000</v>
      </c>
      <c r="F4953" s="3">
        <v>103000</v>
      </c>
      <c r="G4953" s="57">
        <f t="shared" si="80"/>
        <v>7.2916666666666671E-2</v>
      </c>
      <c r="J4953" s="5" t="s">
        <v>2694</v>
      </c>
    </row>
    <row r="4954" spans="1:10" ht="38.25" x14ac:dyDescent="0.2">
      <c r="A4954" s="1" t="s">
        <v>6</v>
      </c>
      <c r="B4954" s="2" t="s">
        <v>347</v>
      </c>
      <c r="D4954" s="5" t="s">
        <v>4460</v>
      </c>
      <c r="E4954" s="3">
        <v>96384</v>
      </c>
      <c r="F4954" s="3">
        <v>118267</v>
      </c>
      <c r="G4954" s="57">
        <f t="shared" si="80"/>
        <v>0.22703975763612219</v>
      </c>
      <c r="J4954" s="5" t="s">
        <v>2690</v>
      </c>
    </row>
    <row r="4955" spans="1:10" ht="38.25" x14ac:dyDescent="0.2">
      <c r="A4955" s="1" t="s">
        <v>6</v>
      </c>
      <c r="B4955" s="2" t="s">
        <v>347</v>
      </c>
      <c r="D4955" s="5" t="s">
        <v>450</v>
      </c>
      <c r="E4955" s="3">
        <v>115112</v>
      </c>
      <c r="F4955" s="3">
        <v>41966</v>
      </c>
      <c r="G4955" s="57">
        <f t="shared" si="80"/>
        <v>-0.63543331711724238</v>
      </c>
      <c r="J4955" s="5" t="s">
        <v>4461</v>
      </c>
    </row>
    <row r="4956" spans="1:10" ht="25.5" x14ac:dyDescent="0.2">
      <c r="A4956" s="1" t="s">
        <v>6</v>
      </c>
      <c r="B4956" s="2" t="s">
        <v>347</v>
      </c>
      <c r="D4956" s="5" t="s">
        <v>851</v>
      </c>
      <c r="E4956" s="3">
        <v>100372</v>
      </c>
      <c r="F4956" s="3">
        <v>100690</v>
      </c>
      <c r="G4956" s="57">
        <f t="shared" si="80"/>
        <v>3.1682142430159805E-3</v>
      </c>
      <c r="J4956" s="5" t="s">
        <v>2691</v>
      </c>
    </row>
    <row r="4957" spans="1:10" ht="25.5" x14ac:dyDescent="0.2">
      <c r="A4957" s="1" t="s">
        <v>1</v>
      </c>
      <c r="B4957" s="2" t="s">
        <v>348</v>
      </c>
      <c r="C4957" s="5" t="s">
        <v>842</v>
      </c>
      <c r="D4957" s="5" t="s">
        <v>450</v>
      </c>
      <c r="E4957" s="36">
        <f>162366+29119</f>
        <v>191485</v>
      </c>
      <c r="F4957" s="3">
        <f>156878+271+29504</f>
        <v>186653</v>
      </c>
      <c r="G4957" s="57">
        <f t="shared" si="80"/>
        <v>-2.5234352560252762E-2</v>
      </c>
      <c r="J4957" s="5" t="s">
        <v>2682</v>
      </c>
    </row>
    <row r="4958" spans="1:10" ht="25.5" x14ac:dyDescent="0.2">
      <c r="A4958" s="1" t="s">
        <v>1</v>
      </c>
      <c r="B4958" s="2" t="s">
        <v>348</v>
      </c>
      <c r="C4958" s="5" t="s">
        <v>843</v>
      </c>
      <c r="D4958" s="5" t="s">
        <v>844</v>
      </c>
      <c r="E4958" s="36">
        <f>128560+22091</f>
        <v>150651</v>
      </c>
      <c r="F4958" s="3">
        <f>127714+298+23140</f>
        <v>151152</v>
      </c>
      <c r="G4958" s="57">
        <f t="shared" si="80"/>
        <v>3.3255670390505208E-3</v>
      </c>
      <c r="J4958" s="5" t="s">
        <v>2683</v>
      </c>
    </row>
    <row r="4959" spans="1:10" ht="25.5" x14ac:dyDescent="0.2">
      <c r="A4959" s="1" t="s">
        <v>1</v>
      </c>
      <c r="B4959" s="2" t="s">
        <v>348</v>
      </c>
      <c r="C4959" s="5" t="s">
        <v>845</v>
      </c>
      <c r="D4959" s="5" t="s">
        <v>529</v>
      </c>
      <c r="E4959" s="36">
        <f>126836+20935</f>
        <v>147771</v>
      </c>
      <c r="F4959" s="3">
        <f>126066+271+21924</f>
        <v>148261</v>
      </c>
      <c r="G4959" s="57">
        <f t="shared" si="80"/>
        <v>3.3159415582218431E-3</v>
      </c>
      <c r="J4959" s="5" t="s">
        <v>2684</v>
      </c>
    </row>
    <row r="4960" spans="1:10" ht="28.5" customHeight="1" x14ac:dyDescent="0.2">
      <c r="A4960" s="1" t="s">
        <v>1</v>
      </c>
      <c r="B4960" s="2" t="s">
        <v>348</v>
      </c>
      <c r="C4960" s="5" t="s">
        <v>846</v>
      </c>
      <c r="D4960" s="5" t="s">
        <v>529</v>
      </c>
      <c r="E4960" s="36">
        <f>121336+20935</f>
        <v>142271</v>
      </c>
      <c r="F4960" s="6">
        <f>120516+271+0</f>
        <v>120787</v>
      </c>
      <c r="G4960" s="57">
        <f t="shared" si="80"/>
        <v>-0.15100758411763465</v>
      </c>
      <c r="H4960" s="21"/>
      <c r="I4960" s="21"/>
      <c r="J4960" s="7" t="s">
        <v>2685</v>
      </c>
    </row>
    <row r="4961" spans="1:10" ht="25.5" x14ac:dyDescent="0.2">
      <c r="A4961" s="1" t="s">
        <v>1</v>
      </c>
      <c r="B4961" s="2" t="s">
        <v>348</v>
      </c>
      <c r="C4961" s="5" t="s">
        <v>847</v>
      </c>
      <c r="D4961" s="5" t="s">
        <v>529</v>
      </c>
      <c r="E4961" s="36">
        <f>20935+121336</f>
        <v>142271</v>
      </c>
      <c r="F4961" s="3">
        <f>120516+271+21924</f>
        <v>142711</v>
      </c>
      <c r="G4961" s="57">
        <f t="shared" si="80"/>
        <v>3.0926893042151947E-3</v>
      </c>
      <c r="J4961" s="5" t="s">
        <v>2686</v>
      </c>
    </row>
    <row r="4962" spans="1:10" x14ac:dyDescent="0.2">
      <c r="A4962" s="1" t="s">
        <v>1</v>
      </c>
      <c r="B4962" s="2" t="s">
        <v>348</v>
      </c>
      <c r="C4962" s="5" t="s">
        <v>848</v>
      </c>
      <c r="D4962" s="5" t="s">
        <v>529</v>
      </c>
      <c r="E4962" s="36">
        <f>117725+18466</f>
        <v>136191</v>
      </c>
      <c r="F4962" s="3">
        <f>119627+21623</f>
        <v>141250</v>
      </c>
      <c r="G4962" s="57">
        <f t="shared" si="80"/>
        <v>3.7146360625885708E-2</v>
      </c>
      <c r="J4962" s="5" t="s">
        <v>2687</v>
      </c>
    </row>
    <row r="4963" spans="1:10" ht="25.5" x14ac:dyDescent="0.2">
      <c r="A4963" s="1" t="s">
        <v>1</v>
      </c>
      <c r="B4963" s="2" t="s">
        <v>348</v>
      </c>
      <c r="C4963" s="5" t="s">
        <v>849</v>
      </c>
      <c r="D4963" s="5" t="s">
        <v>529</v>
      </c>
      <c r="E4963" s="8" t="s">
        <v>465</v>
      </c>
      <c r="F4963" s="3">
        <f>117177+283+21321</f>
        <v>138781</v>
      </c>
      <c r="G4963" s="57" t="str">
        <f t="shared" si="80"/>
        <v>-</v>
      </c>
      <c r="J4963" s="5" t="s">
        <v>2688</v>
      </c>
    </row>
    <row r="4964" spans="1:10" ht="25.5" x14ac:dyDescent="0.2">
      <c r="A4964" s="1" t="s">
        <v>1</v>
      </c>
      <c r="B4964" s="2" t="s">
        <v>348</v>
      </c>
      <c r="C4964" s="5" t="s">
        <v>850</v>
      </c>
      <c r="D4964" s="5" t="s">
        <v>529</v>
      </c>
      <c r="E4964" s="36">
        <f>121336+20935</f>
        <v>142271</v>
      </c>
      <c r="F4964" s="3">
        <f>120516+771+21924</f>
        <v>143211</v>
      </c>
      <c r="G4964" s="57">
        <f t="shared" si="80"/>
        <v>6.6071089680960985E-3</v>
      </c>
      <c r="J4964" s="5" t="s">
        <v>2689</v>
      </c>
    </row>
    <row r="4965" spans="1:10" ht="25.5" x14ac:dyDescent="0.2">
      <c r="A4965" s="1" t="s">
        <v>20</v>
      </c>
      <c r="B4965" s="2" t="s">
        <v>349</v>
      </c>
      <c r="D4965" s="5" t="s">
        <v>450</v>
      </c>
      <c r="E4965" s="3">
        <v>133469</v>
      </c>
      <c r="F4965" s="3">
        <v>146498</v>
      </c>
      <c r="G4965" s="57">
        <f t="shared" si="80"/>
        <v>9.7618173508455142E-2</v>
      </c>
      <c r="J4965" s="5" t="s">
        <v>2681</v>
      </c>
    </row>
    <row r="4966" spans="1:10" ht="38.25" x14ac:dyDescent="0.2">
      <c r="A4966" s="1" t="s">
        <v>8</v>
      </c>
      <c r="B4966" s="2" t="s">
        <v>350</v>
      </c>
      <c r="D4966" s="5" t="s">
        <v>450</v>
      </c>
      <c r="E4966" s="3">
        <v>136895</v>
      </c>
      <c r="F4966" s="3">
        <v>135829</v>
      </c>
      <c r="G4966" s="57">
        <f t="shared" si="80"/>
        <v>-7.7869900288542312E-3</v>
      </c>
      <c r="J4966" s="5" t="s">
        <v>2676</v>
      </c>
    </row>
    <row r="4967" spans="1:10" ht="38.25" x14ac:dyDescent="0.2">
      <c r="A4967" s="1" t="s">
        <v>8</v>
      </c>
      <c r="B4967" s="2" t="s">
        <v>350</v>
      </c>
      <c r="D4967" s="5" t="s">
        <v>522</v>
      </c>
      <c r="E4967" s="3">
        <v>100619</v>
      </c>
      <c r="F4967" s="3">
        <v>103851</v>
      </c>
      <c r="G4967" s="57">
        <f t="shared" si="80"/>
        <v>3.2121169957960223E-2</v>
      </c>
      <c r="J4967" s="5" t="s">
        <v>2677</v>
      </c>
    </row>
    <row r="4968" spans="1:10" ht="38.25" x14ac:dyDescent="0.2">
      <c r="A4968" s="1" t="s">
        <v>8</v>
      </c>
      <c r="B4968" s="2" t="s">
        <v>350</v>
      </c>
      <c r="D4968" s="5" t="s">
        <v>840</v>
      </c>
      <c r="E4968" s="3">
        <v>104944</v>
      </c>
      <c r="F4968" s="3">
        <v>108901</v>
      </c>
      <c r="G4968" s="57">
        <f t="shared" si="80"/>
        <v>3.7705824058545508E-2</v>
      </c>
      <c r="J4968" s="5" t="s">
        <v>2678</v>
      </c>
    </row>
    <row r="4969" spans="1:10" ht="38.25" x14ac:dyDescent="0.2">
      <c r="A4969" s="1" t="s">
        <v>8</v>
      </c>
      <c r="B4969" s="2" t="s">
        <v>350</v>
      </c>
      <c r="D4969" s="5" t="s">
        <v>841</v>
      </c>
      <c r="E4969" s="3">
        <v>105726</v>
      </c>
      <c r="F4969" s="3">
        <v>104724</v>
      </c>
      <c r="G4969" s="57">
        <f t="shared" si="80"/>
        <v>-9.4773281879575507E-3</v>
      </c>
      <c r="J4969" s="5" t="s">
        <v>2679</v>
      </c>
    </row>
    <row r="4970" spans="1:10" ht="38.25" x14ac:dyDescent="0.2">
      <c r="A4970" s="1" t="s">
        <v>8</v>
      </c>
      <c r="B4970" s="2" t="s">
        <v>350</v>
      </c>
      <c r="D4970" s="5" t="s">
        <v>740</v>
      </c>
      <c r="E4970" s="3">
        <v>93899</v>
      </c>
      <c r="F4970" s="3">
        <v>107379</v>
      </c>
      <c r="G4970" s="57">
        <f t="shared" si="80"/>
        <v>0.14355850435041906</v>
      </c>
      <c r="J4970" s="5" t="s">
        <v>2680</v>
      </c>
    </row>
    <row r="4971" spans="1:10" x14ac:dyDescent="0.2">
      <c r="A4971" s="1" t="s">
        <v>8</v>
      </c>
      <c r="B4971" s="2" t="s">
        <v>350</v>
      </c>
      <c r="D4971" s="5" t="s">
        <v>464</v>
      </c>
      <c r="G4971" s="57" t="str">
        <f t="shared" si="80"/>
        <v>-</v>
      </c>
      <c r="H4971" s="19">
        <v>97500</v>
      </c>
      <c r="I4971" s="19" t="s">
        <v>465</v>
      </c>
    </row>
    <row r="4972" spans="1:10" ht="51" x14ac:dyDescent="0.2">
      <c r="A4972" s="1" t="s">
        <v>4</v>
      </c>
      <c r="B4972" s="30" t="s">
        <v>4508</v>
      </c>
      <c r="D4972" s="5" t="s">
        <v>659</v>
      </c>
      <c r="E4972" s="3">
        <v>150805</v>
      </c>
      <c r="F4972" s="3">
        <v>151507</v>
      </c>
      <c r="G4972" s="57">
        <f t="shared" si="80"/>
        <v>4.6550180696926496E-3</v>
      </c>
      <c r="J4972" s="5" t="s">
        <v>4509</v>
      </c>
    </row>
    <row r="4973" spans="1:10" ht="38.25" x14ac:dyDescent="0.2">
      <c r="A4973" s="1" t="s">
        <v>4</v>
      </c>
      <c r="B4973" s="2" t="s">
        <v>351</v>
      </c>
      <c r="D4973" s="5" t="s">
        <v>660</v>
      </c>
      <c r="E4973" s="3">
        <v>121779</v>
      </c>
      <c r="F4973" s="3">
        <v>123213</v>
      </c>
      <c r="G4973" s="57">
        <f t="shared" si="80"/>
        <v>1.1775429261202671E-2</v>
      </c>
      <c r="J4973" s="5" t="s">
        <v>4510</v>
      </c>
    </row>
    <row r="4974" spans="1:10" x14ac:dyDescent="0.2">
      <c r="A4974" s="1" t="s">
        <v>4</v>
      </c>
      <c r="B4974" s="2" t="s">
        <v>351</v>
      </c>
      <c r="D4974" s="5" t="s">
        <v>464</v>
      </c>
      <c r="E4974" s="3">
        <v>152500</v>
      </c>
      <c r="F4974" s="3" t="s">
        <v>465</v>
      </c>
      <c r="G4974" s="57" t="str">
        <f t="shared" si="80"/>
        <v>-</v>
      </c>
    </row>
    <row r="4975" spans="1:10" ht="25.5" x14ac:dyDescent="0.2">
      <c r="A4975" s="1" t="s">
        <v>6</v>
      </c>
      <c r="B4975" s="2" t="s">
        <v>352</v>
      </c>
      <c r="D4975" s="5" t="s">
        <v>2670</v>
      </c>
      <c r="E4975" s="3" t="s">
        <v>465</v>
      </c>
      <c r="F4975" s="3">
        <v>113245</v>
      </c>
      <c r="G4975" s="57" t="str">
        <f t="shared" si="80"/>
        <v>-</v>
      </c>
      <c r="J4975" s="5" t="s">
        <v>2673</v>
      </c>
    </row>
    <row r="4976" spans="1:10" x14ac:dyDescent="0.2">
      <c r="A4976" s="1" t="s">
        <v>6</v>
      </c>
      <c r="B4976" s="2" t="s">
        <v>352</v>
      </c>
      <c r="D4976" s="5" t="s">
        <v>450</v>
      </c>
      <c r="E4976" s="3">
        <v>127721</v>
      </c>
      <c r="F4976" s="3" t="s">
        <v>465</v>
      </c>
      <c r="G4976" s="57" t="str">
        <f t="shared" si="80"/>
        <v>-</v>
      </c>
    </row>
    <row r="4977" spans="1:10" ht="25.5" x14ac:dyDescent="0.2">
      <c r="A4977" s="1" t="s">
        <v>6</v>
      </c>
      <c r="B4977" s="2" t="s">
        <v>352</v>
      </c>
      <c r="D4977" s="5" t="s">
        <v>2671</v>
      </c>
      <c r="E4977" s="3">
        <v>85762</v>
      </c>
      <c r="F4977" s="3">
        <v>108332</v>
      </c>
      <c r="G4977" s="57">
        <f t="shared" si="80"/>
        <v>0.26317016860614256</v>
      </c>
      <c r="J4977" s="5" t="s">
        <v>2674</v>
      </c>
    </row>
    <row r="4978" spans="1:10" ht="25.5" x14ac:dyDescent="0.2">
      <c r="A4978" s="1" t="s">
        <v>6</v>
      </c>
      <c r="B4978" s="2" t="s">
        <v>352</v>
      </c>
      <c r="D4978" s="5" t="s">
        <v>2672</v>
      </c>
      <c r="E4978" s="3">
        <v>86195</v>
      </c>
      <c r="F4978" s="3">
        <v>108067</v>
      </c>
      <c r="G4978" s="57">
        <f t="shared" si="80"/>
        <v>0.25375021753001914</v>
      </c>
      <c r="J4978" s="5" t="s">
        <v>2675</v>
      </c>
    </row>
    <row r="4979" spans="1:10" ht="38.25" x14ac:dyDescent="0.2">
      <c r="A4979" s="1" t="s">
        <v>34</v>
      </c>
      <c r="B4979" s="2" t="s">
        <v>353</v>
      </c>
      <c r="D4979" s="5" t="s">
        <v>838</v>
      </c>
      <c r="E4979" s="3">
        <v>116000</v>
      </c>
      <c r="F4979" s="3">
        <v>117000</v>
      </c>
      <c r="G4979" s="57">
        <f t="shared" si="80"/>
        <v>8.6206896551724137E-3</v>
      </c>
      <c r="J4979" s="5" t="s">
        <v>2667</v>
      </c>
    </row>
    <row r="4980" spans="1:10" ht="25.5" x14ac:dyDescent="0.2">
      <c r="A4980" s="1" t="s">
        <v>34</v>
      </c>
      <c r="B4980" s="2" t="s">
        <v>353</v>
      </c>
      <c r="D4980" s="5" t="s">
        <v>839</v>
      </c>
      <c r="E4980" s="3">
        <v>111000</v>
      </c>
      <c r="F4980" s="3">
        <v>114000</v>
      </c>
      <c r="G4980" s="57">
        <f t="shared" si="80"/>
        <v>2.7027027027027029E-2</v>
      </c>
      <c r="J4980" s="5" t="s">
        <v>2669</v>
      </c>
    </row>
    <row r="4981" spans="1:10" ht="25.5" x14ac:dyDescent="0.2">
      <c r="A4981" s="1" t="s">
        <v>34</v>
      </c>
      <c r="B4981" s="2" t="s">
        <v>353</v>
      </c>
      <c r="C4981" s="5" t="s">
        <v>2668</v>
      </c>
      <c r="D4981" s="5" t="s">
        <v>450</v>
      </c>
      <c r="E4981" s="3">
        <v>569000</v>
      </c>
      <c r="F4981" s="3" t="s">
        <v>465</v>
      </c>
      <c r="G4981" s="57" t="str">
        <f t="shared" si="80"/>
        <v>-</v>
      </c>
      <c r="J4981" s="5" t="s">
        <v>4462</v>
      </c>
    </row>
    <row r="4982" spans="1:10" x14ac:dyDescent="0.2">
      <c r="A4982" s="1" t="s">
        <v>34</v>
      </c>
      <c r="B4982" s="2" t="s">
        <v>353</v>
      </c>
      <c r="D4982" s="5" t="s">
        <v>464</v>
      </c>
      <c r="G4982" s="57" t="str">
        <f t="shared" si="80"/>
        <v>-</v>
      </c>
      <c r="H4982" s="19" t="s">
        <v>465</v>
      </c>
      <c r="I4982" s="19">
        <v>97500</v>
      </c>
      <c r="J4982" s="5" t="s">
        <v>539</v>
      </c>
    </row>
    <row r="4983" spans="1:10" x14ac:dyDescent="0.2">
      <c r="A4983" s="1" t="s">
        <v>34</v>
      </c>
      <c r="B4983" s="2" t="s">
        <v>353</v>
      </c>
      <c r="D4983" s="5" t="s">
        <v>464</v>
      </c>
      <c r="E4983" s="3">
        <v>162500</v>
      </c>
      <c r="F4983" s="3" t="s">
        <v>465</v>
      </c>
      <c r="G4983" s="57" t="str">
        <f t="shared" si="80"/>
        <v>-</v>
      </c>
      <c r="J4983" s="5" t="s">
        <v>539</v>
      </c>
    </row>
    <row r="4984" spans="1:10" x14ac:dyDescent="0.2">
      <c r="A4984" s="1" t="s">
        <v>34</v>
      </c>
      <c r="B4984" s="2" t="s">
        <v>353</v>
      </c>
      <c r="D4984" s="5" t="s">
        <v>464</v>
      </c>
      <c r="E4984" s="3">
        <v>177500</v>
      </c>
      <c r="F4984" s="3" t="s">
        <v>465</v>
      </c>
      <c r="G4984" s="57" t="str">
        <f t="shared" si="80"/>
        <v>-</v>
      </c>
      <c r="J4984" s="5" t="s">
        <v>539</v>
      </c>
    </row>
    <row r="4985" spans="1:10" ht="25.5" x14ac:dyDescent="0.2">
      <c r="A4985" s="1" t="s">
        <v>39</v>
      </c>
      <c r="B4985" s="2" t="s">
        <v>354</v>
      </c>
      <c r="D4985" s="5" t="s">
        <v>450</v>
      </c>
      <c r="E4985" s="3">
        <v>104831</v>
      </c>
      <c r="F4985" s="3">
        <v>111300</v>
      </c>
      <c r="G4985" s="57">
        <f t="shared" si="80"/>
        <v>6.1708845665881279E-2</v>
      </c>
      <c r="J4985" s="5" t="s">
        <v>2666</v>
      </c>
    </row>
    <row r="4986" spans="1:10" ht="38.25" x14ac:dyDescent="0.2">
      <c r="A4986" s="1" t="s">
        <v>111</v>
      </c>
      <c r="B4986" s="2" t="s">
        <v>355</v>
      </c>
      <c r="C4986" s="5" t="s">
        <v>830</v>
      </c>
      <c r="D4986" s="5" t="s">
        <v>450</v>
      </c>
      <c r="E4986" s="3">
        <v>34764</v>
      </c>
      <c r="F4986" s="3">
        <v>175457</v>
      </c>
      <c r="G4986" s="57">
        <f t="shared" si="80"/>
        <v>4.0470889425842822</v>
      </c>
      <c r="J4986" s="5" t="s">
        <v>2876</v>
      </c>
    </row>
    <row r="4987" spans="1:10" ht="25.5" x14ac:dyDescent="0.2">
      <c r="A4987" s="1" t="s">
        <v>111</v>
      </c>
      <c r="B4987" s="2" t="s">
        <v>355</v>
      </c>
      <c r="D4987" s="5" t="s">
        <v>451</v>
      </c>
      <c r="E4987" s="3">
        <v>68779</v>
      </c>
      <c r="F4987" s="3">
        <v>108782</v>
      </c>
      <c r="G4987" s="57">
        <f t="shared" si="80"/>
        <v>0.58161648177496039</v>
      </c>
      <c r="J4987" s="5" t="s">
        <v>2661</v>
      </c>
    </row>
    <row r="4988" spans="1:10" ht="25.5" x14ac:dyDescent="0.2">
      <c r="A4988" s="1" t="s">
        <v>111</v>
      </c>
      <c r="B4988" s="2" t="s">
        <v>355</v>
      </c>
      <c r="D4988" s="5" t="s">
        <v>831</v>
      </c>
      <c r="E4988" s="3" t="s">
        <v>465</v>
      </c>
      <c r="F4988" s="3">
        <v>137069</v>
      </c>
      <c r="G4988" s="57" t="str">
        <f t="shared" ref="G4988:G5051" si="81">IF(ISERROR((F4988-E4988)/E4988),"-",(F4988-E4988)/E4988)</f>
        <v>-</v>
      </c>
      <c r="J4988" s="5" t="s">
        <v>2655</v>
      </c>
    </row>
    <row r="4989" spans="1:10" x14ac:dyDescent="0.2">
      <c r="A4989" s="1" t="s">
        <v>111</v>
      </c>
      <c r="B4989" s="2" t="s">
        <v>355</v>
      </c>
      <c r="D4989" s="5" t="s">
        <v>2658</v>
      </c>
      <c r="E4989" s="3">
        <v>124485</v>
      </c>
      <c r="F4989" s="3" t="s">
        <v>465</v>
      </c>
      <c r="G4989" s="57" t="str">
        <f t="shared" si="81"/>
        <v>-</v>
      </c>
    </row>
    <row r="4990" spans="1:10" x14ac:dyDescent="0.2">
      <c r="A4990" s="1" t="s">
        <v>111</v>
      </c>
      <c r="B4990" s="2" t="s">
        <v>355</v>
      </c>
      <c r="D4990" s="5" t="s">
        <v>2659</v>
      </c>
      <c r="E4990" s="3">
        <v>121241</v>
      </c>
      <c r="F4990" s="3" t="s">
        <v>465</v>
      </c>
      <c r="G4990" s="57" t="str">
        <f t="shared" si="81"/>
        <v>-</v>
      </c>
    </row>
    <row r="4991" spans="1:10" ht="25.5" x14ac:dyDescent="0.2">
      <c r="A4991" s="1" t="s">
        <v>111</v>
      </c>
      <c r="B4991" s="2" t="s">
        <v>355</v>
      </c>
      <c r="D4991" s="5" t="s">
        <v>832</v>
      </c>
      <c r="E4991" s="3" t="s">
        <v>465</v>
      </c>
      <c r="F4991" s="3">
        <v>124597</v>
      </c>
      <c r="G4991" s="57" t="str">
        <f t="shared" si="81"/>
        <v>-</v>
      </c>
      <c r="J4991" s="5" t="s">
        <v>2656</v>
      </c>
    </row>
    <row r="4992" spans="1:10" ht="25.5" x14ac:dyDescent="0.2">
      <c r="A4992" s="1" t="s">
        <v>111</v>
      </c>
      <c r="B4992" s="2" t="s">
        <v>355</v>
      </c>
      <c r="D4992" s="5" t="s">
        <v>833</v>
      </c>
      <c r="E4992" s="3">
        <v>121199</v>
      </c>
      <c r="F4992" s="3">
        <v>151931</v>
      </c>
      <c r="G4992" s="57">
        <f t="shared" si="81"/>
        <v>0.25356644856805749</v>
      </c>
      <c r="J4992" s="5" t="s">
        <v>2657</v>
      </c>
    </row>
    <row r="4993" spans="1:10" x14ac:dyDescent="0.2">
      <c r="A4993" s="1" t="s">
        <v>111</v>
      </c>
      <c r="B4993" s="2" t="s">
        <v>355</v>
      </c>
      <c r="D4993" s="5" t="s">
        <v>834</v>
      </c>
      <c r="E4993" s="3">
        <v>109574</v>
      </c>
      <c r="F4993" s="3">
        <v>109747</v>
      </c>
      <c r="G4993" s="57">
        <f t="shared" si="81"/>
        <v>1.5788416960227792E-3</v>
      </c>
      <c r="J4993" s="5" t="s">
        <v>2664</v>
      </c>
    </row>
    <row r="4994" spans="1:10" ht="25.5" x14ac:dyDescent="0.2">
      <c r="A4994" s="1" t="s">
        <v>111</v>
      </c>
      <c r="B4994" s="2" t="s">
        <v>355</v>
      </c>
      <c r="D4994" s="5" t="s">
        <v>835</v>
      </c>
      <c r="E4994" s="3">
        <v>109380</v>
      </c>
      <c r="F4994" s="3">
        <v>110364</v>
      </c>
      <c r="G4994" s="57">
        <f t="shared" si="81"/>
        <v>8.9961601755348328E-3</v>
      </c>
      <c r="J4994" s="5" t="s">
        <v>2665</v>
      </c>
    </row>
    <row r="4995" spans="1:10" x14ac:dyDescent="0.2">
      <c r="A4995" s="1" t="s">
        <v>111</v>
      </c>
      <c r="B4995" s="2" t="s">
        <v>355</v>
      </c>
      <c r="D4995" s="5" t="s">
        <v>2660</v>
      </c>
      <c r="E4995" s="3">
        <v>119293</v>
      </c>
      <c r="F4995" s="3" t="s">
        <v>465</v>
      </c>
      <c r="G4995" s="57" t="str">
        <f t="shared" si="81"/>
        <v>-</v>
      </c>
    </row>
    <row r="4996" spans="1:10" x14ac:dyDescent="0.2">
      <c r="A4996" s="1" t="s">
        <v>111</v>
      </c>
      <c r="B4996" s="2" t="s">
        <v>355</v>
      </c>
      <c r="D4996" s="5" t="s">
        <v>2645</v>
      </c>
      <c r="E4996" s="3">
        <v>113596</v>
      </c>
      <c r="F4996" s="3" t="s">
        <v>465</v>
      </c>
      <c r="G4996" s="57" t="str">
        <f t="shared" si="81"/>
        <v>-</v>
      </c>
    </row>
    <row r="4997" spans="1:10" ht="25.5" x14ac:dyDescent="0.2">
      <c r="A4997" s="1" t="s">
        <v>111</v>
      </c>
      <c r="B4997" s="2" t="s">
        <v>355</v>
      </c>
      <c r="D4997" s="5" t="s">
        <v>836</v>
      </c>
      <c r="E4997" s="3">
        <v>97953</v>
      </c>
      <c r="F4997" s="3">
        <v>114077</v>
      </c>
      <c r="G4997" s="57">
        <f t="shared" si="81"/>
        <v>0.16460955764499299</v>
      </c>
      <c r="J4997" s="5" t="s">
        <v>2662</v>
      </c>
    </row>
    <row r="4998" spans="1:10" ht="25.5" x14ac:dyDescent="0.2">
      <c r="A4998" s="1" t="s">
        <v>111</v>
      </c>
      <c r="B4998" s="2" t="s">
        <v>355</v>
      </c>
      <c r="D4998" s="5" t="s">
        <v>837</v>
      </c>
      <c r="E4998" s="3">
        <v>97514</v>
      </c>
      <c r="F4998" s="3">
        <v>117891</v>
      </c>
      <c r="G4998" s="57">
        <f t="shared" si="81"/>
        <v>0.20896486658325983</v>
      </c>
      <c r="J4998" s="5" t="s">
        <v>2663</v>
      </c>
    </row>
    <row r="4999" spans="1:10" x14ac:dyDescent="0.2">
      <c r="A4999" s="1" t="s">
        <v>111</v>
      </c>
      <c r="B4999" s="2" t="s">
        <v>355</v>
      </c>
      <c r="D4999" s="5" t="s">
        <v>464</v>
      </c>
      <c r="G4999" s="57" t="str">
        <f t="shared" si="81"/>
        <v>-</v>
      </c>
      <c r="H4999" s="19">
        <v>92500</v>
      </c>
      <c r="I4999" s="19" t="s">
        <v>465</v>
      </c>
      <c r="J4999" s="5" t="s">
        <v>539</v>
      </c>
    </row>
    <row r="5000" spans="1:10" x14ac:dyDescent="0.2">
      <c r="A5000" s="1" t="s">
        <v>111</v>
      </c>
      <c r="B5000" s="2" t="s">
        <v>355</v>
      </c>
      <c r="D5000" s="5" t="s">
        <v>464</v>
      </c>
      <c r="G5000" s="57" t="str">
        <f t="shared" si="81"/>
        <v>-</v>
      </c>
      <c r="H5000" s="19" t="s">
        <v>465</v>
      </c>
      <c r="I5000" s="19">
        <v>92500</v>
      </c>
      <c r="J5000" s="5" t="s">
        <v>539</v>
      </c>
    </row>
    <row r="5001" spans="1:10" x14ac:dyDescent="0.2">
      <c r="A5001" s="1" t="s">
        <v>111</v>
      </c>
      <c r="B5001" s="2" t="s">
        <v>355</v>
      </c>
      <c r="D5001" s="5" t="s">
        <v>464</v>
      </c>
      <c r="G5001" s="57" t="str">
        <f t="shared" si="81"/>
        <v>-</v>
      </c>
      <c r="H5001" s="19" t="s">
        <v>465</v>
      </c>
      <c r="I5001" s="19">
        <v>92500</v>
      </c>
      <c r="J5001" s="5" t="s">
        <v>539</v>
      </c>
    </row>
    <row r="5002" spans="1:10" x14ac:dyDescent="0.2">
      <c r="A5002" s="1" t="s">
        <v>111</v>
      </c>
      <c r="B5002" s="2" t="s">
        <v>355</v>
      </c>
      <c r="D5002" s="5" t="s">
        <v>464</v>
      </c>
      <c r="G5002" s="57" t="str">
        <f t="shared" si="81"/>
        <v>-</v>
      </c>
      <c r="H5002" s="19">
        <v>97500</v>
      </c>
      <c r="I5002" s="19" t="s">
        <v>465</v>
      </c>
    </row>
    <row r="5003" spans="1:10" x14ac:dyDescent="0.2">
      <c r="A5003" s="1" t="s">
        <v>111</v>
      </c>
      <c r="B5003" s="2" t="s">
        <v>355</v>
      </c>
      <c r="D5003" s="5" t="s">
        <v>464</v>
      </c>
      <c r="E5003" s="3" t="s">
        <v>465</v>
      </c>
      <c r="F5003" s="3">
        <v>102500</v>
      </c>
      <c r="G5003" s="57" t="str">
        <f t="shared" si="81"/>
        <v>-</v>
      </c>
      <c r="J5003" s="5" t="s">
        <v>539</v>
      </c>
    </row>
    <row r="5004" spans="1:10" x14ac:dyDescent="0.2">
      <c r="A5004" s="1" t="s">
        <v>111</v>
      </c>
      <c r="B5004" s="2" t="s">
        <v>355</v>
      </c>
      <c r="D5004" s="5" t="s">
        <v>464</v>
      </c>
      <c r="E5004" s="3" t="s">
        <v>465</v>
      </c>
      <c r="F5004" s="3">
        <v>102500</v>
      </c>
      <c r="G5004" s="57" t="str">
        <f t="shared" si="81"/>
        <v>-</v>
      </c>
      <c r="J5004" s="5" t="s">
        <v>539</v>
      </c>
    </row>
    <row r="5005" spans="1:10" x14ac:dyDescent="0.2">
      <c r="A5005" s="1" t="s">
        <v>111</v>
      </c>
      <c r="B5005" s="2" t="s">
        <v>355</v>
      </c>
      <c r="D5005" s="5" t="s">
        <v>464</v>
      </c>
      <c r="E5005" s="3" t="s">
        <v>465</v>
      </c>
      <c r="F5005" s="3">
        <v>102500</v>
      </c>
      <c r="G5005" s="57" t="str">
        <f t="shared" si="81"/>
        <v>-</v>
      </c>
      <c r="J5005" s="5" t="s">
        <v>539</v>
      </c>
    </row>
    <row r="5006" spans="1:10" x14ac:dyDescent="0.2">
      <c r="A5006" s="1" t="s">
        <v>111</v>
      </c>
      <c r="B5006" s="2" t="s">
        <v>355</v>
      </c>
      <c r="D5006" s="5" t="s">
        <v>464</v>
      </c>
      <c r="E5006" s="3">
        <v>112500</v>
      </c>
      <c r="F5006" s="3" t="s">
        <v>465</v>
      </c>
      <c r="G5006" s="57" t="str">
        <f t="shared" si="81"/>
        <v>-</v>
      </c>
      <c r="J5006" s="5" t="s">
        <v>539</v>
      </c>
    </row>
    <row r="5007" spans="1:10" ht="38.25" x14ac:dyDescent="0.2">
      <c r="A5007" s="1" t="s">
        <v>4</v>
      </c>
      <c r="B5007" s="2" t="s">
        <v>356</v>
      </c>
      <c r="C5007" s="5" t="s">
        <v>820</v>
      </c>
      <c r="D5007" s="5" t="s">
        <v>450</v>
      </c>
      <c r="E5007" s="3">
        <v>205920</v>
      </c>
      <c r="F5007" s="3">
        <v>140725</v>
      </c>
      <c r="G5007" s="57">
        <f t="shared" si="81"/>
        <v>-0.31660353535353536</v>
      </c>
      <c r="J5007" s="5" t="s">
        <v>2647</v>
      </c>
    </row>
    <row r="5008" spans="1:10" ht="38.25" x14ac:dyDescent="0.2">
      <c r="A5008" s="1" t="s">
        <v>4</v>
      </c>
      <c r="B5008" s="2" t="s">
        <v>356</v>
      </c>
      <c r="C5008" s="5" t="s">
        <v>2643</v>
      </c>
      <c r="D5008" s="5" t="s">
        <v>2642</v>
      </c>
      <c r="E5008" s="3">
        <v>109732</v>
      </c>
      <c r="F5008" s="3">
        <v>62795</v>
      </c>
      <c r="G5008" s="57">
        <f t="shared" si="81"/>
        <v>-0.42774213538439104</v>
      </c>
      <c r="J5008" s="5" t="s">
        <v>2648</v>
      </c>
    </row>
    <row r="5009" spans="1:10" ht="25.5" x14ac:dyDescent="0.2">
      <c r="A5009" s="1" t="s">
        <v>4</v>
      </c>
      <c r="B5009" s="2" t="s">
        <v>356</v>
      </c>
      <c r="C5009" s="5" t="s">
        <v>821</v>
      </c>
      <c r="D5009" s="5" t="s">
        <v>822</v>
      </c>
      <c r="E5009" s="3">
        <v>105390</v>
      </c>
      <c r="F5009" s="3">
        <v>131999</v>
      </c>
      <c r="G5009" s="57">
        <f t="shared" si="81"/>
        <v>0.25248126008160166</v>
      </c>
      <c r="J5009" s="5" t="s">
        <v>2649</v>
      </c>
    </row>
    <row r="5010" spans="1:10" ht="25.5" x14ac:dyDescent="0.2">
      <c r="A5010" s="1" t="s">
        <v>4</v>
      </c>
      <c r="B5010" s="2" t="s">
        <v>356</v>
      </c>
      <c r="C5010" s="5" t="s">
        <v>823</v>
      </c>
      <c r="D5010" s="5" t="s">
        <v>613</v>
      </c>
      <c r="E5010" s="3">
        <v>123341</v>
      </c>
      <c r="F5010" s="3">
        <v>137189</v>
      </c>
      <c r="G5010" s="57">
        <f t="shared" si="81"/>
        <v>0.1122741018801534</v>
      </c>
      <c r="J5010" s="5" t="s">
        <v>4686</v>
      </c>
    </row>
    <row r="5011" spans="1:10" ht="38.25" x14ac:dyDescent="0.2">
      <c r="A5011" s="1" t="s">
        <v>4</v>
      </c>
      <c r="B5011" s="2" t="s">
        <v>356</v>
      </c>
      <c r="C5011" s="5" t="s">
        <v>824</v>
      </c>
      <c r="D5011" s="5" t="s">
        <v>825</v>
      </c>
      <c r="E5011" s="3">
        <v>149481</v>
      </c>
      <c r="F5011" s="3">
        <v>153471</v>
      </c>
      <c r="G5011" s="57">
        <f t="shared" si="81"/>
        <v>2.6692355550203706E-2</v>
      </c>
      <c r="J5011" s="5" t="s">
        <v>2650</v>
      </c>
    </row>
    <row r="5012" spans="1:10" ht="25.5" x14ac:dyDescent="0.2">
      <c r="A5012" s="1" t="s">
        <v>4</v>
      </c>
      <c r="B5012" s="2" t="s">
        <v>356</v>
      </c>
      <c r="C5012" s="5" t="s">
        <v>826</v>
      </c>
      <c r="D5012" s="5" t="s">
        <v>2644</v>
      </c>
      <c r="E5012" s="3" t="s">
        <v>465</v>
      </c>
      <c r="F5012" s="3">
        <v>138941</v>
      </c>
      <c r="G5012" s="57" t="str">
        <f t="shared" si="81"/>
        <v>-</v>
      </c>
      <c r="J5012" s="5" t="s">
        <v>2651</v>
      </c>
    </row>
    <row r="5013" spans="1:10" ht="25.5" x14ac:dyDescent="0.2">
      <c r="A5013" s="1" t="s">
        <v>4</v>
      </c>
      <c r="B5013" s="2" t="s">
        <v>356</v>
      </c>
      <c r="C5013" s="5" t="s">
        <v>827</v>
      </c>
      <c r="D5013" s="5" t="s">
        <v>4687</v>
      </c>
      <c r="E5013" s="3">
        <v>143604</v>
      </c>
      <c r="F5013" s="3">
        <v>148239</v>
      </c>
      <c r="G5013" s="57">
        <f t="shared" si="81"/>
        <v>3.2276259714214085E-2</v>
      </c>
      <c r="J5013" s="5" t="s">
        <v>2652</v>
      </c>
    </row>
    <row r="5014" spans="1:10" ht="25.5" x14ac:dyDescent="0.2">
      <c r="A5014" s="1" t="s">
        <v>4</v>
      </c>
      <c r="B5014" s="2" t="s">
        <v>356</v>
      </c>
      <c r="C5014" s="5" t="s">
        <v>828</v>
      </c>
      <c r="D5014" s="5" t="s">
        <v>829</v>
      </c>
      <c r="E5014" s="3">
        <v>142512</v>
      </c>
      <c r="F5014" s="3">
        <v>147324</v>
      </c>
      <c r="G5014" s="57">
        <f t="shared" si="81"/>
        <v>3.3765577635567534E-2</v>
      </c>
      <c r="J5014" s="5" t="s">
        <v>2653</v>
      </c>
    </row>
    <row r="5015" spans="1:10" ht="25.5" x14ac:dyDescent="0.2">
      <c r="A5015" s="1" t="s">
        <v>4</v>
      </c>
      <c r="B5015" s="2" t="s">
        <v>356</v>
      </c>
      <c r="C5015" s="5" t="s">
        <v>1470</v>
      </c>
      <c r="D5015" s="5" t="s">
        <v>886</v>
      </c>
      <c r="E5015" s="3">
        <v>156012</v>
      </c>
      <c r="F5015" s="3">
        <v>58872</v>
      </c>
      <c r="G5015" s="57">
        <f t="shared" si="81"/>
        <v>-0.62264441196831011</v>
      </c>
      <c r="J5015" s="5" t="s">
        <v>2654</v>
      </c>
    </row>
    <row r="5016" spans="1:10" x14ac:dyDescent="0.2">
      <c r="A5016" s="1" t="s">
        <v>4</v>
      </c>
      <c r="B5016" s="2" t="s">
        <v>356</v>
      </c>
      <c r="D5016" s="5" t="s">
        <v>2645</v>
      </c>
      <c r="E5016" s="3">
        <v>108538</v>
      </c>
      <c r="G5016" s="57">
        <f t="shared" si="81"/>
        <v>-1</v>
      </c>
      <c r="J5016" s="5" t="s">
        <v>2646</v>
      </c>
    </row>
    <row r="5017" spans="1:10" x14ac:dyDescent="0.2">
      <c r="A5017" s="1" t="s">
        <v>4</v>
      </c>
      <c r="B5017" s="2" t="s">
        <v>356</v>
      </c>
      <c r="D5017" s="5" t="s">
        <v>464</v>
      </c>
      <c r="G5017" s="57" t="str">
        <f t="shared" si="81"/>
        <v>-</v>
      </c>
      <c r="H5017" s="19">
        <v>92500</v>
      </c>
      <c r="I5017" s="19" t="s">
        <v>465</v>
      </c>
    </row>
    <row r="5018" spans="1:10" x14ac:dyDescent="0.2">
      <c r="A5018" s="1" t="s">
        <v>4</v>
      </c>
      <c r="B5018" s="2" t="s">
        <v>356</v>
      </c>
      <c r="D5018" s="5" t="s">
        <v>464</v>
      </c>
      <c r="G5018" s="57" t="str">
        <f t="shared" si="81"/>
        <v>-</v>
      </c>
      <c r="H5018" s="19" t="s">
        <v>465</v>
      </c>
      <c r="I5018" s="19">
        <v>92500</v>
      </c>
    </row>
    <row r="5019" spans="1:10" x14ac:dyDescent="0.2">
      <c r="A5019" s="1" t="s">
        <v>4</v>
      </c>
      <c r="B5019" s="2" t="s">
        <v>356</v>
      </c>
      <c r="D5019" s="5" t="s">
        <v>464</v>
      </c>
      <c r="G5019" s="57" t="str">
        <f t="shared" si="81"/>
        <v>-</v>
      </c>
      <c r="H5019" s="19" t="s">
        <v>465</v>
      </c>
      <c r="I5019" s="19">
        <v>92500</v>
      </c>
    </row>
    <row r="5020" spans="1:10" x14ac:dyDescent="0.2">
      <c r="A5020" s="1" t="s">
        <v>4</v>
      </c>
      <c r="B5020" s="2" t="s">
        <v>356</v>
      </c>
      <c r="D5020" s="5" t="s">
        <v>464</v>
      </c>
      <c r="G5020" s="57" t="str">
        <f t="shared" si="81"/>
        <v>-</v>
      </c>
      <c r="H5020" s="19">
        <v>97500</v>
      </c>
      <c r="I5020" s="19" t="s">
        <v>465</v>
      </c>
    </row>
    <row r="5021" spans="1:10" x14ac:dyDescent="0.2">
      <c r="A5021" s="1" t="s">
        <v>4</v>
      </c>
      <c r="B5021" s="2" t="s">
        <v>356</v>
      </c>
      <c r="D5021" s="5" t="s">
        <v>464</v>
      </c>
      <c r="G5021" s="57" t="str">
        <f t="shared" si="81"/>
        <v>-</v>
      </c>
      <c r="H5021" s="19" t="s">
        <v>465</v>
      </c>
      <c r="I5021" s="19">
        <v>97500</v>
      </c>
    </row>
    <row r="5022" spans="1:10" x14ac:dyDescent="0.2">
      <c r="A5022" s="1" t="s">
        <v>4</v>
      </c>
      <c r="B5022" s="2" t="s">
        <v>356</v>
      </c>
      <c r="D5022" s="5" t="s">
        <v>464</v>
      </c>
      <c r="E5022" s="3" t="s">
        <v>465</v>
      </c>
      <c r="F5022" s="3">
        <v>102500</v>
      </c>
      <c r="G5022" s="57" t="str">
        <f t="shared" si="81"/>
        <v>-</v>
      </c>
    </row>
    <row r="5023" spans="1:10" x14ac:dyDescent="0.2">
      <c r="A5023" s="1" t="s">
        <v>4</v>
      </c>
      <c r="B5023" s="2" t="s">
        <v>356</v>
      </c>
      <c r="D5023" s="5" t="s">
        <v>464</v>
      </c>
      <c r="E5023" s="3" t="s">
        <v>465</v>
      </c>
      <c r="F5023" s="3">
        <v>107500</v>
      </c>
      <c r="G5023" s="57" t="str">
        <f t="shared" si="81"/>
        <v>-</v>
      </c>
    </row>
    <row r="5024" spans="1:10" x14ac:dyDescent="0.2">
      <c r="A5024" s="1" t="s">
        <v>4</v>
      </c>
      <c r="B5024" s="2" t="s">
        <v>356</v>
      </c>
      <c r="D5024" s="5" t="s">
        <v>464</v>
      </c>
      <c r="E5024" s="3" t="s">
        <v>465</v>
      </c>
      <c r="F5024" s="3">
        <v>107500</v>
      </c>
      <c r="G5024" s="57" t="str">
        <f t="shared" si="81"/>
        <v>-</v>
      </c>
    </row>
    <row r="5025" spans="1:12" x14ac:dyDescent="0.2">
      <c r="A5025" s="1" t="s">
        <v>4</v>
      </c>
      <c r="B5025" s="2" t="s">
        <v>356</v>
      </c>
      <c r="D5025" s="5" t="s">
        <v>464</v>
      </c>
      <c r="E5025" s="3" t="s">
        <v>465</v>
      </c>
      <c r="F5025" s="3">
        <v>107500</v>
      </c>
      <c r="G5025" s="57" t="str">
        <f t="shared" si="81"/>
        <v>-</v>
      </c>
      <c r="L5025" s="5"/>
    </row>
    <row r="5026" spans="1:12" x14ac:dyDescent="0.2">
      <c r="A5026" s="1" t="s">
        <v>4</v>
      </c>
      <c r="B5026" s="2" t="s">
        <v>356</v>
      </c>
      <c r="D5026" s="5" t="s">
        <v>464</v>
      </c>
      <c r="E5026" s="3" t="s">
        <v>465</v>
      </c>
      <c r="F5026" s="3">
        <v>112500</v>
      </c>
      <c r="G5026" s="57" t="str">
        <f t="shared" si="81"/>
        <v>-</v>
      </c>
    </row>
    <row r="5027" spans="1:12" x14ac:dyDescent="0.2">
      <c r="A5027" s="1" t="s">
        <v>4</v>
      </c>
      <c r="B5027" s="2" t="s">
        <v>356</v>
      </c>
      <c r="D5027" s="5" t="s">
        <v>464</v>
      </c>
      <c r="E5027" s="3">
        <v>157500</v>
      </c>
      <c r="F5027" s="3" t="s">
        <v>465</v>
      </c>
      <c r="G5027" s="57" t="str">
        <f t="shared" si="81"/>
        <v>-</v>
      </c>
    </row>
    <row r="5028" spans="1:12" ht="38.25" x14ac:dyDescent="0.2">
      <c r="A5028" s="1" t="s">
        <v>20</v>
      </c>
      <c r="B5028" s="2" t="s">
        <v>357</v>
      </c>
      <c r="C5028" s="5" t="s">
        <v>807</v>
      </c>
      <c r="D5028" s="15" t="s">
        <v>450</v>
      </c>
      <c r="E5028" s="9">
        <v>184209</v>
      </c>
      <c r="F5028" s="9">
        <v>171012</v>
      </c>
      <c r="G5028" s="57">
        <f t="shared" si="81"/>
        <v>-7.164145074344902E-2</v>
      </c>
      <c r="J5028" s="5" t="s">
        <v>4688</v>
      </c>
    </row>
    <row r="5029" spans="1:12" ht="38.25" x14ac:dyDescent="0.2">
      <c r="A5029" s="1" t="s">
        <v>20</v>
      </c>
      <c r="B5029" s="2" t="s">
        <v>357</v>
      </c>
      <c r="C5029" s="5" t="s">
        <v>808</v>
      </c>
      <c r="D5029" s="15" t="s">
        <v>809</v>
      </c>
      <c r="E5029" s="9">
        <v>136005</v>
      </c>
      <c r="F5029" s="9">
        <v>131520</v>
      </c>
      <c r="G5029" s="57">
        <f t="shared" si="81"/>
        <v>-3.2976728796735418E-2</v>
      </c>
      <c r="J5029" s="5" t="s">
        <v>2877</v>
      </c>
    </row>
    <row r="5030" spans="1:12" ht="38.25" x14ac:dyDescent="0.2">
      <c r="A5030" s="1" t="s">
        <v>20</v>
      </c>
      <c r="B5030" s="2" t="s">
        <v>357</v>
      </c>
      <c r="C5030" s="5" t="s">
        <v>810</v>
      </c>
      <c r="D5030" s="15" t="s">
        <v>811</v>
      </c>
      <c r="E5030" s="9">
        <v>137149</v>
      </c>
      <c r="F5030" s="9">
        <v>135822</v>
      </c>
      <c r="G5030" s="57">
        <f t="shared" si="81"/>
        <v>-9.6756082800457891E-3</v>
      </c>
      <c r="J5030" s="5" t="s">
        <v>4689</v>
      </c>
    </row>
    <row r="5031" spans="1:12" ht="25.5" x14ac:dyDescent="0.2">
      <c r="A5031" s="1" t="s">
        <v>20</v>
      </c>
      <c r="B5031" s="2" t="s">
        <v>357</v>
      </c>
      <c r="C5031" s="5" t="s">
        <v>812</v>
      </c>
      <c r="D5031" s="15" t="s">
        <v>813</v>
      </c>
      <c r="E5031" s="9">
        <v>140157</v>
      </c>
      <c r="F5031" s="9">
        <v>131521</v>
      </c>
      <c r="G5031" s="57">
        <f t="shared" si="81"/>
        <v>-6.1616615652446902E-2</v>
      </c>
      <c r="J5031" s="5" t="s">
        <v>2640</v>
      </c>
    </row>
    <row r="5032" spans="1:12" ht="25.5" x14ac:dyDescent="0.2">
      <c r="A5032" s="1" t="s">
        <v>20</v>
      </c>
      <c r="B5032" s="2" t="s">
        <v>357</v>
      </c>
      <c r="C5032" s="5" t="s">
        <v>814</v>
      </c>
      <c r="D5032" s="15" t="s">
        <v>815</v>
      </c>
      <c r="E5032" s="9">
        <v>126135</v>
      </c>
      <c r="F5032" s="9">
        <v>127453</v>
      </c>
      <c r="G5032" s="57">
        <f t="shared" si="81"/>
        <v>1.0449121972489792E-2</v>
      </c>
      <c r="J5032" s="5" t="s">
        <v>4690</v>
      </c>
    </row>
    <row r="5033" spans="1:12" ht="76.5" x14ac:dyDescent="0.2">
      <c r="A5033" s="1" t="s">
        <v>20</v>
      </c>
      <c r="B5033" s="2" t="s">
        <v>357</v>
      </c>
      <c r="C5033" s="5" t="s">
        <v>2636</v>
      </c>
      <c r="D5033" s="15" t="s">
        <v>4463</v>
      </c>
      <c r="E5033" s="9">
        <v>102255</v>
      </c>
      <c r="F5033" s="9">
        <f>96295+9550</f>
        <v>105845</v>
      </c>
      <c r="G5033" s="57">
        <f t="shared" si="81"/>
        <v>3.5108307662217009E-2</v>
      </c>
      <c r="J5033" s="5" t="s">
        <v>4691</v>
      </c>
    </row>
    <row r="5034" spans="1:12" ht="25.5" x14ac:dyDescent="0.2">
      <c r="A5034" s="1" t="s">
        <v>20</v>
      </c>
      <c r="B5034" s="2" t="s">
        <v>357</v>
      </c>
      <c r="C5034" s="5" t="s">
        <v>2637</v>
      </c>
      <c r="D5034" s="15" t="s">
        <v>2638</v>
      </c>
      <c r="E5034" s="9">
        <v>100620</v>
      </c>
      <c r="F5034" s="9">
        <v>98223</v>
      </c>
      <c r="G5034" s="57">
        <f t="shared" si="81"/>
        <v>-2.3822301729278475E-2</v>
      </c>
      <c r="J5034" s="5" t="s">
        <v>2641</v>
      </c>
    </row>
    <row r="5035" spans="1:12" ht="25.5" x14ac:dyDescent="0.2">
      <c r="A5035" s="1" t="s">
        <v>20</v>
      </c>
      <c r="B5035" s="2" t="s">
        <v>357</v>
      </c>
      <c r="C5035" s="5" t="s">
        <v>2639</v>
      </c>
      <c r="D5035" s="15" t="s">
        <v>4692</v>
      </c>
      <c r="E5035" s="9">
        <v>110534</v>
      </c>
      <c r="F5035" s="9">
        <v>31344</v>
      </c>
      <c r="G5035" s="57">
        <f t="shared" si="81"/>
        <v>-0.71643114335860458</v>
      </c>
      <c r="J5035" s="5" t="s">
        <v>4464</v>
      </c>
    </row>
    <row r="5036" spans="1:12" ht="25.5" x14ac:dyDescent="0.2">
      <c r="A5036" s="1" t="s">
        <v>20</v>
      </c>
      <c r="B5036" s="2" t="s">
        <v>357</v>
      </c>
      <c r="C5036" s="5" t="s">
        <v>816</v>
      </c>
      <c r="D5036" s="15" t="s">
        <v>817</v>
      </c>
      <c r="E5036" s="9">
        <v>101382</v>
      </c>
      <c r="F5036" s="9">
        <v>100694</v>
      </c>
      <c r="G5036" s="57">
        <f t="shared" si="81"/>
        <v>-6.7862145153972106E-3</v>
      </c>
      <c r="J5036" s="5" t="s">
        <v>4693</v>
      </c>
    </row>
    <row r="5037" spans="1:12" ht="25.5" x14ac:dyDescent="0.2">
      <c r="A5037" s="1" t="s">
        <v>20</v>
      </c>
      <c r="B5037" s="2" t="s">
        <v>357</v>
      </c>
      <c r="C5037" s="5" t="s">
        <v>818</v>
      </c>
      <c r="D5037" s="15" t="s">
        <v>819</v>
      </c>
      <c r="E5037" s="9">
        <v>122630</v>
      </c>
      <c r="F5037" s="9">
        <v>117174</v>
      </c>
      <c r="G5037" s="57">
        <f t="shared" si="81"/>
        <v>-4.449155997716709E-2</v>
      </c>
      <c r="J5037" s="5" t="s">
        <v>4694</v>
      </c>
    </row>
    <row r="5038" spans="1:12" x14ac:dyDescent="0.2">
      <c r="A5038" s="1" t="s">
        <v>20</v>
      </c>
      <c r="B5038" s="2" t="s">
        <v>357</v>
      </c>
      <c r="D5038" s="15" t="s">
        <v>464</v>
      </c>
      <c r="E5038" s="9"/>
      <c r="F5038" s="9"/>
      <c r="G5038" s="57" t="str">
        <f t="shared" si="81"/>
        <v>-</v>
      </c>
      <c r="H5038" s="19">
        <v>92500</v>
      </c>
      <c r="I5038" s="19" t="s">
        <v>465</v>
      </c>
    </row>
    <row r="5039" spans="1:12" x14ac:dyDescent="0.2">
      <c r="A5039" s="1" t="s">
        <v>20</v>
      </c>
      <c r="B5039" s="2" t="s">
        <v>357</v>
      </c>
      <c r="D5039" s="5" t="s">
        <v>464</v>
      </c>
      <c r="G5039" s="57" t="str">
        <f t="shared" si="81"/>
        <v>-</v>
      </c>
      <c r="H5039" s="19">
        <v>92500</v>
      </c>
      <c r="I5039" s="19" t="s">
        <v>465</v>
      </c>
    </row>
    <row r="5040" spans="1:12" x14ac:dyDescent="0.2">
      <c r="A5040" s="1" t="s">
        <v>20</v>
      </c>
      <c r="B5040" s="2" t="s">
        <v>357</v>
      </c>
      <c r="D5040" s="5" t="s">
        <v>464</v>
      </c>
      <c r="G5040" s="57" t="str">
        <f t="shared" si="81"/>
        <v>-</v>
      </c>
      <c r="H5040" s="19" t="s">
        <v>465</v>
      </c>
      <c r="I5040" s="19">
        <v>97500</v>
      </c>
    </row>
    <row r="5041" spans="1:10" x14ac:dyDescent="0.2">
      <c r="A5041" s="1" t="s">
        <v>25</v>
      </c>
      <c r="B5041" s="2" t="s">
        <v>358</v>
      </c>
      <c r="C5041" s="5" t="s">
        <v>797</v>
      </c>
      <c r="D5041" s="5" t="s">
        <v>450</v>
      </c>
      <c r="E5041" s="9">
        <v>224736</v>
      </c>
      <c r="F5041" s="9">
        <v>195510</v>
      </c>
      <c r="G5041" s="57">
        <f t="shared" si="81"/>
        <v>-0.13004592054677488</v>
      </c>
      <c r="J5041" s="5" t="s">
        <v>2629</v>
      </c>
    </row>
    <row r="5042" spans="1:10" x14ac:dyDescent="0.2">
      <c r="A5042" s="1" t="s">
        <v>25</v>
      </c>
      <c r="B5042" s="2" t="s">
        <v>358</v>
      </c>
      <c r="C5042" s="5" t="s">
        <v>798</v>
      </c>
      <c r="D5042" s="5" t="s">
        <v>455</v>
      </c>
      <c r="E5042" s="9">
        <f>154969+22506</f>
        <v>177475</v>
      </c>
      <c r="F5042" s="9">
        <f>173787+24783</f>
        <v>198570</v>
      </c>
      <c r="G5042" s="57">
        <f t="shared" si="81"/>
        <v>0.11886181152274969</v>
      </c>
      <c r="J5042" s="5" t="s">
        <v>2630</v>
      </c>
    </row>
    <row r="5043" spans="1:10" ht="25.5" x14ac:dyDescent="0.2">
      <c r="A5043" s="1" t="s">
        <v>25</v>
      </c>
      <c r="B5043" s="2" t="s">
        <v>358</v>
      </c>
      <c r="C5043" s="5" t="s">
        <v>799</v>
      </c>
      <c r="D5043" s="5" t="s">
        <v>800</v>
      </c>
      <c r="E5043" s="9">
        <f>153380+21475</f>
        <v>174855</v>
      </c>
      <c r="F5043" s="9">
        <f>160383+20894</f>
        <v>181277</v>
      </c>
      <c r="G5043" s="57">
        <f t="shared" si="81"/>
        <v>3.6727574275828546E-2</v>
      </c>
      <c r="J5043" s="5" t="s">
        <v>2631</v>
      </c>
    </row>
    <row r="5044" spans="1:10" x14ac:dyDescent="0.2">
      <c r="A5044" s="1" t="s">
        <v>25</v>
      </c>
      <c r="B5044" s="2" t="s">
        <v>358</v>
      </c>
      <c r="C5044" s="5" t="s">
        <v>801</v>
      </c>
      <c r="D5044" s="5" t="s">
        <v>802</v>
      </c>
      <c r="E5044" s="9">
        <f>161607+22674</f>
        <v>184281</v>
      </c>
      <c r="F5044" s="9">
        <f>155755+22169</f>
        <v>177924</v>
      </c>
      <c r="G5044" s="57">
        <f t="shared" si="81"/>
        <v>-3.4496231298940208E-2</v>
      </c>
      <c r="J5044" s="5" t="s">
        <v>2632</v>
      </c>
    </row>
    <row r="5045" spans="1:10" ht="25.5" x14ac:dyDescent="0.2">
      <c r="A5045" s="1" t="s">
        <v>25</v>
      </c>
      <c r="B5045" s="2" t="s">
        <v>358</v>
      </c>
      <c r="C5045" s="5" t="s">
        <v>803</v>
      </c>
      <c r="D5045" s="5" t="s">
        <v>2628</v>
      </c>
      <c r="E5045" s="9">
        <f>137023+19215</f>
        <v>156238</v>
      </c>
      <c r="F5045" s="9">
        <f>150694+21034</f>
        <v>171728</v>
      </c>
      <c r="G5045" s="57">
        <f t="shared" si="81"/>
        <v>9.9143614229572838E-2</v>
      </c>
      <c r="J5045" s="5" t="s">
        <v>2633</v>
      </c>
    </row>
    <row r="5046" spans="1:10" x14ac:dyDescent="0.2">
      <c r="A5046" s="1" t="s">
        <v>25</v>
      </c>
      <c r="B5046" s="2" t="s">
        <v>358</v>
      </c>
      <c r="C5046" s="5" t="s">
        <v>804</v>
      </c>
      <c r="D5046" s="5" t="s">
        <v>517</v>
      </c>
      <c r="E5046" s="9">
        <f>159535+23161</f>
        <v>182696</v>
      </c>
      <c r="F5046" s="9">
        <f>145310+21057</f>
        <v>166367</v>
      </c>
      <c r="G5046" s="57">
        <f t="shared" si="81"/>
        <v>-8.9377983097604766E-2</v>
      </c>
      <c r="J5046" s="5" t="s">
        <v>2634</v>
      </c>
    </row>
    <row r="5047" spans="1:10" x14ac:dyDescent="0.2">
      <c r="A5047" s="1" t="s">
        <v>25</v>
      </c>
      <c r="B5047" s="2" t="s">
        <v>358</v>
      </c>
      <c r="C5047" s="5" t="s">
        <v>805</v>
      </c>
      <c r="D5047" s="5" t="s">
        <v>806</v>
      </c>
      <c r="E5047" s="9">
        <f>140271+19573</f>
        <v>159844</v>
      </c>
      <c r="F5047" s="9">
        <f>143744+20026</f>
        <v>163770</v>
      </c>
      <c r="G5047" s="57">
        <f t="shared" si="81"/>
        <v>2.4561447411225946E-2</v>
      </c>
      <c r="J5047" s="5" t="s">
        <v>2635</v>
      </c>
    </row>
    <row r="5048" spans="1:10" ht="38.25" x14ac:dyDescent="0.2">
      <c r="A5048" s="1" t="s">
        <v>25</v>
      </c>
      <c r="B5048" s="2" t="s">
        <v>358</v>
      </c>
      <c r="D5048" s="5" t="s">
        <v>464</v>
      </c>
      <c r="G5048" s="57" t="str">
        <f t="shared" si="81"/>
        <v>-</v>
      </c>
      <c r="H5048" s="19" t="s">
        <v>465</v>
      </c>
      <c r="I5048" s="19">
        <v>92500</v>
      </c>
      <c r="J5048" s="5" t="s">
        <v>4695</v>
      </c>
    </row>
    <row r="5049" spans="1:10" x14ac:dyDescent="0.2">
      <c r="A5049" s="1" t="s">
        <v>25</v>
      </c>
      <c r="B5049" s="2" t="s">
        <v>358</v>
      </c>
      <c r="D5049" s="5" t="s">
        <v>464</v>
      </c>
      <c r="G5049" s="57" t="str">
        <f t="shared" si="81"/>
        <v>-</v>
      </c>
      <c r="H5049" s="19" t="s">
        <v>465</v>
      </c>
      <c r="I5049" s="19">
        <v>92500</v>
      </c>
    </row>
    <row r="5050" spans="1:10" x14ac:dyDescent="0.2">
      <c r="A5050" s="1" t="s">
        <v>25</v>
      </c>
      <c r="B5050" s="2" t="s">
        <v>358</v>
      </c>
      <c r="D5050" s="5" t="s">
        <v>464</v>
      </c>
      <c r="G5050" s="57" t="str">
        <f t="shared" si="81"/>
        <v>-</v>
      </c>
      <c r="H5050" s="19" t="s">
        <v>465</v>
      </c>
      <c r="I5050" s="19">
        <v>92500</v>
      </c>
    </row>
    <row r="5051" spans="1:10" x14ac:dyDescent="0.2">
      <c r="A5051" s="1" t="s">
        <v>25</v>
      </c>
      <c r="B5051" s="2" t="s">
        <v>358</v>
      </c>
      <c r="D5051" s="5" t="s">
        <v>464</v>
      </c>
      <c r="G5051" s="57" t="str">
        <f t="shared" si="81"/>
        <v>-</v>
      </c>
      <c r="H5051" s="19" t="s">
        <v>465</v>
      </c>
      <c r="I5051" s="19">
        <v>92500</v>
      </c>
    </row>
    <row r="5052" spans="1:10" x14ac:dyDescent="0.2">
      <c r="A5052" s="1" t="s">
        <v>25</v>
      </c>
      <c r="B5052" s="2" t="s">
        <v>358</v>
      </c>
      <c r="D5052" s="5" t="s">
        <v>464</v>
      </c>
      <c r="G5052" s="57" t="str">
        <f t="shared" ref="G5052:G5115" si="82">IF(ISERROR((F5052-E5052)/E5052),"-",(F5052-E5052)/E5052)</f>
        <v>-</v>
      </c>
      <c r="H5052" s="19" t="s">
        <v>465</v>
      </c>
      <c r="I5052" s="19">
        <v>97500</v>
      </c>
    </row>
    <row r="5053" spans="1:10" x14ac:dyDescent="0.2">
      <c r="A5053" s="1" t="s">
        <v>25</v>
      </c>
      <c r="B5053" s="2" t="s">
        <v>358</v>
      </c>
      <c r="D5053" s="5" t="s">
        <v>464</v>
      </c>
      <c r="G5053" s="57" t="str">
        <f t="shared" si="82"/>
        <v>-</v>
      </c>
      <c r="H5053" s="19" t="s">
        <v>465</v>
      </c>
      <c r="I5053" s="19">
        <v>97500</v>
      </c>
    </row>
    <row r="5054" spans="1:10" x14ac:dyDescent="0.2">
      <c r="A5054" s="1" t="s">
        <v>25</v>
      </c>
      <c r="B5054" s="2" t="s">
        <v>358</v>
      </c>
      <c r="D5054" s="5" t="s">
        <v>464</v>
      </c>
      <c r="G5054" s="57" t="str">
        <f t="shared" si="82"/>
        <v>-</v>
      </c>
      <c r="H5054" s="19" t="s">
        <v>465</v>
      </c>
      <c r="I5054" s="19">
        <v>97500</v>
      </c>
    </row>
    <row r="5055" spans="1:10" x14ac:dyDescent="0.2">
      <c r="A5055" s="1" t="s">
        <v>25</v>
      </c>
      <c r="B5055" s="2" t="s">
        <v>358</v>
      </c>
      <c r="D5055" s="5" t="s">
        <v>464</v>
      </c>
      <c r="G5055" s="57" t="str">
        <f t="shared" si="82"/>
        <v>-</v>
      </c>
      <c r="H5055" s="19" t="s">
        <v>465</v>
      </c>
      <c r="I5055" s="19">
        <v>97500</v>
      </c>
    </row>
    <row r="5056" spans="1:10" x14ac:dyDescent="0.2">
      <c r="A5056" s="1" t="s">
        <v>25</v>
      </c>
      <c r="B5056" s="2" t="s">
        <v>358</v>
      </c>
      <c r="D5056" s="5" t="s">
        <v>464</v>
      </c>
      <c r="G5056" s="57" t="str">
        <f t="shared" si="82"/>
        <v>-</v>
      </c>
      <c r="H5056" s="19" t="s">
        <v>465</v>
      </c>
      <c r="I5056" s="19">
        <v>97500</v>
      </c>
    </row>
    <row r="5057" spans="1:9" s="1" customFormat="1" x14ac:dyDescent="0.2">
      <c r="A5057" s="1" t="s">
        <v>25</v>
      </c>
      <c r="B5057" s="2" t="s">
        <v>358</v>
      </c>
      <c r="C5057" s="5"/>
      <c r="D5057" s="5" t="s">
        <v>464</v>
      </c>
      <c r="E5057" s="3" t="s">
        <v>465</v>
      </c>
      <c r="F5057" s="3">
        <v>102500</v>
      </c>
      <c r="G5057" s="57" t="str">
        <f t="shared" si="82"/>
        <v>-</v>
      </c>
      <c r="H5057" s="19"/>
      <c r="I5057" s="19"/>
    </row>
    <row r="5058" spans="1:9" s="1" customFormat="1" x14ac:dyDescent="0.2">
      <c r="A5058" s="1" t="s">
        <v>25</v>
      </c>
      <c r="B5058" s="2" t="s">
        <v>358</v>
      </c>
      <c r="C5058" s="5"/>
      <c r="D5058" s="5" t="s">
        <v>464</v>
      </c>
      <c r="E5058" s="3" t="s">
        <v>465</v>
      </c>
      <c r="F5058" s="3">
        <v>102500</v>
      </c>
      <c r="G5058" s="57" t="str">
        <f t="shared" si="82"/>
        <v>-</v>
      </c>
      <c r="H5058" s="19"/>
      <c r="I5058" s="19"/>
    </row>
    <row r="5059" spans="1:9" s="1" customFormat="1" x14ac:dyDescent="0.2">
      <c r="A5059" s="1" t="s">
        <v>25</v>
      </c>
      <c r="B5059" s="2" t="s">
        <v>358</v>
      </c>
      <c r="C5059" s="5"/>
      <c r="D5059" s="5" t="s">
        <v>464</v>
      </c>
      <c r="E5059" s="3" t="s">
        <v>465</v>
      </c>
      <c r="F5059" s="3">
        <v>107500</v>
      </c>
      <c r="G5059" s="57" t="str">
        <f t="shared" si="82"/>
        <v>-</v>
      </c>
      <c r="H5059" s="19"/>
      <c r="I5059" s="19"/>
    </row>
    <row r="5060" spans="1:9" s="1" customFormat="1" x14ac:dyDescent="0.2">
      <c r="A5060" s="1" t="s">
        <v>25</v>
      </c>
      <c r="B5060" s="2" t="s">
        <v>358</v>
      </c>
      <c r="C5060" s="5"/>
      <c r="D5060" s="5" t="s">
        <v>464</v>
      </c>
      <c r="E5060" s="3" t="s">
        <v>465</v>
      </c>
      <c r="F5060" s="3">
        <v>112500</v>
      </c>
      <c r="G5060" s="57" t="str">
        <f t="shared" si="82"/>
        <v>-</v>
      </c>
      <c r="H5060" s="19"/>
      <c r="I5060" s="19"/>
    </row>
    <row r="5061" spans="1:9" s="1" customFormat="1" x14ac:dyDescent="0.2">
      <c r="A5061" s="1" t="s">
        <v>25</v>
      </c>
      <c r="B5061" s="2" t="s">
        <v>358</v>
      </c>
      <c r="C5061" s="5"/>
      <c r="D5061" s="5" t="s">
        <v>464</v>
      </c>
      <c r="E5061" s="3" t="s">
        <v>465</v>
      </c>
      <c r="F5061" s="3">
        <v>112500</v>
      </c>
      <c r="G5061" s="57" t="str">
        <f t="shared" si="82"/>
        <v>-</v>
      </c>
      <c r="H5061" s="19"/>
      <c r="I5061" s="19"/>
    </row>
    <row r="5062" spans="1:9" s="1" customFormat="1" x14ac:dyDescent="0.2">
      <c r="A5062" s="1" t="s">
        <v>25</v>
      </c>
      <c r="B5062" s="2" t="s">
        <v>358</v>
      </c>
      <c r="C5062" s="5"/>
      <c r="D5062" s="5" t="s">
        <v>464</v>
      </c>
      <c r="E5062" s="3" t="s">
        <v>465</v>
      </c>
      <c r="F5062" s="3">
        <v>117500</v>
      </c>
      <c r="G5062" s="57" t="str">
        <f t="shared" si="82"/>
        <v>-</v>
      </c>
      <c r="H5062" s="19"/>
      <c r="I5062" s="19"/>
    </row>
    <row r="5063" spans="1:9" s="1" customFormat="1" x14ac:dyDescent="0.2">
      <c r="A5063" s="1" t="s">
        <v>25</v>
      </c>
      <c r="B5063" s="2" t="s">
        <v>358</v>
      </c>
      <c r="C5063" s="5"/>
      <c r="D5063" s="5" t="s">
        <v>464</v>
      </c>
      <c r="E5063" s="3"/>
      <c r="F5063" s="3"/>
      <c r="G5063" s="57" t="str">
        <f t="shared" si="82"/>
        <v>-</v>
      </c>
      <c r="H5063" s="19">
        <v>92500</v>
      </c>
      <c r="I5063" s="19" t="s">
        <v>465</v>
      </c>
    </row>
    <row r="5064" spans="1:9" s="1" customFormat="1" x14ac:dyDescent="0.2">
      <c r="A5064" s="1" t="s">
        <v>25</v>
      </c>
      <c r="B5064" s="2" t="s">
        <v>358</v>
      </c>
      <c r="C5064" s="5"/>
      <c r="D5064" s="5" t="s">
        <v>464</v>
      </c>
      <c r="E5064" s="3"/>
      <c r="F5064" s="3"/>
      <c r="G5064" s="57" t="str">
        <f t="shared" si="82"/>
        <v>-</v>
      </c>
      <c r="H5064" s="19">
        <v>92500</v>
      </c>
      <c r="I5064" s="19" t="s">
        <v>465</v>
      </c>
    </row>
    <row r="5065" spans="1:9" s="1" customFormat="1" x14ac:dyDescent="0.2">
      <c r="A5065" s="1" t="s">
        <v>25</v>
      </c>
      <c r="B5065" s="2" t="s">
        <v>358</v>
      </c>
      <c r="C5065" s="5"/>
      <c r="D5065" s="5" t="s">
        <v>464</v>
      </c>
      <c r="E5065" s="3"/>
      <c r="F5065" s="3"/>
      <c r="G5065" s="57" t="str">
        <f t="shared" si="82"/>
        <v>-</v>
      </c>
      <c r="H5065" s="19">
        <v>92500</v>
      </c>
      <c r="I5065" s="19" t="s">
        <v>465</v>
      </c>
    </row>
    <row r="5066" spans="1:9" s="1" customFormat="1" x14ac:dyDescent="0.2">
      <c r="A5066" s="1" t="s">
        <v>25</v>
      </c>
      <c r="B5066" s="2" t="s">
        <v>358</v>
      </c>
      <c r="C5066" s="5"/>
      <c r="D5066" s="5" t="s">
        <v>464</v>
      </c>
      <c r="E5066" s="3"/>
      <c r="F5066" s="3"/>
      <c r="G5066" s="57" t="str">
        <f t="shared" si="82"/>
        <v>-</v>
      </c>
      <c r="H5066" s="19">
        <v>92500</v>
      </c>
      <c r="I5066" s="19" t="s">
        <v>465</v>
      </c>
    </row>
    <row r="5067" spans="1:9" s="1" customFormat="1" x14ac:dyDescent="0.2">
      <c r="A5067" s="1" t="s">
        <v>25</v>
      </c>
      <c r="B5067" s="2" t="s">
        <v>358</v>
      </c>
      <c r="C5067" s="5"/>
      <c r="D5067" s="5" t="s">
        <v>464</v>
      </c>
      <c r="E5067" s="3"/>
      <c r="F5067" s="3"/>
      <c r="G5067" s="57" t="str">
        <f t="shared" si="82"/>
        <v>-</v>
      </c>
      <c r="H5067" s="19">
        <v>92500</v>
      </c>
      <c r="I5067" s="19" t="s">
        <v>465</v>
      </c>
    </row>
    <row r="5068" spans="1:9" s="1" customFormat="1" x14ac:dyDescent="0.2">
      <c r="A5068" s="1" t="s">
        <v>25</v>
      </c>
      <c r="B5068" s="2" t="s">
        <v>358</v>
      </c>
      <c r="C5068" s="5"/>
      <c r="D5068" s="5" t="s">
        <v>464</v>
      </c>
      <c r="E5068" s="3"/>
      <c r="F5068" s="3"/>
      <c r="G5068" s="57" t="str">
        <f t="shared" si="82"/>
        <v>-</v>
      </c>
      <c r="H5068" s="19">
        <v>97500</v>
      </c>
      <c r="I5068" s="19" t="s">
        <v>465</v>
      </c>
    </row>
    <row r="5069" spans="1:9" s="1" customFormat="1" x14ac:dyDescent="0.2">
      <c r="A5069" s="1" t="s">
        <v>25</v>
      </c>
      <c r="B5069" s="2" t="s">
        <v>358</v>
      </c>
      <c r="C5069" s="5"/>
      <c r="D5069" s="5" t="s">
        <v>464</v>
      </c>
      <c r="E5069" s="3"/>
      <c r="F5069" s="3"/>
      <c r="G5069" s="57" t="str">
        <f t="shared" si="82"/>
        <v>-</v>
      </c>
      <c r="H5069" s="19">
        <v>97500</v>
      </c>
      <c r="I5069" s="19" t="s">
        <v>465</v>
      </c>
    </row>
    <row r="5070" spans="1:9" s="1" customFormat="1" x14ac:dyDescent="0.2">
      <c r="A5070" s="1" t="s">
        <v>25</v>
      </c>
      <c r="B5070" s="2" t="s">
        <v>358</v>
      </c>
      <c r="C5070" s="5"/>
      <c r="D5070" s="5" t="s">
        <v>464</v>
      </c>
      <c r="E5070" s="3"/>
      <c r="F5070" s="3"/>
      <c r="G5070" s="57" t="str">
        <f t="shared" si="82"/>
        <v>-</v>
      </c>
      <c r="H5070" s="19">
        <v>97500</v>
      </c>
      <c r="I5070" s="19" t="s">
        <v>465</v>
      </c>
    </row>
    <row r="5071" spans="1:9" s="1" customFormat="1" x14ac:dyDescent="0.2">
      <c r="A5071" s="1" t="s">
        <v>25</v>
      </c>
      <c r="B5071" s="2" t="s">
        <v>358</v>
      </c>
      <c r="C5071" s="5"/>
      <c r="D5071" s="5" t="s">
        <v>464</v>
      </c>
      <c r="E5071" s="3"/>
      <c r="F5071" s="3"/>
      <c r="G5071" s="57" t="str">
        <f t="shared" si="82"/>
        <v>-</v>
      </c>
      <c r="H5071" s="19">
        <v>97500</v>
      </c>
      <c r="I5071" s="19" t="s">
        <v>465</v>
      </c>
    </row>
    <row r="5072" spans="1:9" s="1" customFormat="1" x14ac:dyDescent="0.2">
      <c r="A5072" s="1" t="s">
        <v>25</v>
      </c>
      <c r="B5072" s="2" t="s">
        <v>358</v>
      </c>
      <c r="C5072" s="5"/>
      <c r="D5072" s="5" t="s">
        <v>464</v>
      </c>
      <c r="E5072" s="3">
        <v>102500</v>
      </c>
      <c r="F5072" s="3" t="s">
        <v>465</v>
      </c>
      <c r="G5072" s="57" t="str">
        <f t="shared" si="82"/>
        <v>-</v>
      </c>
      <c r="H5072" s="19"/>
      <c r="I5072" s="19"/>
    </row>
    <row r="5073" spans="1:10" x14ac:dyDescent="0.2">
      <c r="A5073" s="1" t="s">
        <v>25</v>
      </c>
      <c r="B5073" s="2" t="s">
        <v>358</v>
      </c>
      <c r="D5073" s="5" t="s">
        <v>464</v>
      </c>
      <c r="E5073" s="3">
        <v>102500</v>
      </c>
      <c r="F5073" s="3" t="s">
        <v>465</v>
      </c>
      <c r="G5073" s="57" t="str">
        <f t="shared" si="82"/>
        <v>-</v>
      </c>
    </row>
    <row r="5074" spans="1:10" x14ac:dyDescent="0.2">
      <c r="A5074" s="1" t="s">
        <v>25</v>
      </c>
      <c r="B5074" s="2" t="s">
        <v>358</v>
      </c>
      <c r="D5074" s="5" t="s">
        <v>464</v>
      </c>
      <c r="E5074" s="3">
        <v>107500</v>
      </c>
      <c r="F5074" s="3" t="s">
        <v>465</v>
      </c>
      <c r="G5074" s="57" t="str">
        <f t="shared" si="82"/>
        <v>-</v>
      </c>
    </row>
    <row r="5075" spans="1:10" x14ac:dyDescent="0.2">
      <c r="A5075" s="1" t="s">
        <v>25</v>
      </c>
      <c r="B5075" s="2" t="s">
        <v>358</v>
      </c>
      <c r="D5075" s="5" t="s">
        <v>464</v>
      </c>
      <c r="E5075" s="3">
        <v>107500</v>
      </c>
      <c r="F5075" s="3" t="s">
        <v>465</v>
      </c>
      <c r="G5075" s="57" t="str">
        <f t="shared" si="82"/>
        <v>-</v>
      </c>
    </row>
    <row r="5076" spans="1:10" x14ac:dyDescent="0.2">
      <c r="A5076" s="1" t="s">
        <v>25</v>
      </c>
      <c r="B5076" s="2" t="s">
        <v>358</v>
      </c>
      <c r="D5076" s="5" t="s">
        <v>464</v>
      </c>
      <c r="E5076" s="3">
        <v>112500</v>
      </c>
      <c r="F5076" s="3" t="s">
        <v>465</v>
      </c>
      <c r="G5076" s="57" t="str">
        <f t="shared" si="82"/>
        <v>-</v>
      </c>
    </row>
    <row r="5077" spans="1:10" x14ac:dyDescent="0.2">
      <c r="A5077" s="1" t="s">
        <v>25</v>
      </c>
      <c r="B5077" s="2" t="s">
        <v>358</v>
      </c>
      <c r="D5077" s="5" t="s">
        <v>464</v>
      </c>
      <c r="E5077" s="3">
        <v>117500</v>
      </c>
      <c r="F5077" s="3" t="s">
        <v>465</v>
      </c>
      <c r="G5077" s="57" t="str">
        <f t="shared" si="82"/>
        <v>-</v>
      </c>
    </row>
    <row r="5078" spans="1:10" x14ac:dyDescent="0.2">
      <c r="A5078" s="1" t="s">
        <v>25</v>
      </c>
      <c r="B5078" s="2" t="s">
        <v>358</v>
      </c>
      <c r="D5078" s="5" t="s">
        <v>464</v>
      </c>
      <c r="E5078" s="3">
        <v>117500</v>
      </c>
      <c r="F5078" s="3" t="s">
        <v>465</v>
      </c>
      <c r="G5078" s="57" t="str">
        <f t="shared" si="82"/>
        <v>-</v>
      </c>
    </row>
    <row r="5079" spans="1:10" x14ac:dyDescent="0.2">
      <c r="A5079" s="1" t="s">
        <v>25</v>
      </c>
      <c r="B5079" s="2" t="s">
        <v>358</v>
      </c>
      <c r="D5079" s="5" t="s">
        <v>464</v>
      </c>
      <c r="E5079" s="3">
        <v>117500</v>
      </c>
      <c r="F5079" s="3" t="s">
        <v>465</v>
      </c>
      <c r="G5079" s="57" t="str">
        <f t="shared" si="82"/>
        <v>-</v>
      </c>
    </row>
    <row r="5080" spans="1:10" x14ac:dyDescent="0.2">
      <c r="A5080" s="1" t="s">
        <v>25</v>
      </c>
      <c r="B5080" s="2" t="s">
        <v>358</v>
      </c>
      <c r="D5080" s="5" t="s">
        <v>464</v>
      </c>
      <c r="E5080" s="3">
        <v>122500</v>
      </c>
      <c r="F5080" s="3" t="s">
        <v>465</v>
      </c>
      <c r="G5080" s="57" t="str">
        <f t="shared" si="82"/>
        <v>-</v>
      </c>
    </row>
    <row r="5081" spans="1:10" x14ac:dyDescent="0.2">
      <c r="A5081" s="1" t="s">
        <v>25</v>
      </c>
      <c r="B5081" s="2" t="s">
        <v>358</v>
      </c>
      <c r="D5081" s="5" t="s">
        <v>464</v>
      </c>
      <c r="E5081" s="3">
        <v>122500</v>
      </c>
      <c r="F5081" s="3" t="s">
        <v>465</v>
      </c>
      <c r="G5081" s="57" t="str">
        <f t="shared" si="82"/>
        <v>-</v>
      </c>
    </row>
    <row r="5082" spans="1:10" x14ac:dyDescent="0.2">
      <c r="A5082" s="1" t="s">
        <v>25</v>
      </c>
      <c r="B5082" s="2" t="s">
        <v>358</v>
      </c>
      <c r="D5082" s="5" t="s">
        <v>464</v>
      </c>
      <c r="E5082" s="3">
        <v>137500</v>
      </c>
      <c r="F5082" s="3" t="s">
        <v>465</v>
      </c>
      <c r="G5082" s="57" t="str">
        <f t="shared" si="82"/>
        <v>-</v>
      </c>
    </row>
    <row r="5083" spans="1:10" x14ac:dyDescent="0.2">
      <c r="A5083" s="1" t="s">
        <v>25</v>
      </c>
      <c r="B5083" s="2" t="s">
        <v>358</v>
      </c>
      <c r="D5083" s="5" t="s">
        <v>464</v>
      </c>
      <c r="E5083" s="3">
        <v>137500</v>
      </c>
      <c r="F5083" s="3" t="s">
        <v>465</v>
      </c>
      <c r="G5083" s="57" t="str">
        <f t="shared" si="82"/>
        <v>-</v>
      </c>
    </row>
    <row r="5084" spans="1:10" x14ac:dyDescent="0.2">
      <c r="A5084" s="1" t="s">
        <v>25</v>
      </c>
      <c r="B5084" s="2" t="s">
        <v>358</v>
      </c>
      <c r="D5084" s="5" t="s">
        <v>464</v>
      </c>
      <c r="E5084" s="3">
        <v>167500</v>
      </c>
      <c r="F5084" s="3" t="s">
        <v>465</v>
      </c>
      <c r="G5084" s="57" t="str">
        <f t="shared" si="82"/>
        <v>-</v>
      </c>
    </row>
    <row r="5085" spans="1:10" x14ac:dyDescent="0.2">
      <c r="A5085" s="1" t="s">
        <v>25</v>
      </c>
      <c r="B5085" s="2" t="s">
        <v>358</v>
      </c>
      <c r="D5085" s="5" t="s">
        <v>464</v>
      </c>
      <c r="E5085" s="3">
        <v>187500</v>
      </c>
      <c r="F5085" s="3" t="s">
        <v>465</v>
      </c>
      <c r="G5085" s="57" t="str">
        <f t="shared" si="82"/>
        <v>-</v>
      </c>
    </row>
    <row r="5086" spans="1:10" x14ac:dyDescent="0.2">
      <c r="A5086" s="1" t="s">
        <v>4</v>
      </c>
      <c r="B5086" s="2" t="s">
        <v>359</v>
      </c>
      <c r="D5086" s="5" t="s">
        <v>450</v>
      </c>
      <c r="E5086" s="3">
        <v>121277</v>
      </c>
      <c r="F5086" s="3">
        <v>129720</v>
      </c>
      <c r="G5086" s="57">
        <f t="shared" si="82"/>
        <v>6.9617487239954812E-2</v>
      </c>
      <c r="J5086" s="5" t="s">
        <v>2626</v>
      </c>
    </row>
    <row r="5087" spans="1:10" x14ac:dyDescent="0.2">
      <c r="A5087" s="1" t="s">
        <v>4</v>
      </c>
      <c r="B5087" s="2" t="s">
        <v>359</v>
      </c>
      <c r="C5087" s="5" t="s">
        <v>2625</v>
      </c>
      <c r="D5087" s="5" t="s">
        <v>451</v>
      </c>
      <c r="E5087" s="3">
        <v>155304</v>
      </c>
      <c r="F5087" s="3" t="s">
        <v>465</v>
      </c>
      <c r="G5087" s="57" t="str">
        <f t="shared" si="82"/>
        <v>-</v>
      </c>
    </row>
    <row r="5088" spans="1:10" ht="25.5" x14ac:dyDescent="0.2">
      <c r="A5088" s="1" t="s">
        <v>4</v>
      </c>
      <c r="B5088" s="2" t="s">
        <v>359</v>
      </c>
      <c r="D5088" s="5" t="s">
        <v>455</v>
      </c>
      <c r="E5088" s="3" t="s">
        <v>465</v>
      </c>
      <c r="F5088" s="3">
        <v>103068</v>
      </c>
      <c r="G5088" s="57" t="str">
        <f t="shared" si="82"/>
        <v>-</v>
      </c>
      <c r="J5088" s="5" t="s">
        <v>2627</v>
      </c>
    </row>
    <row r="5089" spans="1:10" ht="25.5" x14ac:dyDescent="0.2">
      <c r="A5089" s="1" t="s">
        <v>20</v>
      </c>
      <c r="B5089" s="2" t="s">
        <v>360</v>
      </c>
      <c r="D5089" s="5" t="s">
        <v>450</v>
      </c>
      <c r="E5089" s="3">
        <v>141000</v>
      </c>
      <c r="F5089" s="3">
        <v>141000</v>
      </c>
      <c r="G5089" s="57">
        <f t="shared" si="82"/>
        <v>0</v>
      </c>
      <c r="J5089" s="5" t="s">
        <v>2621</v>
      </c>
    </row>
    <row r="5090" spans="1:10" ht="25.5" x14ac:dyDescent="0.2">
      <c r="A5090" s="1" t="s">
        <v>20</v>
      </c>
      <c r="B5090" s="2" t="s">
        <v>360</v>
      </c>
      <c r="D5090" s="5" t="s">
        <v>487</v>
      </c>
      <c r="E5090" s="3">
        <v>105000</v>
      </c>
      <c r="F5090" s="3">
        <v>105000</v>
      </c>
      <c r="G5090" s="57">
        <f t="shared" si="82"/>
        <v>0</v>
      </c>
      <c r="J5090" s="5" t="s">
        <v>2622</v>
      </c>
    </row>
    <row r="5091" spans="1:10" ht="25.5" x14ac:dyDescent="0.2">
      <c r="A5091" s="1" t="s">
        <v>20</v>
      </c>
      <c r="B5091" s="2" t="s">
        <v>360</v>
      </c>
      <c r="D5091" s="5" t="s">
        <v>795</v>
      </c>
      <c r="E5091" s="3">
        <v>102000</v>
      </c>
      <c r="F5091" s="3">
        <v>104000</v>
      </c>
      <c r="G5091" s="57">
        <f t="shared" si="82"/>
        <v>1.9607843137254902E-2</v>
      </c>
      <c r="J5091" s="5" t="s">
        <v>2623</v>
      </c>
    </row>
    <row r="5092" spans="1:10" ht="25.5" x14ac:dyDescent="0.2">
      <c r="A5092" s="1" t="s">
        <v>20</v>
      </c>
      <c r="B5092" s="2" t="s">
        <v>360</v>
      </c>
      <c r="D5092" s="5" t="s">
        <v>796</v>
      </c>
      <c r="E5092" s="3">
        <v>103000</v>
      </c>
      <c r="F5092" s="3">
        <v>109000</v>
      </c>
      <c r="G5092" s="57">
        <f t="shared" si="82"/>
        <v>5.8252427184466021E-2</v>
      </c>
      <c r="J5092" s="5" t="s">
        <v>2624</v>
      </c>
    </row>
    <row r="5093" spans="1:10" x14ac:dyDescent="0.2">
      <c r="A5093" s="1" t="s">
        <v>20</v>
      </c>
      <c r="B5093" s="2" t="s">
        <v>360</v>
      </c>
      <c r="E5093" s="3" t="s">
        <v>465</v>
      </c>
      <c r="F5093" s="3">
        <v>102500</v>
      </c>
      <c r="G5093" s="57" t="str">
        <f t="shared" si="82"/>
        <v>-</v>
      </c>
      <c r="J5093" s="5" t="s">
        <v>1241</v>
      </c>
    </row>
    <row r="5094" spans="1:10" x14ac:dyDescent="0.2">
      <c r="A5094" s="1" t="s">
        <v>20</v>
      </c>
      <c r="B5094" s="2" t="s">
        <v>360</v>
      </c>
      <c r="E5094" s="3" t="s">
        <v>465</v>
      </c>
      <c r="F5094" s="3">
        <v>107500</v>
      </c>
      <c r="G5094" s="57" t="str">
        <f t="shared" si="82"/>
        <v>-</v>
      </c>
      <c r="J5094" s="5" t="s">
        <v>1241</v>
      </c>
    </row>
    <row r="5095" spans="1:10" x14ac:dyDescent="0.2">
      <c r="A5095" s="1" t="s">
        <v>20</v>
      </c>
      <c r="B5095" s="2" t="s">
        <v>360</v>
      </c>
      <c r="E5095" s="3" t="s">
        <v>465</v>
      </c>
      <c r="F5095" s="3">
        <v>107500</v>
      </c>
      <c r="G5095" s="57" t="str">
        <f t="shared" si="82"/>
        <v>-</v>
      </c>
      <c r="J5095" s="5" t="s">
        <v>1241</v>
      </c>
    </row>
    <row r="5096" spans="1:10" x14ac:dyDescent="0.2">
      <c r="A5096" s="1" t="s">
        <v>20</v>
      </c>
      <c r="B5096" s="2" t="s">
        <v>360</v>
      </c>
      <c r="C5096" s="7"/>
      <c r="E5096" s="3" t="s">
        <v>465</v>
      </c>
      <c r="F5096" s="3">
        <v>107500</v>
      </c>
      <c r="G5096" s="57" t="str">
        <f t="shared" si="82"/>
        <v>-</v>
      </c>
      <c r="J5096" s="5" t="s">
        <v>1241</v>
      </c>
    </row>
    <row r="5097" spans="1:10" x14ac:dyDescent="0.2">
      <c r="A5097" s="1" t="s">
        <v>20</v>
      </c>
      <c r="B5097" s="2" t="s">
        <v>360</v>
      </c>
      <c r="E5097" s="3" t="s">
        <v>465</v>
      </c>
      <c r="F5097" s="3">
        <v>107500</v>
      </c>
      <c r="G5097" s="57" t="str">
        <f t="shared" si="82"/>
        <v>-</v>
      </c>
      <c r="J5097" s="5" t="s">
        <v>1241</v>
      </c>
    </row>
    <row r="5098" spans="1:10" x14ac:dyDescent="0.2">
      <c r="A5098" s="1" t="s">
        <v>20</v>
      </c>
      <c r="B5098" s="2" t="s">
        <v>360</v>
      </c>
      <c r="E5098" s="3" t="s">
        <v>465</v>
      </c>
      <c r="F5098" s="3">
        <v>122500</v>
      </c>
      <c r="G5098" s="57" t="str">
        <f t="shared" si="82"/>
        <v>-</v>
      </c>
      <c r="J5098" s="5" t="s">
        <v>1241</v>
      </c>
    </row>
    <row r="5099" spans="1:10" ht="25.5" x14ac:dyDescent="0.2">
      <c r="A5099" s="1" t="s">
        <v>20</v>
      </c>
      <c r="B5099" s="2" t="s">
        <v>361</v>
      </c>
      <c r="D5099" s="5" t="s">
        <v>783</v>
      </c>
      <c r="E5099" s="3">
        <v>144437</v>
      </c>
      <c r="F5099" s="3">
        <v>148585</v>
      </c>
      <c r="G5099" s="57">
        <f t="shared" si="82"/>
        <v>2.8718403179240775E-2</v>
      </c>
      <c r="J5099" s="5" t="s">
        <v>2620</v>
      </c>
    </row>
    <row r="5100" spans="1:10" ht="25.5" x14ac:dyDescent="0.2">
      <c r="A5100" s="1" t="s">
        <v>6</v>
      </c>
      <c r="B5100" s="2" t="s">
        <v>362</v>
      </c>
      <c r="C5100" s="5" t="s">
        <v>786</v>
      </c>
      <c r="D5100" s="5" t="s">
        <v>450</v>
      </c>
      <c r="E5100" s="3">
        <f>152000+6000+28000</f>
        <v>186000</v>
      </c>
      <c r="F5100" s="3">
        <v>186000</v>
      </c>
      <c r="G5100" s="57">
        <f t="shared" si="82"/>
        <v>0</v>
      </c>
      <c r="J5100" s="5" t="s">
        <v>2612</v>
      </c>
    </row>
    <row r="5101" spans="1:10" ht="25.5" x14ac:dyDescent="0.2">
      <c r="A5101" s="1" t="s">
        <v>6</v>
      </c>
      <c r="B5101" s="2" t="s">
        <v>362</v>
      </c>
      <c r="D5101" s="5" t="s">
        <v>787</v>
      </c>
      <c r="E5101" s="3">
        <f>115000+1000+21000</f>
        <v>137000</v>
      </c>
      <c r="F5101" s="3">
        <v>137000</v>
      </c>
      <c r="G5101" s="57">
        <f t="shared" si="82"/>
        <v>0</v>
      </c>
      <c r="J5101" s="5" t="s">
        <v>2613</v>
      </c>
    </row>
    <row r="5102" spans="1:10" x14ac:dyDescent="0.2">
      <c r="A5102" s="1" t="s">
        <v>6</v>
      </c>
      <c r="B5102" s="2" t="s">
        <v>362</v>
      </c>
      <c r="D5102" s="5" t="s">
        <v>788</v>
      </c>
      <c r="E5102" s="3">
        <f>112000+20000</f>
        <v>132000</v>
      </c>
      <c r="F5102" s="3">
        <v>132000</v>
      </c>
      <c r="G5102" s="57">
        <f t="shared" si="82"/>
        <v>0</v>
      </c>
      <c r="J5102" s="5" t="s">
        <v>2614</v>
      </c>
    </row>
    <row r="5103" spans="1:10" ht="25.5" x14ac:dyDescent="0.2">
      <c r="A5103" s="1" t="s">
        <v>6</v>
      </c>
      <c r="B5103" s="2" t="s">
        <v>362</v>
      </c>
      <c r="D5103" s="5" t="s">
        <v>789</v>
      </c>
      <c r="E5103" s="3">
        <f>112000+2000+20000</f>
        <v>134000</v>
      </c>
      <c r="F5103" s="3">
        <v>134000</v>
      </c>
      <c r="G5103" s="57">
        <f t="shared" si="82"/>
        <v>0</v>
      </c>
      <c r="J5103" s="5" t="s">
        <v>2615</v>
      </c>
    </row>
    <row r="5104" spans="1:10" ht="25.5" x14ac:dyDescent="0.2">
      <c r="A5104" s="1" t="s">
        <v>6</v>
      </c>
      <c r="B5104" s="2" t="s">
        <v>362</v>
      </c>
      <c r="D5104" s="5" t="s">
        <v>790</v>
      </c>
      <c r="E5104" s="3">
        <f>108000+1000+20000</f>
        <v>129000</v>
      </c>
      <c r="F5104" s="3">
        <f>106000+3000+20000</f>
        <v>129000</v>
      </c>
      <c r="G5104" s="57">
        <f t="shared" si="82"/>
        <v>0</v>
      </c>
      <c r="J5104" s="5" t="s">
        <v>2616</v>
      </c>
    </row>
    <row r="5105" spans="1:10" x14ac:dyDescent="0.2">
      <c r="A5105" s="1" t="s">
        <v>6</v>
      </c>
      <c r="B5105" s="2" t="s">
        <v>362</v>
      </c>
      <c r="D5105" s="5" t="s">
        <v>791</v>
      </c>
      <c r="E5105" s="3">
        <f>103000+19000</f>
        <v>122000</v>
      </c>
      <c r="F5105" s="3">
        <v>122000</v>
      </c>
      <c r="G5105" s="57">
        <f t="shared" si="82"/>
        <v>0</v>
      </c>
      <c r="J5105" s="5" t="s">
        <v>2617</v>
      </c>
    </row>
    <row r="5106" spans="1:10" ht="38.25" x14ac:dyDescent="0.2">
      <c r="A5106" s="1" t="s">
        <v>6</v>
      </c>
      <c r="B5106" s="2" t="s">
        <v>362</v>
      </c>
      <c r="D5106" s="5" t="s">
        <v>792</v>
      </c>
      <c r="E5106" s="3">
        <f>98000+18000</f>
        <v>116000</v>
      </c>
      <c r="F5106" s="3">
        <f>93000+17000</f>
        <v>110000</v>
      </c>
      <c r="G5106" s="57">
        <f t="shared" si="82"/>
        <v>-5.1724137931034482E-2</v>
      </c>
      <c r="J5106" s="5" t="s">
        <v>2878</v>
      </c>
    </row>
    <row r="5107" spans="1:10" ht="25.5" x14ac:dyDescent="0.2">
      <c r="A5107" s="1" t="s">
        <v>6</v>
      </c>
      <c r="B5107" s="2" t="s">
        <v>362</v>
      </c>
      <c r="D5107" s="5" t="s">
        <v>793</v>
      </c>
      <c r="E5107" s="3">
        <f>97000+1000+18000</f>
        <v>116000</v>
      </c>
      <c r="F5107" s="3">
        <f>97000+1000+57000+18000</f>
        <v>173000</v>
      </c>
      <c r="G5107" s="57">
        <f t="shared" si="82"/>
        <v>0.49137931034482757</v>
      </c>
      <c r="J5107" s="5" t="s">
        <v>2618</v>
      </c>
    </row>
    <row r="5108" spans="1:10" ht="25.5" x14ac:dyDescent="0.2">
      <c r="A5108" s="1" t="s">
        <v>6</v>
      </c>
      <c r="B5108" s="2" t="s">
        <v>362</v>
      </c>
      <c r="D5108" s="5" t="s">
        <v>794</v>
      </c>
      <c r="E5108" s="3">
        <f>97000+3000+18000</f>
        <v>118000</v>
      </c>
      <c r="F5108" s="3">
        <f>97000+3000+18000</f>
        <v>118000</v>
      </c>
      <c r="G5108" s="57">
        <f t="shared" si="82"/>
        <v>0</v>
      </c>
      <c r="J5108" s="5" t="s">
        <v>2619</v>
      </c>
    </row>
    <row r="5109" spans="1:10" x14ac:dyDescent="0.2">
      <c r="A5109" s="1" t="s">
        <v>6</v>
      </c>
      <c r="B5109" s="2" t="s">
        <v>362</v>
      </c>
      <c r="D5109" s="5" t="s">
        <v>464</v>
      </c>
      <c r="G5109" s="57" t="str">
        <f t="shared" si="82"/>
        <v>-</v>
      </c>
      <c r="H5109" s="19">
        <v>92500</v>
      </c>
      <c r="I5109" s="19" t="s">
        <v>465</v>
      </c>
    </row>
    <row r="5110" spans="1:10" x14ac:dyDescent="0.2">
      <c r="A5110" s="1" t="s">
        <v>6</v>
      </c>
      <c r="B5110" s="2" t="s">
        <v>362</v>
      </c>
      <c r="D5110" s="5" t="s">
        <v>464</v>
      </c>
      <c r="G5110" s="57" t="str">
        <f t="shared" si="82"/>
        <v>-</v>
      </c>
      <c r="H5110" s="19" t="s">
        <v>465</v>
      </c>
      <c r="I5110" s="19">
        <v>97500</v>
      </c>
    </row>
    <row r="5111" spans="1:10" ht="25.5" x14ac:dyDescent="0.2">
      <c r="A5111" s="1" t="s">
        <v>39</v>
      </c>
      <c r="B5111" s="2" t="s">
        <v>363</v>
      </c>
      <c r="D5111" s="5" t="s">
        <v>450</v>
      </c>
      <c r="E5111" s="3">
        <v>128259</v>
      </c>
      <c r="F5111" s="3">
        <v>132677</v>
      </c>
      <c r="G5111" s="57">
        <f t="shared" si="82"/>
        <v>3.4445925821969606E-2</v>
      </c>
      <c r="J5111" s="5" t="s">
        <v>2610</v>
      </c>
    </row>
    <row r="5112" spans="1:10" ht="25.5" x14ac:dyDescent="0.2">
      <c r="A5112" s="1" t="s">
        <v>39</v>
      </c>
      <c r="B5112" s="2" t="s">
        <v>363</v>
      </c>
      <c r="D5112" s="5" t="s">
        <v>455</v>
      </c>
      <c r="E5112" s="3">
        <v>116850</v>
      </c>
      <c r="F5112" s="3">
        <v>109943</v>
      </c>
      <c r="G5112" s="57">
        <f t="shared" si="82"/>
        <v>-5.9109970047068895E-2</v>
      </c>
      <c r="J5112" s="5" t="s">
        <v>2611</v>
      </c>
    </row>
    <row r="5113" spans="1:10" x14ac:dyDescent="0.2">
      <c r="A5113" s="1" t="s">
        <v>39</v>
      </c>
      <c r="B5113" s="2" t="s">
        <v>364</v>
      </c>
      <c r="C5113" s="5" t="s">
        <v>780</v>
      </c>
      <c r="D5113" s="5" t="s">
        <v>450</v>
      </c>
      <c r="E5113" s="9">
        <v>242842</v>
      </c>
      <c r="F5113" s="9" t="s">
        <v>465</v>
      </c>
      <c r="G5113" s="57" t="str">
        <f t="shared" si="82"/>
        <v>-</v>
      </c>
    </row>
    <row r="5114" spans="1:10" ht="25.5" x14ac:dyDescent="0.2">
      <c r="A5114" s="1" t="s">
        <v>39</v>
      </c>
      <c r="B5114" s="2" t="s">
        <v>364</v>
      </c>
      <c r="C5114" s="5" t="s">
        <v>781</v>
      </c>
      <c r="D5114" s="5" t="s">
        <v>450</v>
      </c>
      <c r="E5114" s="9" t="s">
        <v>465</v>
      </c>
      <c r="F5114" s="9">
        <v>224884</v>
      </c>
      <c r="G5114" s="57" t="str">
        <f t="shared" si="82"/>
        <v>-</v>
      </c>
      <c r="J5114" s="5" t="s">
        <v>2604</v>
      </c>
    </row>
    <row r="5115" spans="1:10" ht="25.5" x14ac:dyDescent="0.2">
      <c r="A5115" s="1" t="s">
        <v>39</v>
      </c>
      <c r="B5115" s="2" t="s">
        <v>364</v>
      </c>
      <c r="D5115" s="5" t="s">
        <v>2598</v>
      </c>
      <c r="E5115" s="9">
        <v>160586</v>
      </c>
      <c r="F5115" s="9">
        <v>12730</v>
      </c>
      <c r="G5115" s="57">
        <f t="shared" si="82"/>
        <v>-0.92072783430685112</v>
      </c>
      <c r="J5115" s="5" t="s">
        <v>2605</v>
      </c>
    </row>
    <row r="5116" spans="1:10" ht="25.5" x14ac:dyDescent="0.2">
      <c r="A5116" s="1" t="s">
        <v>39</v>
      </c>
      <c r="B5116" s="2" t="s">
        <v>364</v>
      </c>
      <c r="D5116" s="5" t="s">
        <v>2596</v>
      </c>
      <c r="E5116" s="9">
        <v>124417</v>
      </c>
      <c r="F5116" s="9">
        <v>52488</v>
      </c>
      <c r="G5116" s="57">
        <f t="shared" ref="G5116:G5179" si="83">IF(ISERROR((F5116-E5116)/E5116),"-",(F5116-E5116)/E5116)</f>
        <v>-0.57812839081476008</v>
      </c>
      <c r="J5116" s="5" t="s">
        <v>2597</v>
      </c>
    </row>
    <row r="5117" spans="1:10" ht="25.5" x14ac:dyDescent="0.2">
      <c r="A5117" s="1" t="s">
        <v>39</v>
      </c>
      <c r="B5117" s="2" t="s">
        <v>364</v>
      </c>
      <c r="D5117" s="5" t="s">
        <v>562</v>
      </c>
      <c r="E5117" s="9" t="s">
        <v>465</v>
      </c>
      <c r="F5117" s="9">
        <v>146882</v>
      </c>
      <c r="G5117" s="57" t="str">
        <f t="shared" si="83"/>
        <v>-</v>
      </c>
      <c r="J5117" s="5" t="s">
        <v>2606</v>
      </c>
    </row>
    <row r="5118" spans="1:10" ht="25.5" x14ac:dyDescent="0.2">
      <c r="A5118" s="1" t="s">
        <v>39</v>
      </c>
      <c r="B5118" s="2" t="s">
        <v>364</v>
      </c>
      <c r="D5118" s="5" t="s">
        <v>2599</v>
      </c>
      <c r="E5118" s="9">
        <v>159867</v>
      </c>
      <c r="F5118" s="9">
        <v>66961</v>
      </c>
      <c r="G5118" s="57">
        <f t="shared" si="83"/>
        <v>-0.58114557726109828</v>
      </c>
      <c r="J5118" s="5" t="s">
        <v>2609</v>
      </c>
    </row>
    <row r="5119" spans="1:10" ht="38.25" x14ac:dyDescent="0.2">
      <c r="A5119" s="1" t="s">
        <v>39</v>
      </c>
      <c r="B5119" s="2" t="s">
        <v>364</v>
      </c>
      <c r="C5119" s="7"/>
      <c r="D5119" s="5" t="s">
        <v>873</v>
      </c>
      <c r="E5119" s="9" t="s">
        <v>465</v>
      </c>
      <c r="F5119" s="9">
        <v>102446</v>
      </c>
      <c r="G5119" s="57" t="str">
        <f t="shared" si="83"/>
        <v>-</v>
      </c>
      <c r="J5119" s="5" t="s">
        <v>2607</v>
      </c>
    </row>
    <row r="5120" spans="1:10" ht="25.5" x14ac:dyDescent="0.2">
      <c r="A5120" s="1" t="s">
        <v>39</v>
      </c>
      <c r="B5120" s="2" t="s">
        <v>364</v>
      </c>
      <c r="C5120" s="7"/>
      <c r="D5120" s="5" t="s">
        <v>4465</v>
      </c>
      <c r="E5120" s="9">
        <v>119454</v>
      </c>
      <c r="F5120" s="9">
        <v>120287</v>
      </c>
      <c r="G5120" s="57">
        <f t="shared" si="83"/>
        <v>6.9733956167227556E-3</v>
      </c>
      <c r="J5120" s="5" t="s">
        <v>2608</v>
      </c>
    </row>
    <row r="5121" spans="1:10" ht="43.5" customHeight="1" x14ac:dyDescent="0.2">
      <c r="A5121" s="1" t="s">
        <v>39</v>
      </c>
      <c r="B5121" s="2" t="s">
        <v>364</v>
      </c>
      <c r="C5121" s="7"/>
      <c r="D5121" s="5" t="s">
        <v>2600</v>
      </c>
      <c r="E5121" s="9">
        <v>160684</v>
      </c>
      <c r="F5121" s="9">
        <v>123609</v>
      </c>
      <c r="G5121" s="57">
        <f t="shared" si="83"/>
        <v>-0.23073236912200343</v>
      </c>
      <c r="J5121" s="5" t="s">
        <v>2601</v>
      </c>
    </row>
    <row r="5122" spans="1:10" ht="43.5" customHeight="1" x14ac:dyDescent="0.2">
      <c r="A5122" s="1" t="s">
        <v>39</v>
      </c>
      <c r="B5122" s="2" t="s">
        <v>364</v>
      </c>
      <c r="C5122" s="7"/>
      <c r="D5122" s="5" t="s">
        <v>2602</v>
      </c>
      <c r="E5122" s="9">
        <v>117191</v>
      </c>
      <c r="F5122" s="9">
        <v>49660</v>
      </c>
      <c r="G5122" s="57">
        <f t="shared" si="83"/>
        <v>-0.57624732274662727</v>
      </c>
      <c r="J5122" s="5" t="s">
        <v>2603</v>
      </c>
    </row>
    <row r="5123" spans="1:10" x14ac:dyDescent="0.2">
      <c r="A5123" s="1" t="s">
        <v>39</v>
      </c>
      <c r="B5123" s="2" t="s">
        <v>364</v>
      </c>
      <c r="C5123" s="7"/>
      <c r="D5123" s="5" t="s">
        <v>464</v>
      </c>
      <c r="G5123" s="57" t="str">
        <f t="shared" si="83"/>
        <v>-</v>
      </c>
      <c r="H5123" s="19">
        <v>92500</v>
      </c>
      <c r="I5123" s="19" t="s">
        <v>465</v>
      </c>
    </row>
    <row r="5124" spans="1:10" x14ac:dyDescent="0.2">
      <c r="A5124" s="1" t="s">
        <v>39</v>
      </c>
      <c r="B5124" s="2" t="s">
        <v>364</v>
      </c>
      <c r="C5124" s="7"/>
      <c r="D5124" s="5" t="s">
        <v>464</v>
      </c>
      <c r="G5124" s="57" t="str">
        <f t="shared" si="83"/>
        <v>-</v>
      </c>
      <c r="H5124" s="19">
        <v>92500</v>
      </c>
      <c r="I5124" s="19" t="s">
        <v>465</v>
      </c>
    </row>
    <row r="5125" spans="1:10" x14ac:dyDescent="0.2">
      <c r="A5125" s="1" t="s">
        <v>39</v>
      </c>
      <c r="B5125" s="2" t="s">
        <v>364</v>
      </c>
      <c r="C5125" s="7"/>
      <c r="D5125" s="5" t="s">
        <v>464</v>
      </c>
      <c r="G5125" s="57" t="str">
        <f t="shared" si="83"/>
        <v>-</v>
      </c>
      <c r="H5125" s="19">
        <v>92500</v>
      </c>
      <c r="I5125" s="19" t="s">
        <v>465</v>
      </c>
    </row>
    <row r="5126" spans="1:10" x14ac:dyDescent="0.2">
      <c r="A5126" s="1" t="s">
        <v>39</v>
      </c>
      <c r="B5126" s="2" t="s">
        <v>364</v>
      </c>
      <c r="C5126" s="7"/>
      <c r="D5126" s="5" t="s">
        <v>464</v>
      </c>
      <c r="G5126" s="57" t="str">
        <f t="shared" si="83"/>
        <v>-</v>
      </c>
      <c r="H5126" s="19">
        <v>92500</v>
      </c>
      <c r="I5126" s="19" t="s">
        <v>465</v>
      </c>
    </row>
    <row r="5127" spans="1:10" x14ac:dyDescent="0.2">
      <c r="A5127" s="1" t="s">
        <v>39</v>
      </c>
      <c r="B5127" s="2" t="s">
        <v>364</v>
      </c>
      <c r="C5127" s="7"/>
      <c r="D5127" s="5" t="s">
        <v>464</v>
      </c>
      <c r="G5127" s="57" t="str">
        <f t="shared" si="83"/>
        <v>-</v>
      </c>
      <c r="H5127" s="19">
        <v>92500</v>
      </c>
      <c r="I5127" s="19" t="s">
        <v>465</v>
      </c>
    </row>
    <row r="5128" spans="1:10" x14ac:dyDescent="0.2">
      <c r="A5128" s="1" t="s">
        <v>39</v>
      </c>
      <c r="B5128" s="2" t="s">
        <v>364</v>
      </c>
      <c r="C5128" s="7"/>
      <c r="D5128" s="5" t="s">
        <v>464</v>
      </c>
      <c r="G5128" s="57" t="str">
        <f t="shared" si="83"/>
        <v>-</v>
      </c>
      <c r="H5128" s="19">
        <v>92500</v>
      </c>
      <c r="I5128" s="19" t="s">
        <v>465</v>
      </c>
    </row>
    <row r="5129" spans="1:10" x14ac:dyDescent="0.2">
      <c r="A5129" s="1" t="s">
        <v>39</v>
      </c>
      <c r="B5129" s="2" t="s">
        <v>364</v>
      </c>
      <c r="C5129" s="7"/>
      <c r="D5129" s="5" t="s">
        <v>464</v>
      </c>
      <c r="G5129" s="57" t="str">
        <f t="shared" si="83"/>
        <v>-</v>
      </c>
      <c r="H5129" s="19" t="s">
        <v>465</v>
      </c>
      <c r="I5129" s="19">
        <v>92500</v>
      </c>
      <c r="J5129" s="5" t="s">
        <v>539</v>
      </c>
    </row>
    <row r="5130" spans="1:10" x14ac:dyDescent="0.2">
      <c r="A5130" s="1" t="s">
        <v>39</v>
      </c>
      <c r="B5130" s="2" t="s">
        <v>364</v>
      </c>
      <c r="C5130" s="7"/>
      <c r="D5130" s="5" t="s">
        <v>464</v>
      </c>
      <c r="G5130" s="57" t="str">
        <f t="shared" si="83"/>
        <v>-</v>
      </c>
      <c r="H5130" s="19" t="s">
        <v>465</v>
      </c>
      <c r="I5130" s="19">
        <v>92500</v>
      </c>
      <c r="J5130" s="5" t="s">
        <v>539</v>
      </c>
    </row>
    <row r="5131" spans="1:10" x14ac:dyDescent="0.2">
      <c r="A5131" s="1" t="s">
        <v>39</v>
      </c>
      <c r="B5131" s="2" t="s">
        <v>364</v>
      </c>
      <c r="C5131" s="7"/>
      <c r="D5131" s="5" t="s">
        <v>464</v>
      </c>
      <c r="G5131" s="57" t="str">
        <f t="shared" si="83"/>
        <v>-</v>
      </c>
      <c r="H5131" s="19" t="s">
        <v>465</v>
      </c>
      <c r="I5131" s="19">
        <v>92500</v>
      </c>
    </row>
    <row r="5132" spans="1:10" x14ac:dyDescent="0.2">
      <c r="A5132" s="1" t="s">
        <v>39</v>
      </c>
      <c r="B5132" s="2" t="s">
        <v>364</v>
      </c>
      <c r="C5132" s="7"/>
      <c r="D5132" s="5" t="s">
        <v>464</v>
      </c>
      <c r="G5132" s="57" t="str">
        <f t="shared" si="83"/>
        <v>-</v>
      </c>
      <c r="H5132" s="19" t="s">
        <v>465</v>
      </c>
      <c r="I5132" s="19">
        <v>92500</v>
      </c>
    </row>
    <row r="5133" spans="1:10" x14ac:dyDescent="0.2">
      <c r="A5133" s="1" t="s">
        <v>39</v>
      </c>
      <c r="B5133" s="2" t="s">
        <v>364</v>
      </c>
      <c r="C5133" s="7"/>
      <c r="D5133" s="5" t="s">
        <v>464</v>
      </c>
      <c r="G5133" s="57" t="str">
        <f t="shared" si="83"/>
        <v>-</v>
      </c>
      <c r="H5133" s="19" t="s">
        <v>465</v>
      </c>
      <c r="I5133" s="19">
        <v>92500</v>
      </c>
    </row>
    <row r="5134" spans="1:10" x14ac:dyDescent="0.2">
      <c r="A5134" s="1" t="s">
        <v>39</v>
      </c>
      <c r="B5134" s="2" t="s">
        <v>364</v>
      </c>
      <c r="C5134" s="7"/>
      <c r="D5134" s="5" t="s">
        <v>464</v>
      </c>
      <c r="G5134" s="57" t="str">
        <f t="shared" si="83"/>
        <v>-</v>
      </c>
      <c r="H5134" s="19">
        <v>97500</v>
      </c>
      <c r="I5134" s="19" t="s">
        <v>465</v>
      </c>
    </row>
    <row r="5135" spans="1:10" x14ac:dyDescent="0.2">
      <c r="A5135" s="1" t="s">
        <v>39</v>
      </c>
      <c r="B5135" s="2" t="s">
        <v>364</v>
      </c>
      <c r="C5135" s="7"/>
      <c r="D5135" s="5" t="s">
        <v>464</v>
      </c>
      <c r="G5135" s="57" t="str">
        <f t="shared" si="83"/>
        <v>-</v>
      </c>
      <c r="H5135" s="19" t="s">
        <v>465</v>
      </c>
      <c r="I5135" s="19">
        <v>97500</v>
      </c>
    </row>
    <row r="5136" spans="1:10" x14ac:dyDescent="0.2">
      <c r="A5136" s="1" t="s">
        <v>39</v>
      </c>
      <c r="B5136" s="2" t="s">
        <v>364</v>
      </c>
      <c r="D5136" s="5" t="s">
        <v>464</v>
      </c>
      <c r="G5136" s="57" t="str">
        <f t="shared" si="83"/>
        <v>-</v>
      </c>
      <c r="H5136" s="19" t="s">
        <v>465</v>
      </c>
      <c r="I5136" s="19">
        <v>97500</v>
      </c>
    </row>
    <row r="5137" spans="1:10" x14ac:dyDescent="0.2">
      <c r="A5137" s="1" t="s">
        <v>39</v>
      </c>
      <c r="B5137" s="2" t="s">
        <v>364</v>
      </c>
      <c r="D5137" s="5" t="s">
        <v>464</v>
      </c>
      <c r="G5137" s="57" t="str">
        <f t="shared" si="83"/>
        <v>-</v>
      </c>
      <c r="H5137" s="19" t="s">
        <v>465</v>
      </c>
      <c r="I5137" s="19">
        <v>97500</v>
      </c>
    </row>
    <row r="5138" spans="1:10" x14ac:dyDescent="0.2">
      <c r="A5138" s="1" t="s">
        <v>39</v>
      </c>
      <c r="B5138" s="2" t="s">
        <v>364</v>
      </c>
      <c r="D5138" s="5" t="s">
        <v>464</v>
      </c>
      <c r="G5138" s="57" t="str">
        <f t="shared" si="83"/>
        <v>-</v>
      </c>
      <c r="H5138" s="19" t="s">
        <v>465</v>
      </c>
      <c r="I5138" s="19">
        <v>97500</v>
      </c>
    </row>
    <row r="5139" spans="1:10" x14ac:dyDescent="0.2">
      <c r="A5139" s="1" t="s">
        <v>39</v>
      </c>
      <c r="B5139" s="2" t="s">
        <v>364</v>
      </c>
      <c r="D5139" s="5" t="s">
        <v>464</v>
      </c>
      <c r="G5139" s="57" t="str">
        <f t="shared" si="83"/>
        <v>-</v>
      </c>
      <c r="H5139" s="19" t="s">
        <v>465</v>
      </c>
      <c r="I5139" s="19">
        <v>97500</v>
      </c>
    </row>
    <row r="5140" spans="1:10" x14ac:dyDescent="0.2">
      <c r="A5140" s="1" t="s">
        <v>39</v>
      </c>
      <c r="B5140" s="2" t="s">
        <v>364</v>
      </c>
      <c r="D5140" s="5" t="s">
        <v>464</v>
      </c>
      <c r="G5140" s="57" t="str">
        <f t="shared" si="83"/>
        <v>-</v>
      </c>
      <c r="H5140" s="19" t="s">
        <v>465</v>
      </c>
      <c r="I5140" s="19">
        <v>97500</v>
      </c>
    </row>
    <row r="5141" spans="1:10" x14ac:dyDescent="0.2">
      <c r="A5141" s="1" t="s">
        <v>39</v>
      </c>
      <c r="B5141" s="2" t="s">
        <v>364</v>
      </c>
      <c r="D5141" s="5" t="s">
        <v>464</v>
      </c>
      <c r="G5141" s="57" t="str">
        <f t="shared" si="83"/>
        <v>-</v>
      </c>
      <c r="H5141" s="19" t="s">
        <v>465</v>
      </c>
      <c r="I5141" s="19">
        <v>97500</v>
      </c>
    </row>
    <row r="5142" spans="1:10" x14ac:dyDescent="0.2">
      <c r="A5142" s="1" t="s">
        <v>39</v>
      </c>
      <c r="B5142" s="2" t="s">
        <v>364</v>
      </c>
      <c r="D5142" s="5" t="s">
        <v>464</v>
      </c>
      <c r="E5142" s="3">
        <v>102500</v>
      </c>
      <c r="F5142" s="3" t="s">
        <v>465</v>
      </c>
      <c r="G5142" s="57" t="str">
        <f t="shared" si="83"/>
        <v>-</v>
      </c>
      <c r="J5142" s="5" t="s">
        <v>539</v>
      </c>
    </row>
    <row r="5143" spans="1:10" x14ac:dyDescent="0.2">
      <c r="A5143" s="1" t="s">
        <v>39</v>
      </c>
      <c r="B5143" s="2" t="s">
        <v>364</v>
      </c>
      <c r="D5143" s="5" t="s">
        <v>464</v>
      </c>
      <c r="E5143" s="3">
        <v>102500</v>
      </c>
      <c r="F5143" s="3" t="s">
        <v>465</v>
      </c>
      <c r="G5143" s="57" t="str">
        <f t="shared" si="83"/>
        <v>-</v>
      </c>
    </row>
    <row r="5144" spans="1:10" x14ac:dyDescent="0.2">
      <c r="A5144" s="1" t="s">
        <v>39</v>
      </c>
      <c r="B5144" s="2" t="s">
        <v>364</v>
      </c>
      <c r="D5144" s="5" t="s">
        <v>464</v>
      </c>
      <c r="E5144" s="3">
        <v>102500</v>
      </c>
      <c r="F5144" s="3" t="s">
        <v>465</v>
      </c>
      <c r="G5144" s="57" t="str">
        <f t="shared" si="83"/>
        <v>-</v>
      </c>
    </row>
    <row r="5145" spans="1:10" x14ac:dyDescent="0.2">
      <c r="A5145" s="1" t="s">
        <v>39</v>
      </c>
      <c r="B5145" s="2" t="s">
        <v>364</v>
      </c>
      <c r="D5145" s="5" t="s">
        <v>464</v>
      </c>
      <c r="E5145" s="3">
        <v>102500</v>
      </c>
      <c r="F5145" s="3" t="s">
        <v>465</v>
      </c>
      <c r="G5145" s="57" t="str">
        <f t="shared" si="83"/>
        <v>-</v>
      </c>
    </row>
    <row r="5146" spans="1:10" x14ac:dyDescent="0.2">
      <c r="A5146" s="1" t="s">
        <v>39</v>
      </c>
      <c r="B5146" s="2" t="s">
        <v>364</v>
      </c>
      <c r="D5146" s="5" t="s">
        <v>464</v>
      </c>
      <c r="E5146" s="3">
        <v>102500</v>
      </c>
      <c r="F5146" s="3" t="s">
        <v>465</v>
      </c>
      <c r="G5146" s="57" t="str">
        <f t="shared" si="83"/>
        <v>-</v>
      </c>
    </row>
    <row r="5147" spans="1:10" x14ac:dyDescent="0.2">
      <c r="A5147" s="1" t="s">
        <v>39</v>
      </c>
      <c r="B5147" s="2" t="s">
        <v>364</v>
      </c>
      <c r="D5147" s="5" t="s">
        <v>464</v>
      </c>
      <c r="E5147" s="3" t="s">
        <v>465</v>
      </c>
      <c r="F5147" s="3">
        <v>102500</v>
      </c>
      <c r="G5147" s="57" t="str">
        <f t="shared" si="83"/>
        <v>-</v>
      </c>
    </row>
    <row r="5148" spans="1:10" x14ac:dyDescent="0.2">
      <c r="A5148" s="1" t="s">
        <v>39</v>
      </c>
      <c r="B5148" s="2" t="s">
        <v>364</v>
      </c>
      <c r="D5148" s="5" t="s">
        <v>464</v>
      </c>
      <c r="E5148" s="3" t="s">
        <v>465</v>
      </c>
      <c r="F5148" s="3">
        <v>102500</v>
      </c>
      <c r="G5148" s="57" t="str">
        <f t="shared" si="83"/>
        <v>-</v>
      </c>
    </row>
    <row r="5149" spans="1:10" x14ac:dyDescent="0.2">
      <c r="A5149" s="1" t="s">
        <v>39</v>
      </c>
      <c r="B5149" s="2" t="s">
        <v>364</v>
      </c>
      <c r="D5149" s="5" t="s">
        <v>464</v>
      </c>
      <c r="E5149" s="3" t="s">
        <v>465</v>
      </c>
      <c r="F5149" s="3">
        <v>102500</v>
      </c>
      <c r="G5149" s="57" t="str">
        <f t="shared" si="83"/>
        <v>-</v>
      </c>
    </row>
    <row r="5150" spans="1:10" x14ac:dyDescent="0.2">
      <c r="A5150" s="1" t="s">
        <v>39</v>
      </c>
      <c r="B5150" s="2" t="s">
        <v>364</v>
      </c>
      <c r="D5150" s="5" t="s">
        <v>464</v>
      </c>
      <c r="E5150" s="3" t="s">
        <v>465</v>
      </c>
      <c r="F5150" s="3">
        <v>102500</v>
      </c>
      <c r="G5150" s="57" t="str">
        <f t="shared" si="83"/>
        <v>-</v>
      </c>
    </row>
    <row r="5151" spans="1:10" x14ac:dyDescent="0.2">
      <c r="A5151" s="1" t="s">
        <v>39</v>
      </c>
      <c r="B5151" s="2" t="s">
        <v>364</v>
      </c>
      <c r="D5151" s="5" t="s">
        <v>464</v>
      </c>
      <c r="E5151" s="3" t="s">
        <v>465</v>
      </c>
      <c r="F5151" s="3">
        <v>102500</v>
      </c>
      <c r="G5151" s="57" t="str">
        <f t="shared" si="83"/>
        <v>-</v>
      </c>
    </row>
    <row r="5152" spans="1:10" x14ac:dyDescent="0.2">
      <c r="A5152" s="1" t="s">
        <v>39</v>
      </c>
      <c r="B5152" s="2" t="s">
        <v>364</v>
      </c>
      <c r="D5152" s="5" t="s">
        <v>464</v>
      </c>
      <c r="E5152" s="3" t="s">
        <v>465</v>
      </c>
      <c r="F5152" s="3">
        <v>102500</v>
      </c>
      <c r="G5152" s="57" t="str">
        <f t="shared" si="83"/>
        <v>-</v>
      </c>
    </row>
    <row r="5153" spans="1:10" x14ac:dyDescent="0.2">
      <c r="A5153" s="1" t="s">
        <v>39</v>
      </c>
      <c r="B5153" s="2" t="s">
        <v>364</v>
      </c>
      <c r="D5153" s="5" t="s">
        <v>464</v>
      </c>
      <c r="E5153" s="3">
        <v>107500</v>
      </c>
      <c r="F5153" s="3" t="s">
        <v>465</v>
      </c>
      <c r="G5153" s="57" t="str">
        <f t="shared" si="83"/>
        <v>-</v>
      </c>
    </row>
    <row r="5154" spans="1:10" x14ac:dyDescent="0.2">
      <c r="A5154" s="1" t="s">
        <v>39</v>
      </c>
      <c r="B5154" s="2" t="s">
        <v>364</v>
      </c>
      <c r="D5154" s="5" t="s">
        <v>464</v>
      </c>
      <c r="E5154" s="3" t="s">
        <v>465</v>
      </c>
      <c r="F5154" s="3">
        <v>107500</v>
      </c>
      <c r="G5154" s="57" t="str">
        <f t="shared" si="83"/>
        <v>-</v>
      </c>
      <c r="J5154" s="5" t="s">
        <v>539</v>
      </c>
    </row>
    <row r="5155" spans="1:10" x14ac:dyDescent="0.2">
      <c r="A5155" s="1" t="s">
        <v>39</v>
      </c>
      <c r="B5155" s="2" t="s">
        <v>364</v>
      </c>
      <c r="D5155" s="5" t="s">
        <v>464</v>
      </c>
      <c r="E5155" s="3" t="s">
        <v>465</v>
      </c>
      <c r="F5155" s="3">
        <v>112500</v>
      </c>
      <c r="G5155" s="57" t="str">
        <f t="shared" si="83"/>
        <v>-</v>
      </c>
      <c r="J5155" s="5" t="s">
        <v>539</v>
      </c>
    </row>
    <row r="5156" spans="1:10" x14ac:dyDescent="0.2">
      <c r="A5156" s="1" t="s">
        <v>39</v>
      </c>
      <c r="B5156" s="2" t="s">
        <v>364</v>
      </c>
      <c r="D5156" s="5" t="s">
        <v>464</v>
      </c>
      <c r="E5156" s="3" t="s">
        <v>465</v>
      </c>
      <c r="F5156" s="3">
        <v>112500</v>
      </c>
      <c r="G5156" s="57" t="str">
        <f t="shared" si="83"/>
        <v>-</v>
      </c>
    </row>
    <row r="5157" spans="1:10" x14ac:dyDescent="0.2">
      <c r="A5157" s="1" t="s">
        <v>39</v>
      </c>
      <c r="B5157" s="2" t="s">
        <v>364</v>
      </c>
      <c r="D5157" s="5" t="s">
        <v>464</v>
      </c>
      <c r="E5157" s="3" t="s">
        <v>465</v>
      </c>
      <c r="F5157" s="3">
        <v>112500</v>
      </c>
      <c r="G5157" s="57" t="str">
        <f t="shared" si="83"/>
        <v>-</v>
      </c>
    </row>
    <row r="5158" spans="1:10" x14ac:dyDescent="0.2">
      <c r="A5158" s="1" t="s">
        <v>39</v>
      </c>
      <c r="B5158" s="2" t="s">
        <v>364</v>
      </c>
      <c r="D5158" s="5" t="s">
        <v>464</v>
      </c>
      <c r="E5158" s="3">
        <v>117500</v>
      </c>
      <c r="F5158" s="3" t="s">
        <v>465</v>
      </c>
      <c r="G5158" s="57" t="str">
        <f t="shared" si="83"/>
        <v>-</v>
      </c>
    </row>
    <row r="5159" spans="1:10" x14ac:dyDescent="0.2">
      <c r="A5159" s="1" t="s">
        <v>39</v>
      </c>
      <c r="B5159" s="2" t="s">
        <v>364</v>
      </c>
      <c r="D5159" s="5" t="s">
        <v>464</v>
      </c>
      <c r="E5159" s="3">
        <v>117500</v>
      </c>
      <c r="F5159" s="3" t="s">
        <v>465</v>
      </c>
      <c r="G5159" s="57" t="str">
        <f t="shared" si="83"/>
        <v>-</v>
      </c>
    </row>
    <row r="5160" spans="1:10" x14ac:dyDescent="0.2">
      <c r="A5160" s="1" t="s">
        <v>39</v>
      </c>
      <c r="B5160" s="2" t="s">
        <v>364</v>
      </c>
      <c r="D5160" s="5" t="s">
        <v>464</v>
      </c>
      <c r="E5160" s="3" t="s">
        <v>465</v>
      </c>
      <c r="F5160" s="3">
        <v>117500</v>
      </c>
      <c r="G5160" s="57" t="str">
        <f t="shared" si="83"/>
        <v>-</v>
      </c>
      <c r="J5160" s="5" t="s">
        <v>539</v>
      </c>
    </row>
    <row r="5161" spans="1:10" x14ac:dyDescent="0.2">
      <c r="A5161" s="1" t="s">
        <v>39</v>
      </c>
      <c r="B5161" s="2" t="s">
        <v>364</v>
      </c>
      <c r="D5161" s="5" t="s">
        <v>464</v>
      </c>
      <c r="E5161" s="3" t="s">
        <v>465</v>
      </c>
      <c r="F5161" s="3">
        <v>117500</v>
      </c>
      <c r="G5161" s="57" t="str">
        <f t="shared" si="83"/>
        <v>-</v>
      </c>
    </row>
    <row r="5162" spans="1:10" x14ac:dyDescent="0.2">
      <c r="A5162" s="1" t="s">
        <v>39</v>
      </c>
      <c r="B5162" s="2" t="s">
        <v>364</v>
      </c>
      <c r="D5162" s="5" t="s">
        <v>464</v>
      </c>
      <c r="E5162" s="3" t="s">
        <v>465</v>
      </c>
      <c r="F5162" s="3">
        <v>117500</v>
      </c>
      <c r="G5162" s="57" t="str">
        <f t="shared" si="83"/>
        <v>-</v>
      </c>
    </row>
    <row r="5163" spans="1:10" x14ac:dyDescent="0.2">
      <c r="A5163" s="1" t="s">
        <v>39</v>
      </c>
      <c r="B5163" s="2" t="s">
        <v>364</v>
      </c>
      <c r="D5163" s="5" t="s">
        <v>464</v>
      </c>
      <c r="E5163" s="3" t="s">
        <v>465</v>
      </c>
      <c r="F5163" s="3">
        <v>122500</v>
      </c>
      <c r="G5163" s="57" t="str">
        <f t="shared" si="83"/>
        <v>-</v>
      </c>
    </row>
    <row r="5164" spans="1:10" x14ac:dyDescent="0.2">
      <c r="A5164" s="1" t="s">
        <v>39</v>
      </c>
      <c r="B5164" s="2" t="s">
        <v>364</v>
      </c>
      <c r="D5164" s="5" t="s">
        <v>464</v>
      </c>
      <c r="E5164" s="3" t="s">
        <v>465</v>
      </c>
      <c r="F5164" s="3">
        <v>127500</v>
      </c>
      <c r="G5164" s="57" t="str">
        <f t="shared" si="83"/>
        <v>-</v>
      </c>
      <c r="J5164" s="5" t="s">
        <v>539</v>
      </c>
    </row>
    <row r="5165" spans="1:10" x14ac:dyDescent="0.2">
      <c r="A5165" s="1" t="s">
        <v>39</v>
      </c>
      <c r="B5165" s="2" t="s">
        <v>364</v>
      </c>
      <c r="D5165" s="5" t="s">
        <v>464</v>
      </c>
      <c r="E5165" s="3">
        <v>132500</v>
      </c>
      <c r="F5165" s="3" t="s">
        <v>465</v>
      </c>
      <c r="G5165" s="57" t="str">
        <f t="shared" si="83"/>
        <v>-</v>
      </c>
    </row>
    <row r="5166" spans="1:10" x14ac:dyDescent="0.2">
      <c r="A5166" s="1" t="s">
        <v>39</v>
      </c>
      <c r="B5166" s="2" t="s">
        <v>364</v>
      </c>
      <c r="D5166" s="5" t="s">
        <v>464</v>
      </c>
      <c r="E5166" s="3" t="s">
        <v>465</v>
      </c>
      <c r="F5166" s="3">
        <v>132500</v>
      </c>
      <c r="G5166" s="57" t="str">
        <f t="shared" si="83"/>
        <v>-</v>
      </c>
      <c r="J5166" s="5" t="s">
        <v>539</v>
      </c>
    </row>
    <row r="5167" spans="1:10" x14ac:dyDescent="0.2">
      <c r="A5167" s="1" t="s">
        <v>39</v>
      </c>
      <c r="B5167" s="2" t="s">
        <v>364</v>
      </c>
      <c r="D5167" s="5" t="s">
        <v>464</v>
      </c>
      <c r="E5167" s="3" t="s">
        <v>465</v>
      </c>
      <c r="F5167" s="3">
        <v>137500</v>
      </c>
      <c r="G5167" s="57" t="str">
        <f t="shared" si="83"/>
        <v>-</v>
      </c>
      <c r="J5167" s="5" t="s">
        <v>539</v>
      </c>
    </row>
    <row r="5168" spans="1:10" x14ac:dyDescent="0.2">
      <c r="A5168" s="1" t="s">
        <v>39</v>
      </c>
      <c r="B5168" s="2" t="s">
        <v>364</v>
      </c>
      <c r="D5168" s="5" t="s">
        <v>464</v>
      </c>
      <c r="E5168" s="3" t="s">
        <v>465</v>
      </c>
      <c r="F5168" s="3">
        <v>137500</v>
      </c>
      <c r="G5168" s="57" t="str">
        <f t="shared" si="83"/>
        <v>-</v>
      </c>
    </row>
    <row r="5169" spans="1:10" x14ac:dyDescent="0.2">
      <c r="A5169" s="1" t="s">
        <v>39</v>
      </c>
      <c r="B5169" s="2" t="s">
        <v>364</v>
      </c>
      <c r="D5169" s="5" t="s">
        <v>464</v>
      </c>
      <c r="E5169" s="3" t="s">
        <v>465</v>
      </c>
      <c r="F5169" s="3">
        <v>147500</v>
      </c>
      <c r="G5169" s="57" t="str">
        <f t="shared" si="83"/>
        <v>-</v>
      </c>
    </row>
    <row r="5170" spans="1:10" x14ac:dyDescent="0.2">
      <c r="A5170" s="1" t="s">
        <v>39</v>
      </c>
      <c r="B5170" s="2" t="s">
        <v>364</v>
      </c>
      <c r="D5170" s="5" t="s">
        <v>464</v>
      </c>
      <c r="E5170" s="3">
        <v>152500</v>
      </c>
      <c r="F5170" s="3" t="s">
        <v>465</v>
      </c>
      <c r="G5170" s="57" t="str">
        <f t="shared" si="83"/>
        <v>-</v>
      </c>
      <c r="J5170" s="5" t="s">
        <v>539</v>
      </c>
    </row>
    <row r="5171" spans="1:10" x14ac:dyDescent="0.2">
      <c r="A5171" s="1" t="s">
        <v>39</v>
      </c>
      <c r="B5171" s="2" t="s">
        <v>364</v>
      </c>
      <c r="D5171" s="5" t="s">
        <v>464</v>
      </c>
      <c r="E5171" s="3" t="s">
        <v>465</v>
      </c>
      <c r="F5171" s="3">
        <v>152500</v>
      </c>
      <c r="G5171" s="57" t="str">
        <f t="shared" si="83"/>
        <v>-</v>
      </c>
      <c r="J5171" s="5" t="s">
        <v>539</v>
      </c>
    </row>
    <row r="5172" spans="1:10" ht="51" x14ac:dyDescent="0.2">
      <c r="A5172" s="1" t="s">
        <v>39</v>
      </c>
      <c r="B5172" s="17" t="s">
        <v>4466</v>
      </c>
      <c r="C5172" s="5" t="s">
        <v>782</v>
      </c>
      <c r="D5172" s="5" t="s">
        <v>783</v>
      </c>
      <c r="E5172" s="3">
        <v>205039</v>
      </c>
      <c r="F5172" s="3">
        <v>202863</v>
      </c>
      <c r="G5172" s="57">
        <f t="shared" si="83"/>
        <v>-1.0612615161018147E-2</v>
      </c>
      <c r="J5172" s="5" t="s">
        <v>2592</v>
      </c>
    </row>
    <row r="5173" spans="1:10" ht="51" x14ac:dyDescent="0.2">
      <c r="A5173" s="1" t="s">
        <v>39</v>
      </c>
      <c r="B5173" s="12" t="s">
        <v>365</v>
      </c>
      <c r="D5173" s="5" t="s">
        <v>784</v>
      </c>
      <c r="E5173" s="3">
        <v>138276</v>
      </c>
      <c r="F5173" s="3">
        <v>145927</v>
      </c>
      <c r="G5173" s="57">
        <f t="shared" si="83"/>
        <v>5.5331366253001245E-2</v>
      </c>
      <c r="J5173" s="5" t="s">
        <v>2591</v>
      </c>
    </row>
    <row r="5174" spans="1:10" ht="51" x14ac:dyDescent="0.2">
      <c r="A5174" s="1" t="s">
        <v>39</v>
      </c>
      <c r="B5174" s="12" t="s">
        <v>365</v>
      </c>
      <c r="D5174" s="5" t="s">
        <v>785</v>
      </c>
      <c r="E5174" s="3">
        <v>133926</v>
      </c>
      <c r="F5174" s="3">
        <v>139876</v>
      </c>
      <c r="G5174" s="57">
        <f t="shared" si="83"/>
        <v>4.4427519675044429E-2</v>
      </c>
      <c r="J5174" s="5" t="s">
        <v>2593</v>
      </c>
    </row>
    <row r="5175" spans="1:10" ht="25.5" x14ac:dyDescent="0.2">
      <c r="A5175" s="1" t="s">
        <v>20</v>
      </c>
      <c r="B5175" s="2" t="s">
        <v>366</v>
      </c>
      <c r="D5175" s="5" t="s">
        <v>450</v>
      </c>
      <c r="E5175" s="3">
        <v>142417</v>
      </c>
      <c r="F5175" s="3">
        <v>150897</v>
      </c>
      <c r="G5175" s="57">
        <f t="shared" si="83"/>
        <v>5.9543453379863359E-2</v>
      </c>
      <c r="J5175" s="5" t="s">
        <v>2587</v>
      </c>
    </row>
    <row r="5176" spans="1:10" ht="25.5" x14ac:dyDescent="0.2">
      <c r="A5176" s="1" t="s">
        <v>20</v>
      </c>
      <c r="B5176" s="2" t="s">
        <v>366</v>
      </c>
      <c r="D5176" s="5" t="s">
        <v>574</v>
      </c>
      <c r="E5176" s="3">
        <v>115579</v>
      </c>
      <c r="F5176" s="3">
        <v>121039</v>
      </c>
      <c r="G5176" s="57">
        <f t="shared" si="83"/>
        <v>4.7240415646440964E-2</v>
      </c>
      <c r="J5176" s="5" t="s">
        <v>2588</v>
      </c>
    </row>
    <row r="5177" spans="1:10" ht="38.25" x14ac:dyDescent="0.2">
      <c r="A5177" s="1" t="s">
        <v>20</v>
      </c>
      <c r="B5177" s="2" t="s">
        <v>366</v>
      </c>
      <c r="D5177" s="5" t="s">
        <v>2586</v>
      </c>
      <c r="E5177" s="3">
        <v>114714</v>
      </c>
      <c r="F5177" s="3">
        <v>39694</v>
      </c>
      <c r="G5177" s="57">
        <f t="shared" si="83"/>
        <v>-0.65397423156720191</v>
      </c>
      <c r="J5177" s="5" t="s">
        <v>2589</v>
      </c>
    </row>
    <row r="5178" spans="1:10" x14ac:dyDescent="0.2">
      <c r="A5178" s="1" t="s">
        <v>20</v>
      </c>
      <c r="B5178" s="2" t="s">
        <v>366</v>
      </c>
      <c r="D5178" s="5" t="s">
        <v>464</v>
      </c>
      <c r="E5178" s="3">
        <v>112500</v>
      </c>
      <c r="F5178" s="3" t="s">
        <v>465</v>
      </c>
      <c r="G5178" s="57" t="str">
        <f t="shared" si="83"/>
        <v>-</v>
      </c>
    </row>
    <row r="5179" spans="1:10" x14ac:dyDescent="0.2">
      <c r="A5179" s="1" t="s">
        <v>20</v>
      </c>
      <c r="B5179" s="2" t="s">
        <v>366</v>
      </c>
      <c r="D5179" s="5" t="s">
        <v>464</v>
      </c>
      <c r="E5179" s="3">
        <v>122500</v>
      </c>
      <c r="F5179" s="3" t="s">
        <v>465</v>
      </c>
      <c r="G5179" s="57" t="str">
        <f t="shared" si="83"/>
        <v>-</v>
      </c>
    </row>
    <row r="5180" spans="1:10" x14ac:dyDescent="0.2">
      <c r="A5180" s="1" t="s">
        <v>20</v>
      </c>
      <c r="B5180" s="2" t="s">
        <v>366</v>
      </c>
      <c r="D5180" s="5" t="s">
        <v>464</v>
      </c>
      <c r="E5180" s="3">
        <v>122500</v>
      </c>
      <c r="F5180" s="3" t="s">
        <v>465</v>
      </c>
      <c r="G5180" s="57" t="str">
        <f t="shared" ref="G5180:G5243" si="84">IF(ISERROR((F5180-E5180)/E5180),"-",(F5180-E5180)/E5180)</f>
        <v>-</v>
      </c>
    </row>
    <row r="5181" spans="1:10" ht="25.5" x14ac:dyDescent="0.2">
      <c r="A5181" s="1" t="s">
        <v>1</v>
      </c>
      <c r="B5181" s="2" t="s">
        <v>367</v>
      </c>
      <c r="C5181" s="5" t="s">
        <v>776</v>
      </c>
      <c r="D5181" s="5" t="s">
        <v>450</v>
      </c>
      <c r="E5181" s="3">
        <v>119429</v>
      </c>
      <c r="F5181" s="3">
        <v>124937</v>
      </c>
      <c r="G5181" s="57">
        <f t="shared" si="84"/>
        <v>4.6119451724455536E-2</v>
      </c>
      <c r="J5181" s="5" t="s">
        <v>2582</v>
      </c>
    </row>
    <row r="5182" spans="1:10" ht="25.5" x14ac:dyDescent="0.2">
      <c r="A5182" s="1" t="s">
        <v>1</v>
      </c>
      <c r="B5182" s="2" t="s">
        <v>367</v>
      </c>
      <c r="C5182" s="5" t="s">
        <v>777</v>
      </c>
      <c r="D5182" s="5" t="s">
        <v>451</v>
      </c>
      <c r="E5182" s="3">
        <v>108806</v>
      </c>
      <c r="F5182" s="3">
        <v>112232</v>
      </c>
      <c r="G5182" s="57">
        <f t="shared" si="84"/>
        <v>3.1487234159880889E-2</v>
      </c>
      <c r="J5182" s="5" t="s">
        <v>2583</v>
      </c>
    </row>
    <row r="5183" spans="1:10" ht="25.5" x14ac:dyDescent="0.2">
      <c r="A5183" s="1" t="s">
        <v>1</v>
      </c>
      <c r="B5183" s="2" t="s">
        <v>367</v>
      </c>
      <c r="C5183" s="5" t="s">
        <v>778</v>
      </c>
      <c r="D5183" s="5" t="s">
        <v>451</v>
      </c>
      <c r="E5183" s="3">
        <v>96889</v>
      </c>
      <c r="F5183" s="3">
        <v>109378</v>
      </c>
      <c r="G5183" s="57">
        <f t="shared" si="84"/>
        <v>0.12890008153660373</v>
      </c>
      <c r="J5183" s="5" t="s">
        <v>2584</v>
      </c>
    </row>
    <row r="5184" spans="1:10" ht="25.5" x14ac:dyDescent="0.2">
      <c r="A5184" s="1" t="s">
        <v>1</v>
      </c>
      <c r="B5184" s="2" t="s">
        <v>367</v>
      </c>
      <c r="C5184" s="5" t="s">
        <v>779</v>
      </c>
      <c r="D5184" s="5" t="s">
        <v>451</v>
      </c>
      <c r="E5184" s="3">
        <v>98236</v>
      </c>
      <c r="F5184" s="3">
        <f>91846+16991</f>
        <v>108837</v>
      </c>
      <c r="G5184" s="57">
        <f t="shared" si="84"/>
        <v>0.10791359583044913</v>
      </c>
      <c r="J5184" s="5" t="s">
        <v>2585</v>
      </c>
    </row>
    <row r="5185" spans="1:10" ht="25.5" x14ac:dyDescent="0.2">
      <c r="A5185" s="1" t="s">
        <v>6</v>
      </c>
      <c r="B5185" s="2" t="s">
        <v>368</v>
      </c>
      <c r="C5185" s="5" t="s">
        <v>772</v>
      </c>
      <c r="D5185" s="5" t="s">
        <v>450</v>
      </c>
      <c r="E5185" s="3" t="s">
        <v>465</v>
      </c>
      <c r="F5185" s="3">
        <v>202000</v>
      </c>
      <c r="G5185" s="57" t="str">
        <f t="shared" si="84"/>
        <v>-</v>
      </c>
      <c r="J5185" s="5" t="s">
        <v>4468</v>
      </c>
    </row>
    <row r="5186" spans="1:10" x14ac:dyDescent="0.2">
      <c r="A5186" s="1" t="s">
        <v>6</v>
      </c>
      <c r="B5186" s="2" t="s">
        <v>368</v>
      </c>
      <c r="C5186" s="5" t="s">
        <v>2568</v>
      </c>
      <c r="D5186" s="5" t="s">
        <v>450</v>
      </c>
      <c r="E5186" s="3">
        <v>192000</v>
      </c>
      <c r="F5186" s="3">
        <v>18000</v>
      </c>
      <c r="G5186" s="57">
        <f t="shared" si="84"/>
        <v>-0.90625</v>
      </c>
      <c r="J5186" s="5" t="s">
        <v>2569</v>
      </c>
    </row>
    <row r="5187" spans="1:10" ht="25.5" x14ac:dyDescent="0.2">
      <c r="A5187" s="1" t="s">
        <v>6</v>
      </c>
      <c r="B5187" s="2" t="s">
        <v>368</v>
      </c>
      <c r="D5187" s="5" t="s">
        <v>773</v>
      </c>
      <c r="E5187" s="3">
        <v>155000</v>
      </c>
      <c r="F5187" s="3">
        <v>159000</v>
      </c>
      <c r="G5187" s="57">
        <f t="shared" si="84"/>
        <v>2.5806451612903226E-2</v>
      </c>
      <c r="J5187" s="5" t="s">
        <v>2570</v>
      </c>
    </row>
    <row r="5188" spans="1:10" ht="38.25" x14ac:dyDescent="0.2">
      <c r="A5188" s="1" t="s">
        <v>6</v>
      </c>
      <c r="B5188" s="2" t="s">
        <v>368</v>
      </c>
      <c r="D5188" s="5" t="s">
        <v>451</v>
      </c>
      <c r="E5188" s="3">
        <v>60000</v>
      </c>
      <c r="F5188" s="3">
        <v>104000</v>
      </c>
      <c r="G5188" s="57">
        <f t="shared" si="84"/>
        <v>0.73333333333333328</v>
      </c>
      <c r="J5188" s="5" t="s">
        <v>4467</v>
      </c>
    </row>
    <row r="5189" spans="1:10" ht="25.5" x14ac:dyDescent="0.2">
      <c r="A5189" s="1" t="s">
        <v>6</v>
      </c>
      <c r="B5189" s="2" t="s">
        <v>368</v>
      </c>
      <c r="D5189" s="5" t="s">
        <v>451</v>
      </c>
      <c r="E5189" s="3">
        <v>91000</v>
      </c>
      <c r="F5189" s="3">
        <v>101000</v>
      </c>
      <c r="G5189" s="57">
        <f t="shared" si="84"/>
        <v>0.10989010989010989</v>
      </c>
      <c r="J5189" s="5" t="s">
        <v>2464</v>
      </c>
    </row>
    <row r="5190" spans="1:10" ht="25.5" x14ac:dyDescent="0.2">
      <c r="A5190" s="1" t="s">
        <v>6</v>
      </c>
      <c r="B5190" s="2" t="s">
        <v>368</v>
      </c>
      <c r="D5190" s="5" t="s">
        <v>468</v>
      </c>
      <c r="E5190" s="3" t="s">
        <v>465</v>
      </c>
      <c r="F5190" s="3">
        <v>152000</v>
      </c>
      <c r="G5190" s="57" t="str">
        <f t="shared" si="84"/>
        <v>-</v>
      </c>
      <c r="J5190" s="5" t="s">
        <v>2571</v>
      </c>
    </row>
    <row r="5191" spans="1:10" ht="25.5" x14ac:dyDescent="0.2">
      <c r="A5191" s="1" t="s">
        <v>6</v>
      </c>
      <c r="B5191" s="2" t="s">
        <v>368</v>
      </c>
      <c r="D5191" s="5" t="s">
        <v>468</v>
      </c>
      <c r="E5191" s="3" t="s">
        <v>465</v>
      </c>
      <c r="F5191" s="3">
        <v>135000</v>
      </c>
      <c r="G5191" s="57" t="str">
        <f t="shared" si="84"/>
        <v>-</v>
      </c>
      <c r="J5191" s="5" t="s">
        <v>2572</v>
      </c>
    </row>
    <row r="5192" spans="1:10" x14ac:dyDescent="0.2">
      <c r="A5192" s="1" t="s">
        <v>6</v>
      </c>
      <c r="B5192" s="2" t="s">
        <v>368</v>
      </c>
      <c r="D5192" s="5" t="s">
        <v>468</v>
      </c>
      <c r="E5192" s="3">
        <v>148000</v>
      </c>
      <c r="F5192" s="3" t="s">
        <v>465</v>
      </c>
      <c r="G5192" s="57" t="str">
        <f t="shared" si="84"/>
        <v>-</v>
      </c>
    </row>
    <row r="5193" spans="1:10" x14ac:dyDescent="0.2">
      <c r="A5193" s="1" t="s">
        <v>6</v>
      </c>
      <c r="B5193" s="2" t="s">
        <v>368</v>
      </c>
      <c r="D5193" s="5" t="s">
        <v>468</v>
      </c>
      <c r="E5193" s="3">
        <v>135000</v>
      </c>
      <c r="F5193" s="3" t="s">
        <v>465</v>
      </c>
      <c r="G5193" s="57" t="str">
        <f t="shared" si="84"/>
        <v>-</v>
      </c>
    </row>
    <row r="5194" spans="1:10" ht="25.5" x14ac:dyDescent="0.2">
      <c r="A5194" s="1" t="s">
        <v>6</v>
      </c>
      <c r="B5194" s="2" t="s">
        <v>368</v>
      </c>
      <c r="D5194" s="5" t="s">
        <v>774</v>
      </c>
      <c r="E5194" s="3">
        <v>111000</v>
      </c>
      <c r="F5194" s="3">
        <v>109000</v>
      </c>
      <c r="G5194" s="57">
        <f t="shared" si="84"/>
        <v>-1.8018018018018018E-2</v>
      </c>
      <c r="J5194" s="5" t="s">
        <v>2573</v>
      </c>
    </row>
    <row r="5195" spans="1:10" ht="38.25" x14ac:dyDescent="0.2">
      <c r="A5195" s="1" t="s">
        <v>6</v>
      </c>
      <c r="B5195" s="2" t="s">
        <v>368</v>
      </c>
      <c r="D5195" s="5" t="s">
        <v>775</v>
      </c>
      <c r="E5195" s="3" t="s">
        <v>465</v>
      </c>
      <c r="F5195" s="3">
        <v>110000</v>
      </c>
      <c r="G5195" s="57" t="str">
        <f t="shared" si="84"/>
        <v>-</v>
      </c>
      <c r="J5195" s="5" t="s">
        <v>2879</v>
      </c>
    </row>
    <row r="5196" spans="1:10" ht="25.5" x14ac:dyDescent="0.2">
      <c r="A5196" s="1" t="s">
        <v>6</v>
      </c>
      <c r="B5196" s="2" t="s">
        <v>368</v>
      </c>
      <c r="D5196" s="5" t="s">
        <v>775</v>
      </c>
      <c r="E5196" s="3" t="s">
        <v>465</v>
      </c>
      <c r="F5196" s="3">
        <v>109000</v>
      </c>
      <c r="G5196" s="57" t="str">
        <f t="shared" si="84"/>
        <v>-</v>
      </c>
      <c r="J5196" s="5" t="s">
        <v>2574</v>
      </c>
    </row>
    <row r="5197" spans="1:10" ht="25.5" x14ac:dyDescent="0.2">
      <c r="A5197" s="1" t="s">
        <v>6</v>
      </c>
      <c r="B5197" s="2" t="s">
        <v>368</v>
      </c>
      <c r="D5197" s="5" t="s">
        <v>775</v>
      </c>
      <c r="E5197" s="3" t="s">
        <v>465</v>
      </c>
      <c r="F5197" s="3">
        <v>103000</v>
      </c>
      <c r="G5197" s="57" t="str">
        <f t="shared" si="84"/>
        <v>-</v>
      </c>
      <c r="J5197" s="5" t="s">
        <v>2575</v>
      </c>
    </row>
    <row r="5198" spans="1:10" ht="25.5" x14ac:dyDescent="0.2">
      <c r="A5198" s="1" t="s">
        <v>6</v>
      </c>
      <c r="B5198" s="2" t="s">
        <v>368</v>
      </c>
      <c r="D5198" s="5" t="s">
        <v>775</v>
      </c>
      <c r="E5198" s="3" t="s">
        <v>465</v>
      </c>
      <c r="F5198" s="3">
        <v>106000</v>
      </c>
      <c r="G5198" s="57" t="str">
        <f t="shared" si="84"/>
        <v>-</v>
      </c>
      <c r="J5198" s="5" t="s">
        <v>2576</v>
      </c>
    </row>
    <row r="5199" spans="1:10" ht="25.5" x14ac:dyDescent="0.2">
      <c r="A5199" s="1" t="s">
        <v>6</v>
      </c>
      <c r="B5199" s="2" t="s">
        <v>368</v>
      </c>
      <c r="D5199" s="5" t="s">
        <v>775</v>
      </c>
      <c r="E5199" s="3" t="s">
        <v>465</v>
      </c>
      <c r="F5199" s="3">
        <v>106000</v>
      </c>
      <c r="G5199" s="57" t="str">
        <f t="shared" si="84"/>
        <v>-</v>
      </c>
      <c r="J5199" s="5" t="s">
        <v>2577</v>
      </c>
    </row>
    <row r="5200" spans="1:10" ht="25.5" x14ac:dyDescent="0.2">
      <c r="A5200" s="1" t="s">
        <v>6</v>
      </c>
      <c r="B5200" s="2" t="s">
        <v>368</v>
      </c>
      <c r="D5200" s="5" t="s">
        <v>775</v>
      </c>
      <c r="E5200" s="3" t="s">
        <v>465</v>
      </c>
      <c r="F5200" s="3">
        <v>101000</v>
      </c>
      <c r="G5200" s="57" t="str">
        <f t="shared" si="84"/>
        <v>-</v>
      </c>
      <c r="J5200" s="5" t="s">
        <v>2578</v>
      </c>
    </row>
    <row r="5201" spans="1:10" ht="25.5" x14ac:dyDescent="0.2">
      <c r="A5201" s="1" t="s">
        <v>6</v>
      </c>
      <c r="B5201" s="2" t="s">
        <v>368</v>
      </c>
      <c r="D5201" s="5" t="s">
        <v>775</v>
      </c>
      <c r="E5201" s="3" t="s">
        <v>465</v>
      </c>
      <c r="F5201" s="3">
        <v>102000</v>
      </c>
      <c r="G5201" s="57" t="str">
        <f t="shared" si="84"/>
        <v>-</v>
      </c>
      <c r="J5201" s="5" t="s">
        <v>2579</v>
      </c>
    </row>
    <row r="5202" spans="1:10" ht="25.5" x14ac:dyDescent="0.2">
      <c r="A5202" s="1" t="s">
        <v>6</v>
      </c>
      <c r="B5202" s="2" t="s">
        <v>368</v>
      </c>
      <c r="D5202" s="5" t="s">
        <v>775</v>
      </c>
      <c r="E5202" s="3" t="s">
        <v>465</v>
      </c>
      <c r="F5202" s="3">
        <v>100000</v>
      </c>
      <c r="G5202" s="57" t="str">
        <f t="shared" si="84"/>
        <v>-</v>
      </c>
      <c r="J5202" s="5" t="s">
        <v>2580</v>
      </c>
    </row>
    <row r="5203" spans="1:10" ht="25.5" x14ac:dyDescent="0.2">
      <c r="A5203" s="1" t="s">
        <v>6</v>
      </c>
      <c r="B5203" s="2" t="s">
        <v>368</v>
      </c>
      <c r="D5203" s="5" t="s">
        <v>775</v>
      </c>
      <c r="E5203" s="3" t="s">
        <v>465</v>
      </c>
      <c r="F5203" s="3">
        <v>102000</v>
      </c>
      <c r="G5203" s="57" t="str">
        <f t="shared" si="84"/>
        <v>-</v>
      </c>
      <c r="J5203" s="5" t="s">
        <v>2581</v>
      </c>
    </row>
    <row r="5204" spans="1:10" x14ac:dyDescent="0.2">
      <c r="A5204" s="1" t="s">
        <v>6</v>
      </c>
      <c r="B5204" s="2" t="s">
        <v>368</v>
      </c>
      <c r="D5204" s="5" t="s">
        <v>775</v>
      </c>
      <c r="E5204" s="3">
        <v>106000</v>
      </c>
      <c r="F5204" s="3" t="s">
        <v>465</v>
      </c>
      <c r="G5204" s="57" t="str">
        <f t="shared" si="84"/>
        <v>-</v>
      </c>
    </row>
    <row r="5205" spans="1:10" x14ac:dyDescent="0.2">
      <c r="A5205" s="1" t="s">
        <v>6</v>
      </c>
      <c r="B5205" s="2" t="s">
        <v>368</v>
      </c>
      <c r="D5205" s="5" t="s">
        <v>775</v>
      </c>
      <c r="E5205" s="3">
        <v>103000</v>
      </c>
      <c r="F5205" s="3" t="s">
        <v>465</v>
      </c>
      <c r="G5205" s="57" t="str">
        <f t="shared" si="84"/>
        <v>-</v>
      </c>
    </row>
    <row r="5206" spans="1:10" x14ac:dyDescent="0.2">
      <c r="A5206" s="1" t="s">
        <v>6</v>
      </c>
      <c r="B5206" s="2" t="s">
        <v>368</v>
      </c>
      <c r="D5206" s="5" t="s">
        <v>775</v>
      </c>
      <c r="E5206" s="3">
        <v>102000</v>
      </c>
      <c r="F5206" s="3" t="s">
        <v>465</v>
      </c>
      <c r="G5206" s="57" t="str">
        <f t="shared" si="84"/>
        <v>-</v>
      </c>
    </row>
    <row r="5207" spans="1:10" x14ac:dyDescent="0.2">
      <c r="A5207" s="1" t="s">
        <v>6</v>
      </c>
      <c r="B5207" s="2" t="s">
        <v>368</v>
      </c>
      <c r="D5207" s="5" t="s">
        <v>775</v>
      </c>
      <c r="E5207" s="3">
        <v>101000</v>
      </c>
      <c r="F5207" s="3" t="s">
        <v>465</v>
      </c>
      <c r="G5207" s="57" t="str">
        <f t="shared" si="84"/>
        <v>-</v>
      </c>
    </row>
    <row r="5208" spans="1:10" x14ac:dyDescent="0.2">
      <c r="A5208" s="1" t="s">
        <v>6</v>
      </c>
      <c r="B5208" s="2" t="s">
        <v>368</v>
      </c>
      <c r="D5208" s="5" t="s">
        <v>775</v>
      </c>
      <c r="E5208" s="3">
        <v>101000</v>
      </c>
      <c r="F5208" s="3" t="s">
        <v>465</v>
      </c>
      <c r="G5208" s="57" t="str">
        <f t="shared" si="84"/>
        <v>-</v>
      </c>
    </row>
    <row r="5209" spans="1:10" x14ac:dyDescent="0.2">
      <c r="A5209" s="1" t="s">
        <v>6</v>
      </c>
      <c r="B5209" s="2" t="s">
        <v>368</v>
      </c>
      <c r="D5209" s="5" t="s">
        <v>775</v>
      </c>
      <c r="E5209" s="3">
        <v>100000</v>
      </c>
      <c r="F5209" s="3" t="s">
        <v>465</v>
      </c>
      <c r="G5209" s="57" t="str">
        <f t="shared" si="84"/>
        <v>-</v>
      </c>
    </row>
    <row r="5210" spans="1:10" x14ac:dyDescent="0.2">
      <c r="A5210" s="1" t="s">
        <v>6</v>
      </c>
      <c r="B5210" s="2" t="s">
        <v>368</v>
      </c>
      <c r="D5210" s="5" t="s">
        <v>775</v>
      </c>
      <c r="E5210" s="3">
        <v>100000</v>
      </c>
      <c r="F5210" s="3" t="s">
        <v>465</v>
      </c>
      <c r="G5210" s="57" t="str">
        <f t="shared" si="84"/>
        <v>-</v>
      </c>
    </row>
    <row r="5211" spans="1:10" x14ac:dyDescent="0.2">
      <c r="A5211" s="1" t="s">
        <v>6</v>
      </c>
      <c r="B5211" s="2" t="s">
        <v>368</v>
      </c>
      <c r="D5211" s="5" t="s">
        <v>464</v>
      </c>
      <c r="G5211" s="57" t="str">
        <f t="shared" si="84"/>
        <v>-</v>
      </c>
      <c r="H5211" s="19" t="s">
        <v>465</v>
      </c>
      <c r="I5211" s="19">
        <v>92500</v>
      </c>
    </row>
    <row r="5212" spans="1:10" x14ac:dyDescent="0.2">
      <c r="A5212" s="1" t="s">
        <v>6</v>
      </c>
      <c r="B5212" s="2" t="s">
        <v>368</v>
      </c>
      <c r="D5212" s="5" t="s">
        <v>464</v>
      </c>
      <c r="G5212" s="57" t="str">
        <f t="shared" si="84"/>
        <v>-</v>
      </c>
      <c r="H5212" s="19" t="s">
        <v>465</v>
      </c>
      <c r="I5212" s="19">
        <v>92500</v>
      </c>
    </row>
    <row r="5213" spans="1:10" x14ac:dyDescent="0.2">
      <c r="A5213" s="1" t="s">
        <v>6</v>
      </c>
      <c r="B5213" s="2" t="s">
        <v>368</v>
      </c>
      <c r="D5213" s="5" t="s">
        <v>464</v>
      </c>
      <c r="G5213" s="57" t="str">
        <f t="shared" si="84"/>
        <v>-</v>
      </c>
      <c r="H5213" s="19" t="s">
        <v>465</v>
      </c>
      <c r="I5213" s="19">
        <v>97500</v>
      </c>
    </row>
    <row r="5214" spans="1:10" x14ac:dyDescent="0.2">
      <c r="A5214" s="1" t="s">
        <v>6</v>
      </c>
      <c r="B5214" s="2" t="s">
        <v>368</v>
      </c>
      <c r="D5214" s="5" t="s">
        <v>464</v>
      </c>
      <c r="G5214" s="57" t="str">
        <f t="shared" si="84"/>
        <v>-</v>
      </c>
      <c r="H5214" s="19" t="s">
        <v>465</v>
      </c>
      <c r="I5214" s="19">
        <v>97500</v>
      </c>
    </row>
    <row r="5215" spans="1:10" x14ac:dyDescent="0.2">
      <c r="A5215" s="1" t="s">
        <v>6</v>
      </c>
      <c r="B5215" s="2" t="s">
        <v>368</v>
      </c>
      <c r="D5215" s="5" t="s">
        <v>464</v>
      </c>
      <c r="G5215" s="57" t="str">
        <f t="shared" si="84"/>
        <v>-</v>
      </c>
      <c r="H5215" s="19" t="s">
        <v>465</v>
      </c>
      <c r="I5215" s="19">
        <v>97500</v>
      </c>
    </row>
    <row r="5216" spans="1:10" x14ac:dyDescent="0.2">
      <c r="A5216" s="1" t="s">
        <v>6</v>
      </c>
      <c r="B5216" s="2" t="s">
        <v>368</v>
      </c>
      <c r="D5216" s="5" t="s">
        <v>464</v>
      </c>
      <c r="G5216" s="57" t="str">
        <f t="shared" si="84"/>
        <v>-</v>
      </c>
      <c r="H5216" s="19" t="s">
        <v>465</v>
      </c>
      <c r="I5216" s="19">
        <v>97500</v>
      </c>
    </row>
    <row r="5217" spans="1:10" x14ac:dyDescent="0.2">
      <c r="A5217" s="1" t="s">
        <v>6</v>
      </c>
      <c r="B5217" s="2" t="s">
        <v>368</v>
      </c>
      <c r="D5217" s="5" t="s">
        <v>464</v>
      </c>
      <c r="E5217" s="3" t="s">
        <v>465</v>
      </c>
      <c r="F5217" s="3">
        <v>102500</v>
      </c>
      <c r="G5217" s="57" t="str">
        <f t="shared" si="84"/>
        <v>-</v>
      </c>
    </row>
    <row r="5218" spans="1:10" x14ac:dyDescent="0.2">
      <c r="A5218" s="1" t="s">
        <v>6</v>
      </c>
      <c r="B5218" s="2" t="s">
        <v>368</v>
      </c>
      <c r="D5218" s="5" t="s">
        <v>464</v>
      </c>
      <c r="E5218" s="3" t="s">
        <v>465</v>
      </c>
      <c r="F5218" s="3">
        <v>102500</v>
      </c>
      <c r="G5218" s="57" t="str">
        <f t="shared" si="84"/>
        <v>-</v>
      </c>
    </row>
    <row r="5219" spans="1:10" x14ac:dyDescent="0.2">
      <c r="A5219" s="1" t="s">
        <v>6</v>
      </c>
      <c r="B5219" s="2" t="s">
        <v>368</v>
      </c>
      <c r="D5219" s="5" t="s">
        <v>464</v>
      </c>
      <c r="E5219" s="3" t="s">
        <v>465</v>
      </c>
      <c r="F5219" s="3">
        <v>102500</v>
      </c>
      <c r="G5219" s="57" t="str">
        <f t="shared" si="84"/>
        <v>-</v>
      </c>
    </row>
    <row r="5220" spans="1:10" x14ac:dyDescent="0.2">
      <c r="A5220" s="1" t="s">
        <v>6</v>
      </c>
      <c r="B5220" s="2" t="s">
        <v>368</v>
      </c>
      <c r="D5220" s="5" t="s">
        <v>464</v>
      </c>
      <c r="E5220" s="3" t="s">
        <v>465</v>
      </c>
      <c r="F5220" s="3">
        <v>102500</v>
      </c>
      <c r="G5220" s="57" t="str">
        <f t="shared" si="84"/>
        <v>-</v>
      </c>
    </row>
    <row r="5221" spans="1:10" x14ac:dyDescent="0.2">
      <c r="A5221" s="1" t="s">
        <v>6</v>
      </c>
      <c r="B5221" s="2" t="s">
        <v>368</v>
      </c>
      <c r="D5221" s="5" t="s">
        <v>464</v>
      </c>
      <c r="E5221" s="3" t="s">
        <v>465</v>
      </c>
      <c r="F5221" s="3">
        <v>102500</v>
      </c>
      <c r="G5221" s="57" t="str">
        <f t="shared" si="84"/>
        <v>-</v>
      </c>
    </row>
    <row r="5222" spans="1:10" x14ac:dyDescent="0.2">
      <c r="A5222" s="1" t="s">
        <v>6</v>
      </c>
      <c r="B5222" s="2" t="s">
        <v>368</v>
      </c>
      <c r="D5222" s="5" t="s">
        <v>464</v>
      </c>
      <c r="E5222" s="3" t="s">
        <v>465</v>
      </c>
      <c r="F5222" s="3">
        <v>102500</v>
      </c>
      <c r="G5222" s="57" t="str">
        <f t="shared" si="84"/>
        <v>-</v>
      </c>
    </row>
    <row r="5223" spans="1:10" x14ac:dyDescent="0.2">
      <c r="A5223" s="1" t="s">
        <v>6</v>
      </c>
      <c r="B5223" s="2" t="s">
        <v>368</v>
      </c>
      <c r="D5223" s="5" t="s">
        <v>464</v>
      </c>
      <c r="E5223" s="3" t="s">
        <v>465</v>
      </c>
      <c r="F5223" s="3">
        <v>107500</v>
      </c>
      <c r="G5223" s="57" t="str">
        <f t="shared" si="84"/>
        <v>-</v>
      </c>
    </row>
    <row r="5224" spans="1:10" x14ac:dyDescent="0.2">
      <c r="A5224" s="1" t="s">
        <v>6</v>
      </c>
      <c r="B5224" s="2" t="s">
        <v>368</v>
      </c>
      <c r="D5224" s="5" t="s">
        <v>464</v>
      </c>
      <c r="E5224" s="3">
        <v>107500</v>
      </c>
      <c r="F5224" s="3" t="s">
        <v>465</v>
      </c>
      <c r="G5224" s="57" t="str">
        <f t="shared" si="84"/>
        <v>-</v>
      </c>
    </row>
    <row r="5225" spans="1:10" x14ac:dyDescent="0.2">
      <c r="A5225" s="1" t="s">
        <v>6</v>
      </c>
      <c r="B5225" s="2" t="s">
        <v>368</v>
      </c>
      <c r="D5225" s="5" t="s">
        <v>464</v>
      </c>
      <c r="E5225" s="3" t="s">
        <v>465</v>
      </c>
      <c r="F5225" s="3">
        <v>112500</v>
      </c>
      <c r="G5225" s="57" t="str">
        <f t="shared" si="84"/>
        <v>-</v>
      </c>
    </row>
    <row r="5226" spans="1:10" x14ac:dyDescent="0.2">
      <c r="A5226" s="1" t="s">
        <v>6</v>
      </c>
      <c r="B5226" s="2" t="s">
        <v>368</v>
      </c>
      <c r="D5226" s="5" t="s">
        <v>464</v>
      </c>
      <c r="E5226" s="3">
        <v>117500</v>
      </c>
      <c r="F5226" s="3" t="s">
        <v>465</v>
      </c>
      <c r="G5226" s="57" t="str">
        <f t="shared" si="84"/>
        <v>-</v>
      </c>
    </row>
    <row r="5227" spans="1:10" x14ac:dyDescent="0.2">
      <c r="A5227" s="1" t="s">
        <v>6</v>
      </c>
      <c r="B5227" s="2" t="s">
        <v>368</v>
      </c>
      <c r="D5227" s="5" t="s">
        <v>464</v>
      </c>
      <c r="E5227" s="3" t="s">
        <v>465</v>
      </c>
      <c r="F5227" s="3">
        <v>122500</v>
      </c>
      <c r="G5227" s="57" t="str">
        <f t="shared" si="84"/>
        <v>-</v>
      </c>
    </row>
    <row r="5228" spans="1:10" ht="38.25" x14ac:dyDescent="0.2">
      <c r="A5228" s="1" t="s">
        <v>111</v>
      </c>
      <c r="B5228" s="2" t="s">
        <v>369</v>
      </c>
      <c r="C5228" s="5" t="s">
        <v>771</v>
      </c>
      <c r="D5228" s="5" t="s">
        <v>450</v>
      </c>
      <c r="E5228" s="3">
        <v>188211</v>
      </c>
      <c r="F5228" s="3">
        <v>189201</v>
      </c>
      <c r="G5228" s="57">
        <f t="shared" si="84"/>
        <v>5.2600538757033325E-3</v>
      </c>
      <c r="J5228" s="5" t="s">
        <v>2563</v>
      </c>
    </row>
    <row r="5229" spans="1:10" ht="38.25" x14ac:dyDescent="0.2">
      <c r="A5229" s="1" t="s">
        <v>111</v>
      </c>
      <c r="B5229" s="2" t="s">
        <v>369</v>
      </c>
      <c r="D5229" s="5" t="s">
        <v>767</v>
      </c>
      <c r="E5229" s="3">
        <v>153859</v>
      </c>
      <c r="F5229" s="3">
        <v>155533</v>
      </c>
      <c r="G5229" s="57">
        <f t="shared" si="84"/>
        <v>1.0880091512358718E-2</v>
      </c>
      <c r="J5229" s="5" t="s">
        <v>2564</v>
      </c>
    </row>
    <row r="5230" spans="1:10" ht="38.25" x14ac:dyDescent="0.2">
      <c r="A5230" s="1" t="s">
        <v>111</v>
      </c>
      <c r="B5230" s="2" t="s">
        <v>369</v>
      </c>
      <c r="D5230" s="5" t="s">
        <v>768</v>
      </c>
      <c r="E5230" s="3">
        <v>148774</v>
      </c>
      <c r="F5230" s="3">
        <v>150331</v>
      </c>
      <c r="G5230" s="57">
        <f t="shared" si="84"/>
        <v>1.0465538333310927E-2</v>
      </c>
      <c r="J5230" s="5" t="s">
        <v>2565</v>
      </c>
    </row>
    <row r="5231" spans="1:10" ht="38.25" x14ac:dyDescent="0.2">
      <c r="A5231" s="1" t="s">
        <v>111</v>
      </c>
      <c r="B5231" s="2" t="s">
        <v>369</v>
      </c>
      <c r="D5231" s="5" t="s">
        <v>769</v>
      </c>
      <c r="E5231" s="3">
        <v>96569</v>
      </c>
      <c r="F5231" s="3">
        <v>147598</v>
      </c>
      <c r="G5231" s="57">
        <f t="shared" si="84"/>
        <v>0.52842009340471585</v>
      </c>
      <c r="J5231" s="5" t="s">
        <v>2566</v>
      </c>
    </row>
    <row r="5232" spans="1:10" ht="25.5" x14ac:dyDescent="0.2">
      <c r="A5232" s="1" t="s">
        <v>111</v>
      </c>
      <c r="B5232" s="2" t="s">
        <v>369</v>
      </c>
      <c r="D5232" s="5" t="s">
        <v>770</v>
      </c>
      <c r="E5232" s="3">
        <v>107788</v>
      </c>
      <c r="F5232" s="3">
        <v>112938</v>
      </c>
      <c r="G5232" s="57">
        <f t="shared" si="84"/>
        <v>4.7778973540653878E-2</v>
      </c>
      <c r="J5232" s="5" t="s">
        <v>2567</v>
      </c>
    </row>
    <row r="5233" spans="1:10" x14ac:dyDescent="0.2">
      <c r="A5233" s="1" t="s">
        <v>111</v>
      </c>
      <c r="B5233" s="2" t="s">
        <v>369</v>
      </c>
      <c r="D5233" s="5" t="s">
        <v>464</v>
      </c>
      <c r="G5233" s="57" t="str">
        <f t="shared" si="84"/>
        <v>-</v>
      </c>
      <c r="H5233" s="19" t="s">
        <v>465</v>
      </c>
      <c r="I5233" s="19">
        <v>92500</v>
      </c>
    </row>
    <row r="5234" spans="1:10" x14ac:dyDescent="0.2">
      <c r="A5234" s="1" t="s">
        <v>111</v>
      </c>
      <c r="B5234" s="2" t="s">
        <v>369</v>
      </c>
      <c r="D5234" s="5" t="s">
        <v>464</v>
      </c>
      <c r="G5234" s="57" t="str">
        <f t="shared" si="84"/>
        <v>-</v>
      </c>
      <c r="H5234" s="19" t="s">
        <v>465</v>
      </c>
      <c r="I5234" s="19">
        <v>92500</v>
      </c>
    </row>
    <row r="5235" spans="1:10" x14ac:dyDescent="0.2">
      <c r="A5235" s="1" t="s">
        <v>111</v>
      </c>
      <c r="B5235" s="2" t="s">
        <v>369</v>
      </c>
      <c r="D5235" s="5" t="s">
        <v>464</v>
      </c>
      <c r="G5235" s="57" t="str">
        <f t="shared" si="84"/>
        <v>-</v>
      </c>
      <c r="H5235" s="19" t="s">
        <v>465</v>
      </c>
      <c r="I5235" s="19">
        <v>92500</v>
      </c>
    </row>
    <row r="5236" spans="1:10" x14ac:dyDescent="0.2">
      <c r="A5236" s="1" t="s">
        <v>111</v>
      </c>
      <c r="B5236" s="2" t="s">
        <v>369</v>
      </c>
      <c r="D5236" s="5" t="s">
        <v>464</v>
      </c>
      <c r="G5236" s="57" t="str">
        <f t="shared" si="84"/>
        <v>-</v>
      </c>
      <c r="H5236" s="19" t="s">
        <v>465</v>
      </c>
      <c r="I5236" s="19">
        <v>92500</v>
      </c>
    </row>
    <row r="5237" spans="1:10" x14ac:dyDescent="0.2">
      <c r="A5237" s="1" t="s">
        <v>111</v>
      </c>
      <c r="B5237" s="2" t="s">
        <v>369</v>
      </c>
      <c r="D5237" s="5" t="s">
        <v>464</v>
      </c>
      <c r="G5237" s="57" t="str">
        <f t="shared" si="84"/>
        <v>-</v>
      </c>
      <c r="H5237" s="19" t="s">
        <v>465</v>
      </c>
      <c r="I5237" s="19">
        <v>92500</v>
      </c>
    </row>
    <row r="5238" spans="1:10" x14ac:dyDescent="0.2">
      <c r="A5238" s="1" t="s">
        <v>111</v>
      </c>
      <c r="B5238" s="2" t="s">
        <v>369</v>
      </c>
      <c r="D5238" s="5" t="s">
        <v>464</v>
      </c>
      <c r="G5238" s="57" t="str">
        <f t="shared" si="84"/>
        <v>-</v>
      </c>
      <c r="H5238" s="19" t="s">
        <v>465</v>
      </c>
      <c r="I5238" s="19">
        <v>92500</v>
      </c>
    </row>
    <row r="5239" spans="1:10" x14ac:dyDescent="0.2">
      <c r="A5239" s="1" t="s">
        <v>111</v>
      </c>
      <c r="B5239" s="2" t="s">
        <v>369</v>
      </c>
      <c r="D5239" s="5" t="s">
        <v>464</v>
      </c>
      <c r="G5239" s="57" t="str">
        <f t="shared" si="84"/>
        <v>-</v>
      </c>
      <c r="H5239" s="19" t="s">
        <v>465</v>
      </c>
      <c r="I5239" s="19">
        <v>92500</v>
      </c>
    </row>
    <row r="5240" spans="1:10" x14ac:dyDescent="0.2">
      <c r="A5240" s="1" t="s">
        <v>111</v>
      </c>
      <c r="B5240" s="2" t="s">
        <v>369</v>
      </c>
      <c r="D5240" s="5" t="s">
        <v>464</v>
      </c>
      <c r="G5240" s="57" t="str">
        <f t="shared" si="84"/>
        <v>-</v>
      </c>
      <c r="H5240" s="19" t="s">
        <v>465</v>
      </c>
      <c r="I5240" s="19">
        <v>97500</v>
      </c>
    </row>
    <row r="5241" spans="1:10" x14ac:dyDescent="0.2">
      <c r="A5241" s="1" t="s">
        <v>111</v>
      </c>
      <c r="B5241" s="2" t="s">
        <v>369</v>
      </c>
      <c r="D5241" s="5" t="s">
        <v>464</v>
      </c>
      <c r="E5241" s="3" t="s">
        <v>465</v>
      </c>
      <c r="F5241" s="3">
        <v>102500</v>
      </c>
      <c r="G5241" s="57" t="str">
        <f t="shared" si="84"/>
        <v>-</v>
      </c>
    </row>
    <row r="5242" spans="1:10" x14ac:dyDescent="0.2">
      <c r="A5242" s="1" t="s">
        <v>111</v>
      </c>
      <c r="B5242" s="2" t="s">
        <v>369</v>
      </c>
      <c r="D5242" s="5" t="s">
        <v>464</v>
      </c>
      <c r="E5242" s="3">
        <v>107500</v>
      </c>
      <c r="F5242" s="3" t="s">
        <v>465</v>
      </c>
      <c r="G5242" s="57" t="str">
        <f t="shared" si="84"/>
        <v>-</v>
      </c>
    </row>
    <row r="5243" spans="1:10" x14ac:dyDescent="0.2">
      <c r="A5243" s="1" t="s">
        <v>111</v>
      </c>
      <c r="B5243" s="2" t="s">
        <v>369</v>
      </c>
      <c r="D5243" s="5" t="s">
        <v>464</v>
      </c>
      <c r="E5243" s="3">
        <v>117500</v>
      </c>
      <c r="F5243" s="3" t="s">
        <v>465</v>
      </c>
      <c r="G5243" s="57" t="str">
        <f t="shared" si="84"/>
        <v>-</v>
      </c>
    </row>
    <row r="5244" spans="1:10" x14ac:dyDescent="0.2">
      <c r="A5244" s="1" t="s">
        <v>111</v>
      </c>
      <c r="B5244" s="2" t="s">
        <v>369</v>
      </c>
      <c r="D5244" s="5" t="s">
        <v>464</v>
      </c>
      <c r="E5244" s="3">
        <v>122500</v>
      </c>
      <c r="F5244" s="3" t="s">
        <v>465</v>
      </c>
      <c r="G5244" s="57" t="str">
        <f t="shared" ref="G5244:G5307" si="85">IF(ISERROR((F5244-E5244)/E5244),"-",(F5244-E5244)/E5244)</f>
        <v>-</v>
      </c>
    </row>
    <row r="5245" spans="1:10" x14ac:dyDescent="0.2">
      <c r="A5245" s="1" t="s">
        <v>111</v>
      </c>
      <c r="B5245" s="2" t="s">
        <v>369</v>
      </c>
      <c r="D5245" s="5" t="s">
        <v>464</v>
      </c>
      <c r="E5245" s="3">
        <v>147500</v>
      </c>
      <c r="F5245" s="3" t="s">
        <v>465</v>
      </c>
      <c r="G5245" s="57" t="str">
        <f t="shared" si="85"/>
        <v>-</v>
      </c>
    </row>
    <row r="5246" spans="1:10" ht="51" x14ac:dyDescent="0.2">
      <c r="A5246" s="1" t="s">
        <v>39</v>
      </c>
      <c r="B5246" s="2" t="s">
        <v>370</v>
      </c>
      <c r="C5246" s="5" t="s">
        <v>760</v>
      </c>
      <c r="D5246" s="5" t="s">
        <v>450</v>
      </c>
      <c r="E5246" s="3">
        <v>58725</v>
      </c>
      <c r="F5246" s="3">
        <v>226575</v>
      </c>
      <c r="G5246" s="57">
        <f t="shared" si="85"/>
        <v>2.8582375478927204</v>
      </c>
      <c r="J5246" s="5" t="s">
        <v>4469</v>
      </c>
    </row>
    <row r="5247" spans="1:10" ht="38.25" x14ac:dyDescent="0.2">
      <c r="A5247" s="1" t="s">
        <v>39</v>
      </c>
      <c r="B5247" s="2" t="s">
        <v>370</v>
      </c>
      <c r="D5247" s="5" t="s">
        <v>761</v>
      </c>
      <c r="E5247" s="3" t="s">
        <v>465</v>
      </c>
      <c r="F5247" s="3">
        <v>171050</v>
      </c>
      <c r="G5247" s="57" t="str">
        <f t="shared" si="85"/>
        <v>-</v>
      </c>
      <c r="J5247" s="5" t="s">
        <v>2559</v>
      </c>
    </row>
    <row r="5248" spans="1:10" ht="25.5" x14ac:dyDescent="0.2">
      <c r="A5248" s="1" t="s">
        <v>39</v>
      </c>
      <c r="B5248" s="2" t="s">
        <v>370</v>
      </c>
      <c r="D5248" s="7" t="s">
        <v>2555</v>
      </c>
      <c r="E5248" s="6">
        <v>165415</v>
      </c>
      <c r="F5248" s="3" t="s">
        <v>465</v>
      </c>
      <c r="G5248" s="57" t="str">
        <f t="shared" si="85"/>
        <v>-</v>
      </c>
    </row>
    <row r="5249" spans="1:10" ht="25.5" x14ac:dyDescent="0.2">
      <c r="A5249" s="1" t="s">
        <v>39</v>
      </c>
      <c r="B5249" s="2" t="s">
        <v>370</v>
      </c>
      <c r="D5249" s="5" t="s">
        <v>762</v>
      </c>
      <c r="E5249" s="3" t="s">
        <v>465</v>
      </c>
      <c r="F5249" s="3">
        <v>148870</v>
      </c>
      <c r="G5249" s="57" t="str">
        <f t="shared" si="85"/>
        <v>-</v>
      </c>
      <c r="J5249" s="5" t="s">
        <v>2560</v>
      </c>
    </row>
    <row r="5250" spans="1:10" ht="38.25" x14ac:dyDescent="0.2">
      <c r="A5250" s="1" t="s">
        <v>39</v>
      </c>
      <c r="B5250" s="2" t="s">
        <v>370</v>
      </c>
      <c r="D5250" s="5" t="s">
        <v>763</v>
      </c>
      <c r="E5250" s="3" t="s">
        <v>465</v>
      </c>
      <c r="F5250" s="3">
        <v>147641</v>
      </c>
      <c r="G5250" s="57" t="str">
        <f t="shared" si="85"/>
        <v>-</v>
      </c>
      <c r="J5250" s="5" t="s">
        <v>2561</v>
      </c>
    </row>
    <row r="5251" spans="1:10" ht="51" x14ac:dyDescent="0.2">
      <c r="A5251" s="1" t="s">
        <v>39</v>
      </c>
      <c r="B5251" s="2" t="s">
        <v>370</v>
      </c>
      <c r="D5251" s="5" t="s">
        <v>764</v>
      </c>
      <c r="E5251" s="3" t="s">
        <v>465</v>
      </c>
      <c r="F5251" s="3">
        <v>145791</v>
      </c>
      <c r="G5251" s="57" t="str">
        <f t="shared" si="85"/>
        <v>-</v>
      </c>
      <c r="J5251" s="5" t="s">
        <v>2880</v>
      </c>
    </row>
    <row r="5252" spans="1:10" ht="38.25" x14ac:dyDescent="0.2">
      <c r="A5252" s="1" t="s">
        <v>39</v>
      </c>
      <c r="B5252" s="2" t="s">
        <v>370</v>
      </c>
      <c r="D5252" s="5" t="s">
        <v>520</v>
      </c>
      <c r="E5252" s="3">
        <v>103214</v>
      </c>
      <c r="F5252" s="3">
        <v>110141</v>
      </c>
      <c r="G5252" s="57">
        <f t="shared" si="85"/>
        <v>6.7112988548065189E-2</v>
      </c>
      <c r="J5252" s="5" t="s">
        <v>2562</v>
      </c>
    </row>
    <row r="5253" spans="1:10" ht="51" x14ac:dyDescent="0.2">
      <c r="A5253" s="1" t="s">
        <v>39</v>
      </c>
      <c r="B5253" s="2" t="s">
        <v>370</v>
      </c>
      <c r="C5253" s="5" t="s">
        <v>766</v>
      </c>
      <c r="D5253" s="5" t="s">
        <v>765</v>
      </c>
      <c r="E5253" s="3">
        <v>177967</v>
      </c>
      <c r="F5253" s="3">
        <v>160725</v>
      </c>
      <c r="G5253" s="57">
        <f t="shared" si="85"/>
        <v>-9.6883130018486571E-2</v>
      </c>
      <c r="J5253" s="5" t="s">
        <v>4470</v>
      </c>
    </row>
    <row r="5254" spans="1:10" x14ac:dyDescent="0.2">
      <c r="A5254" s="1" t="s">
        <v>39</v>
      </c>
      <c r="B5254" s="2" t="s">
        <v>370</v>
      </c>
      <c r="C5254" s="5" t="s">
        <v>2552</v>
      </c>
      <c r="D5254" s="7" t="s">
        <v>2553</v>
      </c>
      <c r="E5254" s="6">
        <v>181119</v>
      </c>
      <c r="F5254" s="6" t="s">
        <v>465</v>
      </c>
      <c r="G5254" s="57" t="str">
        <f t="shared" si="85"/>
        <v>-</v>
      </c>
      <c r="J5254" s="5" t="s">
        <v>2554</v>
      </c>
    </row>
    <row r="5255" spans="1:10" x14ac:dyDescent="0.2">
      <c r="A5255" s="1" t="s">
        <v>39</v>
      </c>
      <c r="B5255" s="2" t="s">
        <v>370</v>
      </c>
      <c r="D5255" s="7" t="s">
        <v>2556</v>
      </c>
      <c r="E5255" s="6">
        <v>148229</v>
      </c>
      <c r="F5255" s="6" t="s">
        <v>465</v>
      </c>
      <c r="G5255" s="57" t="str">
        <f t="shared" si="85"/>
        <v>-</v>
      </c>
    </row>
    <row r="5256" spans="1:10" x14ac:dyDescent="0.2">
      <c r="A5256" s="1" t="s">
        <v>39</v>
      </c>
      <c r="B5256" s="2" t="s">
        <v>370</v>
      </c>
      <c r="D5256" s="7" t="s">
        <v>2557</v>
      </c>
      <c r="E5256" s="6">
        <v>143270</v>
      </c>
      <c r="F5256" s="6" t="s">
        <v>465</v>
      </c>
      <c r="G5256" s="57" t="str">
        <f t="shared" si="85"/>
        <v>-</v>
      </c>
    </row>
    <row r="5257" spans="1:10" ht="25.5" x14ac:dyDescent="0.2">
      <c r="A5257" s="1" t="s">
        <v>39</v>
      </c>
      <c r="B5257" s="2" t="s">
        <v>370</v>
      </c>
      <c r="D5257" s="7" t="s">
        <v>2558</v>
      </c>
      <c r="E5257" s="6">
        <v>120411</v>
      </c>
      <c r="F5257" s="6">
        <v>38865</v>
      </c>
      <c r="G5257" s="57">
        <f t="shared" si="85"/>
        <v>-0.67723048558686494</v>
      </c>
      <c r="J5257" s="5" t="s">
        <v>4471</v>
      </c>
    </row>
    <row r="5258" spans="1:10" x14ac:dyDescent="0.2">
      <c r="A5258" s="1" t="s">
        <v>39</v>
      </c>
      <c r="B5258" s="2" t="s">
        <v>370</v>
      </c>
      <c r="D5258" s="7" t="s">
        <v>464</v>
      </c>
      <c r="E5258" s="6"/>
      <c r="F5258" s="6"/>
      <c r="G5258" s="57" t="str">
        <f t="shared" si="85"/>
        <v>-</v>
      </c>
      <c r="H5258" s="19">
        <v>92500</v>
      </c>
      <c r="I5258" s="19" t="s">
        <v>465</v>
      </c>
      <c r="J5258" s="5" t="s">
        <v>539</v>
      </c>
    </row>
    <row r="5259" spans="1:10" x14ac:dyDescent="0.2">
      <c r="A5259" s="1" t="s">
        <v>39</v>
      </c>
      <c r="B5259" s="2" t="s">
        <v>370</v>
      </c>
      <c r="D5259" s="5" t="s">
        <v>464</v>
      </c>
      <c r="G5259" s="57" t="str">
        <f t="shared" si="85"/>
        <v>-</v>
      </c>
      <c r="H5259" s="19">
        <v>92500</v>
      </c>
      <c r="I5259" s="19" t="s">
        <v>465</v>
      </c>
      <c r="J5259" s="5" t="s">
        <v>539</v>
      </c>
    </row>
    <row r="5260" spans="1:10" x14ac:dyDescent="0.2">
      <c r="A5260" s="1" t="s">
        <v>39</v>
      </c>
      <c r="B5260" s="2" t="s">
        <v>370</v>
      </c>
      <c r="D5260" s="5" t="s">
        <v>464</v>
      </c>
      <c r="G5260" s="57" t="str">
        <f t="shared" si="85"/>
        <v>-</v>
      </c>
      <c r="H5260" s="19">
        <v>92500</v>
      </c>
      <c r="I5260" s="19" t="s">
        <v>465</v>
      </c>
    </row>
    <row r="5261" spans="1:10" x14ac:dyDescent="0.2">
      <c r="A5261" s="1" t="s">
        <v>39</v>
      </c>
      <c r="B5261" s="2" t="s">
        <v>370</v>
      </c>
      <c r="D5261" s="5" t="s">
        <v>464</v>
      </c>
      <c r="G5261" s="57" t="str">
        <f t="shared" si="85"/>
        <v>-</v>
      </c>
      <c r="H5261" s="19">
        <v>92500</v>
      </c>
      <c r="I5261" s="19" t="s">
        <v>465</v>
      </c>
    </row>
    <row r="5262" spans="1:10" x14ac:dyDescent="0.2">
      <c r="A5262" s="1" t="s">
        <v>39</v>
      </c>
      <c r="B5262" s="2" t="s">
        <v>370</v>
      </c>
      <c r="D5262" s="5" t="s">
        <v>464</v>
      </c>
      <c r="G5262" s="57" t="str">
        <f t="shared" si="85"/>
        <v>-</v>
      </c>
      <c r="H5262" s="19">
        <v>92500</v>
      </c>
      <c r="I5262" s="19" t="s">
        <v>465</v>
      </c>
    </row>
    <row r="5263" spans="1:10" x14ac:dyDescent="0.2">
      <c r="A5263" s="1" t="s">
        <v>39</v>
      </c>
      <c r="B5263" s="2" t="s">
        <v>370</v>
      </c>
      <c r="D5263" s="5" t="s">
        <v>464</v>
      </c>
      <c r="G5263" s="57" t="str">
        <f t="shared" si="85"/>
        <v>-</v>
      </c>
      <c r="H5263" s="19" t="s">
        <v>465</v>
      </c>
      <c r="I5263" s="19">
        <v>92500</v>
      </c>
      <c r="J5263" s="5" t="s">
        <v>539</v>
      </c>
    </row>
    <row r="5264" spans="1:10" x14ac:dyDescent="0.2">
      <c r="A5264" s="1" t="s">
        <v>39</v>
      </c>
      <c r="B5264" s="2" t="s">
        <v>370</v>
      </c>
      <c r="D5264" s="5" t="s">
        <v>464</v>
      </c>
      <c r="G5264" s="57" t="str">
        <f t="shared" si="85"/>
        <v>-</v>
      </c>
      <c r="H5264" s="19" t="s">
        <v>465</v>
      </c>
      <c r="I5264" s="19">
        <v>92500</v>
      </c>
      <c r="J5264" s="5" t="s">
        <v>539</v>
      </c>
    </row>
    <row r="5265" spans="1:10" x14ac:dyDescent="0.2">
      <c r="A5265" s="1" t="s">
        <v>39</v>
      </c>
      <c r="B5265" s="2" t="s">
        <v>370</v>
      </c>
      <c r="D5265" s="5" t="s">
        <v>464</v>
      </c>
      <c r="G5265" s="57" t="str">
        <f t="shared" si="85"/>
        <v>-</v>
      </c>
      <c r="H5265" s="19" t="s">
        <v>465</v>
      </c>
      <c r="I5265" s="19">
        <v>92500</v>
      </c>
      <c r="J5265" s="5" t="s">
        <v>539</v>
      </c>
    </row>
    <row r="5266" spans="1:10" x14ac:dyDescent="0.2">
      <c r="A5266" s="1" t="s">
        <v>39</v>
      </c>
      <c r="B5266" s="2" t="s">
        <v>370</v>
      </c>
      <c r="D5266" s="5" t="s">
        <v>464</v>
      </c>
      <c r="G5266" s="57" t="str">
        <f t="shared" si="85"/>
        <v>-</v>
      </c>
      <c r="H5266" s="19" t="s">
        <v>465</v>
      </c>
      <c r="I5266" s="19">
        <v>92500</v>
      </c>
      <c r="J5266" s="5" t="s">
        <v>539</v>
      </c>
    </row>
    <row r="5267" spans="1:10" x14ac:dyDescent="0.2">
      <c r="A5267" s="1" t="s">
        <v>39</v>
      </c>
      <c r="B5267" s="2" t="s">
        <v>370</v>
      </c>
      <c r="D5267" s="5" t="s">
        <v>464</v>
      </c>
      <c r="G5267" s="57" t="str">
        <f t="shared" si="85"/>
        <v>-</v>
      </c>
      <c r="H5267" s="19" t="s">
        <v>465</v>
      </c>
      <c r="I5267" s="19">
        <v>92500</v>
      </c>
      <c r="J5267" s="5" t="s">
        <v>539</v>
      </c>
    </row>
    <row r="5268" spans="1:10" x14ac:dyDescent="0.2">
      <c r="A5268" s="1" t="s">
        <v>39</v>
      </c>
      <c r="B5268" s="2" t="s">
        <v>370</v>
      </c>
      <c r="D5268" s="5" t="s">
        <v>464</v>
      </c>
      <c r="G5268" s="57" t="str">
        <f t="shared" si="85"/>
        <v>-</v>
      </c>
      <c r="H5268" s="19" t="s">
        <v>465</v>
      </c>
      <c r="I5268" s="19">
        <v>92500</v>
      </c>
      <c r="J5268" s="5" t="s">
        <v>539</v>
      </c>
    </row>
    <row r="5269" spans="1:10" x14ac:dyDescent="0.2">
      <c r="A5269" s="1" t="s">
        <v>39</v>
      </c>
      <c r="B5269" s="2" t="s">
        <v>370</v>
      </c>
      <c r="D5269" s="5" t="s">
        <v>464</v>
      </c>
      <c r="G5269" s="57" t="str">
        <f t="shared" si="85"/>
        <v>-</v>
      </c>
      <c r="H5269" s="19" t="s">
        <v>465</v>
      </c>
      <c r="I5269" s="19">
        <v>92500</v>
      </c>
    </row>
    <row r="5270" spans="1:10" x14ac:dyDescent="0.2">
      <c r="A5270" s="1" t="s">
        <v>39</v>
      </c>
      <c r="B5270" s="2" t="s">
        <v>370</v>
      </c>
      <c r="D5270" s="5" t="s">
        <v>464</v>
      </c>
      <c r="G5270" s="57" t="str">
        <f t="shared" si="85"/>
        <v>-</v>
      </c>
      <c r="H5270" s="19" t="s">
        <v>465</v>
      </c>
      <c r="I5270" s="19">
        <v>92500</v>
      </c>
    </row>
    <row r="5271" spans="1:10" x14ac:dyDescent="0.2">
      <c r="A5271" s="1" t="s">
        <v>39</v>
      </c>
      <c r="B5271" s="2" t="s">
        <v>370</v>
      </c>
      <c r="D5271" s="5" t="s">
        <v>464</v>
      </c>
      <c r="G5271" s="57" t="str">
        <f t="shared" si="85"/>
        <v>-</v>
      </c>
      <c r="H5271" s="19" t="s">
        <v>465</v>
      </c>
      <c r="I5271" s="19">
        <v>92500</v>
      </c>
    </row>
    <row r="5272" spans="1:10" x14ac:dyDescent="0.2">
      <c r="A5272" s="1" t="s">
        <v>39</v>
      </c>
      <c r="B5272" s="2" t="s">
        <v>370</v>
      </c>
      <c r="D5272" s="5" t="s">
        <v>464</v>
      </c>
      <c r="G5272" s="57" t="str">
        <f t="shared" si="85"/>
        <v>-</v>
      </c>
      <c r="H5272" s="19" t="s">
        <v>465</v>
      </c>
      <c r="I5272" s="19">
        <v>97500</v>
      </c>
      <c r="J5272" s="5" t="s">
        <v>539</v>
      </c>
    </row>
    <row r="5273" spans="1:10" x14ac:dyDescent="0.2">
      <c r="A5273" s="1" t="s">
        <v>39</v>
      </c>
      <c r="B5273" s="2" t="s">
        <v>370</v>
      </c>
      <c r="D5273" s="5" t="s">
        <v>464</v>
      </c>
      <c r="G5273" s="57" t="str">
        <f t="shared" si="85"/>
        <v>-</v>
      </c>
      <c r="H5273" s="19" t="s">
        <v>465</v>
      </c>
      <c r="I5273" s="19">
        <v>97500</v>
      </c>
      <c r="J5273" s="5" t="s">
        <v>539</v>
      </c>
    </row>
    <row r="5274" spans="1:10" x14ac:dyDescent="0.2">
      <c r="A5274" s="1" t="s">
        <v>39</v>
      </c>
      <c r="B5274" s="2" t="s">
        <v>370</v>
      </c>
      <c r="D5274" s="5" t="s">
        <v>464</v>
      </c>
      <c r="G5274" s="57" t="str">
        <f t="shared" si="85"/>
        <v>-</v>
      </c>
      <c r="H5274" s="19" t="s">
        <v>465</v>
      </c>
      <c r="I5274" s="19">
        <v>97500</v>
      </c>
      <c r="J5274" s="5" t="s">
        <v>539</v>
      </c>
    </row>
    <row r="5275" spans="1:10" x14ac:dyDescent="0.2">
      <c r="A5275" s="1" t="s">
        <v>39</v>
      </c>
      <c r="B5275" s="2" t="s">
        <v>370</v>
      </c>
      <c r="D5275" s="5" t="s">
        <v>464</v>
      </c>
      <c r="G5275" s="57" t="str">
        <f t="shared" si="85"/>
        <v>-</v>
      </c>
      <c r="H5275" s="19" t="s">
        <v>465</v>
      </c>
      <c r="I5275" s="19">
        <v>97500</v>
      </c>
      <c r="J5275" s="5" t="s">
        <v>539</v>
      </c>
    </row>
    <row r="5276" spans="1:10" x14ac:dyDescent="0.2">
      <c r="A5276" s="1" t="s">
        <v>39</v>
      </c>
      <c r="B5276" s="2" t="s">
        <v>370</v>
      </c>
      <c r="D5276" s="5" t="s">
        <v>464</v>
      </c>
      <c r="G5276" s="57" t="str">
        <f t="shared" si="85"/>
        <v>-</v>
      </c>
      <c r="H5276" s="19" t="s">
        <v>465</v>
      </c>
      <c r="I5276" s="19">
        <v>97500</v>
      </c>
      <c r="J5276" s="5" t="s">
        <v>539</v>
      </c>
    </row>
    <row r="5277" spans="1:10" x14ac:dyDescent="0.2">
      <c r="A5277" s="1" t="s">
        <v>39</v>
      </c>
      <c r="B5277" s="2" t="s">
        <v>370</v>
      </c>
      <c r="D5277" s="5" t="s">
        <v>464</v>
      </c>
      <c r="G5277" s="57" t="str">
        <f t="shared" si="85"/>
        <v>-</v>
      </c>
      <c r="H5277" s="19" t="s">
        <v>465</v>
      </c>
      <c r="I5277" s="19">
        <v>97500</v>
      </c>
      <c r="J5277" s="5" t="s">
        <v>539</v>
      </c>
    </row>
    <row r="5278" spans="1:10" x14ac:dyDescent="0.2">
      <c r="A5278" s="1" t="s">
        <v>39</v>
      </c>
      <c r="B5278" s="2" t="s">
        <v>370</v>
      </c>
      <c r="D5278" s="5" t="s">
        <v>464</v>
      </c>
      <c r="E5278" s="3">
        <v>102500</v>
      </c>
      <c r="F5278" s="3" t="s">
        <v>465</v>
      </c>
      <c r="G5278" s="57" t="str">
        <f t="shared" si="85"/>
        <v>-</v>
      </c>
      <c r="J5278" s="5" t="s">
        <v>539</v>
      </c>
    </row>
    <row r="5279" spans="1:10" x14ac:dyDescent="0.2">
      <c r="A5279" s="1" t="s">
        <v>39</v>
      </c>
      <c r="B5279" s="2" t="s">
        <v>370</v>
      </c>
      <c r="D5279" s="5" t="s">
        <v>464</v>
      </c>
      <c r="E5279" s="3">
        <v>102500</v>
      </c>
      <c r="F5279" s="3" t="s">
        <v>465</v>
      </c>
      <c r="G5279" s="57" t="str">
        <f t="shared" si="85"/>
        <v>-</v>
      </c>
    </row>
    <row r="5280" spans="1:10" x14ac:dyDescent="0.2">
      <c r="A5280" s="1" t="s">
        <v>39</v>
      </c>
      <c r="B5280" s="2" t="s">
        <v>370</v>
      </c>
      <c r="D5280" s="5" t="s">
        <v>464</v>
      </c>
      <c r="E5280" s="3">
        <v>102500</v>
      </c>
      <c r="F5280" s="3" t="s">
        <v>465</v>
      </c>
      <c r="G5280" s="57" t="str">
        <f t="shared" si="85"/>
        <v>-</v>
      </c>
    </row>
    <row r="5281" spans="1:10" x14ac:dyDescent="0.2">
      <c r="A5281" s="1" t="s">
        <v>39</v>
      </c>
      <c r="B5281" s="2" t="s">
        <v>370</v>
      </c>
      <c r="D5281" s="5" t="s">
        <v>464</v>
      </c>
      <c r="E5281" s="3">
        <v>102500</v>
      </c>
      <c r="F5281" s="3" t="s">
        <v>465</v>
      </c>
      <c r="G5281" s="57" t="str">
        <f t="shared" si="85"/>
        <v>-</v>
      </c>
    </row>
    <row r="5282" spans="1:10" x14ac:dyDescent="0.2">
      <c r="A5282" s="1" t="s">
        <v>39</v>
      </c>
      <c r="B5282" s="2" t="s">
        <v>370</v>
      </c>
      <c r="D5282" s="5" t="s">
        <v>464</v>
      </c>
      <c r="E5282" s="3" t="s">
        <v>465</v>
      </c>
      <c r="F5282" s="3">
        <v>102500</v>
      </c>
      <c r="G5282" s="57" t="str">
        <f t="shared" si="85"/>
        <v>-</v>
      </c>
      <c r="J5282" s="5" t="s">
        <v>539</v>
      </c>
    </row>
    <row r="5283" spans="1:10" x14ac:dyDescent="0.2">
      <c r="A5283" s="1" t="s">
        <v>39</v>
      </c>
      <c r="B5283" s="2" t="s">
        <v>370</v>
      </c>
      <c r="D5283" s="5" t="s">
        <v>464</v>
      </c>
      <c r="E5283" s="3" t="s">
        <v>465</v>
      </c>
      <c r="F5283" s="3">
        <v>102500</v>
      </c>
      <c r="G5283" s="57" t="str">
        <f t="shared" si="85"/>
        <v>-</v>
      </c>
      <c r="J5283" s="5" t="s">
        <v>539</v>
      </c>
    </row>
    <row r="5284" spans="1:10" x14ac:dyDescent="0.2">
      <c r="A5284" s="1" t="s">
        <v>39</v>
      </c>
      <c r="B5284" s="2" t="s">
        <v>370</v>
      </c>
      <c r="D5284" s="5" t="s">
        <v>464</v>
      </c>
      <c r="E5284" s="3" t="s">
        <v>465</v>
      </c>
      <c r="F5284" s="3">
        <v>102500</v>
      </c>
      <c r="G5284" s="57" t="str">
        <f t="shared" si="85"/>
        <v>-</v>
      </c>
    </row>
    <row r="5285" spans="1:10" x14ac:dyDescent="0.2">
      <c r="A5285" s="1" t="s">
        <v>39</v>
      </c>
      <c r="B5285" s="2" t="s">
        <v>370</v>
      </c>
      <c r="D5285" s="5" t="s">
        <v>464</v>
      </c>
      <c r="E5285" s="3" t="s">
        <v>465</v>
      </c>
      <c r="F5285" s="3">
        <v>102500</v>
      </c>
      <c r="G5285" s="57" t="str">
        <f t="shared" si="85"/>
        <v>-</v>
      </c>
    </row>
    <row r="5286" spans="1:10" x14ac:dyDescent="0.2">
      <c r="A5286" s="1" t="s">
        <v>39</v>
      </c>
      <c r="B5286" s="2" t="s">
        <v>370</v>
      </c>
      <c r="D5286" s="5" t="s">
        <v>464</v>
      </c>
      <c r="E5286" s="3">
        <v>107500</v>
      </c>
      <c r="F5286" s="3" t="s">
        <v>465</v>
      </c>
      <c r="G5286" s="57" t="str">
        <f t="shared" si="85"/>
        <v>-</v>
      </c>
    </row>
    <row r="5287" spans="1:10" x14ac:dyDescent="0.2">
      <c r="A5287" s="1" t="s">
        <v>39</v>
      </c>
      <c r="B5287" s="2" t="s">
        <v>370</v>
      </c>
      <c r="D5287" s="5" t="s">
        <v>464</v>
      </c>
      <c r="E5287" s="3">
        <v>107500</v>
      </c>
      <c r="F5287" s="3" t="s">
        <v>465</v>
      </c>
      <c r="G5287" s="57" t="str">
        <f t="shared" si="85"/>
        <v>-</v>
      </c>
    </row>
    <row r="5288" spans="1:10" x14ac:dyDescent="0.2">
      <c r="A5288" s="1" t="s">
        <v>39</v>
      </c>
      <c r="B5288" s="2" t="s">
        <v>370</v>
      </c>
      <c r="D5288" s="5" t="s">
        <v>464</v>
      </c>
      <c r="E5288" s="3" t="s">
        <v>465</v>
      </c>
      <c r="F5288" s="3">
        <v>107500</v>
      </c>
      <c r="G5288" s="57" t="str">
        <f t="shared" si="85"/>
        <v>-</v>
      </c>
      <c r="J5288" s="5" t="s">
        <v>539</v>
      </c>
    </row>
    <row r="5289" spans="1:10" x14ac:dyDescent="0.2">
      <c r="A5289" s="1" t="s">
        <v>39</v>
      </c>
      <c r="B5289" s="2" t="s">
        <v>370</v>
      </c>
      <c r="D5289" s="5" t="s">
        <v>464</v>
      </c>
      <c r="E5289" s="3" t="s">
        <v>465</v>
      </c>
      <c r="F5289" s="3">
        <v>107500</v>
      </c>
      <c r="G5289" s="57" t="str">
        <f t="shared" si="85"/>
        <v>-</v>
      </c>
      <c r="J5289" s="5" t="s">
        <v>539</v>
      </c>
    </row>
    <row r="5290" spans="1:10" x14ac:dyDescent="0.2">
      <c r="A5290" s="1" t="s">
        <v>39</v>
      </c>
      <c r="B5290" s="2" t="s">
        <v>370</v>
      </c>
      <c r="D5290" s="5" t="s">
        <v>464</v>
      </c>
      <c r="E5290" s="3" t="s">
        <v>465</v>
      </c>
      <c r="F5290" s="3">
        <v>112500</v>
      </c>
      <c r="G5290" s="57" t="str">
        <f t="shared" si="85"/>
        <v>-</v>
      </c>
    </row>
    <row r="5291" spans="1:10" x14ac:dyDescent="0.2">
      <c r="A5291" s="1" t="s">
        <v>39</v>
      </c>
      <c r="B5291" s="2" t="s">
        <v>370</v>
      </c>
      <c r="D5291" s="5" t="s">
        <v>464</v>
      </c>
      <c r="E5291" s="3" t="s">
        <v>465</v>
      </c>
      <c r="F5291" s="3">
        <v>117500</v>
      </c>
      <c r="G5291" s="57" t="str">
        <f t="shared" si="85"/>
        <v>-</v>
      </c>
      <c r="J5291" s="5" t="s">
        <v>539</v>
      </c>
    </row>
    <row r="5292" spans="1:10" x14ac:dyDescent="0.2">
      <c r="A5292" s="1" t="s">
        <v>39</v>
      </c>
      <c r="B5292" s="2" t="s">
        <v>370</v>
      </c>
      <c r="D5292" s="5" t="s">
        <v>464</v>
      </c>
      <c r="E5292" s="3" t="s">
        <v>465</v>
      </c>
      <c r="F5292" s="3">
        <v>127500</v>
      </c>
      <c r="G5292" s="57" t="str">
        <f t="shared" si="85"/>
        <v>-</v>
      </c>
      <c r="J5292" s="5" t="s">
        <v>539</v>
      </c>
    </row>
    <row r="5293" spans="1:10" x14ac:dyDescent="0.2">
      <c r="A5293" s="1" t="s">
        <v>39</v>
      </c>
      <c r="B5293" s="2" t="s">
        <v>370</v>
      </c>
      <c r="D5293" s="5" t="s">
        <v>464</v>
      </c>
      <c r="E5293" s="3">
        <v>132500</v>
      </c>
      <c r="F5293" s="3" t="s">
        <v>465</v>
      </c>
      <c r="G5293" s="57" t="str">
        <f t="shared" si="85"/>
        <v>-</v>
      </c>
      <c r="J5293" s="5" t="s">
        <v>539</v>
      </c>
    </row>
    <row r="5294" spans="1:10" x14ac:dyDescent="0.2">
      <c r="A5294" s="1" t="s">
        <v>39</v>
      </c>
      <c r="B5294" s="2" t="s">
        <v>370</v>
      </c>
      <c r="D5294" s="5" t="s">
        <v>464</v>
      </c>
      <c r="E5294" s="3" t="s">
        <v>465</v>
      </c>
      <c r="F5294" s="3">
        <v>147500</v>
      </c>
      <c r="G5294" s="57" t="str">
        <f t="shared" si="85"/>
        <v>-</v>
      </c>
    </row>
    <row r="5295" spans="1:10" x14ac:dyDescent="0.2">
      <c r="A5295" s="1" t="s">
        <v>39</v>
      </c>
      <c r="B5295" s="2" t="s">
        <v>370</v>
      </c>
      <c r="D5295" s="5" t="s">
        <v>464</v>
      </c>
      <c r="E5295" s="3" t="s">
        <v>465</v>
      </c>
      <c r="F5295" s="3">
        <v>152500</v>
      </c>
      <c r="G5295" s="57" t="str">
        <f t="shared" si="85"/>
        <v>-</v>
      </c>
      <c r="J5295" s="5" t="s">
        <v>539</v>
      </c>
    </row>
    <row r="5296" spans="1:10" x14ac:dyDescent="0.2">
      <c r="A5296" s="1" t="s">
        <v>39</v>
      </c>
      <c r="B5296" s="2" t="s">
        <v>370</v>
      </c>
      <c r="D5296" s="5" t="s">
        <v>464</v>
      </c>
      <c r="E5296" s="3">
        <v>157500</v>
      </c>
      <c r="F5296" s="3" t="s">
        <v>465</v>
      </c>
      <c r="G5296" s="57" t="str">
        <f t="shared" si="85"/>
        <v>-</v>
      </c>
      <c r="J5296" s="5" t="s">
        <v>539</v>
      </c>
    </row>
    <row r="5297" spans="1:10" x14ac:dyDescent="0.2">
      <c r="A5297" s="1" t="s">
        <v>39</v>
      </c>
      <c r="B5297" s="2" t="s">
        <v>370</v>
      </c>
      <c r="D5297" s="5" t="s">
        <v>464</v>
      </c>
      <c r="E5297" s="3" t="s">
        <v>465</v>
      </c>
      <c r="F5297" s="3">
        <v>157500</v>
      </c>
      <c r="G5297" s="57" t="str">
        <f t="shared" si="85"/>
        <v>-</v>
      </c>
      <c r="J5297" s="5" t="s">
        <v>539</v>
      </c>
    </row>
    <row r="5298" spans="1:10" x14ac:dyDescent="0.2">
      <c r="A5298" s="1" t="s">
        <v>39</v>
      </c>
      <c r="B5298" s="2" t="s">
        <v>370</v>
      </c>
      <c r="D5298" s="5" t="s">
        <v>464</v>
      </c>
      <c r="E5298" s="3" t="s">
        <v>465</v>
      </c>
      <c r="F5298" s="3">
        <v>167500</v>
      </c>
      <c r="G5298" s="57" t="str">
        <f t="shared" si="85"/>
        <v>-</v>
      </c>
      <c r="J5298" s="5" t="s">
        <v>539</v>
      </c>
    </row>
    <row r="5299" spans="1:10" x14ac:dyDescent="0.2">
      <c r="A5299" s="1" t="s">
        <v>39</v>
      </c>
      <c r="B5299" s="2" t="s">
        <v>370</v>
      </c>
      <c r="D5299" s="5" t="s">
        <v>464</v>
      </c>
      <c r="E5299" s="3" t="s">
        <v>465</v>
      </c>
      <c r="F5299" s="3">
        <v>167500</v>
      </c>
      <c r="G5299" s="57" t="str">
        <f t="shared" si="85"/>
        <v>-</v>
      </c>
      <c r="J5299" s="5" t="s">
        <v>539</v>
      </c>
    </row>
    <row r="5300" spans="1:10" x14ac:dyDescent="0.2">
      <c r="A5300" s="1" t="s">
        <v>39</v>
      </c>
      <c r="B5300" s="2" t="s">
        <v>370</v>
      </c>
      <c r="D5300" s="5" t="s">
        <v>464</v>
      </c>
      <c r="E5300" s="3" t="s">
        <v>465</v>
      </c>
      <c r="F5300" s="3">
        <v>167500</v>
      </c>
      <c r="G5300" s="57" t="str">
        <f t="shared" si="85"/>
        <v>-</v>
      </c>
    </row>
    <row r="5301" spans="1:10" ht="25.5" x14ac:dyDescent="0.2">
      <c r="A5301" s="1" t="s">
        <v>11</v>
      </c>
      <c r="B5301" s="2" t="s">
        <v>371</v>
      </c>
      <c r="C5301" s="37" t="s">
        <v>2849</v>
      </c>
      <c r="D5301" s="7"/>
      <c r="G5301" s="57" t="str">
        <f t="shared" si="85"/>
        <v>-</v>
      </c>
    </row>
    <row r="5302" spans="1:10" ht="25.5" x14ac:dyDescent="0.2">
      <c r="A5302" s="1" t="s">
        <v>39</v>
      </c>
      <c r="B5302" s="2" t="s">
        <v>372</v>
      </c>
      <c r="D5302" s="5" t="s">
        <v>450</v>
      </c>
      <c r="E5302" s="3">
        <v>129620</v>
      </c>
      <c r="F5302" s="3">
        <v>131305</v>
      </c>
      <c r="G5302" s="57">
        <f t="shared" si="85"/>
        <v>1.2999537108470915E-2</v>
      </c>
      <c r="J5302" s="5" t="s">
        <v>2549</v>
      </c>
    </row>
    <row r="5303" spans="1:10" ht="38.25" x14ac:dyDescent="0.2">
      <c r="A5303" s="1" t="s">
        <v>39</v>
      </c>
      <c r="B5303" s="2" t="s">
        <v>372</v>
      </c>
      <c r="D5303" s="5" t="s">
        <v>758</v>
      </c>
      <c r="E5303" s="3">
        <v>97592</v>
      </c>
      <c r="F5303" s="3">
        <v>193153</v>
      </c>
      <c r="G5303" s="57">
        <f t="shared" si="85"/>
        <v>0.97918886793999504</v>
      </c>
      <c r="J5303" s="5" t="s">
        <v>2550</v>
      </c>
    </row>
    <row r="5304" spans="1:10" ht="38.25" x14ac:dyDescent="0.2">
      <c r="A5304" s="1" t="s">
        <v>39</v>
      </c>
      <c r="B5304" s="2" t="s">
        <v>372</v>
      </c>
      <c r="D5304" s="5" t="s">
        <v>759</v>
      </c>
      <c r="E5304" s="3">
        <v>96638</v>
      </c>
      <c r="F5304" s="3">
        <v>161672</v>
      </c>
      <c r="G5304" s="57">
        <f t="shared" si="85"/>
        <v>0.6729650861979759</v>
      </c>
      <c r="J5304" s="5" t="s">
        <v>2551</v>
      </c>
    </row>
    <row r="5305" spans="1:10" ht="25.5" x14ac:dyDescent="0.2">
      <c r="A5305" s="1" t="s">
        <v>34</v>
      </c>
      <c r="B5305" s="2" t="s">
        <v>373</v>
      </c>
      <c r="D5305" s="5" t="s">
        <v>450</v>
      </c>
      <c r="E5305" s="3">
        <v>134721</v>
      </c>
      <c r="F5305" s="3">
        <v>137178.12</v>
      </c>
      <c r="G5305" s="57">
        <f t="shared" si="85"/>
        <v>1.8238581958269277E-2</v>
      </c>
      <c r="J5305" s="5" t="s">
        <v>2548</v>
      </c>
    </row>
    <row r="5306" spans="1:10" ht="25.5" x14ac:dyDescent="0.2">
      <c r="A5306" s="1" t="s">
        <v>20</v>
      </c>
      <c r="B5306" s="2" t="s">
        <v>374</v>
      </c>
      <c r="C5306" s="5" t="s">
        <v>745</v>
      </c>
      <c r="D5306" s="5" t="s">
        <v>450</v>
      </c>
      <c r="E5306" s="3">
        <v>267775</v>
      </c>
      <c r="F5306" s="3">
        <v>267775</v>
      </c>
      <c r="G5306" s="57">
        <f t="shared" si="85"/>
        <v>0</v>
      </c>
      <c r="J5306" s="5" t="s">
        <v>2540</v>
      </c>
    </row>
    <row r="5307" spans="1:10" ht="25.5" x14ac:dyDescent="0.2">
      <c r="A5307" s="1" t="s">
        <v>20</v>
      </c>
      <c r="B5307" s="2" t="s">
        <v>374</v>
      </c>
      <c r="C5307" s="5" t="s">
        <v>746</v>
      </c>
      <c r="D5307" s="5" t="s">
        <v>747</v>
      </c>
      <c r="E5307" s="3" t="s">
        <v>465</v>
      </c>
      <c r="F5307" s="3">
        <v>137675</v>
      </c>
      <c r="G5307" s="57" t="str">
        <f t="shared" si="85"/>
        <v>-</v>
      </c>
      <c r="J5307" s="5" t="s">
        <v>2541</v>
      </c>
    </row>
    <row r="5308" spans="1:10" ht="25.5" x14ac:dyDescent="0.2">
      <c r="A5308" s="1" t="s">
        <v>20</v>
      </c>
      <c r="B5308" s="2" t="s">
        <v>374</v>
      </c>
      <c r="C5308" s="5" t="s">
        <v>748</v>
      </c>
      <c r="D5308" s="5" t="s">
        <v>749</v>
      </c>
      <c r="E5308" s="3">
        <v>154766</v>
      </c>
      <c r="F5308" s="3">
        <v>219114</v>
      </c>
      <c r="G5308" s="57">
        <f t="shared" ref="G5308:G5371" si="86">IF(ISERROR((F5308-E5308)/E5308),"-",(F5308-E5308)/E5308)</f>
        <v>0.41577607484848095</v>
      </c>
      <c r="J5308" s="5" t="s">
        <v>2542</v>
      </c>
    </row>
    <row r="5309" spans="1:10" ht="25.5" x14ac:dyDescent="0.2">
      <c r="A5309" s="1" t="s">
        <v>20</v>
      </c>
      <c r="B5309" s="2" t="s">
        <v>374</v>
      </c>
      <c r="C5309" s="5" t="s">
        <v>750</v>
      </c>
      <c r="D5309" s="5" t="s">
        <v>751</v>
      </c>
      <c r="E5309" s="3">
        <v>148519</v>
      </c>
      <c r="F5309" s="3">
        <v>149464</v>
      </c>
      <c r="G5309" s="57">
        <f t="shared" si="86"/>
        <v>6.3628222651647267E-3</v>
      </c>
      <c r="J5309" s="5" t="s">
        <v>2543</v>
      </c>
    </row>
    <row r="5310" spans="1:10" ht="25.5" x14ac:dyDescent="0.2">
      <c r="A5310" s="1" t="s">
        <v>20</v>
      </c>
      <c r="B5310" s="2" t="s">
        <v>374</v>
      </c>
      <c r="C5310" s="5" t="s">
        <v>752</v>
      </c>
      <c r="D5310" s="5" t="s">
        <v>753</v>
      </c>
      <c r="E5310" s="3">
        <v>143746</v>
      </c>
      <c r="F5310" s="3">
        <v>142746</v>
      </c>
      <c r="G5310" s="57">
        <f t="shared" si="86"/>
        <v>-6.9567153172957856E-3</v>
      </c>
      <c r="J5310" s="5" t="s">
        <v>2544</v>
      </c>
    </row>
    <row r="5311" spans="1:10" ht="25.5" x14ac:dyDescent="0.2">
      <c r="A5311" s="1" t="s">
        <v>20</v>
      </c>
      <c r="B5311" s="2" t="s">
        <v>374</v>
      </c>
      <c r="C5311" s="5" t="s">
        <v>754</v>
      </c>
      <c r="D5311" s="5" t="s">
        <v>755</v>
      </c>
      <c r="E5311" s="3">
        <v>114739</v>
      </c>
      <c r="F5311" s="3">
        <v>175666</v>
      </c>
      <c r="G5311" s="57">
        <f t="shared" si="86"/>
        <v>0.53100515082055799</v>
      </c>
      <c r="J5311" s="5" t="s">
        <v>2545</v>
      </c>
    </row>
    <row r="5312" spans="1:10" ht="25.5" x14ac:dyDescent="0.2">
      <c r="A5312" s="1" t="s">
        <v>20</v>
      </c>
      <c r="B5312" s="2" t="s">
        <v>374</v>
      </c>
      <c r="C5312" s="5" t="s">
        <v>756</v>
      </c>
      <c r="D5312" s="5" t="s">
        <v>757</v>
      </c>
      <c r="E5312" s="3">
        <v>110558</v>
      </c>
      <c r="F5312" s="3">
        <v>110889</v>
      </c>
      <c r="G5312" s="57">
        <f t="shared" si="86"/>
        <v>2.9939036523815555E-3</v>
      </c>
      <c r="J5312" s="5" t="s">
        <v>2546</v>
      </c>
    </row>
    <row r="5313" spans="1:9" s="1" customFormat="1" x14ac:dyDescent="0.2">
      <c r="A5313" s="1" t="s">
        <v>20</v>
      </c>
      <c r="B5313" s="2" t="s">
        <v>374</v>
      </c>
      <c r="C5313" s="5"/>
      <c r="D5313" s="5" t="s">
        <v>464</v>
      </c>
      <c r="E5313" s="3"/>
      <c r="F5313" s="3"/>
      <c r="G5313" s="57" t="str">
        <f t="shared" si="86"/>
        <v>-</v>
      </c>
      <c r="H5313" s="19">
        <v>92500</v>
      </c>
      <c r="I5313" s="19" t="s">
        <v>465</v>
      </c>
    </row>
    <row r="5314" spans="1:9" s="1" customFormat="1" x14ac:dyDescent="0.2">
      <c r="A5314" s="1" t="s">
        <v>20</v>
      </c>
      <c r="B5314" s="2" t="s">
        <v>374</v>
      </c>
      <c r="C5314" s="5"/>
      <c r="D5314" s="5" t="s">
        <v>464</v>
      </c>
      <c r="E5314" s="3"/>
      <c r="F5314" s="3"/>
      <c r="G5314" s="57" t="str">
        <f t="shared" si="86"/>
        <v>-</v>
      </c>
      <c r="H5314" s="19">
        <v>92500</v>
      </c>
      <c r="I5314" s="19" t="s">
        <v>465</v>
      </c>
    </row>
    <row r="5315" spans="1:9" s="1" customFormat="1" x14ac:dyDescent="0.2">
      <c r="A5315" s="1" t="s">
        <v>20</v>
      </c>
      <c r="B5315" s="2" t="s">
        <v>374</v>
      </c>
      <c r="C5315" s="5"/>
      <c r="D5315" s="5" t="s">
        <v>464</v>
      </c>
      <c r="E5315" s="3"/>
      <c r="F5315" s="3"/>
      <c r="G5315" s="57" t="str">
        <f t="shared" si="86"/>
        <v>-</v>
      </c>
      <c r="H5315" s="19">
        <v>92500</v>
      </c>
      <c r="I5315" s="19" t="s">
        <v>465</v>
      </c>
    </row>
    <row r="5316" spans="1:9" s="1" customFormat="1" x14ac:dyDescent="0.2">
      <c r="A5316" s="1" t="s">
        <v>20</v>
      </c>
      <c r="B5316" s="2" t="s">
        <v>374</v>
      </c>
      <c r="C5316" s="5"/>
      <c r="D5316" s="5" t="s">
        <v>464</v>
      </c>
      <c r="E5316" s="3"/>
      <c r="F5316" s="3"/>
      <c r="G5316" s="57" t="str">
        <f t="shared" si="86"/>
        <v>-</v>
      </c>
      <c r="H5316" s="19">
        <v>92500</v>
      </c>
      <c r="I5316" s="19" t="s">
        <v>465</v>
      </c>
    </row>
    <row r="5317" spans="1:9" s="1" customFormat="1" x14ac:dyDescent="0.2">
      <c r="A5317" s="1" t="s">
        <v>20</v>
      </c>
      <c r="B5317" s="2" t="s">
        <v>374</v>
      </c>
      <c r="C5317" s="5"/>
      <c r="D5317" s="5" t="s">
        <v>464</v>
      </c>
      <c r="E5317" s="3"/>
      <c r="F5317" s="3"/>
      <c r="G5317" s="57" t="str">
        <f t="shared" si="86"/>
        <v>-</v>
      </c>
      <c r="H5317" s="19">
        <v>92500</v>
      </c>
      <c r="I5317" s="19" t="s">
        <v>465</v>
      </c>
    </row>
    <row r="5318" spans="1:9" s="1" customFormat="1" x14ac:dyDescent="0.2">
      <c r="A5318" s="1" t="s">
        <v>20</v>
      </c>
      <c r="B5318" s="2" t="s">
        <v>374</v>
      </c>
      <c r="C5318" s="5"/>
      <c r="D5318" s="5" t="s">
        <v>464</v>
      </c>
      <c r="E5318" s="3"/>
      <c r="F5318" s="3"/>
      <c r="G5318" s="57" t="str">
        <f t="shared" si="86"/>
        <v>-</v>
      </c>
      <c r="H5318" s="19">
        <v>92500</v>
      </c>
      <c r="I5318" s="19" t="s">
        <v>465</v>
      </c>
    </row>
    <row r="5319" spans="1:9" s="1" customFormat="1" x14ac:dyDescent="0.2">
      <c r="A5319" s="1" t="s">
        <v>20</v>
      </c>
      <c r="B5319" s="2" t="s">
        <v>374</v>
      </c>
      <c r="C5319" s="5"/>
      <c r="D5319" s="5" t="s">
        <v>464</v>
      </c>
      <c r="E5319" s="3"/>
      <c r="F5319" s="3"/>
      <c r="G5319" s="57" t="str">
        <f t="shared" si="86"/>
        <v>-</v>
      </c>
      <c r="H5319" s="19" t="s">
        <v>465</v>
      </c>
      <c r="I5319" s="19">
        <v>92500</v>
      </c>
    </row>
    <row r="5320" spans="1:9" s="1" customFormat="1" x14ac:dyDescent="0.2">
      <c r="A5320" s="1" t="s">
        <v>20</v>
      </c>
      <c r="B5320" s="2" t="s">
        <v>374</v>
      </c>
      <c r="C5320" s="5"/>
      <c r="D5320" s="5" t="s">
        <v>464</v>
      </c>
      <c r="E5320" s="3"/>
      <c r="F5320" s="3"/>
      <c r="G5320" s="57" t="str">
        <f t="shared" si="86"/>
        <v>-</v>
      </c>
      <c r="H5320" s="19" t="s">
        <v>465</v>
      </c>
      <c r="I5320" s="19">
        <v>92500</v>
      </c>
    </row>
    <row r="5321" spans="1:9" s="1" customFormat="1" x14ac:dyDescent="0.2">
      <c r="A5321" s="1" t="s">
        <v>20</v>
      </c>
      <c r="B5321" s="2" t="s">
        <v>374</v>
      </c>
      <c r="C5321" s="5"/>
      <c r="D5321" s="5" t="s">
        <v>464</v>
      </c>
      <c r="E5321" s="3"/>
      <c r="F5321" s="3"/>
      <c r="G5321" s="57" t="str">
        <f t="shared" si="86"/>
        <v>-</v>
      </c>
      <c r="H5321" s="19" t="s">
        <v>465</v>
      </c>
      <c r="I5321" s="19">
        <v>92500</v>
      </c>
    </row>
    <row r="5322" spans="1:9" s="1" customFormat="1" x14ac:dyDescent="0.2">
      <c r="A5322" s="1" t="s">
        <v>20</v>
      </c>
      <c r="B5322" s="2" t="s">
        <v>374</v>
      </c>
      <c r="C5322" s="5"/>
      <c r="D5322" s="5" t="s">
        <v>464</v>
      </c>
      <c r="E5322" s="3"/>
      <c r="F5322" s="3"/>
      <c r="G5322" s="57" t="str">
        <f t="shared" si="86"/>
        <v>-</v>
      </c>
      <c r="H5322" s="19" t="s">
        <v>465</v>
      </c>
      <c r="I5322" s="19">
        <v>92500</v>
      </c>
    </row>
    <row r="5323" spans="1:9" s="1" customFormat="1" x14ac:dyDescent="0.2">
      <c r="A5323" s="1" t="s">
        <v>20</v>
      </c>
      <c r="B5323" s="2" t="s">
        <v>374</v>
      </c>
      <c r="C5323" s="5"/>
      <c r="D5323" s="5" t="s">
        <v>464</v>
      </c>
      <c r="E5323" s="3"/>
      <c r="F5323" s="3"/>
      <c r="G5323" s="57" t="str">
        <f t="shared" si="86"/>
        <v>-</v>
      </c>
      <c r="H5323" s="19" t="s">
        <v>465</v>
      </c>
      <c r="I5323" s="19">
        <v>92500</v>
      </c>
    </row>
    <row r="5324" spans="1:9" s="1" customFormat="1" x14ac:dyDescent="0.2">
      <c r="A5324" s="1" t="s">
        <v>20</v>
      </c>
      <c r="B5324" s="2" t="s">
        <v>374</v>
      </c>
      <c r="C5324" s="5"/>
      <c r="D5324" s="5" t="s">
        <v>464</v>
      </c>
      <c r="E5324" s="3"/>
      <c r="F5324" s="3"/>
      <c r="G5324" s="57" t="str">
        <f t="shared" si="86"/>
        <v>-</v>
      </c>
      <c r="H5324" s="19" t="s">
        <v>465</v>
      </c>
      <c r="I5324" s="19">
        <v>92500</v>
      </c>
    </row>
    <row r="5325" spans="1:9" s="1" customFormat="1" x14ac:dyDescent="0.2">
      <c r="A5325" s="1" t="s">
        <v>20</v>
      </c>
      <c r="B5325" s="2" t="s">
        <v>374</v>
      </c>
      <c r="C5325" s="5"/>
      <c r="D5325" s="5" t="s">
        <v>464</v>
      </c>
      <c r="E5325" s="3"/>
      <c r="F5325" s="3"/>
      <c r="G5325" s="57" t="str">
        <f t="shared" si="86"/>
        <v>-</v>
      </c>
      <c r="H5325" s="19" t="s">
        <v>465</v>
      </c>
      <c r="I5325" s="19">
        <v>92500</v>
      </c>
    </row>
    <row r="5326" spans="1:9" s="1" customFormat="1" x14ac:dyDescent="0.2">
      <c r="A5326" s="1" t="s">
        <v>20</v>
      </c>
      <c r="B5326" s="2" t="s">
        <v>374</v>
      </c>
      <c r="C5326" s="5"/>
      <c r="D5326" s="5" t="s">
        <v>464</v>
      </c>
      <c r="E5326" s="3"/>
      <c r="F5326" s="3"/>
      <c r="G5326" s="57" t="str">
        <f t="shared" si="86"/>
        <v>-</v>
      </c>
      <c r="H5326" s="19">
        <v>97500</v>
      </c>
      <c r="I5326" s="19" t="s">
        <v>465</v>
      </c>
    </row>
    <row r="5327" spans="1:9" s="1" customFormat="1" x14ac:dyDescent="0.2">
      <c r="A5327" s="1" t="s">
        <v>20</v>
      </c>
      <c r="B5327" s="2" t="s">
        <v>374</v>
      </c>
      <c r="C5327" s="5"/>
      <c r="D5327" s="5" t="s">
        <v>464</v>
      </c>
      <c r="E5327" s="3"/>
      <c r="F5327" s="3"/>
      <c r="G5327" s="57" t="str">
        <f t="shared" si="86"/>
        <v>-</v>
      </c>
      <c r="H5327" s="19" t="s">
        <v>465</v>
      </c>
      <c r="I5327" s="19">
        <v>97500</v>
      </c>
    </row>
    <row r="5328" spans="1:9" s="1" customFormat="1" x14ac:dyDescent="0.2">
      <c r="A5328" s="1" t="s">
        <v>20</v>
      </c>
      <c r="B5328" s="2" t="s">
        <v>374</v>
      </c>
      <c r="C5328" s="5"/>
      <c r="D5328" s="5" t="s">
        <v>464</v>
      </c>
      <c r="E5328" s="3"/>
      <c r="F5328" s="3"/>
      <c r="G5328" s="57" t="str">
        <f t="shared" si="86"/>
        <v>-</v>
      </c>
      <c r="H5328" s="19" t="s">
        <v>465</v>
      </c>
      <c r="I5328" s="19">
        <v>97500</v>
      </c>
    </row>
    <row r="5329" spans="1:10" x14ac:dyDescent="0.2">
      <c r="A5329" s="1" t="s">
        <v>20</v>
      </c>
      <c r="B5329" s="2" t="s">
        <v>374</v>
      </c>
      <c r="D5329" s="5" t="s">
        <v>464</v>
      </c>
      <c r="G5329" s="57" t="str">
        <f t="shared" si="86"/>
        <v>-</v>
      </c>
      <c r="H5329" s="19" t="s">
        <v>465</v>
      </c>
      <c r="I5329" s="19">
        <v>97500</v>
      </c>
    </row>
    <row r="5330" spans="1:10" x14ac:dyDescent="0.2">
      <c r="A5330" s="1" t="s">
        <v>20</v>
      </c>
      <c r="B5330" s="2" t="s">
        <v>374</v>
      </c>
      <c r="D5330" s="5" t="s">
        <v>464</v>
      </c>
      <c r="E5330" s="3" t="s">
        <v>465</v>
      </c>
      <c r="F5330" s="3">
        <v>102500</v>
      </c>
      <c r="G5330" s="57" t="str">
        <f t="shared" si="86"/>
        <v>-</v>
      </c>
    </row>
    <row r="5331" spans="1:10" x14ac:dyDescent="0.2">
      <c r="A5331" s="1" t="s">
        <v>20</v>
      </c>
      <c r="B5331" s="2" t="s">
        <v>374</v>
      </c>
      <c r="D5331" s="5" t="s">
        <v>464</v>
      </c>
      <c r="E5331" s="3" t="s">
        <v>465</v>
      </c>
      <c r="F5331" s="3">
        <v>107500</v>
      </c>
      <c r="G5331" s="57" t="str">
        <f t="shared" si="86"/>
        <v>-</v>
      </c>
    </row>
    <row r="5332" spans="1:10" x14ac:dyDescent="0.2">
      <c r="A5332" s="1" t="s">
        <v>20</v>
      </c>
      <c r="B5332" s="2" t="s">
        <v>374</v>
      </c>
      <c r="D5332" s="5" t="s">
        <v>464</v>
      </c>
      <c r="E5332" s="3" t="s">
        <v>465</v>
      </c>
      <c r="F5332" s="3">
        <v>107500</v>
      </c>
      <c r="G5332" s="57" t="str">
        <f t="shared" si="86"/>
        <v>-</v>
      </c>
    </row>
    <row r="5333" spans="1:10" x14ac:dyDescent="0.2">
      <c r="A5333" s="1" t="s">
        <v>20</v>
      </c>
      <c r="B5333" s="2" t="s">
        <v>374</v>
      </c>
      <c r="D5333" s="5" t="s">
        <v>464</v>
      </c>
      <c r="E5333" s="3">
        <v>132500</v>
      </c>
      <c r="F5333" s="3" t="s">
        <v>465</v>
      </c>
      <c r="G5333" s="57" t="str">
        <f t="shared" si="86"/>
        <v>-</v>
      </c>
    </row>
    <row r="5334" spans="1:10" ht="25.5" x14ac:dyDescent="0.2">
      <c r="A5334" s="1" t="s">
        <v>20</v>
      </c>
      <c r="B5334" s="2" t="s">
        <v>375</v>
      </c>
      <c r="D5334" s="5" t="s">
        <v>450</v>
      </c>
      <c r="E5334" s="3">
        <v>157518</v>
      </c>
      <c r="F5334" s="3">
        <v>158395</v>
      </c>
      <c r="G5334" s="57">
        <f t="shared" si="86"/>
        <v>5.5676176690917867E-3</v>
      </c>
      <c r="J5334" s="5" t="s">
        <v>2547</v>
      </c>
    </row>
    <row r="5335" spans="1:10" ht="25.5" x14ac:dyDescent="0.2">
      <c r="A5335" s="1" t="s">
        <v>111</v>
      </c>
      <c r="B5335" s="2" t="s">
        <v>376</v>
      </c>
      <c r="C5335" s="5" t="s">
        <v>741</v>
      </c>
      <c r="D5335" s="5" t="s">
        <v>450</v>
      </c>
      <c r="E5335" s="3">
        <v>238967</v>
      </c>
      <c r="F5335" s="3">
        <v>229547</v>
      </c>
      <c r="G5335" s="57">
        <f t="shared" si="86"/>
        <v>-3.9419668824565733E-2</v>
      </c>
      <c r="J5335" s="5" t="s">
        <v>2537</v>
      </c>
    </row>
    <row r="5336" spans="1:10" ht="25.5" x14ac:dyDescent="0.2">
      <c r="A5336" s="1" t="s">
        <v>111</v>
      </c>
      <c r="B5336" s="2" t="s">
        <v>376</v>
      </c>
      <c r="D5336" s="5" t="s">
        <v>455</v>
      </c>
      <c r="E5336" s="3">
        <v>75681</v>
      </c>
      <c r="F5336" s="3">
        <v>138067</v>
      </c>
      <c r="G5336" s="57">
        <f t="shared" si="86"/>
        <v>0.82432843117823495</v>
      </c>
      <c r="J5336" s="5" t="s">
        <v>4472</v>
      </c>
    </row>
    <row r="5337" spans="1:10" ht="25.5" x14ac:dyDescent="0.2">
      <c r="A5337" s="1" t="s">
        <v>111</v>
      </c>
      <c r="B5337" s="2" t="s">
        <v>376</v>
      </c>
      <c r="D5337" s="5" t="s">
        <v>742</v>
      </c>
      <c r="E5337" s="3">
        <v>131495</v>
      </c>
      <c r="F5337" s="3">
        <v>131952</v>
      </c>
      <c r="G5337" s="57">
        <f t="shared" si="86"/>
        <v>3.475417316247766E-3</v>
      </c>
      <c r="J5337" s="5" t="s">
        <v>2538</v>
      </c>
    </row>
    <row r="5338" spans="1:10" ht="25.5" x14ac:dyDescent="0.2">
      <c r="A5338" s="1" t="s">
        <v>111</v>
      </c>
      <c r="B5338" s="2" t="s">
        <v>376</v>
      </c>
      <c r="D5338" s="5" t="s">
        <v>743</v>
      </c>
      <c r="E5338" s="3">
        <v>136129</v>
      </c>
      <c r="F5338" s="3">
        <v>125814</v>
      </c>
      <c r="G5338" s="57">
        <f t="shared" si="86"/>
        <v>-7.5773714638320999E-2</v>
      </c>
      <c r="J5338" s="5" t="s">
        <v>2539</v>
      </c>
    </row>
    <row r="5339" spans="1:10" ht="25.5" x14ac:dyDescent="0.2">
      <c r="A5339" s="1" t="s">
        <v>111</v>
      </c>
      <c r="B5339" s="2" t="s">
        <v>376</v>
      </c>
      <c r="D5339" s="5" t="s">
        <v>744</v>
      </c>
      <c r="E5339" s="3">
        <v>74293</v>
      </c>
      <c r="F5339" s="3">
        <v>140766</v>
      </c>
      <c r="G5339" s="57">
        <f t="shared" si="86"/>
        <v>0.8947410927005236</v>
      </c>
      <c r="J5339" s="5" t="s">
        <v>2881</v>
      </c>
    </row>
    <row r="5340" spans="1:10" ht="25.5" x14ac:dyDescent="0.2">
      <c r="A5340" s="1" t="s">
        <v>111</v>
      </c>
      <c r="B5340" s="2" t="s">
        <v>376</v>
      </c>
      <c r="D5340" s="7" t="s">
        <v>2533</v>
      </c>
      <c r="E5340" s="3" t="s">
        <v>465</v>
      </c>
      <c r="F5340" s="3">
        <v>134902</v>
      </c>
      <c r="G5340" s="57" t="str">
        <f t="shared" si="86"/>
        <v>-</v>
      </c>
      <c r="J5340" s="5" t="s">
        <v>2594</v>
      </c>
    </row>
    <row r="5341" spans="1:10" x14ac:dyDescent="0.2">
      <c r="A5341" s="1" t="s">
        <v>111</v>
      </c>
      <c r="B5341" s="2" t="s">
        <v>376</v>
      </c>
      <c r="C5341" s="5" t="s">
        <v>2535</v>
      </c>
      <c r="D5341" s="7" t="s">
        <v>2534</v>
      </c>
      <c r="E5341" s="6">
        <v>273192</v>
      </c>
      <c r="F5341" s="3" t="s">
        <v>465</v>
      </c>
      <c r="G5341" s="57" t="str">
        <f t="shared" si="86"/>
        <v>-</v>
      </c>
      <c r="J5341" s="5" t="s">
        <v>539</v>
      </c>
    </row>
    <row r="5342" spans="1:10" ht="25.5" x14ac:dyDescent="0.2">
      <c r="A5342" s="1" t="s">
        <v>111</v>
      </c>
      <c r="B5342" s="2" t="s">
        <v>376</v>
      </c>
      <c r="D5342" s="7" t="s">
        <v>1455</v>
      </c>
      <c r="E5342" s="3">
        <v>104209</v>
      </c>
      <c r="F5342" s="3">
        <v>56019</v>
      </c>
      <c r="G5342" s="57">
        <f t="shared" si="86"/>
        <v>-0.46243606598278458</v>
      </c>
      <c r="J5342" s="5" t="s">
        <v>2595</v>
      </c>
    </row>
    <row r="5343" spans="1:10" x14ac:dyDescent="0.2">
      <c r="A5343" s="1" t="s">
        <v>111</v>
      </c>
      <c r="B5343" s="2" t="s">
        <v>376</v>
      </c>
      <c r="D5343" s="7" t="s">
        <v>1796</v>
      </c>
      <c r="E5343" s="3">
        <v>161485</v>
      </c>
      <c r="F5343" s="3" t="s">
        <v>465</v>
      </c>
      <c r="G5343" s="57" t="str">
        <f t="shared" si="86"/>
        <v>-</v>
      </c>
      <c r="J5343" s="5" t="s">
        <v>539</v>
      </c>
    </row>
    <row r="5344" spans="1:10" x14ac:dyDescent="0.2">
      <c r="A5344" s="1" t="s">
        <v>111</v>
      </c>
      <c r="B5344" s="2" t="s">
        <v>376</v>
      </c>
      <c r="D5344" s="7" t="s">
        <v>2536</v>
      </c>
      <c r="E5344" s="3">
        <v>110907</v>
      </c>
      <c r="F5344" s="3" t="s">
        <v>465</v>
      </c>
      <c r="G5344" s="57" t="str">
        <f t="shared" si="86"/>
        <v>-</v>
      </c>
    </row>
    <row r="5345" spans="1:10" x14ac:dyDescent="0.2">
      <c r="A5345" s="1" t="s">
        <v>111</v>
      </c>
      <c r="B5345" s="2" t="s">
        <v>376</v>
      </c>
      <c r="D5345" s="5" t="s">
        <v>464</v>
      </c>
      <c r="G5345" s="57" t="str">
        <f t="shared" si="86"/>
        <v>-</v>
      </c>
      <c r="H5345" s="19" t="s">
        <v>465</v>
      </c>
      <c r="I5345" s="19">
        <v>92500</v>
      </c>
    </row>
    <row r="5346" spans="1:10" x14ac:dyDescent="0.2">
      <c r="A5346" s="1" t="s">
        <v>111</v>
      </c>
      <c r="B5346" s="2" t="s">
        <v>376</v>
      </c>
      <c r="D5346" s="5" t="s">
        <v>464</v>
      </c>
      <c r="G5346" s="57" t="str">
        <f t="shared" si="86"/>
        <v>-</v>
      </c>
      <c r="H5346" s="19" t="s">
        <v>465</v>
      </c>
      <c r="I5346" s="19">
        <v>92500</v>
      </c>
    </row>
    <row r="5347" spans="1:10" x14ac:dyDescent="0.2">
      <c r="A5347" s="1" t="s">
        <v>111</v>
      </c>
      <c r="B5347" s="2" t="s">
        <v>376</v>
      </c>
      <c r="D5347" s="5" t="s">
        <v>464</v>
      </c>
      <c r="G5347" s="57" t="str">
        <f t="shared" si="86"/>
        <v>-</v>
      </c>
      <c r="H5347" s="19" t="s">
        <v>465</v>
      </c>
      <c r="I5347" s="19">
        <v>92500</v>
      </c>
    </row>
    <row r="5348" spans="1:10" x14ac:dyDescent="0.2">
      <c r="A5348" s="1" t="s">
        <v>111</v>
      </c>
      <c r="B5348" s="2" t="s">
        <v>376</v>
      </c>
      <c r="D5348" s="5" t="s">
        <v>464</v>
      </c>
      <c r="G5348" s="57" t="str">
        <f t="shared" si="86"/>
        <v>-</v>
      </c>
      <c r="H5348" s="19" t="s">
        <v>465</v>
      </c>
      <c r="I5348" s="19">
        <v>97500</v>
      </c>
    </row>
    <row r="5349" spans="1:10" x14ac:dyDescent="0.2">
      <c r="A5349" s="1" t="s">
        <v>111</v>
      </c>
      <c r="B5349" s="2" t="s">
        <v>376</v>
      </c>
      <c r="D5349" s="5" t="s">
        <v>464</v>
      </c>
      <c r="G5349" s="57" t="str">
        <f t="shared" si="86"/>
        <v>-</v>
      </c>
      <c r="H5349" s="19" t="s">
        <v>465</v>
      </c>
      <c r="I5349" s="19">
        <v>97500</v>
      </c>
    </row>
    <row r="5350" spans="1:10" x14ac:dyDescent="0.2">
      <c r="A5350" s="1" t="s">
        <v>111</v>
      </c>
      <c r="B5350" s="2" t="s">
        <v>376</v>
      </c>
      <c r="D5350" s="5" t="s">
        <v>464</v>
      </c>
      <c r="E5350" s="3">
        <v>122500</v>
      </c>
      <c r="F5350" s="3" t="s">
        <v>465</v>
      </c>
      <c r="G5350" s="57" t="str">
        <f t="shared" si="86"/>
        <v>-</v>
      </c>
    </row>
    <row r="5351" spans="1:10" x14ac:dyDescent="0.2">
      <c r="A5351" s="1" t="s">
        <v>111</v>
      </c>
      <c r="B5351" s="2" t="s">
        <v>376</v>
      </c>
      <c r="D5351" s="5" t="s">
        <v>464</v>
      </c>
      <c r="E5351" s="3" t="s">
        <v>465</v>
      </c>
      <c r="F5351" s="3">
        <v>127500</v>
      </c>
      <c r="G5351" s="57" t="str">
        <f t="shared" si="86"/>
        <v>-</v>
      </c>
    </row>
    <row r="5352" spans="1:10" x14ac:dyDescent="0.2">
      <c r="A5352" s="1" t="s">
        <v>111</v>
      </c>
      <c r="B5352" s="2" t="s">
        <v>376</v>
      </c>
      <c r="D5352" s="5" t="s">
        <v>464</v>
      </c>
      <c r="E5352" s="3" t="s">
        <v>465</v>
      </c>
      <c r="F5352" s="3">
        <v>132500</v>
      </c>
      <c r="G5352" s="57" t="str">
        <f t="shared" si="86"/>
        <v>-</v>
      </c>
    </row>
    <row r="5353" spans="1:10" x14ac:dyDescent="0.2">
      <c r="A5353" s="1" t="s">
        <v>111</v>
      </c>
      <c r="B5353" s="2" t="s">
        <v>376</v>
      </c>
      <c r="D5353" s="5" t="s">
        <v>464</v>
      </c>
      <c r="E5353" s="3" t="s">
        <v>465</v>
      </c>
      <c r="F5353" s="3">
        <v>137500</v>
      </c>
      <c r="G5353" s="57" t="str">
        <f t="shared" si="86"/>
        <v>-</v>
      </c>
    </row>
    <row r="5354" spans="1:10" x14ac:dyDescent="0.2">
      <c r="A5354" s="1" t="s">
        <v>111</v>
      </c>
      <c r="B5354" s="2" t="s">
        <v>376</v>
      </c>
      <c r="D5354" s="5" t="s">
        <v>464</v>
      </c>
      <c r="E5354" s="3">
        <v>137500</v>
      </c>
      <c r="F5354" s="3" t="s">
        <v>465</v>
      </c>
      <c r="G5354" s="57" t="str">
        <f t="shared" si="86"/>
        <v>-</v>
      </c>
    </row>
    <row r="5355" spans="1:10" ht="38.25" x14ac:dyDescent="0.2">
      <c r="A5355" s="1" t="s">
        <v>4</v>
      </c>
      <c r="B5355" s="2" t="s">
        <v>377</v>
      </c>
      <c r="C5355" s="5" t="s">
        <v>727</v>
      </c>
      <c r="D5355" s="5" t="s">
        <v>450</v>
      </c>
      <c r="E5355" s="3">
        <v>176073</v>
      </c>
      <c r="F5355" s="3">
        <v>253133</v>
      </c>
      <c r="G5355" s="57">
        <f t="shared" si="86"/>
        <v>0.43765937991628473</v>
      </c>
      <c r="J5355" s="5" t="s">
        <v>4473</v>
      </c>
    </row>
    <row r="5356" spans="1:10" ht="25.5" x14ac:dyDescent="0.2">
      <c r="A5356" s="1" t="s">
        <v>4</v>
      </c>
      <c r="B5356" s="2" t="s">
        <v>377</v>
      </c>
      <c r="C5356" s="5" t="s">
        <v>728</v>
      </c>
      <c r="D5356" s="5" t="s">
        <v>729</v>
      </c>
      <c r="E5356" s="3">
        <v>216305</v>
      </c>
      <c r="F5356" s="3">
        <v>183547</v>
      </c>
      <c r="G5356" s="57">
        <f t="shared" si="86"/>
        <v>-0.15144356348674326</v>
      </c>
      <c r="J5356" s="5" t="s">
        <v>4474</v>
      </c>
    </row>
    <row r="5357" spans="1:10" x14ac:dyDescent="0.2">
      <c r="A5357" s="1" t="s">
        <v>4</v>
      </c>
      <c r="B5357" s="2" t="s">
        <v>377</v>
      </c>
      <c r="C5357" s="5" t="s">
        <v>730</v>
      </c>
      <c r="D5357" s="5" t="s">
        <v>731</v>
      </c>
      <c r="E5357" s="3">
        <v>165140</v>
      </c>
      <c r="F5357" s="3">
        <v>165140</v>
      </c>
      <c r="G5357" s="57">
        <f t="shared" si="86"/>
        <v>0</v>
      </c>
      <c r="J5357" s="5" t="s">
        <v>2530</v>
      </c>
    </row>
    <row r="5358" spans="1:10" ht="25.5" x14ac:dyDescent="0.2">
      <c r="A5358" s="1" t="s">
        <v>4</v>
      </c>
      <c r="B5358" s="2" t="s">
        <v>377</v>
      </c>
      <c r="C5358" s="5" t="s">
        <v>732</v>
      </c>
      <c r="D5358" s="5" t="s">
        <v>733</v>
      </c>
      <c r="E5358" s="3">
        <v>125330</v>
      </c>
      <c r="F5358" s="3">
        <v>147611</v>
      </c>
      <c r="G5358" s="57">
        <f t="shared" si="86"/>
        <v>0.17777866432617889</v>
      </c>
      <c r="J5358" s="5" t="s">
        <v>2882</v>
      </c>
    </row>
    <row r="5359" spans="1:10" ht="25.5" x14ac:dyDescent="0.2">
      <c r="A5359" s="1" t="s">
        <v>4</v>
      </c>
      <c r="B5359" s="2" t="s">
        <v>377</v>
      </c>
      <c r="C5359" s="5" t="s">
        <v>734</v>
      </c>
      <c r="D5359" s="5" t="s">
        <v>735</v>
      </c>
      <c r="E5359" s="3">
        <v>138620</v>
      </c>
      <c r="F5359" s="3">
        <v>158128</v>
      </c>
      <c r="G5359" s="57">
        <f t="shared" si="86"/>
        <v>0.14073005338335018</v>
      </c>
      <c r="J5359" s="5" t="s">
        <v>2883</v>
      </c>
    </row>
    <row r="5360" spans="1:10" x14ac:dyDescent="0.2">
      <c r="A5360" s="1" t="s">
        <v>4</v>
      </c>
      <c r="B5360" s="2" t="s">
        <v>377</v>
      </c>
      <c r="C5360" s="5" t="s">
        <v>736</v>
      </c>
      <c r="D5360" s="5" t="s">
        <v>737</v>
      </c>
      <c r="E5360" s="3">
        <v>147647</v>
      </c>
      <c r="F5360" s="3">
        <v>147447</v>
      </c>
      <c r="G5360" s="57">
        <f t="shared" si="86"/>
        <v>-1.3545822129809614E-3</v>
      </c>
      <c r="J5360" s="5" t="s">
        <v>2531</v>
      </c>
    </row>
    <row r="5361" spans="1:10" ht="25.5" x14ac:dyDescent="0.2">
      <c r="A5361" s="1" t="s">
        <v>4</v>
      </c>
      <c r="B5361" s="2" t="s">
        <v>377</v>
      </c>
      <c r="C5361" s="5" t="s">
        <v>738</v>
      </c>
      <c r="D5361" s="5" t="s">
        <v>451</v>
      </c>
      <c r="E5361" s="3">
        <v>27151</v>
      </c>
      <c r="F5361" s="3">
        <v>121668</v>
      </c>
      <c r="G5361" s="57">
        <f t="shared" si="86"/>
        <v>3.4811609148834295</v>
      </c>
      <c r="J5361" s="5" t="s">
        <v>4475</v>
      </c>
    </row>
    <row r="5362" spans="1:10" ht="51" x14ac:dyDescent="0.2">
      <c r="A5362" s="1" t="s">
        <v>4</v>
      </c>
      <c r="B5362" s="2" t="s">
        <v>377</v>
      </c>
      <c r="C5362" s="5" t="s">
        <v>739</v>
      </c>
      <c r="D5362" s="5" t="s">
        <v>740</v>
      </c>
      <c r="E5362" s="3">
        <v>123932</v>
      </c>
      <c r="F5362" s="3">
        <v>127947</v>
      </c>
      <c r="G5362" s="57">
        <f t="shared" si="86"/>
        <v>3.239679824419843E-2</v>
      </c>
      <c r="J5362" s="5" t="s">
        <v>4476</v>
      </c>
    </row>
    <row r="5363" spans="1:10" x14ac:dyDescent="0.2">
      <c r="A5363" s="1" t="s">
        <v>4</v>
      </c>
      <c r="B5363" s="2" t="s">
        <v>377</v>
      </c>
      <c r="C5363" s="5" t="s">
        <v>2529</v>
      </c>
      <c r="D5363" s="5" t="s">
        <v>520</v>
      </c>
      <c r="E5363" s="3">
        <v>113662</v>
      </c>
      <c r="F5363" s="3">
        <v>114800</v>
      </c>
      <c r="G5363" s="57">
        <f t="shared" si="86"/>
        <v>1.0012141260931534E-2</v>
      </c>
      <c r="J5363" s="5" t="s">
        <v>2532</v>
      </c>
    </row>
    <row r="5364" spans="1:10" x14ac:dyDescent="0.2">
      <c r="A5364" s="1" t="s">
        <v>4</v>
      </c>
      <c r="B5364" s="2" t="s">
        <v>377</v>
      </c>
      <c r="D5364" s="5" t="s">
        <v>464</v>
      </c>
      <c r="G5364" s="57" t="str">
        <f t="shared" si="86"/>
        <v>-</v>
      </c>
      <c r="H5364" s="19">
        <v>92500</v>
      </c>
      <c r="I5364" s="19" t="s">
        <v>465</v>
      </c>
    </row>
    <row r="5365" spans="1:10" x14ac:dyDescent="0.2">
      <c r="A5365" s="1" t="s">
        <v>4</v>
      </c>
      <c r="B5365" s="2" t="s">
        <v>377</v>
      </c>
      <c r="D5365" s="5" t="s">
        <v>464</v>
      </c>
      <c r="G5365" s="57" t="str">
        <f t="shared" si="86"/>
        <v>-</v>
      </c>
      <c r="H5365" s="19">
        <v>92500</v>
      </c>
      <c r="I5365" s="19" t="s">
        <v>465</v>
      </c>
    </row>
    <row r="5366" spans="1:10" x14ac:dyDescent="0.2">
      <c r="A5366" s="1" t="s">
        <v>4</v>
      </c>
      <c r="B5366" s="2" t="s">
        <v>377</v>
      </c>
      <c r="D5366" s="5" t="s">
        <v>464</v>
      </c>
      <c r="G5366" s="57" t="str">
        <f t="shared" si="86"/>
        <v>-</v>
      </c>
      <c r="H5366" s="19">
        <v>92500</v>
      </c>
      <c r="I5366" s="19" t="s">
        <v>465</v>
      </c>
    </row>
    <row r="5367" spans="1:10" x14ac:dyDescent="0.2">
      <c r="A5367" s="1" t="s">
        <v>4</v>
      </c>
      <c r="B5367" s="2" t="s">
        <v>377</v>
      </c>
      <c r="D5367" s="5" t="s">
        <v>464</v>
      </c>
      <c r="G5367" s="57" t="str">
        <f t="shared" si="86"/>
        <v>-</v>
      </c>
      <c r="H5367" s="19" t="s">
        <v>465</v>
      </c>
      <c r="I5367" s="19">
        <v>92500</v>
      </c>
    </row>
    <row r="5368" spans="1:10" x14ac:dyDescent="0.2">
      <c r="A5368" s="1" t="s">
        <v>4</v>
      </c>
      <c r="B5368" s="2" t="s">
        <v>377</v>
      </c>
      <c r="D5368" s="5" t="s">
        <v>464</v>
      </c>
      <c r="G5368" s="57" t="str">
        <f t="shared" si="86"/>
        <v>-</v>
      </c>
      <c r="H5368" s="19" t="s">
        <v>465</v>
      </c>
      <c r="I5368" s="19">
        <v>92500</v>
      </c>
    </row>
    <row r="5369" spans="1:10" x14ac:dyDescent="0.2">
      <c r="A5369" s="1" t="s">
        <v>4</v>
      </c>
      <c r="B5369" s="2" t="s">
        <v>377</v>
      </c>
      <c r="D5369" s="5" t="s">
        <v>464</v>
      </c>
      <c r="G5369" s="57" t="str">
        <f t="shared" si="86"/>
        <v>-</v>
      </c>
      <c r="H5369" s="19" t="s">
        <v>465</v>
      </c>
      <c r="I5369" s="19">
        <v>92500</v>
      </c>
    </row>
    <row r="5370" spans="1:10" x14ac:dyDescent="0.2">
      <c r="A5370" s="1" t="s">
        <v>4</v>
      </c>
      <c r="B5370" s="2" t="s">
        <v>377</v>
      </c>
      <c r="D5370" s="5" t="s">
        <v>464</v>
      </c>
      <c r="G5370" s="57" t="str">
        <f t="shared" si="86"/>
        <v>-</v>
      </c>
      <c r="H5370" s="19" t="s">
        <v>465</v>
      </c>
      <c r="I5370" s="19">
        <v>92500</v>
      </c>
    </row>
    <row r="5371" spans="1:10" x14ac:dyDescent="0.2">
      <c r="A5371" s="1" t="s">
        <v>4</v>
      </c>
      <c r="B5371" s="2" t="s">
        <v>377</v>
      </c>
      <c r="D5371" s="5" t="s">
        <v>464</v>
      </c>
      <c r="G5371" s="57" t="str">
        <f t="shared" si="86"/>
        <v>-</v>
      </c>
      <c r="H5371" s="19" t="s">
        <v>465</v>
      </c>
      <c r="I5371" s="19">
        <v>92500</v>
      </c>
    </row>
    <row r="5372" spans="1:10" x14ac:dyDescent="0.2">
      <c r="A5372" s="1" t="s">
        <v>4</v>
      </c>
      <c r="B5372" s="2" t="s">
        <v>377</v>
      </c>
      <c r="D5372" s="5" t="s">
        <v>464</v>
      </c>
      <c r="G5372" s="57" t="str">
        <f t="shared" ref="G5372:G5435" si="87">IF(ISERROR((F5372-E5372)/E5372),"-",(F5372-E5372)/E5372)</f>
        <v>-</v>
      </c>
      <c r="H5372" s="19" t="s">
        <v>465</v>
      </c>
      <c r="I5372" s="19">
        <v>92500</v>
      </c>
    </row>
    <row r="5373" spans="1:10" x14ac:dyDescent="0.2">
      <c r="A5373" s="1" t="s">
        <v>4</v>
      </c>
      <c r="B5373" s="2" t="s">
        <v>377</v>
      </c>
      <c r="D5373" s="5" t="s">
        <v>464</v>
      </c>
      <c r="G5373" s="57" t="str">
        <f t="shared" si="87"/>
        <v>-</v>
      </c>
      <c r="H5373" s="19" t="s">
        <v>465</v>
      </c>
      <c r="I5373" s="19">
        <v>92500</v>
      </c>
    </row>
    <row r="5374" spans="1:10" x14ac:dyDescent="0.2">
      <c r="A5374" s="1" t="s">
        <v>4</v>
      </c>
      <c r="B5374" s="2" t="s">
        <v>377</v>
      </c>
      <c r="D5374" s="5" t="s">
        <v>464</v>
      </c>
      <c r="G5374" s="57" t="str">
        <f t="shared" si="87"/>
        <v>-</v>
      </c>
      <c r="H5374" s="19" t="s">
        <v>465</v>
      </c>
      <c r="I5374" s="19">
        <v>92500</v>
      </c>
    </row>
    <row r="5375" spans="1:10" x14ac:dyDescent="0.2">
      <c r="A5375" s="1" t="s">
        <v>4</v>
      </c>
      <c r="B5375" s="2" t="s">
        <v>377</v>
      </c>
      <c r="D5375" s="5" t="s">
        <v>464</v>
      </c>
      <c r="G5375" s="57" t="str">
        <f t="shared" si="87"/>
        <v>-</v>
      </c>
      <c r="H5375" s="19">
        <v>97500</v>
      </c>
      <c r="I5375" s="19" t="s">
        <v>465</v>
      </c>
    </row>
    <row r="5376" spans="1:10" x14ac:dyDescent="0.2">
      <c r="A5376" s="1" t="s">
        <v>4</v>
      </c>
      <c r="B5376" s="2" t="s">
        <v>377</v>
      </c>
      <c r="D5376" s="5" t="s">
        <v>464</v>
      </c>
      <c r="G5376" s="57" t="str">
        <f t="shared" si="87"/>
        <v>-</v>
      </c>
      <c r="H5376" s="19">
        <v>97500</v>
      </c>
      <c r="I5376" s="19" t="s">
        <v>465</v>
      </c>
    </row>
    <row r="5377" spans="1:9" s="1" customFormat="1" x14ac:dyDescent="0.2">
      <c r="A5377" s="1" t="s">
        <v>4</v>
      </c>
      <c r="B5377" s="2" t="s">
        <v>377</v>
      </c>
      <c r="C5377" s="5"/>
      <c r="D5377" s="5" t="s">
        <v>464</v>
      </c>
      <c r="E5377" s="3"/>
      <c r="F5377" s="3"/>
      <c r="G5377" s="57" t="str">
        <f t="shared" si="87"/>
        <v>-</v>
      </c>
      <c r="H5377" s="19">
        <v>97500</v>
      </c>
      <c r="I5377" s="19" t="s">
        <v>465</v>
      </c>
    </row>
    <row r="5378" spans="1:9" s="1" customFormat="1" x14ac:dyDescent="0.2">
      <c r="A5378" s="1" t="s">
        <v>4</v>
      </c>
      <c r="B5378" s="2" t="s">
        <v>377</v>
      </c>
      <c r="C5378" s="5"/>
      <c r="D5378" s="5" t="s">
        <v>464</v>
      </c>
      <c r="E5378" s="3"/>
      <c r="F5378" s="3"/>
      <c r="G5378" s="57" t="str">
        <f t="shared" si="87"/>
        <v>-</v>
      </c>
      <c r="H5378" s="19">
        <v>97500</v>
      </c>
      <c r="I5378" s="19" t="s">
        <v>465</v>
      </c>
    </row>
    <row r="5379" spans="1:9" s="1" customFormat="1" x14ac:dyDescent="0.2">
      <c r="A5379" s="1" t="s">
        <v>4</v>
      </c>
      <c r="B5379" s="2" t="s">
        <v>377</v>
      </c>
      <c r="C5379" s="5"/>
      <c r="D5379" s="5" t="s">
        <v>464</v>
      </c>
      <c r="E5379" s="3"/>
      <c r="F5379" s="3"/>
      <c r="G5379" s="57" t="str">
        <f t="shared" si="87"/>
        <v>-</v>
      </c>
      <c r="H5379" s="19" t="s">
        <v>465</v>
      </c>
      <c r="I5379" s="19">
        <v>97500</v>
      </c>
    </row>
    <row r="5380" spans="1:9" s="1" customFormat="1" x14ac:dyDescent="0.2">
      <c r="A5380" s="1" t="s">
        <v>4</v>
      </c>
      <c r="B5380" s="2" t="s">
        <v>377</v>
      </c>
      <c r="C5380" s="5"/>
      <c r="D5380" s="5" t="s">
        <v>464</v>
      </c>
      <c r="E5380" s="3"/>
      <c r="F5380" s="3"/>
      <c r="G5380" s="57" t="str">
        <f t="shared" si="87"/>
        <v>-</v>
      </c>
      <c r="H5380" s="19" t="s">
        <v>465</v>
      </c>
      <c r="I5380" s="19">
        <v>97500</v>
      </c>
    </row>
    <row r="5381" spans="1:9" s="1" customFormat="1" x14ac:dyDescent="0.2">
      <c r="A5381" s="1" t="s">
        <v>4</v>
      </c>
      <c r="B5381" s="2" t="s">
        <v>377</v>
      </c>
      <c r="C5381" s="5"/>
      <c r="D5381" s="5" t="s">
        <v>464</v>
      </c>
      <c r="E5381" s="3"/>
      <c r="F5381" s="3"/>
      <c r="G5381" s="57" t="str">
        <f t="shared" si="87"/>
        <v>-</v>
      </c>
      <c r="H5381" s="19" t="s">
        <v>465</v>
      </c>
      <c r="I5381" s="19">
        <v>97500</v>
      </c>
    </row>
    <row r="5382" spans="1:9" s="1" customFormat="1" x14ac:dyDescent="0.2">
      <c r="A5382" s="1" t="s">
        <v>4</v>
      </c>
      <c r="B5382" s="2" t="s">
        <v>377</v>
      </c>
      <c r="C5382" s="5"/>
      <c r="D5382" s="5" t="s">
        <v>464</v>
      </c>
      <c r="E5382" s="3"/>
      <c r="F5382" s="3"/>
      <c r="G5382" s="57" t="str">
        <f t="shared" si="87"/>
        <v>-</v>
      </c>
      <c r="H5382" s="19" t="s">
        <v>465</v>
      </c>
      <c r="I5382" s="19">
        <v>97500</v>
      </c>
    </row>
    <row r="5383" spans="1:9" s="1" customFormat="1" x14ac:dyDescent="0.2">
      <c r="A5383" s="1" t="s">
        <v>4</v>
      </c>
      <c r="B5383" s="2" t="s">
        <v>377</v>
      </c>
      <c r="C5383" s="5"/>
      <c r="D5383" s="5" t="s">
        <v>464</v>
      </c>
      <c r="E5383" s="3"/>
      <c r="F5383" s="3"/>
      <c r="G5383" s="57" t="str">
        <f t="shared" si="87"/>
        <v>-</v>
      </c>
      <c r="H5383" s="19" t="s">
        <v>465</v>
      </c>
      <c r="I5383" s="19">
        <v>97500</v>
      </c>
    </row>
    <row r="5384" spans="1:9" s="1" customFormat="1" x14ac:dyDescent="0.2">
      <c r="A5384" s="1" t="s">
        <v>4</v>
      </c>
      <c r="B5384" s="2" t="s">
        <v>377</v>
      </c>
      <c r="C5384" s="5"/>
      <c r="D5384" s="5" t="s">
        <v>464</v>
      </c>
      <c r="E5384" s="3"/>
      <c r="F5384" s="3"/>
      <c r="G5384" s="57" t="str">
        <f t="shared" si="87"/>
        <v>-</v>
      </c>
      <c r="H5384" s="19" t="s">
        <v>465</v>
      </c>
      <c r="I5384" s="19">
        <v>97500</v>
      </c>
    </row>
    <row r="5385" spans="1:9" s="1" customFormat="1" x14ac:dyDescent="0.2">
      <c r="A5385" s="1" t="s">
        <v>4</v>
      </c>
      <c r="B5385" s="2" t="s">
        <v>377</v>
      </c>
      <c r="C5385" s="5"/>
      <c r="D5385" s="5" t="s">
        <v>464</v>
      </c>
      <c r="E5385" s="3"/>
      <c r="F5385" s="3"/>
      <c r="G5385" s="57" t="str">
        <f t="shared" si="87"/>
        <v>-</v>
      </c>
      <c r="H5385" s="19" t="s">
        <v>465</v>
      </c>
      <c r="I5385" s="19">
        <v>97500</v>
      </c>
    </row>
    <row r="5386" spans="1:9" s="1" customFormat="1" x14ac:dyDescent="0.2">
      <c r="A5386" s="1" t="s">
        <v>4</v>
      </c>
      <c r="B5386" s="2" t="s">
        <v>377</v>
      </c>
      <c r="C5386" s="5"/>
      <c r="D5386" s="5" t="s">
        <v>464</v>
      </c>
      <c r="E5386" s="3">
        <v>102500</v>
      </c>
      <c r="F5386" s="3" t="s">
        <v>465</v>
      </c>
      <c r="G5386" s="57" t="str">
        <f t="shared" si="87"/>
        <v>-</v>
      </c>
      <c r="H5386" s="19"/>
      <c r="I5386" s="19"/>
    </row>
    <row r="5387" spans="1:9" s="1" customFormat="1" x14ac:dyDescent="0.2">
      <c r="A5387" s="1" t="s">
        <v>4</v>
      </c>
      <c r="B5387" s="2" t="s">
        <v>377</v>
      </c>
      <c r="C5387" s="5"/>
      <c r="D5387" s="5" t="s">
        <v>464</v>
      </c>
      <c r="E5387" s="3">
        <v>102500</v>
      </c>
      <c r="F5387" s="3" t="s">
        <v>465</v>
      </c>
      <c r="G5387" s="57" t="str">
        <f t="shared" si="87"/>
        <v>-</v>
      </c>
      <c r="H5387" s="19"/>
      <c r="I5387" s="19"/>
    </row>
    <row r="5388" spans="1:9" s="1" customFormat="1" x14ac:dyDescent="0.2">
      <c r="A5388" s="1" t="s">
        <v>4</v>
      </c>
      <c r="B5388" s="2" t="s">
        <v>377</v>
      </c>
      <c r="C5388" s="5"/>
      <c r="D5388" s="5" t="s">
        <v>464</v>
      </c>
      <c r="E5388" s="3">
        <v>102500</v>
      </c>
      <c r="F5388" s="3" t="s">
        <v>465</v>
      </c>
      <c r="G5388" s="57" t="str">
        <f t="shared" si="87"/>
        <v>-</v>
      </c>
      <c r="H5388" s="19"/>
      <c r="I5388" s="19"/>
    </row>
    <row r="5389" spans="1:9" s="1" customFormat="1" x14ac:dyDescent="0.2">
      <c r="A5389" s="1" t="s">
        <v>4</v>
      </c>
      <c r="B5389" s="2" t="s">
        <v>377</v>
      </c>
      <c r="C5389" s="5"/>
      <c r="D5389" s="5" t="s">
        <v>464</v>
      </c>
      <c r="E5389" s="3">
        <v>102500</v>
      </c>
      <c r="F5389" s="3" t="s">
        <v>465</v>
      </c>
      <c r="G5389" s="57" t="str">
        <f t="shared" si="87"/>
        <v>-</v>
      </c>
      <c r="H5389" s="19"/>
      <c r="I5389" s="19"/>
    </row>
    <row r="5390" spans="1:9" s="1" customFormat="1" x14ac:dyDescent="0.2">
      <c r="A5390" s="1" t="s">
        <v>4</v>
      </c>
      <c r="B5390" s="2" t="s">
        <v>377</v>
      </c>
      <c r="C5390" s="5"/>
      <c r="D5390" s="5" t="s">
        <v>464</v>
      </c>
      <c r="E5390" s="3">
        <v>102500</v>
      </c>
      <c r="F5390" s="3" t="s">
        <v>465</v>
      </c>
      <c r="G5390" s="57" t="str">
        <f t="shared" si="87"/>
        <v>-</v>
      </c>
      <c r="H5390" s="19"/>
      <c r="I5390" s="19"/>
    </row>
    <row r="5391" spans="1:9" s="1" customFormat="1" x14ac:dyDescent="0.2">
      <c r="A5391" s="1" t="s">
        <v>4</v>
      </c>
      <c r="B5391" s="2" t="s">
        <v>377</v>
      </c>
      <c r="C5391" s="5"/>
      <c r="D5391" s="5" t="s">
        <v>464</v>
      </c>
      <c r="E5391" s="3">
        <v>102500</v>
      </c>
      <c r="F5391" s="3" t="s">
        <v>465</v>
      </c>
      <c r="G5391" s="57" t="str">
        <f t="shared" si="87"/>
        <v>-</v>
      </c>
      <c r="H5391" s="19"/>
      <c r="I5391" s="19"/>
    </row>
    <row r="5392" spans="1:9" s="1" customFormat="1" x14ac:dyDescent="0.2">
      <c r="A5392" s="1" t="s">
        <v>4</v>
      </c>
      <c r="B5392" s="2" t="s">
        <v>377</v>
      </c>
      <c r="C5392" s="5"/>
      <c r="D5392" s="5" t="s">
        <v>464</v>
      </c>
      <c r="E5392" s="3" t="s">
        <v>465</v>
      </c>
      <c r="F5392" s="3">
        <v>102500</v>
      </c>
      <c r="G5392" s="57" t="str">
        <f t="shared" si="87"/>
        <v>-</v>
      </c>
      <c r="H5392" s="19"/>
      <c r="I5392" s="19"/>
    </row>
    <row r="5393" spans="1:10" x14ac:dyDescent="0.2">
      <c r="A5393" s="1" t="s">
        <v>4</v>
      </c>
      <c r="B5393" s="2" t="s">
        <v>377</v>
      </c>
      <c r="D5393" s="5" t="s">
        <v>464</v>
      </c>
      <c r="E5393" s="3" t="s">
        <v>465</v>
      </c>
      <c r="F5393" s="3">
        <v>102500</v>
      </c>
      <c r="G5393" s="57" t="str">
        <f t="shared" si="87"/>
        <v>-</v>
      </c>
    </row>
    <row r="5394" spans="1:10" x14ac:dyDescent="0.2">
      <c r="A5394" s="1" t="s">
        <v>4</v>
      </c>
      <c r="B5394" s="2" t="s">
        <v>377</v>
      </c>
      <c r="D5394" s="5" t="s">
        <v>464</v>
      </c>
      <c r="E5394" s="3" t="s">
        <v>465</v>
      </c>
      <c r="F5394" s="3">
        <v>107500</v>
      </c>
      <c r="G5394" s="57" t="str">
        <f t="shared" si="87"/>
        <v>-</v>
      </c>
    </row>
    <row r="5395" spans="1:10" x14ac:dyDescent="0.2">
      <c r="A5395" s="1" t="s">
        <v>4</v>
      </c>
      <c r="B5395" s="2" t="s">
        <v>377</v>
      </c>
      <c r="D5395" s="5" t="s">
        <v>464</v>
      </c>
      <c r="E5395" s="3" t="s">
        <v>465</v>
      </c>
      <c r="F5395" s="3">
        <v>107500</v>
      </c>
      <c r="G5395" s="57" t="str">
        <f t="shared" si="87"/>
        <v>-</v>
      </c>
    </row>
    <row r="5396" spans="1:10" x14ac:dyDescent="0.2">
      <c r="A5396" s="1" t="s">
        <v>4</v>
      </c>
      <c r="B5396" s="2" t="s">
        <v>377</v>
      </c>
      <c r="D5396" s="5" t="s">
        <v>464</v>
      </c>
      <c r="E5396" s="3">
        <v>112500</v>
      </c>
      <c r="F5396" s="3" t="s">
        <v>465</v>
      </c>
      <c r="G5396" s="57" t="str">
        <f t="shared" si="87"/>
        <v>-</v>
      </c>
    </row>
    <row r="5397" spans="1:10" x14ac:dyDescent="0.2">
      <c r="A5397" s="1" t="s">
        <v>4</v>
      </c>
      <c r="B5397" s="2" t="s">
        <v>377</v>
      </c>
      <c r="D5397" s="5" t="s">
        <v>464</v>
      </c>
      <c r="E5397" s="3">
        <v>112500</v>
      </c>
      <c r="F5397" s="3" t="s">
        <v>465</v>
      </c>
      <c r="G5397" s="57" t="str">
        <f t="shared" si="87"/>
        <v>-</v>
      </c>
    </row>
    <row r="5398" spans="1:10" x14ac:dyDescent="0.2">
      <c r="A5398" s="1" t="s">
        <v>4</v>
      </c>
      <c r="B5398" s="2" t="s">
        <v>377</v>
      </c>
      <c r="D5398" s="5" t="s">
        <v>464</v>
      </c>
      <c r="E5398" s="3">
        <v>112500</v>
      </c>
      <c r="F5398" s="3" t="s">
        <v>465</v>
      </c>
      <c r="G5398" s="57" t="str">
        <f t="shared" si="87"/>
        <v>-</v>
      </c>
    </row>
    <row r="5399" spans="1:10" x14ac:dyDescent="0.2">
      <c r="A5399" s="1" t="s">
        <v>4</v>
      </c>
      <c r="B5399" s="2" t="s">
        <v>377</v>
      </c>
      <c r="D5399" s="5" t="s">
        <v>464</v>
      </c>
      <c r="E5399" s="3" t="s">
        <v>465</v>
      </c>
      <c r="F5399" s="3">
        <v>112500</v>
      </c>
      <c r="G5399" s="57" t="str">
        <f t="shared" si="87"/>
        <v>-</v>
      </c>
    </row>
    <row r="5400" spans="1:10" x14ac:dyDescent="0.2">
      <c r="A5400" s="1" t="s">
        <v>4</v>
      </c>
      <c r="B5400" s="2" t="s">
        <v>377</v>
      </c>
      <c r="D5400" s="5" t="s">
        <v>464</v>
      </c>
      <c r="E5400" s="3" t="s">
        <v>465</v>
      </c>
      <c r="F5400" s="3">
        <v>112500</v>
      </c>
      <c r="G5400" s="57" t="str">
        <f t="shared" si="87"/>
        <v>-</v>
      </c>
    </row>
    <row r="5401" spans="1:10" x14ac:dyDescent="0.2">
      <c r="A5401" s="1" t="s">
        <v>4</v>
      </c>
      <c r="B5401" s="2" t="s">
        <v>377</v>
      </c>
      <c r="D5401" s="5" t="s">
        <v>464</v>
      </c>
      <c r="E5401" s="3" t="s">
        <v>465</v>
      </c>
      <c r="F5401" s="3">
        <v>112500</v>
      </c>
      <c r="G5401" s="57" t="str">
        <f t="shared" si="87"/>
        <v>-</v>
      </c>
    </row>
    <row r="5402" spans="1:10" x14ac:dyDescent="0.2">
      <c r="A5402" s="1" t="s">
        <v>4</v>
      </c>
      <c r="B5402" s="2" t="s">
        <v>377</v>
      </c>
      <c r="D5402" s="5" t="s">
        <v>464</v>
      </c>
      <c r="E5402" s="3" t="s">
        <v>465</v>
      </c>
      <c r="F5402" s="3">
        <v>117500</v>
      </c>
      <c r="G5402" s="57" t="str">
        <f t="shared" si="87"/>
        <v>-</v>
      </c>
    </row>
    <row r="5403" spans="1:10" x14ac:dyDescent="0.2">
      <c r="A5403" s="1" t="s">
        <v>4</v>
      </c>
      <c r="B5403" s="2" t="s">
        <v>377</v>
      </c>
      <c r="D5403" s="5" t="s">
        <v>464</v>
      </c>
      <c r="E5403" s="3">
        <v>122500</v>
      </c>
      <c r="F5403" s="3" t="s">
        <v>465</v>
      </c>
      <c r="G5403" s="57" t="str">
        <f t="shared" si="87"/>
        <v>-</v>
      </c>
    </row>
    <row r="5404" spans="1:10" x14ac:dyDescent="0.2">
      <c r="A5404" s="1" t="s">
        <v>4</v>
      </c>
      <c r="B5404" s="2" t="s">
        <v>377</v>
      </c>
      <c r="D5404" s="5" t="s">
        <v>464</v>
      </c>
      <c r="E5404" s="3">
        <v>127500</v>
      </c>
      <c r="F5404" s="3" t="s">
        <v>465</v>
      </c>
      <c r="G5404" s="57" t="str">
        <f t="shared" si="87"/>
        <v>-</v>
      </c>
    </row>
    <row r="5405" spans="1:10" x14ac:dyDescent="0.2">
      <c r="A5405" s="1" t="s">
        <v>4</v>
      </c>
      <c r="B5405" s="2" t="s">
        <v>377</v>
      </c>
      <c r="D5405" s="5" t="s">
        <v>464</v>
      </c>
      <c r="E5405" s="3">
        <v>127500</v>
      </c>
      <c r="F5405" s="3" t="s">
        <v>465</v>
      </c>
      <c r="G5405" s="57" t="str">
        <f t="shared" si="87"/>
        <v>-</v>
      </c>
    </row>
    <row r="5406" spans="1:10" x14ac:dyDescent="0.2">
      <c r="A5406" s="1" t="s">
        <v>4</v>
      </c>
      <c r="B5406" s="2" t="s">
        <v>377</v>
      </c>
      <c r="D5406" s="5" t="s">
        <v>464</v>
      </c>
      <c r="E5406" s="3" t="s">
        <v>465</v>
      </c>
      <c r="F5406" s="3">
        <v>142500</v>
      </c>
      <c r="G5406" s="57" t="str">
        <f t="shared" si="87"/>
        <v>-</v>
      </c>
    </row>
    <row r="5407" spans="1:10" ht="38.25" x14ac:dyDescent="0.2">
      <c r="A5407" s="1" t="s">
        <v>4</v>
      </c>
      <c r="B5407" s="2" t="s">
        <v>378</v>
      </c>
      <c r="D5407" s="7" t="s">
        <v>2525</v>
      </c>
      <c r="E5407" s="6">
        <v>81000</v>
      </c>
      <c r="F5407" s="6">
        <v>141000</v>
      </c>
      <c r="G5407" s="57">
        <f t="shared" si="87"/>
        <v>0.7407407407407407</v>
      </c>
      <c r="H5407" s="21"/>
      <c r="I5407" s="21"/>
      <c r="J5407" s="7" t="s">
        <v>2526</v>
      </c>
    </row>
    <row r="5408" spans="1:10" ht="38.25" x14ac:dyDescent="0.2">
      <c r="A5408" s="1" t="s">
        <v>4</v>
      </c>
      <c r="B5408" s="2" t="s">
        <v>378</v>
      </c>
      <c r="D5408" s="7" t="s">
        <v>450</v>
      </c>
      <c r="E5408" s="6">
        <v>145000</v>
      </c>
      <c r="F5408" s="6">
        <v>84000</v>
      </c>
      <c r="G5408" s="57">
        <f t="shared" si="87"/>
        <v>-0.4206896551724138</v>
      </c>
      <c r="H5408" s="21"/>
      <c r="I5408" s="21"/>
      <c r="J5408" s="7" t="s">
        <v>2527</v>
      </c>
    </row>
    <row r="5409" spans="1:10" ht="53.25" customHeight="1" x14ac:dyDescent="0.2">
      <c r="A5409" s="1" t="s">
        <v>4</v>
      </c>
      <c r="B5409" s="2" t="s">
        <v>378</v>
      </c>
      <c r="D5409" s="7" t="s">
        <v>1761</v>
      </c>
      <c r="E5409" s="6">
        <v>109000</v>
      </c>
      <c r="F5409" s="6">
        <v>85000</v>
      </c>
      <c r="G5409" s="57">
        <f t="shared" si="87"/>
        <v>-0.22018348623853212</v>
      </c>
      <c r="H5409" s="21"/>
      <c r="I5409" s="21"/>
      <c r="J5409" s="7" t="s">
        <v>2528</v>
      </c>
    </row>
    <row r="5410" spans="1:10" ht="38.25" x14ac:dyDescent="0.2">
      <c r="A5410" s="1" t="s">
        <v>4</v>
      </c>
      <c r="B5410" s="2" t="s">
        <v>378</v>
      </c>
      <c r="D5410" s="7" t="s">
        <v>452</v>
      </c>
      <c r="E5410" s="6">
        <v>111000</v>
      </c>
      <c r="F5410" s="6">
        <v>60000</v>
      </c>
      <c r="G5410" s="57">
        <f t="shared" si="87"/>
        <v>-0.45945945945945948</v>
      </c>
      <c r="H5410" s="21"/>
      <c r="I5410" s="21"/>
      <c r="J5410" s="7" t="s">
        <v>4696</v>
      </c>
    </row>
    <row r="5411" spans="1:10" x14ac:dyDescent="0.2">
      <c r="A5411" s="1" t="s">
        <v>4</v>
      </c>
      <c r="B5411" s="2" t="s">
        <v>378</v>
      </c>
      <c r="D5411" s="5" t="s">
        <v>464</v>
      </c>
      <c r="G5411" s="57" t="str">
        <f t="shared" si="87"/>
        <v>-</v>
      </c>
      <c r="H5411" s="19">
        <v>92500</v>
      </c>
      <c r="I5411" s="19" t="s">
        <v>465</v>
      </c>
    </row>
    <row r="5412" spans="1:10" x14ac:dyDescent="0.2">
      <c r="A5412" s="1" t="s">
        <v>4</v>
      </c>
      <c r="B5412" s="2" t="s">
        <v>378</v>
      </c>
      <c r="D5412" s="5" t="s">
        <v>464</v>
      </c>
      <c r="G5412" s="57" t="str">
        <f t="shared" si="87"/>
        <v>-</v>
      </c>
      <c r="H5412" s="19" t="s">
        <v>465</v>
      </c>
      <c r="I5412" s="19">
        <v>97500</v>
      </c>
    </row>
    <row r="5413" spans="1:10" x14ac:dyDescent="0.2">
      <c r="A5413" s="1" t="s">
        <v>4</v>
      </c>
      <c r="B5413" s="2" t="s">
        <v>378</v>
      </c>
      <c r="D5413" s="5" t="s">
        <v>464</v>
      </c>
      <c r="E5413" s="3" t="s">
        <v>465</v>
      </c>
      <c r="F5413" s="3">
        <v>102500</v>
      </c>
      <c r="G5413" s="57" t="str">
        <f t="shared" si="87"/>
        <v>-</v>
      </c>
    </row>
    <row r="5414" spans="1:10" x14ac:dyDescent="0.2">
      <c r="A5414" s="1" t="s">
        <v>4</v>
      </c>
      <c r="B5414" s="2" t="s">
        <v>378</v>
      </c>
      <c r="D5414" s="5" t="s">
        <v>464</v>
      </c>
      <c r="E5414" s="3" t="s">
        <v>465</v>
      </c>
      <c r="F5414" s="3">
        <v>107500</v>
      </c>
      <c r="G5414" s="57" t="str">
        <f t="shared" si="87"/>
        <v>-</v>
      </c>
    </row>
    <row r="5415" spans="1:10" ht="25.5" x14ac:dyDescent="0.2">
      <c r="A5415" s="1" t="s">
        <v>25</v>
      </c>
      <c r="B5415" s="2" t="s">
        <v>379</v>
      </c>
      <c r="C5415" s="5" t="s">
        <v>720</v>
      </c>
      <c r="D5415" s="5" t="s">
        <v>450</v>
      </c>
      <c r="E5415" s="3">
        <v>204242</v>
      </c>
      <c r="F5415" s="3">
        <v>112035</v>
      </c>
      <c r="G5415" s="57">
        <f t="shared" si="87"/>
        <v>-0.45145954309103908</v>
      </c>
      <c r="J5415" s="5" t="s">
        <v>2884</v>
      </c>
    </row>
    <row r="5416" spans="1:10" ht="25.5" x14ac:dyDescent="0.2">
      <c r="A5416" s="1" t="s">
        <v>25</v>
      </c>
      <c r="B5416" s="2" t="s">
        <v>379</v>
      </c>
      <c r="C5416" s="5" t="s">
        <v>721</v>
      </c>
      <c r="D5416" s="5" t="s">
        <v>505</v>
      </c>
      <c r="E5416" s="3">
        <v>158680</v>
      </c>
      <c r="F5416" s="3">
        <v>167325</v>
      </c>
      <c r="G5416" s="57">
        <f t="shared" si="87"/>
        <v>5.4480715906226371E-2</v>
      </c>
      <c r="J5416" s="5" t="s">
        <v>4477</v>
      </c>
    </row>
    <row r="5417" spans="1:10" ht="25.5" x14ac:dyDescent="0.2">
      <c r="A5417" s="1" t="s">
        <v>25</v>
      </c>
      <c r="B5417" s="2" t="s">
        <v>379</v>
      </c>
      <c r="D5417" s="5" t="s">
        <v>496</v>
      </c>
      <c r="E5417" s="3" t="s">
        <v>465</v>
      </c>
      <c r="F5417" s="3">
        <v>147331</v>
      </c>
      <c r="G5417" s="57" t="str">
        <f t="shared" si="87"/>
        <v>-</v>
      </c>
      <c r="J5417" s="5" t="s">
        <v>4478</v>
      </c>
    </row>
    <row r="5418" spans="1:10" ht="25.5" x14ac:dyDescent="0.2">
      <c r="A5418" s="1" t="s">
        <v>25</v>
      </c>
      <c r="B5418" s="2" t="s">
        <v>379</v>
      </c>
      <c r="D5418" s="5" t="s">
        <v>496</v>
      </c>
      <c r="E5418" s="3">
        <v>133325</v>
      </c>
      <c r="F5418" s="3">
        <v>22907</v>
      </c>
      <c r="G5418" s="57">
        <f t="shared" si="87"/>
        <v>-0.82818676167260452</v>
      </c>
      <c r="J5418" s="5" t="s">
        <v>4479</v>
      </c>
    </row>
    <row r="5419" spans="1:10" ht="25.5" x14ac:dyDescent="0.2">
      <c r="A5419" s="1" t="s">
        <v>25</v>
      </c>
      <c r="B5419" s="2" t="s">
        <v>379</v>
      </c>
      <c r="D5419" s="5" t="s">
        <v>722</v>
      </c>
      <c r="E5419" s="3">
        <v>158318</v>
      </c>
      <c r="F5419" s="3">
        <v>158223</v>
      </c>
      <c r="G5419" s="57">
        <f t="shared" si="87"/>
        <v>-6.0005811089073886E-4</v>
      </c>
      <c r="J5419" s="5" t="s">
        <v>2518</v>
      </c>
    </row>
    <row r="5420" spans="1:10" ht="25.5" x14ac:dyDescent="0.2">
      <c r="A5420" s="1" t="s">
        <v>25</v>
      </c>
      <c r="B5420" s="2" t="s">
        <v>379</v>
      </c>
      <c r="D5420" s="5" t="s">
        <v>4480</v>
      </c>
      <c r="E5420" s="3" t="s">
        <v>465</v>
      </c>
      <c r="F5420" s="3">
        <v>118542</v>
      </c>
      <c r="G5420" s="57" t="str">
        <f t="shared" si="87"/>
        <v>-</v>
      </c>
      <c r="J5420" s="5" t="s">
        <v>2519</v>
      </c>
    </row>
    <row r="5421" spans="1:10" ht="25.5" x14ac:dyDescent="0.2">
      <c r="A5421" s="1" t="s">
        <v>25</v>
      </c>
      <c r="B5421" s="2" t="s">
        <v>379</v>
      </c>
      <c r="D5421" s="5" t="s">
        <v>4480</v>
      </c>
      <c r="E5421" s="3" t="s">
        <v>465</v>
      </c>
      <c r="F5421" s="3">
        <v>109480</v>
      </c>
      <c r="G5421" s="57" t="str">
        <f t="shared" si="87"/>
        <v>-</v>
      </c>
      <c r="J5421" s="5" t="s">
        <v>2520</v>
      </c>
    </row>
    <row r="5422" spans="1:10" ht="25.5" x14ac:dyDescent="0.2">
      <c r="A5422" s="1" t="s">
        <v>25</v>
      </c>
      <c r="B5422" s="2" t="s">
        <v>379</v>
      </c>
      <c r="D5422" s="5" t="s">
        <v>723</v>
      </c>
      <c r="E5422" s="3">
        <v>144716</v>
      </c>
      <c r="F5422" s="3">
        <v>157622</v>
      </c>
      <c r="G5422" s="57">
        <f t="shared" si="87"/>
        <v>8.9181569418723572E-2</v>
      </c>
      <c r="J5422" s="5" t="s">
        <v>2521</v>
      </c>
    </row>
    <row r="5423" spans="1:10" ht="25.5" x14ac:dyDescent="0.2">
      <c r="A5423" s="1" t="s">
        <v>25</v>
      </c>
      <c r="B5423" s="2" t="s">
        <v>379</v>
      </c>
      <c r="D5423" s="5" t="s">
        <v>724</v>
      </c>
      <c r="E5423" s="3">
        <v>111825</v>
      </c>
      <c r="F5423" s="3">
        <v>111597</v>
      </c>
      <c r="G5423" s="57">
        <f t="shared" si="87"/>
        <v>-2.0389000670690814E-3</v>
      </c>
      <c r="J5423" s="5" t="s">
        <v>2522</v>
      </c>
    </row>
    <row r="5424" spans="1:10" ht="25.5" x14ac:dyDescent="0.2">
      <c r="A5424" s="1" t="s">
        <v>25</v>
      </c>
      <c r="B5424" s="2" t="s">
        <v>379</v>
      </c>
      <c r="D5424" s="5" t="s">
        <v>725</v>
      </c>
      <c r="E5424" s="3">
        <v>140649</v>
      </c>
      <c r="F5424" s="3">
        <v>140631</v>
      </c>
      <c r="G5424" s="57">
        <f t="shared" si="87"/>
        <v>-1.2797815839430071E-4</v>
      </c>
      <c r="J5424" s="5" t="s">
        <v>2523</v>
      </c>
    </row>
    <row r="5425" spans="1:10" ht="25.5" x14ac:dyDescent="0.2">
      <c r="A5425" s="1" t="s">
        <v>25</v>
      </c>
      <c r="B5425" s="2" t="s">
        <v>379</v>
      </c>
      <c r="D5425" s="5" t="s">
        <v>726</v>
      </c>
      <c r="E5425" s="3">
        <v>101345</v>
      </c>
      <c r="F5425" s="3">
        <v>114620</v>
      </c>
      <c r="G5425" s="57">
        <f t="shared" si="87"/>
        <v>0.13098820859440524</v>
      </c>
      <c r="J5425" s="5" t="s">
        <v>2524</v>
      </c>
    </row>
    <row r="5426" spans="1:10" x14ac:dyDescent="0.2">
      <c r="A5426" s="1" t="s">
        <v>25</v>
      </c>
      <c r="B5426" s="2" t="s">
        <v>379</v>
      </c>
      <c r="D5426" s="5" t="s">
        <v>464</v>
      </c>
      <c r="G5426" s="57" t="str">
        <f t="shared" si="87"/>
        <v>-</v>
      </c>
      <c r="H5426" s="19">
        <v>92500</v>
      </c>
      <c r="I5426" s="19" t="s">
        <v>465</v>
      </c>
    </row>
    <row r="5427" spans="1:10" x14ac:dyDescent="0.2">
      <c r="A5427" s="1" t="s">
        <v>25</v>
      </c>
      <c r="B5427" s="2" t="s">
        <v>379</v>
      </c>
      <c r="D5427" s="5" t="s">
        <v>464</v>
      </c>
      <c r="G5427" s="57" t="str">
        <f t="shared" si="87"/>
        <v>-</v>
      </c>
      <c r="H5427" s="19">
        <v>92500</v>
      </c>
      <c r="I5427" s="19" t="s">
        <v>465</v>
      </c>
    </row>
    <row r="5428" spans="1:10" x14ac:dyDescent="0.2">
      <c r="A5428" s="1" t="s">
        <v>25</v>
      </c>
      <c r="B5428" s="2" t="s">
        <v>379</v>
      </c>
      <c r="D5428" s="5" t="s">
        <v>464</v>
      </c>
      <c r="G5428" s="57" t="str">
        <f t="shared" si="87"/>
        <v>-</v>
      </c>
      <c r="H5428" s="19">
        <v>92500</v>
      </c>
      <c r="I5428" s="19" t="s">
        <v>465</v>
      </c>
    </row>
    <row r="5429" spans="1:10" x14ac:dyDescent="0.2">
      <c r="A5429" s="1" t="s">
        <v>25</v>
      </c>
      <c r="B5429" s="2" t="s">
        <v>379</v>
      </c>
      <c r="D5429" s="5" t="s">
        <v>464</v>
      </c>
      <c r="G5429" s="57" t="str">
        <f t="shared" si="87"/>
        <v>-</v>
      </c>
      <c r="H5429" s="19">
        <v>92500</v>
      </c>
      <c r="I5429" s="19" t="s">
        <v>465</v>
      </c>
    </row>
    <row r="5430" spans="1:10" x14ac:dyDescent="0.2">
      <c r="A5430" s="1" t="s">
        <v>25</v>
      </c>
      <c r="B5430" s="2" t="s">
        <v>379</v>
      </c>
      <c r="D5430" s="5" t="s">
        <v>464</v>
      </c>
      <c r="G5430" s="57" t="str">
        <f t="shared" si="87"/>
        <v>-</v>
      </c>
      <c r="H5430" s="19">
        <v>92500</v>
      </c>
      <c r="I5430" s="19" t="s">
        <v>465</v>
      </c>
    </row>
    <row r="5431" spans="1:10" x14ac:dyDescent="0.2">
      <c r="A5431" s="1" t="s">
        <v>25</v>
      </c>
      <c r="B5431" s="2" t="s">
        <v>379</v>
      </c>
      <c r="D5431" s="5" t="s">
        <v>464</v>
      </c>
      <c r="G5431" s="57" t="str">
        <f t="shared" si="87"/>
        <v>-</v>
      </c>
      <c r="H5431" s="19">
        <v>92500</v>
      </c>
      <c r="I5431" s="19" t="s">
        <v>465</v>
      </c>
    </row>
    <row r="5432" spans="1:10" x14ac:dyDescent="0.2">
      <c r="A5432" s="1" t="s">
        <v>25</v>
      </c>
      <c r="B5432" s="2" t="s">
        <v>379</v>
      </c>
      <c r="D5432" s="5" t="s">
        <v>464</v>
      </c>
      <c r="G5432" s="57" t="str">
        <f t="shared" si="87"/>
        <v>-</v>
      </c>
      <c r="H5432" s="19">
        <v>92500</v>
      </c>
      <c r="I5432" s="19" t="s">
        <v>465</v>
      </c>
    </row>
    <row r="5433" spans="1:10" x14ac:dyDescent="0.2">
      <c r="A5433" s="1" t="s">
        <v>25</v>
      </c>
      <c r="B5433" s="2" t="s">
        <v>379</v>
      </c>
      <c r="D5433" s="5" t="s">
        <v>464</v>
      </c>
      <c r="G5433" s="57" t="str">
        <f t="shared" si="87"/>
        <v>-</v>
      </c>
      <c r="H5433" s="19">
        <v>92500</v>
      </c>
      <c r="I5433" s="19" t="s">
        <v>465</v>
      </c>
    </row>
    <row r="5434" spans="1:10" x14ac:dyDescent="0.2">
      <c r="A5434" s="1" t="s">
        <v>25</v>
      </c>
      <c r="B5434" s="2" t="s">
        <v>379</v>
      </c>
      <c r="D5434" s="5" t="s">
        <v>464</v>
      </c>
      <c r="G5434" s="57" t="str">
        <f t="shared" si="87"/>
        <v>-</v>
      </c>
      <c r="H5434" s="19">
        <v>92500</v>
      </c>
      <c r="I5434" s="19" t="s">
        <v>465</v>
      </c>
    </row>
    <row r="5435" spans="1:10" x14ac:dyDescent="0.2">
      <c r="A5435" s="1" t="s">
        <v>25</v>
      </c>
      <c r="B5435" s="2" t="s">
        <v>379</v>
      </c>
      <c r="D5435" s="5" t="s">
        <v>464</v>
      </c>
      <c r="G5435" s="57" t="str">
        <f t="shared" si="87"/>
        <v>-</v>
      </c>
      <c r="H5435" s="19">
        <v>92500</v>
      </c>
      <c r="I5435" s="19" t="s">
        <v>465</v>
      </c>
    </row>
    <row r="5436" spans="1:10" x14ac:dyDescent="0.2">
      <c r="A5436" s="1" t="s">
        <v>25</v>
      </c>
      <c r="B5436" s="2" t="s">
        <v>379</v>
      </c>
      <c r="D5436" s="5" t="s">
        <v>464</v>
      </c>
      <c r="G5436" s="57" t="str">
        <f t="shared" ref="G5436:G5499" si="88">IF(ISERROR((F5436-E5436)/E5436),"-",(F5436-E5436)/E5436)</f>
        <v>-</v>
      </c>
      <c r="H5436" s="19" t="s">
        <v>465</v>
      </c>
      <c r="I5436" s="19">
        <v>92500</v>
      </c>
    </row>
    <row r="5437" spans="1:10" x14ac:dyDescent="0.2">
      <c r="A5437" s="1" t="s">
        <v>25</v>
      </c>
      <c r="B5437" s="2" t="s">
        <v>379</v>
      </c>
      <c r="D5437" s="5" t="s">
        <v>464</v>
      </c>
      <c r="G5437" s="57" t="str">
        <f t="shared" si="88"/>
        <v>-</v>
      </c>
      <c r="H5437" s="19" t="s">
        <v>465</v>
      </c>
      <c r="I5437" s="19">
        <v>92500</v>
      </c>
    </row>
    <row r="5438" spans="1:10" x14ac:dyDescent="0.2">
      <c r="A5438" s="1" t="s">
        <v>25</v>
      </c>
      <c r="B5438" s="2" t="s">
        <v>379</v>
      </c>
      <c r="D5438" s="5" t="s">
        <v>464</v>
      </c>
      <c r="G5438" s="57" t="str">
        <f t="shared" si="88"/>
        <v>-</v>
      </c>
      <c r="H5438" s="19" t="s">
        <v>465</v>
      </c>
      <c r="I5438" s="19">
        <v>92500</v>
      </c>
    </row>
    <row r="5439" spans="1:10" x14ac:dyDescent="0.2">
      <c r="A5439" s="1" t="s">
        <v>25</v>
      </c>
      <c r="B5439" s="2" t="s">
        <v>379</v>
      </c>
      <c r="D5439" s="5" t="s">
        <v>464</v>
      </c>
      <c r="G5439" s="57" t="str">
        <f t="shared" si="88"/>
        <v>-</v>
      </c>
      <c r="H5439" s="19" t="s">
        <v>465</v>
      </c>
      <c r="I5439" s="19">
        <v>92500</v>
      </c>
    </row>
    <row r="5440" spans="1:10" x14ac:dyDescent="0.2">
      <c r="A5440" s="1" t="s">
        <v>25</v>
      </c>
      <c r="B5440" s="2" t="s">
        <v>379</v>
      </c>
      <c r="D5440" s="5" t="s">
        <v>464</v>
      </c>
      <c r="G5440" s="57" t="str">
        <f t="shared" si="88"/>
        <v>-</v>
      </c>
      <c r="H5440" s="19" t="s">
        <v>465</v>
      </c>
      <c r="I5440" s="19">
        <v>92500</v>
      </c>
    </row>
    <row r="5441" spans="1:10" x14ac:dyDescent="0.2">
      <c r="A5441" s="1" t="s">
        <v>25</v>
      </c>
      <c r="B5441" s="2" t="s">
        <v>379</v>
      </c>
      <c r="D5441" s="5" t="s">
        <v>464</v>
      </c>
      <c r="G5441" s="57" t="str">
        <f t="shared" si="88"/>
        <v>-</v>
      </c>
      <c r="H5441" s="19" t="s">
        <v>465</v>
      </c>
      <c r="I5441" s="19">
        <v>92500</v>
      </c>
    </row>
    <row r="5442" spans="1:10" x14ac:dyDescent="0.2">
      <c r="A5442" s="1" t="s">
        <v>25</v>
      </c>
      <c r="B5442" s="2" t="s">
        <v>379</v>
      </c>
      <c r="D5442" s="5" t="s">
        <v>464</v>
      </c>
      <c r="G5442" s="57" t="str">
        <f t="shared" si="88"/>
        <v>-</v>
      </c>
      <c r="H5442" s="19">
        <v>97500</v>
      </c>
      <c r="I5442" s="19" t="s">
        <v>465</v>
      </c>
    </row>
    <row r="5443" spans="1:10" x14ac:dyDescent="0.2">
      <c r="A5443" s="1" t="s">
        <v>25</v>
      </c>
      <c r="B5443" s="2" t="s">
        <v>379</v>
      </c>
      <c r="D5443" s="5" t="s">
        <v>464</v>
      </c>
      <c r="G5443" s="57" t="str">
        <f t="shared" si="88"/>
        <v>-</v>
      </c>
      <c r="H5443" s="19">
        <v>97500</v>
      </c>
      <c r="I5443" s="19" t="s">
        <v>465</v>
      </c>
    </row>
    <row r="5444" spans="1:10" x14ac:dyDescent="0.2">
      <c r="A5444" s="1" t="s">
        <v>25</v>
      </c>
      <c r="B5444" s="2" t="s">
        <v>379</v>
      </c>
      <c r="D5444" s="5" t="s">
        <v>464</v>
      </c>
      <c r="G5444" s="57" t="str">
        <f t="shared" si="88"/>
        <v>-</v>
      </c>
      <c r="H5444" s="19">
        <v>97500</v>
      </c>
      <c r="I5444" s="19" t="s">
        <v>465</v>
      </c>
    </row>
    <row r="5445" spans="1:10" x14ac:dyDescent="0.2">
      <c r="A5445" s="1" t="s">
        <v>25</v>
      </c>
      <c r="B5445" s="2" t="s">
        <v>379</v>
      </c>
      <c r="D5445" s="5" t="s">
        <v>464</v>
      </c>
      <c r="G5445" s="57" t="str">
        <f t="shared" si="88"/>
        <v>-</v>
      </c>
      <c r="H5445" s="19" t="s">
        <v>465</v>
      </c>
      <c r="I5445" s="19">
        <v>97500</v>
      </c>
    </row>
    <row r="5446" spans="1:10" x14ac:dyDescent="0.2">
      <c r="A5446" s="1" t="s">
        <v>25</v>
      </c>
      <c r="B5446" s="2" t="s">
        <v>379</v>
      </c>
      <c r="D5446" s="5" t="s">
        <v>464</v>
      </c>
      <c r="G5446" s="57" t="str">
        <f t="shared" si="88"/>
        <v>-</v>
      </c>
      <c r="H5446" s="19" t="s">
        <v>465</v>
      </c>
      <c r="I5446" s="19">
        <v>97500</v>
      </c>
    </row>
    <row r="5447" spans="1:10" x14ac:dyDescent="0.2">
      <c r="A5447" s="1" t="s">
        <v>25</v>
      </c>
      <c r="B5447" s="2" t="s">
        <v>379</v>
      </c>
      <c r="D5447" s="5" t="s">
        <v>464</v>
      </c>
      <c r="G5447" s="57" t="str">
        <f t="shared" si="88"/>
        <v>-</v>
      </c>
      <c r="H5447" s="19" t="s">
        <v>465</v>
      </c>
      <c r="I5447" s="19">
        <v>97500</v>
      </c>
    </row>
    <row r="5448" spans="1:10" x14ac:dyDescent="0.2">
      <c r="A5448" s="1" t="s">
        <v>25</v>
      </c>
      <c r="B5448" s="2" t="s">
        <v>379</v>
      </c>
      <c r="D5448" s="5" t="s">
        <v>464</v>
      </c>
      <c r="G5448" s="57" t="str">
        <f t="shared" si="88"/>
        <v>-</v>
      </c>
      <c r="H5448" s="19" t="s">
        <v>465</v>
      </c>
      <c r="I5448" s="19">
        <v>97500</v>
      </c>
    </row>
    <row r="5449" spans="1:10" x14ac:dyDescent="0.2">
      <c r="A5449" s="1" t="s">
        <v>25</v>
      </c>
      <c r="B5449" s="2" t="s">
        <v>379</v>
      </c>
      <c r="D5449" s="5" t="s">
        <v>464</v>
      </c>
      <c r="E5449" s="3">
        <v>102500</v>
      </c>
      <c r="F5449" s="3" t="s">
        <v>465</v>
      </c>
      <c r="G5449" s="57" t="str">
        <f t="shared" si="88"/>
        <v>-</v>
      </c>
    </row>
    <row r="5450" spans="1:10" x14ac:dyDescent="0.2">
      <c r="A5450" s="1" t="s">
        <v>25</v>
      </c>
      <c r="B5450" s="2" t="s">
        <v>379</v>
      </c>
      <c r="D5450" s="5" t="s">
        <v>464</v>
      </c>
      <c r="E5450" s="3" t="s">
        <v>465</v>
      </c>
      <c r="F5450" s="3">
        <v>102500</v>
      </c>
      <c r="G5450" s="57" t="str">
        <f t="shared" si="88"/>
        <v>-</v>
      </c>
    </row>
    <row r="5451" spans="1:10" x14ac:dyDescent="0.2">
      <c r="A5451" s="1" t="s">
        <v>25</v>
      </c>
      <c r="B5451" s="2" t="s">
        <v>379</v>
      </c>
      <c r="D5451" s="5" t="s">
        <v>464</v>
      </c>
      <c r="E5451" s="3" t="s">
        <v>465</v>
      </c>
      <c r="F5451" s="3">
        <v>102500</v>
      </c>
      <c r="G5451" s="57" t="str">
        <f t="shared" si="88"/>
        <v>-</v>
      </c>
    </row>
    <row r="5452" spans="1:10" x14ac:dyDescent="0.2">
      <c r="A5452" s="1" t="s">
        <v>25</v>
      </c>
      <c r="B5452" s="2" t="s">
        <v>379</v>
      </c>
      <c r="D5452" s="5" t="s">
        <v>464</v>
      </c>
      <c r="E5452" s="3">
        <v>107500</v>
      </c>
      <c r="F5452" s="3" t="s">
        <v>465</v>
      </c>
      <c r="G5452" s="57" t="str">
        <f t="shared" si="88"/>
        <v>-</v>
      </c>
    </row>
    <row r="5453" spans="1:10" x14ac:dyDescent="0.2">
      <c r="A5453" s="1" t="s">
        <v>25</v>
      </c>
      <c r="B5453" s="2" t="s">
        <v>379</v>
      </c>
      <c r="D5453" s="5" t="s">
        <v>464</v>
      </c>
      <c r="E5453" s="3" t="s">
        <v>465</v>
      </c>
      <c r="F5453" s="3">
        <v>137500</v>
      </c>
      <c r="G5453" s="57" t="str">
        <f t="shared" si="88"/>
        <v>-</v>
      </c>
    </row>
    <row r="5454" spans="1:10" ht="25.5" x14ac:dyDescent="0.2">
      <c r="A5454" s="1" t="s">
        <v>4</v>
      </c>
      <c r="B5454" s="2" t="s">
        <v>380</v>
      </c>
      <c r="D5454" s="5" t="s">
        <v>450</v>
      </c>
      <c r="E5454" s="3">
        <v>127757</v>
      </c>
      <c r="F5454" s="3">
        <v>178200</v>
      </c>
      <c r="G5454" s="57">
        <f t="shared" si="88"/>
        <v>0.39483550803478479</v>
      </c>
      <c r="J5454" s="5" t="s">
        <v>2516</v>
      </c>
    </row>
    <row r="5455" spans="1:10" ht="25.5" x14ac:dyDescent="0.2">
      <c r="A5455" s="1" t="s">
        <v>4</v>
      </c>
      <c r="B5455" s="2" t="s">
        <v>380</v>
      </c>
      <c r="D5455" s="5" t="s">
        <v>452</v>
      </c>
      <c r="E5455" s="3">
        <v>132515</v>
      </c>
      <c r="F5455" s="3">
        <v>127547</v>
      </c>
      <c r="G5455" s="57">
        <f t="shared" si="88"/>
        <v>-3.7490095460891222E-2</v>
      </c>
      <c r="J5455" s="5" t="s">
        <v>2517</v>
      </c>
    </row>
    <row r="5456" spans="1:10" x14ac:dyDescent="0.2">
      <c r="A5456" s="1" t="s">
        <v>4</v>
      </c>
      <c r="B5456" s="2" t="s">
        <v>380</v>
      </c>
      <c r="D5456" s="5" t="s">
        <v>2514</v>
      </c>
      <c r="E5456" s="3">
        <v>112921</v>
      </c>
      <c r="F5456" s="3" t="s">
        <v>465</v>
      </c>
      <c r="G5456" s="57" t="str">
        <f t="shared" si="88"/>
        <v>-</v>
      </c>
      <c r="J5456" s="5" t="s">
        <v>2515</v>
      </c>
    </row>
    <row r="5457" spans="1:10" x14ac:dyDescent="0.2">
      <c r="A5457" s="1" t="s">
        <v>4</v>
      </c>
      <c r="B5457" s="2" t="s">
        <v>380</v>
      </c>
      <c r="D5457" s="5" t="s">
        <v>464</v>
      </c>
      <c r="G5457" s="57" t="str">
        <f t="shared" si="88"/>
        <v>-</v>
      </c>
      <c r="H5457" s="19">
        <v>92500</v>
      </c>
      <c r="I5457" s="19" t="s">
        <v>465</v>
      </c>
    </row>
    <row r="5458" spans="1:10" ht="25.5" x14ac:dyDescent="0.2">
      <c r="A5458" s="1" t="s">
        <v>44</v>
      </c>
      <c r="B5458" s="2" t="s">
        <v>381</v>
      </c>
      <c r="D5458" s="5" t="s">
        <v>529</v>
      </c>
      <c r="E5458" s="3">
        <v>144186</v>
      </c>
      <c r="F5458" s="3">
        <v>144600</v>
      </c>
      <c r="G5458" s="57">
        <f t="shared" si="88"/>
        <v>2.8712912488036285E-3</v>
      </c>
      <c r="J5458" s="5" t="s">
        <v>2507</v>
      </c>
    </row>
    <row r="5459" spans="1:10" ht="25.5" x14ac:dyDescent="0.2">
      <c r="A5459" s="1" t="s">
        <v>44</v>
      </c>
      <c r="B5459" s="2" t="s">
        <v>381</v>
      </c>
      <c r="D5459" s="5" t="s">
        <v>714</v>
      </c>
      <c r="E5459" s="3">
        <v>129267</v>
      </c>
      <c r="F5459" s="3">
        <v>132669</v>
      </c>
      <c r="G5459" s="57">
        <f t="shared" si="88"/>
        <v>2.6317621666782705E-2</v>
      </c>
      <c r="J5459" s="5" t="s">
        <v>2508</v>
      </c>
    </row>
    <row r="5460" spans="1:10" ht="25.5" x14ac:dyDescent="0.2">
      <c r="A5460" s="1" t="s">
        <v>44</v>
      </c>
      <c r="B5460" s="2" t="s">
        <v>381</v>
      </c>
      <c r="D5460" s="5" t="s">
        <v>715</v>
      </c>
      <c r="E5460" s="3">
        <v>126264</v>
      </c>
      <c r="F5460" s="3">
        <v>129697</v>
      </c>
      <c r="G5460" s="57">
        <f t="shared" si="88"/>
        <v>2.7189064182981688E-2</v>
      </c>
      <c r="J5460" s="5" t="s">
        <v>2509</v>
      </c>
    </row>
    <row r="5461" spans="1:10" ht="25.5" x14ac:dyDescent="0.2">
      <c r="A5461" s="1" t="s">
        <v>44</v>
      </c>
      <c r="B5461" s="2" t="s">
        <v>381</v>
      </c>
      <c r="D5461" s="5" t="s">
        <v>716</v>
      </c>
      <c r="E5461" s="3">
        <v>120259</v>
      </c>
      <c r="F5461" s="3">
        <v>123672</v>
      </c>
      <c r="G5461" s="57">
        <f t="shared" si="88"/>
        <v>2.8380412276835829E-2</v>
      </c>
      <c r="J5461" s="5" t="s">
        <v>2510</v>
      </c>
    </row>
    <row r="5462" spans="1:10" ht="25.5" x14ac:dyDescent="0.2">
      <c r="A5462" s="1" t="s">
        <v>44</v>
      </c>
      <c r="B5462" s="2" t="s">
        <v>381</v>
      </c>
      <c r="D5462" s="5" t="s">
        <v>717</v>
      </c>
      <c r="E5462" s="3">
        <v>117191</v>
      </c>
      <c r="F5462" s="3">
        <v>120500</v>
      </c>
      <c r="G5462" s="57">
        <f t="shared" si="88"/>
        <v>2.8235956686093643E-2</v>
      </c>
      <c r="J5462" s="5" t="s">
        <v>2511</v>
      </c>
    </row>
    <row r="5463" spans="1:10" ht="38.25" x14ac:dyDescent="0.2">
      <c r="A5463" s="1" t="s">
        <v>44</v>
      </c>
      <c r="B5463" s="2" t="s">
        <v>381</v>
      </c>
      <c r="D5463" s="5" t="s">
        <v>718</v>
      </c>
      <c r="E5463" s="3">
        <v>84229</v>
      </c>
      <c r="F5463" s="3">
        <v>110163</v>
      </c>
      <c r="G5463" s="57">
        <f t="shared" si="88"/>
        <v>0.30789870472165171</v>
      </c>
      <c r="J5463" s="5" t="s">
        <v>2512</v>
      </c>
    </row>
    <row r="5464" spans="1:10" ht="38.25" x14ac:dyDescent="0.2">
      <c r="A5464" s="1" t="s">
        <v>44</v>
      </c>
      <c r="B5464" s="2" t="s">
        <v>381</v>
      </c>
      <c r="D5464" s="5" t="s">
        <v>719</v>
      </c>
      <c r="E5464" s="3">
        <v>84229</v>
      </c>
      <c r="F5464" s="3">
        <v>107070</v>
      </c>
      <c r="G5464" s="57">
        <f t="shared" si="88"/>
        <v>0.27117738546106446</v>
      </c>
      <c r="J5464" s="5" t="s">
        <v>2513</v>
      </c>
    </row>
    <row r="5465" spans="1:10" x14ac:dyDescent="0.2">
      <c r="A5465" s="1" t="s">
        <v>44</v>
      </c>
      <c r="B5465" s="2" t="s">
        <v>381</v>
      </c>
      <c r="D5465" s="5" t="s">
        <v>2506</v>
      </c>
      <c r="E5465" s="3">
        <v>150127</v>
      </c>
      <c r="F5465" s="3" t="s">
        <v>465</v>
      </c>
      <c r="G5465" s="57" t="str">
        <f t="shared" si="88"/>
        <v>-</v>
      </c>
    </row>
    <row r="5466" spans="1:10" x14ac:dyDescent="0.2">
      <c r="A5466" s="1" t="s">
        <v>44</v>
      </c>
      <c r="B5466" s="2" t="s">
        <v>381</v>
      </c>
      <c r="D5466" s="5" t="s">
        <v>464</v>
      </c>
      <c r="G5466" s="57" t="str">
        <f t="shared" si="88"/>
        <v>-</v>
      </c>
      <c r="H5466" s="19">
        <v>92500</v>
      </c>
      <c r="I5466" s="19" t="s">
        <v>465</v>
      </c>
    </row>
    <row r="5467" spans="1:10" x14ac:dyDescent="0.2">
      <c r="A5467" s="1" t="s">
        <v>44</v>
      </c>
      <c r="B5467" s="2" t="s">
        <v>381</v>
      </c>
      <c r="D5467" s="5" t="s">
        <v>464</v>
      </c>
      <c r="G5467" s="57" t="str">
        <f t="shared" si="88"/>
        <v>-</v>
      </c>
      <c r="H5467" s="19">
        <v>92500</v>
      </c>
      <c r="I5467" s="19" t="s">
        <v>465</v>
      </c>
    </row>
    <row r="5468" spans="1:10" x14ac:dyDescent="0.2">
      <c r="A5468" s="1" t="s">
        <v>44</v>
      </c>
      <c r="B5468" s="2" t="s">
        <v>381</v>
      </c>
      <c r="D5468" s="5" t="s">
        <v>464</v>
      </c>
      <c r="G5468" s="57" t="str">
        <f t="shared" si="88"/>
        <v>-</v>
      </c>
      <c r="H5468" s="19">
        <v>92500</v>
      </c>
      <c r="I5468" s="19" t="s">
        <v>465</v>
      </c>
    </row>
    <row r="5469" spans="1:10" x14ac:dyDescent="0.2">
      <c r="A5469" s="1" t="s">
        <v>44</v>
      </c>
      <c r="B5469" s="2" t="s">
        <v>381</v>
      </c>
      <c r="D5469" s="5" t="s">
        <v>464</v>
      </c>
      <c r="G5469" s="57" t="str">
        <f t="shared" si="88"/>
        <v>-</v>
      </c>
      <c r="H5469" s="19" t="s">
        <v>465</v>
      </c>
      <c r="I5469" s="19">
        <v>92500</v>
      </c>
    </row>
    <row r="5470" spans="1:10" x14ac:dyDescent="0.2">
      <c r="A5470" s="1" t="s">
        <v>44</v>
      </c>
      <c r="B5470" s="2" t="s">
        <v>381</v>
      </c>
      <c r="D5470" s="5" t="s">
        <v>464</v>
      </c>
      <c r="G5470" s="57" t="str">
        <f t="shared" si="88"/>
        <v>-</v>
      </c>
      <c r="H5470" s="19" t="s">
        <v>465</v>
      </c>
      <c r="I5470" s="19">
        <v>92500</v>
      </c>
    </row>
    <row r="5471" spans="1:10" x14ac:dyDescent="0.2">
      <c r="A5471" s="1" t="s">
        <v>44</v>
      </c>
      <c r="B5471" s="2" t="s">
        <v>381</v>
      </c>
      <c r="D5471" s="5" t="s">
        <v>464</v>
      </c>
      <c r="G5471" s="57" t="str">
        <f t="shared" si="88"/>
        <v>-</v>
      </c>
      <c r="H5471" s="19">
        <v>97500</v>
      </c>
      <c r="I5471" s="19" t="s">
        <v>465</v>
      </c>
    </row>
    <row r="5472" spans="1:10" x14ac:dyDescent="0.2">
      <c r="A5472" s="1" t="s">
        <v>44</v>
      </c>
      <c r="B5472" s="2" t="s">
        <v>381</v>
      </c>
      <c r="D5472" s="5" t="s">
        <v>464</v>
      </c>
      <c r="E5472" s="3" t="s">
        <v>465</v>
      </c>
      <c r="F5472" s="3">
        <v>102500</v>
      </c>
      <c r="G5472" s="57" t="str">
        <f t="shared" si="88"/>
        <v>-</v>
      </c>
    </row>
    <row r="5473" spans="1:10" x14ac:dyDescent="0.2">
      <c r="A5473" s="1" t="s">
        <v>44</v>
      </c>
      <c r="B5473" s="2" t="s">
        <v>381</v>
      </c>
      <c r="D5473" s="5" t="s">
        <v>464</v>
      </c>
      <c r="E5473" s="3" t="s">
        <v>465</v>
      </c>
      <c r="F5473" s="3">
        <v>107500</v>
      </c>
      <c r="G5473" s="57" t="str">
        <f t="shared" si="88"/>
        <v>-</v>
      </c>
    </row>
    <row r="5474" spans="1:10" ht="25.5" x14ac:dyDescent="0.2">
      <c r="A5474" s="1" t="s">
        <v>34</v>
      </c>
      <c r="B5474" s="2" t="s">
        <v>382</v>
      </c>
      <c r="C5474" s="5" t="s">
        <v>709</v>
      </c>
      <c r="D5474" s="5" t="s">
        <v>450</v>
      </c>
      <c r="E5474" s="6">
        <v>206331</v>
      </c>
      <c r="F5474" s="3">
        <v>198393</v>
      </c>
      <c r="G5474" s="57">
        <f t="shared" si="88"/>
        <v>-3.8472163659362867E-2</v>
      </c>
      <c r="J5474" s="5" t="s">
        <v>4697</v>
      </c>
    </row>
    <row r="5475" spans="1:10" ht="25.5" x14ac:dyDescent="0.2">
      <c r="A5475" s="1" t="s">
        <v>34</v>
      </c>
      <c r="B5475" s="2" t="s">
        <v>382</v>
      </c>
      <c r="D5475" s="5" t="s">
        <v>710</v>
      </c>
      <c r="E5475" s="6">
        <v>159406</v>
      </c>
      <c r="F5475" s="3">
        <v>160180</v>
      </c>
      <c r="G5475" s="57">
        <f t="shared" si="88"/>
        <v>4.8555261407977118E-3</v>
      </c>
      <c r="J5475" s="5" t="s">
        <v>4698</v>
      </c>
    </row>
    <row r="5476" spans="1:10" x14ac:dyDescent="0.2">
      <c r="A5476" s="1" t="s">
        <v>34</v>
      </c>
      <c r="B5476" s="2" t="s">
        <v>382</v>
      </c>
      <c r="D5476" s="5" t="s">
        <v>711</v>
      </c>
      <c r="E5476" s="6">
        <v>150149</v>
      </c>
      <c r="F5476" s="3">
        <v>150149</v>
      </c>
      <c r="G5476" s="57">
        <f t="shared" si="88"/>
        <v>0</v>
      </c>
      <c r="J5476" s="5" t="s">
        <v>4699</v>
      </c>
    </row>
    <row r="5477" spans="1:10" ht="25.5" x14ac:dyDescent="0.2">
      <c r="A5477" s="1" t="s">
        <v>34</v>
      </c>
      <c r="B5477" s="2" t="s">
        <v>382</v>
      </c>
      <c r="D5477" s="5" t="s">
        <v>2505</v>
      </c>
      <c r="E5477" s="6">
        <v>161945</v>
      </c>
      <c r="F5477" s="3">
        <v>161930</v>
      </c>
      <c r="G5477" s="57">
        <f t="shared" si="88"/>
        <v>-9.2624039025595106E-5</v>
      </c>
      <c r="J5477" s="5" t="s">
        <v>4700</v>
      </c>
    </row>
    <row r="5478" spans="1:10" ht="25.5" x14ac:dyDescent="0.2">
      <c r="A5478" s="1" t="s">
        <v>34</v>
      </c>
      <c r="B5478" s="2" t="s">
        <v>382</v>
      </c>
      <c r="D5478" s="5" t="s">
        <v>712</v>
      </c>
      <c r="E5478" s="6">
        <v>136281</v>
      </c>
      <c r="F5478" s="3">
        <v>136322</v>
      </c>
      <c r="G5478" s="57">
        <f t="shared" si="88"/>
        <v>3.0084898114924311E-4</v>
      </c>
      <c r="J5478" s="5" t="s">
        <v>4701</v>
      </c>
    </row>
    <row r="5479" spans="1:10" ht="25.5" x14ac:dyDescent="0.2">
      <c r="A5479" s="1" t="s">
        <v>34</v>
      </c>
      <c r="B5479" s="2" t="s">
        <v>382</v>
      </c>
      <c r="D5479" s="5" t="s">
        <v>507</v>
      </c>
      <c r="E5479" s="6">
        <v>116182</v>
      </c>
      <c r="F5479" s="3">
        <v>116251</v>
      </c>
      <c r="G5479" s="57">
        <f t="shared" si="88"/>
        <v>5.938957842006507E-4</v>
      </c>
      <c r="J5479" s="5" t="s">
        <v>4702</v>
      </c>
    </row>
    <row r="5480" spans="1:10" ht="25.5" x14ac:dyDescent="0.2">
      <c r="A5480" s="1" t="s">
        <v>34</v>
      </c>
      <c r="B5480" s="2" t="s">
        <v>382</v>
      </c>
      <c r="D5480" s="5" t="s">
        <v>713</v>
      </c>
      <c r="E5480" s="6">
        <v>111909</v>
      </c>
      <c r="F5480" s="3">
        <v>111638</v>
      </c>
      <c r="G5480" s="57">
        <f t="shared" si="88"/>
        <v>-2.4216104156055368E-3</v>
      </c>
      <c r="J5480" s="5" t="s">
        <v>4703</v>
      </c>
    </row>
    <row r="5481" spans="1:10" x14ac:dyDescent="0.2">
      <c r="A5481" s="1" t="s">
        <v>34</v>
      </c>
      <c r="B5481" s="2" t="s">
        <v>382</v>
      </c>
      <c r="D5481" s="5" t="s">
        <v>464</v>
      </c>
      <c r="E5481" s="6"/>
      <c r="G5481" s="57" t="str">
        <f t="shared" si="88"/>
        <v>-</v>
      </c>
      <c r="H5481" s="19">
        <v>92500</v>
      </c>
      <c r="I5481" s="19" t="s">
        <v>465</v>
      </c>
    </row>
    <row r="5482" spans="1:10" x14ac:dyDescent="0.2">
      <c r="A5482" s="1" t="s">
        <v>34</v>
      </c>
      <c r="B5482" s="2" t="s">
        <v>382</v>
      </c>
      <c r="D5482" s="5" t="s">
        <v>464</v>
      </c>
      <c r="E5482" s="6"/>
      <c r="G5482" s="57" t="str">
        <f t="shared" si="88"/>
        <v>-</v>
      </c>
      <c r="H5482" s="19">
        <v>92500</v>
      </c>
      <c r="I5482" s="19" t="s">
        <v>465</v>
      </c>
    </row>
    <row r="5483" spans="1:10" x14ac:dyDescent="0.2">
      <c r="A5483" s="1" t="s">
        <v>34</v>
      </c>
      <c r="B5483" s="2" t="s">
        <v>382</v>
      </c>
      <c r="D5483" s="5" t="s">
        <v>464</v>
      </c>
      <c r="E5483" s="6"/>
      <c r="G5483" s="57" t="str">
        <f t="shared" si="88"/>
        <v>-</v>
      </c>
      <c r="H5483" s="19" t="s">
        <v>465</v>
      </c>
      <c r="I5483" s="19">
        <v>92500</v>
      </c>
    </row>
    <row r="5484" spans="1:10" x14ac:dyDescent="0.2">
      <c r="A5484" s="1" t="s">
        <v>34</v>
      </c>
      <c r="B5484" s="2" t="s">
        <v>382</v>
      </c>
      <c r="D5484" s="5" t="s">
        <v>464</v>
      </c>
      <c r="E5484" s="6"/>
      <c r="G5484" s="57" t="str">
        <f t="shared" si="88"/>
        <v>-</v>
      </c>
      <c r="H5484" s="19" t="s">
        <v>465</v>
      </c>
      <c r="I5484" s="19">
        <v>92500</v>
      </c>
    </row>
    <row r="5485" spans="1:10" x14ac:dyDescent="0.2">
      <c r="A5485" s="1" t="s">
        <v>34</v>
      </c>
      <c r="B5485" s="2" t="s">
        <v>382</v>
      </c>
      <c r="D5485" s="5" t="s">
        <v>464</v>
      </c>
      <c r="E5485" s="6"/>
      <c r="G5485" s="57" t="str">
        <f t="shared" si="88"/>
        <v>-</v>
      </c>
      <c r="H5485" s="19">
        <v>97500</v>
      </c>
      <c r="I5485" s="19" t="s">
        <v>465</v>
      </c>
    </row>
    <row r="5486" spans="1:10" x14ac:dyDescent="0.2">
      <c r="A5486" s="1" t="s">
        <v>34</v>
      </c>
      <c r="B5486" s="2" t="s">
        <v>382</v>
      </c>
      <c r="D5486" s="5" t="s">
        <v>464</v>
      </c>
      <c r="E5486" s="6"/>
      <c r="G5486" s="57" t="str">
        <f t="shared" si="88"/>
        <v>-</v>
      </c>
      <c r="H5486" s="19">
        <v>97500</v>
      </c>
      <c r="I5486" s="19" t="s">
        <v>465</v>
      </c>
    </row>
    <row r="5487" spans="1:10" x14ac:dyDescent="0.2">
      <c r="A5487" s="1" t="s">
        <v>34</v>
      </c>
      <c r="B5487" s="2" t="s">
        <v>382</v>
      </c>
      <c r="D5487" s="5" t="s">
        <v>464</v>
      </c>
      <c r="G5487" s="57" t="str">
        <f t="shared" si="88"/>
        <v>-</v>
      </c>
      <c r="H5487" s="19">
        <v>97500</v>
      </c>
      <c r="I5487" s="19" t="s">
        <v>465</v>
      </c>
    </row>
    <row r="5488" spans="1:10" x14ac:dyDescent="0.2">
      <c r="A5488" s="1" t="s">
        <v>34</v>
      </c>
      <c r="B5488" s="2" t="s">
        <v>382</v>
      </c>
      <c r="D5488" s="5" t="s">
        <v>464</v>
      </c>
      <c r="G5488" s="57" t="str">
        <f t="shared" si="88"/>
        <v>-</v>
      </c>
      <c r="H5488" s="19">
        <v>97500</v>
      </c>
      <c r="I5488" s="19" t="s">
        <v>465</v>
      </c>
    </row>
    <row r="5489" spans="1:10" x14ac:dyDescent="0.2">
      <c r="A5489" s="1" t="s">
        <v>34</v>
      </c>
      <c r="B5489" s="2" t="s">
        <v>382</v>
      </c>
      <c r="D5489" s="5" t="s">
        <v>464</v>
      </c>
      <c r="G5489" s="57" t="str">
        <f t="shared" si="88"/>
        <v>-</v>
      </c>
      <c r="H5489" s="19">
        <v>97500</v>
      </c>
      <c r="I5489" s="19" t="s">
        <v>465</v>
      </c>
    </row>
    <row r="5490" spans="1:10" x14ac:dyDescent="0.2">
      <c r="A5490" s="1" t="s">
        <v>34</v>
      </c>
      <c r="B5490" s="2" t="s">
        <v>382</v>
      </c>
      <c r="D5490" s="5" t="s">
        <v>464</v>
      </c>
      <c r="G5490" s="57" t="str">
        <f t="shared" si="88"/>
        <v>-</v>
      </c>
      <c r="H5490" s="19" t="s">
        <v>465</v>
      </c>
      <c r="I5490" s="19">
        <v>97500</v>
      </c>
    </row>
    <row r="5491" spans="1:10" x14ac:dyDescent="0.2">
      <c r="A5491" s="1" t="s">
        <v>34</v>
      </c>
      <c r="B5491" s="2" t="s">
        <v>382</v>
      </c>
      <c r="D5491" s="5" t="s">
        <v>464</v>
      </c>
      <c r="G5491" s="57" t="str">
        <f t="shared" si="88"/>
        <v>-</v>
      </c>
      <c r="H5491" s="19" t="s">
        <v>465</v>
      </c>
      <c r="I5491" s="19">
        <v>97500</v>
      </c>
    </row>
    <row r="5492" spans="1:10" x14ac:dyDescent="0.2">
      <c r="A5492" s="1" t="s">
        <v>34</v>
      </c>
      <c r="B5492" s="2" t="s">
        <v>382</v>
      </c>
      <c r="D5492" s="5" t="s">
        <v>464</v>
      </c>
      <c r="G5492" s="57" t="str">
        <f t="shared" si="88"/>
        <v>-</v>
      </c>
      <c r="H5492" s="19" t="s">
        <v>465</v>
      </c>
      <c r="I5492" s="19">
        <v>97500</v>
      </c>
    </row>
    <row r="5493" spans="1:10" x14ac:dyDescent="0.2">
      <c r="A5493" s="1" t="s">
        <v>34</v>
      </c>
      <c r="B5493" s="2" t="s">
        <v>382</v>
      </c>
      <c r="D5493" s="5" t="s">
        <v>464</v>
      </c>
      <c r="G5493" s="57" t="str">
        <f t="shared" si="88"/>
        <v>-</v>
      </c>
      <c r="H5493" s="19" t="s">
        <v>465</v>
      </c>
      <c r="I5493" s="19">
        <v>97500</v>
      </c>
    </row>
    <row r="5494" spans="1:10" x14ac:dyDescent="0.2">
      <c r="A5494" s="1" t="s">
        <v>34</v>
      </c>
      <c r="B5494" s="2" t="s">
        <v>382</v>
      </c>
      <c r="D5494" s="5" t="s">
        <v>464</v>
      </c>
      <c r="E5494" s="3" t="s">
        <v>465</v>
      </c>
      <c r="F5494" s="3">
        <v>102500</v>
      </c>
      <c r="G5494" s="57" t="str">
        <f t="shared" si="88"/>
        <v>-</v>
      </c>
    </row>
    <row r="5495" spans="1:10" x14ac:dyDescent="0.2">
      <c r="A5495" s="1" t="s">
        <v>34</v>
      </c>
      <c r="B5495" s="2" t="s">
        <v>382</v>
      </c>
      <c r="D5495" s="5" t="s">
        <v>464</v>
      </c>
      <c r="E5495" s="3" t="s">
        <v>465</v>
      </c>
      <c r="F5495" s="3">
        <v>102500</v>
      </c>
      <c r="G5495" s="57" t="str">
        <f t="shared" si="88"/>
        <v>-</v>
      </c>
    </row>
    <row r="5496" spans="1:10" x14ac:dyDescent="0.2">
      <c r="A5496" s="1" t="s">
        <v>34</v>
      </c>
      <c r="B5496" s="2" t="s">
        <v>382</v>
      </c>
      <c r="D5496" s="5" t="s">
        <v>464</v>
      </c>
      <c r="E5496" s="3" t="s">
        <v>465</v>
      </c>
      <c r="F5496" s="3">
        <v>107500</v>
      </c>
      <c r="G5496" s="57" t="str">
        <f t="shared" si="88"/>
        <v>-</v>
      </c>
    </row>
    <row r="5497" spans="1:10" x14ac:dyDescent="0.2">
      <c r="A5497" s="1" t="s">
        <v>34</v>
      </c>
      <c r="B5497" s="2" t="s">
        <v>382</v>
      </c>
      <c r="D5497" s="5" t="s">
        <v>464</v>
      </c>
      <c r="E5497" s="3">
        <v>112500</v>
      </c>
      <c r="F5497" s="3" t="s">
        <v>465</v>
      </c>
      <c r="G5497" s="57" t="str">
        <f t="shared" si="88"/>
        <v>-</v>
      </c>
    </row>
    <row r="5498" spans="1:10" x14ac:dyDescent="0.2">
      <c r="A5498" s="1" t="s">
        <v>6</v>
      </c>
      <c r="B5498" s="2" t="s">
        <v>383</v>
      </c>
      <c r="C5498" s="5" t="s">
        <v>701</v>
      </c>
      <c r="D5498" s="5" t="s">
        <v>450</v>
      </c>
      <c r="E5498" s="3">
        <v>190800</v>
      </c>
      <c r="F5498" s="3">
        <v>192469</v>
      </c>
      <c r="G5498" s="57">
        <f t="shared" si="88"/>
        <v>8.7473794549266255E-3</v>
      </c>
      <c r="J5498" s="5" t="s">
        <v>2498</v>
      </c>
    </row>
    <row r="5499" spans="1:10" ht="25.5" x14ac:dyDescent="0.2">
      <c r="A5499" s="1" t="s">
        <v>6</v>
      </c>
      <c r="B5499" s="2" t="s">
        <v>383</v>
      </c>
      <c r="D5499" s="5" t="s">
        <v>702</v>
      </c>
      <c r="E5499" s="3">
        <v>150316</v>
      </c>
      <c r="F5499" s="3">
        <v>153668</v>
      </c>
      <c r="G5499" s="57">
        <f t="shared" si="88"/>
        <v>2.229968865589824E-2</v>
      </c>
      <c r="J5499" s="5" t="s">
        <v>2499</v>
      </c>
    </row>
    <row r="5500" spans="1:10" ht="25.5" x14ac:dyDescent="0.2">
      <c r="A5500" s="1" t="s">
        <v>6</v>
      </c>
      <c r="B5500" s="2" t="s">
        <v>383</v>
      </c>
      <c r="D5500" s="5" t="s">
        <v>703</v>
      </c>
      <c r="E5500" s="3">
        <v>141508</v>
      </c>
      <c r="F5500" s="3">
        <v>142746</v>
      </c>
      <c r="G5500" s="57">
        <f t="shared" ref="G5500:G5563" si="89">IF(ISERROR((F5500-E5500)/E5500),"-",(F5500-E5500)/E5500)</f>
        <v>8.7486219860361258E-3</v>
      </c>
      <c r="J5500" s="5" t="s">
        <v>2500</v>
      </c>
    </row>
    <row r="5501" spans="1:10" ht="25.5" x14ac:dyDescent="0.2">
      <c r="A5501" s="1" t="s">
        <v>6</v>
      </c>
      <c r="B5501" s="2" t="s">
        <v>383</v>
      </c>
      <c r="D5501" s="5" t="s">
        <v>704</v>
      </c>
      <c r="E5501" s="3">
        <v>141508</v>
      </c>
      <c r="F5501" s="3">
        <v>142746</v>
      </c>
      <c r="G5501" s="57">
        <f t="shared" si="89"/>
        <v>8.7486219860361258E-3</v>
      </c>
      <c r="J5501" s="5" t="s">
        <v>2500</v>
      </c>
    </row>
    <row r="5502" spans="1:10" ht="25.5" x14ac:dyDescent="0.2">
      <c r="A5502" s="1" t="s">
        <v>6</v>
      </c>
      <c r="B5502" s="2" t="s">
        <v>383</v>
      </c>
      <c r="D5502" s="5" t="s">
        <v>705</v>
      </c>
      <c r="E5502" s="3">
        <v>140566</v>
      </c>
      <c r="F5502" s="3">
        <v>107687</v>
      </c>
      <c r="G5502" s="57">
        <f t="shared" si="89"/>
        <v>-0.23390435809512969</v>
      </c>
      <c r="J5502" s="5" t="s">
        <v>2501</v>
      </c>
    </row>
    <row r="5503" spans="1:10" ht="25.5" x14ac:dyDescent="0.2">
      <c r="A5503" s="1" t="s">
        <v>6</v>
      </c>
      <c r="B5503" s="2" t="s">
        <v>383</v>
      </c>
      <c r="D5503" s="5" t="s">
        <v>706</v>
      </c>
      <c r="E5503" s="3">
        <v>137384</v>
      </c>
      <c r="F5503" s="3">
        <v>138936</v>
      </c>
      <c r="G5503" s="57">
        <f t="shared" si="89"/>
        <v>1.1296803121178594E-2</v>
      </c>
      <c r="J5503" s="5" t="s">
        <v>2502</v>
      </c>
    </row>
    <row r="5504" spans="1:10" ht="25.5" x14ac:dyDescent="0.2">
      <c r="A5504" s="1" t="s">
        <v>6</v>
      </c>
      <c r="B5504" s="2" t="s">
        <v>383</v>
      </c>
      <c r="D5504" s="5" t="s">
        <v>707</v>
      </c>
      <c r="E5504" s="3">
        <v>128072</v>
      </c>
      <c r="F5504" s="3">
        <v>132038</v>
      </c>
      <c r="G5504" s="57">
        <f t="shared" si="89"/>
        <v>3.0966956087200948E-2</v>
      </c>
      <c r="J5504" s="5" t="s">
        <v>2503</v>
      </c>
    </row>
    <row r="5505" spans="1:10" ht="25.5" x14ac:dyDescent="0.2">
      <c r="A5505" s="1" t="s">
        <v>6</v>
      </c>
      <c r="B5505" s="2" t="s">
        <v>383</v>
      </c>
      <c r="D5505" s="5" t="s">
        <v>708</v>
      </c>
      <c r="E5505" s="3">
        <v>123452</v>
      </c>
      <c r="F5505" s="3">
        <v>127810</v>
      </c>
      <c r="G5505" s="57">
        <f t="shared" si="89"/>
        <v>3.5301169685383792E-2</v>
      </c>
      <c r="J5505" s="5" t="s">
        <v>2504</v>
      </c>
    </row>
    <row r="5506" spans="1:10" x14ac:dyDescent="0.2">
      <c r="A5506" s="1" t="s">
        <v>6</v>
      </c>
      <c r="B5506" s="2" t="s">
        <v>383</v>
      </c>
      <c r="D5506" s="7" t="s">
        <v>464</v>
      </c>
      <c r="E5506" s="6"/>
      <c r="F5506" s="6"/>
      <c r="G5506" s="57" t="str">
        <f t="shared" si="89"/>
        <v>-</v>
      </c>
      <c r="H5506" s="21">
        <v>92500</v>
      </c>
      <c r="I5506" s="21" t="s">
        <v>465</v>
      </c>
      <c r="J5506" s="7" t="s">
        <v>1630</v>
      </c>
    </row>
    <row r="5507" spans="1:10" x14ac:dyDescent="0.2">
      <c r="A5507" s="1" t="s">
        <v>6</v>
      </c>
      <c r="B5507" s="2" t="s">
        <v>383</v>
      </c>
      <c r="D5507" s="7" t="s">
        <v>464</v>
      </c>
      <c r="E5507" s="6"/>
      <c r="F5507" s="6"/>
      <c r="G5507" s="57" t="str">
        <f t="shared" si="89"/>
        <v>-</v>
      </c>
      <c r="H5507" s="21">
        <v>92500</v>
      </c>
      <c r="I5507" s="21" t="s">
        <v>465</v>
      </c>
      <c r="J5507" s="7" t="s">
        <v>1630</v>
      </c>
    </row>
    <row r="5508" spans="1:10" x14ac:dyDescent="0.2">
      <c r="A5508" s="1" t="s">
        <v>6</v>
      </c>
      <c r="B5508" s="2" t="s">
        <v>383</v>
      </c>
      <c r="D5508" s="7" t="s">
        <v>464</v>
      </c>
      <c r="E5508" s="6"/>
      <c r="F5508" s="6"/>
      <c r="G5508" s="57" t="str">
        <f t="shared" si="89"/>
        <v>-</v>
      </c>
      <c r="H5508" s="21" t="s">
        <v>465</v>
      </c>
      <c r="I5508" s="21">
        <v>92500</v>
      </c>
      <c r="J5508" s="7"/>
    </row>
    <row r="5509" spans="1:10" x14ac:dyDescent="0.2">
      <c r="A5509" s="1" t="s">
        <v>6</v>
      </c>
      <c r="B5509" s="2" t="s">
        <v>383</v>
      </c>
      <c r="D5509" s="7" t="s">
        <v>464</v>
      </c>
      <c r="E5509" s="6"/>
      <c r="F5509" s="6"/>
      <c r="G5509" s="57" t="str">
        <f t="shared" si="89"/>
        <v>-</v>
      </c>
      <c r="H5509" s="21" t="s">
        <v>465</v>
      </c>
      <c r="I5509" s="21">
        <v>92500</v>
      </c>
      <c r="J5509" s="7"/>
    </row>
    <row r="5510" spans="1:10" x14ac:dyDescent="0.2">
      <c r="A5510" s="1" t="s">
        <v>6</v>
      </c>
      <c r="B5510" s="2" t="s">
        <v>383</v>
      </c>
      <c r="D5510" s="7" t="s">
        <v>464</v>
      </c>
      <c r="E5510" s="6"/>
      <c r="F5510" s="6"/>
      <c r="G5510" s="57" t="str">
        <f t="shared" si="89"/>
        <v>-</v>
      </c>
      <c r="H5510" s="21" t="s">
        <v>465</v>
      </c>
      <c r="I5510" s="21">
        <v>92500</v>
      </c>
      <c r="J5510" s="7"/>
    </row>
    <row r="5511" spans="1:10" x14ac:dyDescent="0.2">
      <c r="A5511" s="1" t="s">
        <v>6</v>
      </c>
      <c r="B5511" s="2" t="s">
        <v>383</v>
      </c>
      <c r="D5511" s="7" t="s">
        <v>464</v>
      </c>
      <c r="E5511" s="6"/>
      <c r="F5511" s="6"/>
      <c r="G5511" s="57" t="str">
        <f t="shared" si="89"/>
        <v>-</v>
      </c>
      <c r="H5511" s="21" t="s">
        <v>465</v>
      </c>
      <c r="I5511" s="21">
        <v>92500</v>
      </c>
      <c r="J5511" s="7" t="s">
        <v>1630</v>
      </c>
    </row>
    <row r="5512" spans="1:10" x14ac:dyDescent="0.2">
      <c r="A5512" s="1" t="s">
        <v>6</v>
      </c>
      <c r="B5512" s="2" t="s">
        <v>383</v>
      </c>
      <c r="D5512" s="7" t="s">
        <v>464</v>
      </c>
      <c r="E5512" s="6"/>
      <c r="F5512" s="6"/>
      <c r="G5512" s="57" t="str">
        <f t="shared" si="89"/>
        <v>-</v>
      </c>
      <c r="H5512" s="21" t="s">
        <v>465</v>
      </c>
      <c r="I5512" s="21">
        <v>92500</v>
      </c>
      <c r="J5512" s="7" t="s">
        <v>1630</v>
      </c>
    </row>
    <row r="5513" spans="1:10" x14ac:dyDescent="0.2">
      <c r="A5513" s="1" t="s">
        <v>6</v>
      </c>
      <c r="B5513" s="2" t="s">
        <v>383</v>
      </c>
      <c r="D5513" s="7" t="s">
        <v>464</v>
      </c>
      <c r="E5513" s="6"/>
      <c r="F5513" s="6"/>
      <c r="G5513" s="57" t="str">
        <f t="shared" si="89"/>
        <v>-</v>
      </c>
      <c r="H5513" s="21" t="s">
        <v>465</v>
      </c>
      <c r="I5513" s="21">
        <v>92500</v>
      </c>
      <c r="J5513" s="7" t="s">
        <v>1630</v>
      </c>
    </row>
    <row r="5514" spans="1:10" x14ac:dyDescent="0.2">
      <c r="A5514" s="1" t="s">
        <v>6</v>
      </c>
      <c r="B5514" s="2" t="s">
        <v>383</v>
      </c>
      <c r="D5514" s="7" t="s">
        <v>464</v>
      </c>
      <c r="E5514" s="6"/>
      <c r="F5514" s="6"/>
      <c r="G5514" s="57" t="str">
        <f t="shared" si="89"/>
        <v>-</v>
      </c>
      <c r="H5514" s="21" t="s">
        <v>465</v>
      </c>
      <c r="I5514" s="21">
        <v>92500</v>
      </c>
      <c r="J5514" s="7" t="s">
        <v>1630</v>
      </c>
    </row>
    <row r="5515" spans="1:10" x14ac:dyDescent="0.2">
      <c r="A5515" s="1" t="s">
        <v>6</v>
      </c>
      <c r="B5515" s="2" t="s">
        <v>383</v>
      </c>
      <c r="D5515" s="7" t="s">
        <v>464</v>
      </c>
      <c r="E5515" s="6"/>
      <c r="F5515" s="6"/>
      <c r="G5515" s="57" t="str">
        <f t="shared" si="89"/>
        <v>-</v>
      </c>
      <c r="H5515" s="21" t="s">
        <v>465</v>
      </c>
      <c r="I5515" s="21">
        <v>97500</v>
      </c>
      <c r="J5515" s="7" t="s">
        <v>1630</v>
      </c>
    </row>
    <row r="5516" spans="1:10" x14ac:dyDescent="0.2">
      <c r="A5516" s="1" t="s">
        <v>6</v>
      </c>
      <c r="B5516" s="2" t="s">
        <v>383</v>
      </c>
      <c r="D5516" s="7" t="s">
        <v>464</v>
      </c>
      <c r="E5516" s="6"/>
      <c r="F5516" s="6"/>
      <c r="G5516" s="57" t="str">
        <f t="shared" si="89"/>
        <v>-</v>
      </c>
      <c r="H5516" s="21" t="s">
        <v>465</v>
      </c>
      <c r="I5516" s="21">
        <v>97500</v>
      </c>
      <c r="J5516" s="7" t="s">
        <v>1630</v>
      </c>
    </row>
    <row r="5517" spans="1:10" x14ac:dyDescent="0.2">
      <c r="A5517" s="1" t="s">
        <v>6</v>
      </c>
      <c r="B5517" s="2" t="s">
        <v>383</v>
      </c>
      <c r="D5517" s="7" t="s">
        <v>464</v>
      </c>
      <c r="E5517" s="6"/>
      <c r="F5517" s="6"/>
      <c r="G5517" s="57" t="str">
        <f t="shared" si="89"/>
        <v>-</v>
      </c>
      <c r="H5517" s="21" t="s">
        <v>465</v>
      </c>
      <c r="I5517" s="21">
        <v>97500</v>
      </c>
      <c r="J5517" s="7" t="s">
        <v>1630</v>
      </c>
    </row>
    <row r="5518" spans="1:10" x14ac:dyDescent="0.2">
      <c r="A5518" s="1" t="s">
        <v>6</v>
      </c>
      <c r="B5518" s="2" t="s">
        <v>383</v>
      </c>
      <c r="D5518" s="7" t="s">
        <v>464</v>
      </c>
      <c r="E5518" s="6">
        <v>102500</v>
      </c>
      <c r="F5518" s="6" t="s">
        <v>465</v>
      </c>
      <c r="G5518" s="57" t="str">
        <f t="shared" si="89"/>
        <v>-</v>
      </c>
      <c r="H5518" s="21"/>
      <c r="I5518" s="21"/>
      <c r="J5518" s="7" t="s">
        <v>1630</v>
      </c>
    </row>
    <row r="5519" spans="1:10" x14ac:dyDescent="0.2">
      <c r="A5519" s="1" t="s">
        <v>6</v>
      </c>
      <c r="B5519" s="2" t="s">
        <v>383</v>
      </c>
      <c r="D5519" s="7" t="s">
        <v>464</v>
      </c>
      <c r="E5519" s="6">
        <v>107500</v>
      </c>
      <c r="F5519" s="6" t="s">
        <v>465</v>
      </c>
      <c r="G5519" s="57" t="str">
        <f t="shared" si="89"/>
        <v>-</v>
      </c>
      <c r="H5519" s="21"/>
      <c r="I5519" s="21"/>
      <c r="J5519" s="7" t="s">
        <v>1630</v>
      </c>
    </row>
    <row r="5520" spans="1:10" ht="25.5" x14ac:dyDescent="0.2">
      <c r="A5520" s="1" t="s">
        <v>39</v>
      </c>
      <c r="B5520" s="2" t="s">
        <v>384</v>
      </c>
      <c r="D5520" s="5" t="s">
        <v>450</v>
      </c>
      <c r="E5520" s="3">
        <v>125569</v>
      </c>
      <c r="F5520" s="3">
        <v>126959</v>
      </c>
      <c r="G5520" s="57">
        <f t="shared" si="89"/>
        <v>1.1069611130135623E-2</v>
      </c>
      <c r="J5520" s="5" t="s">
        <v>2495</v>
      </c>
    </row>
    <row r="5521" spans="1:10" ht="25.5" x14ac:dyDescent="0.2">
      <c r="A5521" s="1" t="s">
        <v>39</v>
      </c>
      <c r="B5521" s="2" t="s">
        <v>384</v>
      </c>
      <c r="D5521" s="5" t="s">
        <v>699</v>
      </c>
      <c r="E5521" s="3">
        <v>101001</v>
      </c>
      <c r="F5521" s="3">
        <v>102179</v>
      </c>
      <c r="G5521" s="57">
        <f t="shared" si="89"/>
        <v>1.1663250858902387E-2</v>
      </c>
      <c r="J5521" s="5" t="s">
        <v>2496</v>
      </c>
    </row>
    <row r="5522" spans="1:10" ht="38.25" x14ac:dyDescent="0.2">
      <c r="A5522" s="1" t="s">
        <v>39</v>
      </c>
      <c r="B5522" s="2" t="s">
        <v>384</v>
      </c>
      <c r="D5522" s="5" t="s">
        <v>700</v>
      </c>
      <c r="E5522" s="3">
        <v>66781</v>
      </c>
      <c r="F5522" s="3">
        <v>188037</v>
      </c>
      <c r="G5522" s="57">
        <f t="shared" si="89"/>
        <v>1.8157260298587923</v>
      </c>
      <c r="J5522" s="5" t="s">
        <v>2497</v>
      </c>
    </row>
    <row r="5523" spans="1:10" ht="38.25" x14ac:dyDescent="0.2">
      <c r="A5523" s="1" t="s">
        <v>4</v>
      </c>
      <c r="B5523" s="2" t="s">
        <v>385</v>
      </c>
      <c r="C5523" s="5" t="s">
        <v>697</v>
      </c>
      <c r="D5523" s="5" t="s">
        <v>450</v>
      </c>
      <c r="E5523" s="3">
        <v>152837</v>
      </c>
      <c r="F5523" s="3">
        <v>153775</v>
      </c>
      <c r="G5523" s="57">
        <f t="shared" si="89"/>
        <v>6.1372573395185722E-3</v>
      </c>
      <c r="J5523" s="5" t="s">
        <v>2492</v>
      </c>
    </row>
    <row r="5524" spans="1:10" ht="25.5" x14ac:dyDescent="0.2">
      <c r="A5524" s="1" t="s">
        <v>4</v>
      </c>
      <c r="B5524" s="2" t="s">
        <v>385</v>
      </c>
      <c r="D5524" s="5" t="s">
        <v>524</v>
      </c>
      <c r="E5524" s="3">
        <v>110422</v>
      </c>
      <c r="F5524" s="3">
        <v>113505</v>
      </c>
      <c r="G5524" s="57">
        <f t="shared" si="89"/>
        <v>2.7920160837514262E-2</v>
      </c>
      <c r="J5524" s="5" t="s">
        <v>2493</v>
      </c>
    </row>
    <row r="5525" spans="1:10" ht="38.25" x14ac:dyDescent="0.2">
      <c r="A5525" s="1" t="s">
        <v>4</v>
      </c>
      <c r="B5525" s="2" t="s">
        <v>385</v>
      </c>
      <c r="D5525" s="5" t="s">
        <v>698</v>
      </c>
      <c r="E5525" s="3">
        <v>99223</v>
      </c>
      <c r="F5525" s="3">
        <v>101705</v>
      </c>
      <c r="G5525" s="57">
        <f t="shared" si="89"/>
        <v>2.501436158955081E-2</v>
      </c>
      <c r="J5525" s="5" t="s">
        <v>2494</v>
      </c>
    </row>
    <row r="5526" spans="1:10" ht="51" x14ac:dyDescent="0.2">
      <c r="A5526" s="1" t="s">
        <v>4</v>
      </c>
      <c r="B5526" s="2" t="s">
        <v>385</v>
      </c>
      <c r="D5526" s="5" t="s">
        <v>2491</v>
      </c>
      <c r="E5526" s="3">
        <v>105604</v>
      </c>
      <c r="F5526" s="3">
        <v>92791</v>
      </c>
      <c r="G5526" s="57">
        <f t="shared" si="89"/>
        <v>-0.12133063141547669</v>
      </c>
      <c r="J5526" s="5" t="s">
        <v>4481</v>
      </c>
    </row>
    <row r="5527" spans="1:10" ht="25.5" x14ac:dyDescent="0.2">
      <c r="A5527" s="1" t="s">
        <v>34</v>
      </c>
      <c r="B5527" s="2" t="s">
        <v>386</v>
      </c>
      <c r="D5527" s="5" t="s">
        <v>450</v>
      </c>
      <c r="E5527" s="3">
        <v>121685</v>
      </c>
      <c r="F5527" s="3">
        <v>120221</v>
      </c>
      <c r="G5527" s="57">
        <f t="shared" si="89"/>
        <v>-1.2031063812302257E-2</v>
      </c>
      <c r="J5527" s="5" t="s">
        <v>2489</v>
      </c>
    </row>
    <row r="5528" spans="1:10" x14ac:dyDescent="0.2">
      <c r="A5528" s="1" t="s">
        <v>34</v>
      </c>
      <c r="B5528" s="2" t="s">
        <v>386</v>
      </c>
      <c r="D5528" s="5" t="s">
        <v>2486</v>
      </c>
      <c r="E5528" s="3">
        <v>189918</v>
      </c>
      <c r="F5528" s="3" t="s">
        <v>465</v>
      </c>
      <c r="G5528" s="57" t="str">
        <f t="shared" si="89"/>
        <v>-</v>
      </c>
    </row>
    <row r="5529" spans="1:10" x14ac:dyDescent="0.2">
      <c r="A5529" s="1" t="s">
        <v>34</v>
      </c>
      <c r="B5529" s="2" t="s">
        <v>386</v>
      </c>
      <c r="D5529" s="5" t="s">
        <v>2487</v>
      </c>
      <c r="E5529" s="3">
        <v>210731</v>
      </c>
      <c r="F5529" s="3" t="s">
        <v>465</v>
      </c>
      <c r="G5529" s="57" t="str">
        <f t="shared" si="89"/>
        <v>-</v>
      </c>
    </row>
    <row r="5530" spans="1:10" x14ac:dyDescent="0.2">
      <c r="A5530" s="1" t="s">
        <v>34</v>
      </c>
      <c r="B5530" s="2" t="s">
        <v>386</v>
      </c>
      <c r="D5530" s="5" t="s">
        <v>2488</v>
      </c>
      <c r="E5530" s="3">
        <v>132870</v>
      </c>
      <c r="F5530" s="3" t="s">
        <v>465</v>
      </c>
      <c r="G5530" s="57" t="str">
        <f t="shared" si="89"/>
        <v>-</v>
      </c>
    </row>
    <row r="5531" spans="1:10" x14ac:dyDescent="0.2">
      <c r="A5531" s="1" t="s">
        <v>34</v>
      </c>
      <c r="B5531" s="2" t="s">
        <v>386</v>
      </c>
      <c r="D5531" s="5" t="s">
        <v>2490</v>
      </c>
      <c r="E5531" s="3" t="s">
        <v>465</v>
      </c>
      <c r="F5531" s="3">
        <v>122500</v>
      </c>
      <c r="G5531" s="57" t="str">
        <f t="shared" si="89"/>
        <v>-</v>
      </c>
    </row>
    <row r="5532" spans="1:10" x14ac:dyDescent="0.2">
      <c r="A5532" s="1" t="s">
        <v>34</v>
      </c>
      <c r="B5532" s="2" t="s">
        <v>386</v>
      </c>
      <c r="D5532" s="5" t="s">
        <v>2490</v>
      </c>
      <c r="E5532" s="3">
        <v>102500</v>
      </c>
      <c r="F5532" s="3" t="s">
        <v>465</v>
      </c>
      <c r="G5532" s="57" t="str">
        <f t="shared" si="89"/>
        <v>-</v>
      </c>
    </row>
    <row r="5533" spans="1:10" x14ac:dyDescent="0.2">
      <c r="A5533" s="1" t="s">
        <v>34</v>
      </c>
      <c r="B5533" s="2" t="s">
        <v>386</v>
      </c>
      <c r="D5533" s="5" t="s">
        <v>2490</v>
      </c>
      <c r="E5533" s="3">
        <v>102500</v>
      </c>
      <c r="F5533" s="3" t="s">
        <v>465</v>
      </c>
      <c r="G5533" s="57" t="str">
        <f t="shared" si="89"/>
        <v>-</v>
      </c>
    </row>
    <row r="5534" spans="1:10" x14ac:dyDescent="0.2">
      <c r="A5534" s="1" t="s">
        <v>34</v>
      </c>
      <c r="B5534" s="2" t="s">
        <v>386</v>
      </c>
      <c r="D5534" s="5" t="s">
        <v>2490</v>
      </c>
      <c r="E5534" s="3">
        <v>122500</v>
      </c>
      <c r="F5534" s="3" t="s">
        <v>465</v>
      </c>
      <c r="G5534" s="57" t="str">
        <f t="shared" si="89"/>
        <v>-</v>
      </c>
    </row>
    <row r="5535" spans="1:10" x14ac:dyDescent="0.2">
      <c r="A5535" s="1" t="s">
        <v>34</v>
      </c>
      <c r="B5535" s="2" t="s">
        <v>386</v>
      </c>
      <c r="D5535" s="5" t="s">
        <v>2490</v>
      </c>
      <c r="E5535" s="3">
        <v>132500</v>
      </c>
      <c r="F5535" s="3" t="s">
        <v>465</v>
      </c>
      <c r="G5535" s="57" t="str">
        <f t="shared" si="89"/>
        <v>-</v>
      </c>
    </row>
    <row r="5536" spans="1:10" x14ac:dyDescent="0.2">
      <c r="A5536" s="1" t="s">
        <v>34</v>
      </c>
      <c r="B5536" s="2" t="s">
        <v>386</v>
      </c>
      <c r="D5536" s="5" t="s">
        <v>2490</v>
      </c>
      <c r="E5536" s="3">
        <v>187500</v>
      </c>
      <c r="F5536" s="3" t="s">
        <v>465</v>
      </c>
      <c r="G5536" s="57" t="str">
        <f t="shared" si="89"/>
        <v>-</v>
      </c>
    </row>
    <row r="5537" spans="1:10" x14ac:dyDescent="0.2">
      <c r="A5537" s="1" t="s">
        <v>34</v>
      </c>
      <c r="B5537" s="2" t="s">
        <v>386</v>
      </c>
      <c r="D5537" s="5" t="s">
        <v>2490</v>
      </c>
      <c r="E5537" s="3">
        <f>(215999-210000)/2+210000</f>
        <v>212999.5</v>
      </c>
      <c r="F5537" s="3" t="s">
        <v>465</v>
      </c>
      <c r="G5537" s="57" t="str">
        <f t="shared" si="89"/>
        <v>-</v>
      </c>
    </row>
    <row r="5538" spans="1:10" ht="51" x14ac:dyDescent="0.2">
      <c r="A5538" s="1" t="s">
        <v>34</v>
      </c>
      <c r="B5538" s="2" t="s">
        <v>387</v>
      </c>
      <c r="D5538" s="5" t="s">
        <v>4482</v>
      </c>
      <c r="E5538" s="3">
        <v>133427</v>
      </c>
      <c r="F5538" s="3">
        <v>158380</v>
      </c>
      <c r="G5538" s="57">
        <f t="shared" si="89"/>
        <v>0.18701612117487465</v>
      </c>
      <c r="J5538" s="5" t="s">
        <v>4704</v>
      </c>
    </row>
    <row r="5539" spans="1:10" ht="63.75" x14ac:dyDescent="0.2">
      <c r="A5539" s="1" t="s">
        <v>39</v>
      </c>
      <c r="B5539" s="2" t="s">
        <v>388</v>
      </c>
      <c r="C5539" s="5" t="s">
        <v>693</v>
      </c>
      <c r="D5539" s="5" t="s">
        <v>450</v>
      </c>
      <c r="E5539" s="3">
        <f>115679+35118+12838</f>
        <v>163635</v>
      </c>
      <c r="F5539" s="3">
        <v>180862</v>
      </c>
      <c r="G5539" s="57">
        <f t="shared" si="89"/>
        <v>0.10527698841934793</v>
      </c>
      <c r="J5539" s="5" t="s">
        <v>4483</v>
      </c>
    </row>
    <row r="5540" spans="1:10" x14ac:dyDescent="0.2">
      <c r="A5540" s="1" t="s">
        <v>39</v>
      </c>
      <c r="B5540" s="2" t="s">
        <v>388</v>
      </c>
      <c r="D5540" s="5" t="s">
        <v>468</v>
      </c>
      <c r="E5540" s="3">
        <v>137869</v>
      </c>
      <c r="F5540" s="3" t="s">
        <v>465</v>
      </c>
      <c r="G5540" s="57" t="str">
        <f t="shared" si="89"/>
        <v>-</v>
      </c>
    </row>
    <row r="5541" spans="1:10" x14ac:dyDescent="0.2">
      <c r="A5541" s="1" t="s">
        <v>39</v>
      </c>
      <c r="B5541" s="2" t="s">
        <v>388</v>
      </c>
      <c r="D5541" s="5" t="s">
        <v>468</v>
      </c>
      <c r="E5541" s="3">
        <v>129950</v>
      </c>
      <c r="F5541" s="3" t="s">
        <v>465</v>
      </c>
      <c r="G5541" s="57" t="str">
        <f t="shared" si="89"/>
        <v>-</v>
      </c>
    </row>
    <row r="5542" spans="1:10" x14ac:dyDescent="0.2">
      <c r="A5542" s="1" t="s">
        <v>39</v>
      </c>
      <c r="B5542" s="2" t="s">
        <v>388</v>
      </c>
      <c r="D5542" s="5" t="s">
        <v>468</v>
      </c>
      <c r="E5542" s="3">
        <v>108648</v>
      </c>
      <c r="F5542" s="3" t="s">
        <v>465</v>
      </c>
      <c r="G5542" s="57" t="str">
        <f t="shared" si="89"/>
        <v>-</v>
      </c>
    </row>
    <row r="5543" spans="1:10" ht="25.5" x14ac:dyDescent="0.2">
      <c r="A5543" s="1" t="s">
        <v>39</v>
      </c>
      <c r="B5543" s="2" t="s">
        <v>388</v>
      </c>
      <c r="D5543" s="5" t="s">
        <v>468</v>
      </c>
      <c r="E5543" s="3" t="s">
        <v>465</v>
      </c>
      <c r="F5543" s="3">
        <v>138351</v>
      </c>
      <c r="G5543" s="57" t="str">
        <f t="shared" si="89"/>
        <v>-</v>
      </c>
      <c r="J5543" s="5" t="s">
        <v>2483</v>
      </c>
    </row>
    <row r="5544" spans="1:10" ht="25.5" x14ac:dyDescent="0.2">
      <c r="A5544" s="1" t="s">
        <v>39</v>
      </c>
      <c r="B5544" s="2" t="s">
        <v>388</v>
      </c>
      <c r="D5544" s="5" t="s">
        <v>468</v>
      </c>
      <c r="E5544" s="3" t="s">
        <v>465</v>
      </c>
      <c r="F5544" s="3">
        <v>138277</v>
      </c>
      <c r="G5544" s="57" t="str">
        <f t="shared" si="89"/>
        <v>-</v>
      </c>
      <c r="J5544" s="5" t="s">
        <v>2484</v>
      </c>
    </row>
    <row r="5545" spans="1:10" ht="12" customHeight="1" x14ac:dyDescent="0.2">
      <c r="A5545" s="1" t="s">
        <v>39</v>
      </c>
      <c r="B5545" s="2" t="s">
        <v>388</v>
      </c>
      <c r="D5545" s="5" t="s">
        <v>451</v>
      </c>
      <c r="E5545" s="3" t="s">
        <v>465</v>
      </c>
      <c r="F5545" s="3">
        <v>125052</v>
      </c>
      <c r="G5545" s="57" t="str">
        <f t="shared" si="89"/>
        <v>-</v>
      </c>
      <c r="J5545" s="5" t="s">
        <v>2485</v>
      </c>
    </row>
    <row r="5546" spans="1:10" ht="38.25" x14ac:dyDescent="0.2">
      <c r="A5546" s="1" t="s">
        <v>39</v>
      </c>
      <c r="B5546" s="2" t="s">
        <v>388</v>
      </c>
      <c r="D5546" s="5" t="s">
        <v>694</v>
      </c>
      <c r="E5546" s="3">
        <v>93528</v>
      </c>
      <c r="F5546" s="3">
        <v>106572</v>
      </c>
      <c r="G5546" s="57">
        <f t="shared" si="89"/>
        <v>0.13946625609443161</v>
      </c>
      <c r="J5546" s="5" t="s">
        <v>4484</v>
      </c>
    </row>
    <row r="5547" spans="1:10" ht="38.25" x14ac:dyDescent="0.2">
      <c r="A5547" s="1" t="s">
        <v>39</v>
      </c>
      <c r="B5547" s="2" t="s">
        <v>388</v>
      </c>
      <c r="D5547" s="5" t="s">
        <v>695</v>
      </c>
      <c r="E5547" s="3">
        <v>89393</v>
      </c>
      <c r="F5547" s="3">
        <v>128927</v>
      </c>
      <c r="G5547" s="57">
        <f t="shared" si="89"/>
        <v>0.44224939312921591</v>
      </c>
      <c r="J5547" s="5" t="s">
        <v>4485</v>
      </c>
    </row>
    <row r="5548" spans="1:10" ht="38.25" x14ac:dyDescent="0.2">
      <c r="A5548" s="1" t="s">
        <v>39</v>
      </c>
      <c r="B5548" s="2" t="s">
        <v>388</v>
      </c>
      <c r="D5548" s="5" t="s">
        <v>696</v>
      </c>
      <c r="E5548" s="3">
        <v>93844</v>
      </c>
      <c r="F5548" s="3">
        <v>144208</v>
      </c>
      <c r="G5548" s="57">
        <f t="shared" si="89"/>
        <v>0.53667789096798946</v>
      </c>
      <c r="J5548" s="5" t="s">
        <v>4486</v>
      </c>
    </row>
    <row r="5549" spans="1:10" x14ac:dyDescent="0.2">
      <c r="A5549" s="1" t="s">
        <v>39</v>
      </c>
      <c r="B5549" s="2" t="s">
        <v>388</v>
      </c>
      <c r="D5549" s="5" t="s">
        <v>464</v>
      </c>
      <c r="G5549" s="57" t="str">
        <f t="shared" si="89"/>
        <v>-</v>
      </c>
      <c r="H5549" s="19">
        <v>92500</v>
      </c>
    </row>
    <row r="5550" spans="1:10" x14ac:dyDescent="0.2">
      <c r="A5550" s="1" t="s">
        <v>39</v>
      </c>
      <c r="B5550" s="2" t="s">
        <v>388</v>
      </c>
      <c r="D5550" s="5" t="s">
        <v>464</v>
      </c>
      <c r="G5550" s="57" t="str">
        <f t="shared" si="89"/>
        <v>-</v>
      </c>
      <c r="H5550" s="19">
        <v>97500</v>
      </c>
    </row>
    <row r="5551" spans="1:10" x14ac:dyDescent="0.2">
      <c r="A5551" s="1" t="s">
        <v>39</v>
      </c>
      <c r="B5551" s="2" t="s">
        <v>388</v>
      </c>
      <c r="C5551" s="7"/>
      <c r="D5551" s="5" t="s">
        <v>464</v>
      </c>
      <c r="E5551" s="3">
        <v>102500</v>
      </c>
      <c r="F5551" s="3" t="s">
        <v>465</v>
      </c>
      <c r="G5551" s="57" t="str">
        <f t="shared" si="89"/>
        <v>-</v>
      </c>
    </row>
    <row r="5552" spans="1:10" x14ac:dyDescent="0.2">
      <c r="A5552" s="1" t="s">
        <v>39</v>
      </c>
      <c r="B5552" s="2" t="s">
        <v>388</v>
      </c>
      <c r="D5552" s="5" t="s">
        <v>464</v>
      </c>
      <c r="E5552" s="3">
        <v>102500</v>
      </c>
      <c r="F5552" s="3" t="s">
        <v>465</v>
      </c>
      <c r="G5552" s="57" t="str">
        <f t="shared" si="89"/>
        <v>-</v>
      </c>
    </row>
    <row r="5553" spans="1:10" x14ac:dyDescent="0.2">
      <c r="A5553" s="1" t="s">
        <v>39</v>
      </c>
      <c r="B5553" s="2" t="s">
        <v>388</v>
      </c>
      <c r="D5553" s="5" t="s">
        <v>464</v>
      </c>
      <c r="E5553" s="3" t="s">
        <v>465</v>
      </c>
      <c r="F5553" s="3">
        <v>102500</v>
      </c>
      <c r="G5553" s="57" t="str">
        <f t="shared" si="89"/>
        <v>-</v>
      </c>
    </row>
    <row r="5554" spans="1:10" x14ac:dyDescent="0.2">
      <c r="A5554" s="1" t="s">
        <v>39</v>
      </c>
      <c r="B5554" s="2" t="s">
        <v>388</v>
      </c>
      <c r="D5554" s="5" t="s">
        <v>464</v>
      </c>
      <c r="E5554" s="3" t="s">
        <v>465</v>
      </c>
      <c r="F5554" s="3">
        <v>102500</v>
      </c>
      <c r="G5554" s="57" t="str">
        <f t="shared" si="89"/>
        <v>-</v>
      </c>
    </row>
    <row r="5555" spans="1:10" x14ac:dyDescent="0.2">
      <c r="A5555" s="1" t="s">
        <v>39</v>
      </c>
      <c r="B5555" s="2" t="s">
        <v>388</v>
      </c>
      <c r="D5555" s="5" t="s">
        <v>464</v>
      </c>
      <c r="E5555" s="3" t="s">
        <v>465</v>
      </c>
      <c r="F5555" s="3">
        <v>107500</v>
      </c>
      <c r="G5555" s="57" t="str">
        <f t="shared" si="89"/>
        <v>-</v>
      </c>
    </row>
    <row r="5556" spans="1:10" x14ac:dyDescent="0.2">
      <c r="A5556" s="1" t="s">
        <v>39</v>
      </c>
      <c r="B5556" s="2" t="s">
        <v>388</v>
      </c>
      <c r="D5556" s="5" t="s">
        <v>464</v>
      </c>
      <c r="E5556" s="3">
        <v>142500</v>
      </c>
      <c r="F5556" s="3" t="s">
        <v>465</v>
      </c>
      <c r="G5556" s="57" t="str">
        <f t="shared" si="89"/>
        <v>-</v>
      </c>
    </row>
    <row r="5557" spans="1:10" x14ac:dyDescent="0.2">
      <c r="A5557" s="1" t="s">
        <v>39</v>
      </c>
      <c r="B5557" s="2" t="s">
        <v>388</v>
      </c>
      <c r="D5557" s="5" t="s">
        <v>464</v>
      </c>
      <c r="E5557" s="3" t="s">
        <v>465</v>
      </c>
      <c r="F5557" s="3">
        <v>192500</v>
      </c>
      <c r="G5557" s="57" t="str">
        <f t="shared" si="89"/>
        <v>-</v>
      </c>
    </row>
    <row r="5558" spans="1:10" ht="38.25" x14ac:dyDescent="0.2">
      <c r="A5558" s="1" t="s">
        <v>20</v>
      </c>
      <c r="B5558" s="2" t="s">
        <v>389</v>
      </c>
      <c r="D5558" s="5" t="s">
        <v>1874</v>
      </c>
      <c r="E5558" s="3">
        <v>145161</v>
      </c>
      <c r="F5558" s="3">
        <v>183254</v>
      </c>
      <c r="G5558" s="57">
        <f t="shared" si="89"/>
        <v>0.26241896928238301</v>
      </c>
      <c r="J5558" s="5" t="s">
        <v>4487</v>
      </c>
    </row>
    <row r="5559" spans="1:10" ht="38.25" x14ac:dyDescent="0.2">
      <c r="A5559" s="1" t="s">
        <v>20</v>
      </c>
      <c r="B5559" s="2" t="s">
        <v>389</v>
      </c>
      <c r="D5559" s="5" t="s">
        <v>455</v>
      </c>
      <c r="E5559" s="3">
        <v>124200</v>
      </c>
      <c r="F5559" s="3">
        <v>104255</v>
      </c>
      <c r="G5559" s="57">
        <f t="shared" si="89"/>
        <v>-0.16058776167471819</v>
      </c>
      <c r="J5559" s="5" t="s">
        <v>4488</v>
      </c>
    </row>
    <row r="5560" spans="1:10" ht="38.25" x14ac:dyDescent="0.2">
      <c r="A5560" s="1" t="s">
        <v>20</v>
      </c>
      <c r="B5560" s="2" t="s">
        <v>389</v>
      </c>
      <c r="C5560" s="7"/>
      <c r="D5560" s="7" t="s">
        <v>451</v>
      </c>
      <c r="E5560" s="6">
        <v>116699</v>
      </c>
      <c r="F5560" s="6">
        <v>97949</v>
      </c>
      <c r="G5560" s="57">
        <f t="shared" si="89"/>
        <v>-0.16066975723870813</v>
      </c>
      <c r="H5560" s="21"/>
      <c r="I5560" s="21"/>
      <c r="J5560" s="7" t="s">
        <v>4489</v>
      </c>
    </row>
    <row r="5561" spans="1:10" ht="25.5" x14ac:dyDescent="0.2">
      <c r="A5561" s="1" t="s">
        <v>4</v>
      </c>
      <c r="B5561" s="2" t="s">
        <v>390</v>
      </c>
      <c r="D5561" s="5" t="s">
        <v>450</v>
      </c>
      <c r="E5561" s="3">
        <v>148000</v>
      </c>
      <c r="F5561" s="3">
        <v>147000</v>
      </c>
      <c r="G5561" s="57">
        <f t="shared" si="89"/>
        <v>-6.7567567567567571E-3</v>
      </c>
      <c r="J5561" s="5" t="s">
        <v>2481</v>
      </c>
    </row>
    <row r="5562" spans="1:10" ht="25.5" x14ac:dyDescent="0.2">
      <c r="A5562" s="1" t="s">
        <v>4</v>
      </c>
      <c r="B5562" s="2" t="s">
        <v>390</v>
      </c>
      <c r="D5562" s="5" t="s">
        <v>468</v>
      </c>
      <c r="E5562" s="3">
        <v>101000</v>
      </c>
      <c r="F5562" s="3">
        <v>107000</v>
      </c>
      <c r="G5562" s="57">
        <f t="shared" si="89"/>
        <v>5.9405940594059403E-2</v>
      </c>
      <c r="J5562" s="5" t="s">
        <v>2482</v>
      </c>
    </row>
    <row r="5563" spans="1:10" ht="38.25" x14ac:dyDescent="0.2">
      <c r="A5563" s="1" t="s">
        <v>34</v>
      </c>
      <c r="B5563" s="2" t="s">
        <v>391</v>
      </c>
      <c r="D5563" s="5" t="s">
        <v>450</v>
      </c>
      <c r="E5563" s="3">
        <v>62057</v>
      </c>
      <c r="F5563" s="3">
        <v>120435</v>
      </c>
      <c r="G5563" s="57">
        <f t="shared" si="89"/>
        <v>0.94071579354464441</v>
      </c>
      <c r="J5563" s="5" t="s">
        <v>4490</v>
      </c>
    </row>
    <row r="5564" spans="1:10" ht="25.5" x14ac:dyDescent="0.2">
      <c r="A5564" s="1" t="s">
        <v>34</v>
      </c>
      <c r="B5564" s="2" t="s">
        <v>391</v>
      </c>
      <c r="D5564" s="5" t="s">
        <v>2378</v>
      </c>
      <c r="E5564" s="3">
        <v>246437</v>
      </c>
      <c r="F5564" s="3" t="s">
        <v>465</v>
      </c>
      <c r="G5564" s="57" t="str">
        <f t="shared" ref="G5564:G5627" si="90">IF(ISERROR((F5564-E5564)/E5564),"-",(F5564-E5564)/E5564)</f>
        <v>-</v>
      </c>
      <c r="J5564" s="5" t="s">
        <v>4491</v>
      </c>
    </row>
    <row r="5565" spans="1:10" ht="25.5" x14ac:dyDescent="0.2">
      <c r="A5565" s="1" t="s">
        <v>34</v>
      </c>
      <c r="B5565" s="2" t="s">
        <v>391</v>
      </c>
      <c r="D5565" s="5" t="s">
        <v>2480</v>
      </c>
      <c r="E5565" s="3">
        <v>152370</v>
      </c>
      <c r="F5565" s="3" t="s">
        <v>465</v>
      </c>
      <c r="G5565" s="57" t="str">
        <f t="shared" si="90"/>
        <v>-</v>
      </c>
      <c r="J5565" s="5" t="s">
        <v>4492</v>
      </c>
    </row>
    <row r="5566" spans="1:10" ht="25.5" x14ac:dyDescent="0.2">
      <c r="A5566" s="1" t="s">
        <v>4</v>
      </c>
      <c r="B5566" s="2" t="s">
        <v>392</v>
      </c>
      <c r="D5566" s="5" t="s">
        <v>450</v>
      </c>
      <c r="E5566" s="3">
        <v>142476</v>
      </c>
      <c r="F5566" s="3">
        <v>140037</v>
      </c>
      <c r="G5566" s="57">
        <f t="shared" si="90"/>
        <v>-1.7118672618546282E-2</v>
      </c>
      <c r="J5566" s="5" t="s">
        <v>2476</v>
      </c>
    </row>
    <row r="5567" spans="1:10" ht="25.5" x14ac:dyDescent="0.2">
      <c r="A5567" s="1" t="s">
        <v>4</v>
      </c>
      <c r="B5567" s="2" t="s">
        <v>392</v>
      </c>
      <c r="D5567" s="5" t="s">
        <v>692</v>
      </c>
      <c r="E5567" s="3">
        <v>107399</v>
      </c>
      <c r="F5567" s="3">
        <v>107092</v>
      </c>
      <c r="G5567" s="57">
        <f t="shared" si="90"/>
        <v>-2.8584996135904432E-3</v>
      </c>
      <c r="J5567" s="5" t="s">
        <v>2477</v>
      </c>
    </row>
    <row r="5568" spans="1:10" ht="25.5" x14ac:dyDescent="0.2">
      <c r="A5568" s="1" t="s">
        <v>4</v>
      </c>
      <c r="B5568" s="2" t="s">
        <v>392</v>
      </c>
      <c r="D5568" s="5" t="s">
        <v>691</v>
      </c>
      <c r="E5568" s="3">
        <v>105003</v>
      </c>
      <c r="F5568" s="3">
        <v>100067</v>
      </c>
      <c r="G5568" s="57">
        <f t="shared" si="90"/>
        <v>-4.7008180718646132E-2</v>
      </c>
      <c r="J5568" s="5" t="s">
        <v>2478</v>
      </c>
    </row>
    <row r="5569" spans="1:10" ht="25.5" x14ac:dyDescent="0.2">
      <c r="A5569" s="1" t="s">
        <v>4</v>
      </c>
      <c r="B5569" s="2" t="s">
        <v>392</v>
      </c>
      <c r="D5569" s="5" t="s">
        <v>2473</v>
      </c>
      <c r="E5569" s="6">
        <v>107399</v>
      </c>
      <c r="F5569" s="3" t="s">
        <v>465</v>
      </c>
      <c r="G5569" s="57" t="str">
        <f t="shared" si="90"/>
        <v>-</v>
      </c>
      <c r="J5569" s="5" t="s">
        <v>2475</v>
      </c>
    </row>
    <row r="5570" spans="1:10" x14ac:dyDescent="0.2">
      <c r="A5570" s="1" t="s">
        <v>4</v>
      </c>
      <c r="B5570" s="2" t="s">
        <v>392</v>
      </c>
      <c r="D5570" s="5" t="s">
        <v>524</v>
      </c>
      <c r="E5570" s="6">
        <v>106057</v>
      </c>
      <c r="F5570" s="3" t="s">
        <v>465</v>
      </c>
      <c r="G5570" s="57" t="str">
        <f t="shared" si="90"/>
        <v>-</v>
      </c>
      <c r="J5570" s="5" t="s">
        <v>2475</v>
      </c>
    </row>
    <row r="5571" spans="1:10" ht="25.5" x14ac:dyDescent="0.2">
      <c r="A5571" s="1" t="s">
        <v>4</v>
      </c>
      <c r="B5571" s="2" t="s">
        <v>392</v>
      </c>
      <c r="D5571" s="5" t="s">
        <v>2474</v>
      </c>
      <c r="E5571" s="6">
        <v>104712</v>
      </c>
      <c r="F5571" s="6">
        <v>99877</v>
      </c>
      <c r="G5571" s="57">
        <f t="shared" si="90"/>
        <v>-4.6174268469707389E-2</v>
      </c>
      <c r="J5571" s="5" t="s">
        <v>2479</v>
      </c>
    </row>
    <row r="5572" spans="1:10" ht="25.5" x14ac:dyDescent="0.2">
      <c r="A5572" s="1" t="s">
        <v>4</v>
      </c>
      <c r="B5572" s="2" t="s">
        <v>392</v>
      </c>
      <c r="D5572" s="5" t="s">
        <v>464</v>
      </c>
      <c r="G5572" s="57" t="str">
        <f t="shared" si="90"/>
        <v>-</v>
      </c>
      <c r="H5572" s="19">
        <v>92500</v>
      </c>
      <c r="I5572" s="19" t="s">
        <v>465</v>
      </c>
      <c r="J5572" s="5" t="s">
        <v>4493</v>
      </c>
    </row>
    <row r="5573" spans="1:10" ht="25.5" x14ac:dyDescent="0.2">
      <c r="A5573" s="1" t="s">
        <v>4</v>
      </c>
      <c r="B5573" s="2" t="s">
        <v>392</v>
      </c>
      <c r="D5573" s="5" t="s">
        <v>464</v>
      </c>
      <c r="G5573" s="57" t="str">
        <f t="shared" si="90"/>
        <v>-</v>
      </c>
      <c r="H5573" s="19">
        <v>92500</v>
      </c>
      <c r="I5573" s="19" t="s">
        <v>465</v>
      </c>
      <c r="J5573" s="5" t="s">
        <v>4494</v>
      </c>
    </row>
    <row r="5574" spans="1:10" ht="25.5" x14ac:dyDescent="0.2">
      <c r="A5574" s="1" t="s">
        <v>4</v>
      </c>
      <c r="B5574" s="2" t="s">
        <v>392</v>
      </c>
      <c r="D5574" s="5" t="s">
        <v>464</v>
      </c>
      <c r="G5574" s="57" t="str">
        <f t="shared" si="90"/>
        <v>-</v>
      </c>
      <c r="H5574" s="19">
        <v>92500</v>
      </c>
      <c r="I5574" s="19" t="s">
        <v>465</v>
      </c>
      <c r="J5574" s="5" t="s">
        <v>4495</v>
      </c>
    </row>
    <row r="5575" spans="1:10" ht="25.5" x14ac:dyDescent="0.2">
      <c r="A5575" s="1" t="s">
        <v>4</v>
      </c>
      <c r="B5575" s="2" t="s">
        <v>392</v>
      </c>
      <c r="D5575" s="5" t="s">
        <v>464</v>
      </c>
      <c r="G5575" s="57" t="str">
        <f t="shared" si="90"/>
        <v>-</v>
      </c>
      <c r="H5575" s="19">
        <v>92500</v>
      </c>
      <c r="I5575" s="19" t="s">
        <v>465</v>
      </c>
      <c r="J5575" s="5" t="s">
        <v>4496</v>
      </c>
    </row>
    <row r="5576" spans="1:10" ht="25.5" x14ac:dyDescent="0.2">
      <c r="A5576" s="1" t="s">
        <v>4</v>
      </c>
      <c r="B5576" s="2" t="s">
        <v>392</v>
      </c>
      <c r="D5576" s="5" t="s">
        <v>464</v>
      </c>
      <c r="G5576" s="57" t="str">
        <f t="shared" si="90"/>
        <v>-</v>
      </c>
      <c r="H5576" s="19">
        <v>92500</v>
      </c>
      <c r="I5576" s="19" t="s">
        <v>465</v>
      </c>
      <c r="J5576" s="5" t="s">
        <v>4497</v>
      </c>
    </row>
    <row r="5577" spans="1:10" x14ac:dyDescent="0.2">
      <c r="A5577" s="1" t="s">
        <v>4</v>
      </c>
      <c r="B5577" s="2" t="s">
        <v>392</v>
      </c>
      <c r="D5577" s="5" t="s">
        <v>464</v>
      </c>
      <c r="G5577" s="57" t="str">
        <f t="shared" si="90"/>
        <v>-</v>
      </c>
      <c r="H5577" s="19" t="s">
        <v>465</v>
      </c>
      <c r="I5577" s="19">
        <v>92500</v>
      </c>
    </row>
    <row r="5578" spans="1:10" x14ac:dyDescent="0.2">
      <c r="A5578" s="1" t="s">
        <v>4</v>
      </c>
      <c r="B5578" s="2" t="s">
        <v>392</v>
      </c>
      <c r="D5578" s="5" t="s">
        <v>464</v>
      </c>
      <c r="G5578" s="57" t="str">
        <f t="shared" si="90"/>
        <v>-</v>
      </c>
      <c r="H5578" s="19" t="s">
        <v>465</v>
      </c>
      <c r="I5578" s="19">
        <v>92500</v>
      </c>
    </row>
    <row r="5579" spans="1:10" x14ac:dyDescent="0.2">
      <c r="A5579" s="1" t="s">
        <v>4</v>
      </c>
      <c r="B5579" s="2" t="s">
        <v>392</v>
      </c>
      <c r="D5579" s="5" t="s">
        <v>464</v>
      </c>
      <c r="E5579" s="3">
        <v>112500</v>
      </c>
      <c r="F5579" s="3" t="s">
        <v>465</v>
      </c>
      <c r="G5579" s="57" t="str">
        <f t="shared" si="90"/>
        <v>-</v>
      </c>
    </row>
    <row r="5580" spans="1:10" x14ac:dyDescent="0.2">
      <c r="A5580" s="1" t="s">
        <v>4</v>
      </c>
      <c r="B5580" s="2" t="s">
        <v>392</v>
      </c>
      <c r="D5580" s="5" t="s">
        <v>464</v>
      </c>
      <c r="E5580" s="3" t="s">
        <v>465</v>
      </c>
      <c r="F5580" s="3">
        <v>117500</v>
      </c>
      <c r="G5580" s="57" t="str">
        <f t="shared" si="90"/>
        <v>-</v>
      </c>
    </row>
    <row r="5581" spans="1:10" ht="25.5" x14ac:dyDescent="0.2">
      <c r="A5581" s="1" t="s">
        <v>20</v>
      </c>
      <c r="B5581" s="2" t="s">
        <v>393</v>
      </c>
      <c r="D5581" s="5" t="s">
        <v>450</v>
      </c>
      <c r="E5581" s="3">
        <v>138473</v>
      </c>
      <c r="F5581" s="3">
        <v>140745</v>
      </c>
      <c r="G5581" s="57">
        <f t="shared" si="90"/>
        <v>1.6407530709957898E-2</v>
      </c>
      <c r="J5581" s="5" t="s">
        <v>2470</v>
      </c>
    </row>
    <row r="5582" spans="1:10" ht="25.5" x14ac:dyDescent="0.2">
      <c r="A5582" s="1" t="s">
        <v>20</v>
      </c>
      <c r="B5582" s="2" t="s">
        <v>393</v>
      </c>
      <c r="D5582" s="5" t="s">
        <v>685</v>
      </c>
      <c r="E5582" s="3">
        <v>111756</v>
      </c>
      <c r="F5582" s="3">
        <v>111450</v>
      </c>
      <c r="G5582" s="57">
        <f t="shared" si="90"/>
        <v>-2.7381080210458499E-3</v>
      </c>
      <c r="J5582" s="5" t="s">
        <v>2471</v>
      </c>
    </row>
    <row r="5583" spans="1:10" ht="25.5" x14ac:dyDescent="0.2">
      <c r="A5583" s="1" t="s">
        <v>20</v>
      </c>
      <c r="B5583" s="2" t="s">
        <v>393</v>
      </c>
      <c r="D5583" s="5" t="s">
        <v>686</v>
      </c>
      <c r="E5583" s="3">
        <v>105087</v>
      </c>
      <c r="F5583" s="3">
        <v>105105</v>
      </c>
      <c r="G5583" s="57">
        <f t="shared" si="90"/>
        <v>1.7128664820577236E-4</v>
      </c>
      <c r="J5583" s="5" t="s">
        <v>2472</v>
      </c>
    </row>
    <row r="5584" spans="1:10" ht="25.5" x14ac:dyDescent="0.2">
      <c r="A5584" s="1" t="s">
        <v>20</v>
      </c>
      <c r="B5584" s="2" t="s">
        <v>394</v>
      </c>
      <c r="C5584" s="5" t="s">
        <v>681</v>
      </c>
      <c r="D5584" s="5" t="s">
        <v>450</v>
      </c>
      <c r="E5584" s="3" t="s">
        <v>465</v>
      </c>
      <c r="F5584" s="3">
        <v>139091</v>
      </c>
      <c r="G5584" s="57" t="str">
        <f t="shared" si="90"/>
        <v>-</v>
      </c>
      <c r="J5584" s="5" t="s">
        <v>4498</v>
      </c>
    </row>
    <row r="5585" spans="1:10" ht="25.5" x14ac:dyDescent="0.2">
      <c r="A5585" s="1" t="s">
        <v>20</v>
      </c>
      <c r="B5585" s="2" t="s">
        <v>394</v>
      </c>
      <c r="D5585" s="5" t="s">
        <v>682</v>
      </c>
      <c r="E5585" s="3">
        <v>145006</v>
      </c>
      <c r="F5585" s="3">
        <v>143409</v>
      </c>
      <c r="G5585" s="57">
        <f t="shared" si="90"/>
        <v>-1.1013337379142932E-2</v>
      </c>
      <c r="J5585" s="5" t="s">
        <v>2467</v>
      </c>
    </row>
    <row r="5586" spans="1:10" ht="25.5" x14ac:dyDescent="0.2">
      <c r="A5586" s="1" t="s">
        <v>20</v>
      </c>
      <c r="B5586" s="2" t="s">
        <v>394</v>
      </c>
      <c r="D5586" s="5" t="s">
        <v>683</v>
      </c>
      <c r="E5586" s="3">
        <v>141948</v>
      </c>
      <c r="F5586" s="3">
        <v>142600</v>
      </c>
      <c r="G5586" s="57">
        <f t="shared" si="90"/>
        <v>4.5932313241468705E-3</v>
      </c>
      <c r="J5586" s="5" t="s">
        <v>2468</v>
      </c>
    </row>
    <row r="5587" spans="1:10" ht="25.5" x14ac:dyDescent="0.2">
      <c r="A5587" s="1" t="s">
        <v>20</v>
      </c>
      <c r="B5587" s="2" t="s">
        <v>394</v>
      </c>
      <c r="D5587" s="5" t="s">
        <v>456</v>
      </c>
      <c r="E5587" s="3">
        <v>63202</v>
      </c>
      <c r="F5587" s="3">
        <v>148632</v>
      </c>
      <c r="G5587" s="57">
        <f t="shared" si="90"/>
        <v>1.3516977310844593</v>
      </c>
      <c r="J5587" s="5" t="s">
        <v>4499</v>
      </c>
    </row>
    <row r="5588" spans="1:10" ht="25.5" x14ac:dyDescent="0.2">
      <c r="A5588" s="1" t="s">
        <v>20</v>
      </c>
      <c r="B5588" s="2" t="s">
        <v>394</v>
      </c>
      <c r="D5588" s="5" t="s">
        <v>684</v>
      </c>
      <c r="E5588" s="3" t="s">
        <v>465</v>
      </c>
      <c r="F5588" s="3">
        <v>104466</v>
      </c>
      <c r="G5588" s="57" t="str">
        <f t="shared" si="90"/>
        <v>-</v>
      </c>
      <c r="J5588" s="5" t="s">
        <v>2469</v>
      </c>
    </row>
    <row r="5589" spans="1:10" ht="25.5" x14ac:dyDescent="0.2">
      <c r="A5589" s="1" t="s">
        <v>20</v>
      </c>
      <c r="B5589" s="2" t="s">
        <v>394</v>
      </c>
      <c r="D5589" s="5" t="s">
        <v>520</v>
      </c>
      <c r="E5589" s="3">
        <v>50337</v>
      </c>
      <c r="F5589" s="3">
        <v>107535</v>
      </c>
      <c r="G5589" s="57">
        <f t="shared" si="90"/>
        <v>1.1363013290422552</v>
      </c>
      <c r="J5589" s="5" t="s">
        <v>4500</v>
      </c>
    </row>
    <row r="5590" spans="1:10" x14ac:dyDescent="0.2">
      <c r="A5590" s="1" t="s">
        <v>20</v>
      </c>
      <c r="B5590" s="2" t="s">
        <v>394</v>
      </c>
      <c r="D5590" s="5" t="s">
        <v>464</v>
      </c>
      <c r="G5590" s="57" t="str">
        <f t="shared" si="90"/>
        <v>-</v>
      </c>
      <c r="H5590" s="19">
        <v>92500</v>
      </c>
      <c r="I5590" s="19" t="s">
        <v>465</v>
      </c>
    </row>
    <row r="5591" spans="1:10" x14ac:dyDescent="0.2">
      <c r="A5591" s="1" t="s">
        <v>20</v>
      </c>
      <c r="B5591" s="2" t="s">
        <v>394</v>
      </c>
      <c r="D5591" s="5" t="s">
        <v>464</v>
      </c>
      <c r="G5591" s="57" t="str">
        <f t="shared" si="90"/>
        <v>-</v>
      </c>
      <c r="H5591" s="19">
        <v>92500</v>
      </c>
      <c r="I5591" s="19" t="s">
        <v>465</v>
      </c>
    </row>
    <row r="5592" spans="1:10" x14ac:dyDescent="0.2">
      <c r="A5592" s="1" t="s">
        <v>20</v>
      </c>
      <c r="B5592" s="2" t="s">
        <v>394</v>
      </c>
      <c r="D5592" s="5" t="s">
        <v>464</v>
      </c>
      <c r="G5592" s="57" t="str">
        <f t="shared" si="90"/>
        <v>-</v>
      </c>
      <c r="H5592" s="19">
        <v>92500</v>
      </c>
      <c r="I5592" s="19" t="s">
        <v>465</v>
      </c>
    </row>
    <row r="5593" spans="1:10" x14ac:dyDescent="0.2">
      <c r="A5593" s="1" t="s">
        <v>20</v>
      </c>
      <c r="B5593" s="2" t="s">
        <v>394</v>
      </c>
      <c r="D5593" s="5" t="s">
        <v>464</v>
      </c>
      <c r="G5593" s="57" t="str">
        <f t="shared" si="90"/>
        <v>-</v>
      </c>
      <c r="H5593" s="19" t="s">
        <v>465</v>
      </c>
      <c r="I5593" s="19">
        <v>92500</v>
      </c>
      <c r="J5593" s="5" t="s">
        <v>539</v>
      </c>
    </row>
    <row r="5594" spans="1:10" x14ac:dyDescent="0.2">
      <c r="A5594" s="1" t="s">
        <v>20</v>
      </c>
      <c r="B5594" s="2" t="s">
        <v>394</v>
      </c>
      <c r="D5594" s="5" t="s">
        <v>464</v>
      </c>
      <c r="G5594" s="57" t="str">
        <f t="shared" si="90"/>
        <v>-</v>
      </c>
      <c r="H5594" s="19" t="s">
        <v>465</v>
      </c>
      <c r="I5594" s="19">
        <v>92500</v>
      </c>
      <c r="J5594" s="5" t="s">
        <v>539</v>
      </c>
    </row>
    <row r="5595" spans="1:10" x14ac:dyDescent="0.2">
      <c r="A5595" s="1" t="s">
        <v>20</v>
      </c>
      <c r="B5595" s="2" t="s">
        <v>394</v>
      </c>
      <c r="D5595" s="5" t="s">
        <v>464</v>
      </c>
      <c r="G5595" s="57" t="str">
        <f t="shared" si="90"/>
        <v>-</v>
      </c>
      <c r="H5595" s="19" t="s">
        <v>465</v>
      </c>
      <c r="I5595" s="19">
        <v>92500</v>
      </c>
      <c r="J5595" s="5" t="s">
        <v>539</v>
      </c>
    </row>
    <row r="5596" spans="1:10" x14ac:dyDescent="0.2">
      <c r="A5596" s="1" t="s">
        <v>20</v>
      </c>
      <c r="B5596" s="2" t="s">
        <v>394</v>
      </c>
      <c r="D5596" s="5" t="s">
        <v>464</v>
      </c>
      <c r="G5596" s="57" t="str">
        <f t="shared" si="90"/>
        <v>-</v>
      </c>
      <c r="H5596" s="19" t="s">
        <v>465</v>
      </c>
      <c r="I5596" s="19">
        <v>92500</v>
      </c>
    </row>
    <row r="5597" spans="1:10" x14ac:dyDescent="0.2">
      <c r="A5597" s="1" t="s">
        <v>20</v>
      </c>
      <c r="B5597" s="2" t="s">
        <v>394</v>
      </c>
      <c r="D5597" s="5" t="s">
        <v>464</v>
      </c>
      <c r="G5597" s="57" t="str">
        <f t="shared" si="90"/>
        <v>-</v>
      </c>
      <c r="H5597" s="19" t="s">
        <v>465</v>
      </c>
      <c r="I5597" s="19">
        <v>92500</v>
      </c>
    </row>
    <row r="5598" spans="1:10" x14ac:dyDescent="0.2">
      <c r="A5598" s="1" t="s">
        <v>20</v>
      </c>
      <c r="B5598" s="2" t="s">
        <v>394</v>
      </c>
      <c r="D5598" s="5" t="s">
        <v>464</v>
      </c>
      <c r="G5598" s="57" t="str">
        <f t="shared" si="90"/>
        <v>-</v>
      </c>
      <c r="H5598" s="19" t="s">
        <v>465</v>
      </c>
      <c r="I5598" s="19">
        <v>92500</v>
      </c>
    </row>
    <row r="5599" spans="1:10" x14ac:dyDescent="0.2">
      <c r="A5599" s="1" t="s">
        <v>20</v>
      </c>
      <c r="B5599" s="2" t="s">
        <v>394</v>
      </c>
      <c r="D5599" s="5" t="s">
        <v>464</v>
      </c>
      <c r="G5599" s="57" t="str">
        <f t="shared" si="90"/>
        <v>-</v>
      </c>
      <c r="H5599" s="19">
        <v>97500</v>
      </c>
      <c r="I5599" s="19" t="s">
        <v>465</v>
      </c>
    </row>
    <row r="5600" spans="1:10" x14ac:dyDescent="0.2">
      <c r="A5600" s="1" t="s">
        <v>20</v>
      </c>
      <c r="B5600" s="2" t="s">
        <v>394</v>
      </c>
      <c r="D5600" s="5" t="s">
        <v>464</v>
      </c>
      <c r="G5600" s="57" t="str">
        <f t="shared" si="90"/>
        <v>-</v>
      </c>
      <c r="H5600" s="19">
        <v>97500</v>
      </c>
      <c r="I5600" s="19" t="s">
        <v>465</v>
      </c>
    </row>
    <row r="5601" spans="1:10" x14ac:dyDescent="0.2">
      <c r="A5601" s="1" t="s">
        <v>20</v>
      </c>
      <c r="B5601" s="2" t="s">
        <v>394</v>
      </c>
      <c r="D5601" s="5" t="s">
        <v>464</v>
      </c>
      <c r="E5601" s="3" t="s">
        <v>465</v>
      </c>
      <c r="F5601" s="3">
        <v>102500</v>
      </c>
      <c r="G5601" s="57" t="str">
        <f t="shared" si="90"/>
        <v>-</v>
      </c>
      <c r="J5601" s="5" t="s">
        <v>539</v>
      </c>
    </row>
    <row r="5602" spans="1:10" x14ac:dyDescent="0.2">
      <c r="A5602" s="1" t="s">
        <v>20</v>
      </c>
      <c r="B5602" s="2" t="s">
        <v>394</v>
      </c>
      <c r="D5602" s="5" t="s">
        <v>464</v>
      </c>
      <c r="E5602" s="3" t="s">
        <v>465</v>
      </c>
      <c r="F5602" s="3">
        <v>137500</v>
      </c>
      <c r="G5602" s="57" t="str">
        <f t="shared" si="90"/>
        <v>-</v>
      </c>
      <c r="J5602" s="5" t="s">
        <v>539</v>
      </c>
    </row>
    <row r="5603" spans="1:10" ht="25.5" x14ac:dyDescent="0.2">
      <c r="A5603" s="1" t="s">
        <v>4</v>
      </c>
      <c r="B5603" s="2" t="s">
        <v>395</v>
      </c>
      <c r="D5603" s="5" t="s">
        <v>450</v>
      </c>
      <c r="E5603" s="3">
        <v>129000</v>
      </c>
      <c r="F5603" s="3">
        <v>130000</v>
      </c>
      <c r="G5603" s="57">
        <f t="shared" si="90"/>
        <v>7.7519379844961239E-3</v>
      </c>
      <c r="J5603" s="5" t="s">
        <v>2462</v>
      </c>
    </row>
    <row r="5604" spans="1:10" ht="25.5" x14ac:dyDescent="0.2">
      <c r="A5604" s="1" t="s">
        <v>4</v>
      </c>
      <c r="B5604" s="2" t="s">
        <v>395</v>
      </c>
      <c r="D5604" s="5" t="s">
        <v>507</v>
      </c>
      <c r="E5604" s="3">
        <v>100000</v>
      </c>
      <c r="F5604" s="3">
        <v>101000</v>
      </c>
      <c r="G5604" s="57">
        <f t="shared" si="90"/>
        <v>0.01</v>
      </c>
      <c r="J5604" s="5" t="s">
        <v>2464</v>
      </c>
    </row>
    <row r="5605" spans="1:10" ht="25.5" x14ac:dyDescent="0.2">
      <c r="A5605" s="1" t="s">
        <v>4</v>
      </c>
      <c r="B5605" s="2" t="s">
        <v>395</v>
      </c>
      <c r="D5605" s="5" t="s">
        <v>679</v>
      </c>
      <c r="E5605" s="3">
        <v>102000</v>
      </c>
      <c r="F5605" s="3">
        <v>103000</v>
      </c>
      <c r="G5605" s="57">
        <f t="shared" si="90"/>
        <v>9.8039215686274508E-3</v>
      </c>
      <c r="J5605" s="5" t="s">
        <v>2465</v>
      </c>
    </row>
    <row r="5606" spans="1:10" ht="25.5" x14ac:dyDescent="0.2">
      <c r="A5606" s="1" t="s">
        <v>4</v>
      </c>
      <c r="B5606" s="2" t="s">
        <v>395</v>
      </c>
      <c r="D5606" s="5" t="s">
        <v>680</v>
      </c>
      <c r="E5606" s="3">
        <v>102000</v>
      </c>
      <c r="F5606" s="3">
        <v>103000</v>
      </c>
      <c r="G5606" s="57">
        <f t="shared" si="90"/>
        <v>9.8039215686274508E-3</v>
      </c>
      <c r="J5606" s="5" t="s">
        <v>2466</v>
      </c>
    </row>
    <row r="5607" spans="1:10" ht="25.5" x14ac:dyDescent="0.2">
      <c r="A5607" s="1" t="s">
        <v>4</v>
      </c>
      <c r="B5607" s="2" t="s">
        <v>395</v>
      </c>
      <c r="D5607" s="5" t="s">
        <v>2461</v>
      </c>
      <c r="E5607" s="3">
        <v>99000</v>
      </c>
      <c r="F5607" s="3">
        <v>102000</v>
      </c>
      <c r="G5607" s="57">
        <f t="shared" si="90"/>
        <v>3.0303030303030304E-2</v>
      </c>
      <c r="J5607" s="5" t="s">
        <v>2463</v>
      </c>
    </row>
    <row r="5608" spans="1:10" ht="25.5" x14ac:dyDescent="0.2">
      <c r="A5608" s="1" t="s">
        <v>134</v>
      </c>
      <c r="B5608" s="2" t="s">
        <v>396</v>
      </c>
      <c r="C5608" s="5" t="s">
        <v>672</v>
      </c>
      <c r="D5608" s="5" t="s">
        <v>450</v>
      </c>
      <c r="E5608" s="3">
        <v>180000</v>
      </c>
      <c r="F5608" s="3">
        <v>175000</v>
      </c>
      <c r="G5608" s="57">
        <f t="shared" si="90"/>
        <v>-2.7777777777777776E-2</v>
      </c>
      <c r="J5608" s="5" t="s">
        <v>2457</v>
      </c>
    </row>
    <row r="5609" spans="1:10" ht="25.5" x14ac:dyDescent="0.2">
      <c r="A5609" s="1" t="s">
        <v>134</v>
      </c>
      <c r="B5609" s="2" t="s">
        <v>396</v>
      </c>
      <c r="C5609" s="5" t="s">
        <v>673</v>
      </c>
      <c r="D5609" s="5" t="s">
        <v>455</v>
      </c>
      <c r="E5609" s="3">
        <v>126000</v>
      </c>
      <c r="F5609" s="3">
        <v>126000</v>
      </c>
      <c r="G5609" s="57">
        <f t="shared" si="90"/>
        <v>0</v>
      </c>
      <c r="J5609" s="5" t="s">
        <v>2458</v>
      </c>
    </row>
    <row r="5610" spans="1:10" ht="25.5" x14ac:dyDescent="0.2">
      <c r="A5610" s="1" t="s">
        <v>134</v>
      </c>
      <c r="B5610" s="2" t="s">
        <v>396</v>
      </c>
      <c r="C5610" s="5" t="s">
        <v>674</v>
      </c>
      <c r="D5610" s="5" t="s">
        <v>4705</v>
      </c>
      <c r="E5610" s="3">
        <v>145000</v>
      </c>
      <c r="F5610" s="3">
        <v>145000</v>
      </c>
      <c r="G5610" s="57">
        <f t="shared" si="90"/>
        <v>0</v>
      </c>
      <c r="J5610" s="5" t="s">
        <v>2459</v>
      </c>
    </row>
    <row r="5611" spans="1:10" ht="25.5" x14ac:dyDescent="0.2">
      <c r="A5611" s="1" t="s">
        <v>134</v>
      </c>
      <c r="B5611" s="2" t="s">
        <v>396</v>
      </c>
      <c r="C5611" s="5" t="s">
        <v>675</v>
      </c>
      <c r="D5611" s="5" t="s">
        <v>676</v>
      </c>
      <c r="E5611" s="3">
        <v>126000</v>
      </c>
      <c r="F5611" s="3">
        <v>126000</v>
      </c>
      <c r="G5611" s="57">
        <f t="shared" si="90"/>
        <v>0</v>
      </c>
      <c r="J5611" s="5" t="s">
        <v>2458</v>
      </c>
    </row>
    <row r="5612" spans="1:10" x14ac:dyDescent="0.2">
      <c r="A5612" s="1" t="s">
        <v>134</v>
      </c>
      <c r="B5612" s="2" t="s">
        <v>396</v>
      </c>
      <c r="C5612" s="5" t="s">
        <v>677</v>
      </c>
      <c r="D5612" s="5" t="s">
        <v>678</v>
      </c>
      <c r="E5612" s="3">
        <v>106000</v>
      </c>
      <c r="F5612" s="3">
        <v>106000</v>
      </c>
      <c r="G5612" s="57">
        <f t="shared" si="90"/>
        <v>0</v>
      </c>
      <c r="J5612" s="5" t="s">
        <v>2460</v>
      </c>
    </row>
    <row r="5613" spans="1:10" x14ac:dyDescent="0.2">
      <c r="A5613" s="1" t="s">
        <v>134</v>
      </c>
      <c r="B5613" s="2" t="s">
        <v>396</v>
      </c>
      <c r="D5613" s="5" t="s">
        <v>464</v>
      </c>
      <c r="G5613" s="57" t="str">
        <f t="shared" si="90"/>
        <v>-</v>
      </c>
      <c r="H5613" s="19">
        <v>92500</v>
      </c>
      <c r="I5613" s="19" t="s">
        <v>465</v>
      </c>
    </row>
    <row r="5614" spans="1:10" x14ac:dyDescent="0.2">
      <c r="A5614" s="1" t="s">
        <v>134</v>
      </c>
      <c r="B5614" s="2" t="s">
        <v>396</v>
      </c>
      <c r="D5614" s="5" t="s">
        <v>464</v>
      </c>
      <c r="G5614" s="57" t="str">
        <f t="shared" si="90"/>
        <v>-</v>
      </c>
      <c r="H5614" s="19" t="s">
        <v>465</v>
      </c>
      <c r="I5614" s="19">
        <v>92500</v>
      </c>
    </row>
    <row r="5615" spans="1:10" ht="63.75" x14ac:dyDescent="0.2">
      <c r="A5615" s="1" t="s">
        <v>44</v>
      </c>
      <c r="B5615" s="2" t="s">
        <v>397</v>
      </c>
      <c r="D5615" s="5" t="s">
        <v>450</v>
      </c>
      <c r="E5615" s="3">
        <v>133465</v>
      </c>
      <c r="F5615" s="3">
        <v>133749</v>
      </c>
      <c r="G5615" s="57">
        <f t="shared" si="90"/>
        <v>2.1278987000337168E-3</v>
      </c>
      <c r="J5615" s="5" t="s">
        <v>4503</v>
      </c>
    </row>
    <row r="5616" spans="1:10" ht="25.5" x14ac:dyDescent="0.2">
      <c r="A5616" s="1" t="s">
        <v>44</v>
      </c>
      <c r="B5616" s="2" t="s">
        <v>397</v>
      </c>
      <c r="D5616" s="5" t="s">
        <v>4501</v>
      </c>
      <c r="E5616" s="3">
        <v>115337</v>
      </c>
      <c r="F5616" s="3">
        <v>115309</v>
      </c>
      <c r="G5616" s="57">
        <f t="shared" si="90"/>
        <v>-2.4276684845279486E-4</v>
      </c>
      <c r="J5616" s="5" t="s">
        <v>1627</v>
      </c>
    </row>
    <row r="5617" spans="1:10" ht="25.5" x14ac:dyDescent="0.2">
      <c r="A5617" s="1" t="s">
        <v>44</v>
      </c>
      <c r="B5617" s="2" t="s">
        <v>397</v>
      </c>
      <c r="D5617" s="7" t="s">
        <v>670</v>
      </c>
      <c r="E5617" s="6">
        <v>98740</v>
      </c>
      <c r="F5617" s="3">
        <v>103718</v>
      </c>
      <c r="G5617" s="57">
        <f t="shared" si="90"/>
        <v>5.0415231922219972E-2</v>
      </c>
      <c r="J5617" s="5" t="s">
        <v>1628</v>
      </c>
    </row>
    <row r="5618" spans="1:10" ht="36.75" customHeight="1" x14ac:dyDescent="0.2">
      <c r="A5618" s="1" t="s">
        <v>44</v>
      </c>
      <c r="B5618" s="2" t="s">
        <v>397</v>
      </c>
      <c r="D5618" s="5" t="s">
        <v>4504</v>
      </c>
      <c r="E5618" s="3">
        <v>115434</v>
      </c>
      <c r="F5618" s="3">
        <v>115309</v>
      </c>
      <c r="G5618" s="57">
        <f t="shared" si="90"/>
        <v>-1.0828698650311001E-3</v>
      </c>
      <c r="J5618" s="5" t="s">
        <v>1627</v>
      </c>
    </row>
    <row r="5619" spans="1:10" ht="25.5" x14ac:dyDescent="0.2">
      <c r="A5619" s="1" t="s">
        <v>44</v>
      </c>
      <c r="B5619" s="2" t="s">
        <v>397</v>
      </c>
      <c r="D5619" s="7" t="s">
        <v>671</v>
      </c>
      <c r="E5619" s="6">
        <v>97328</v>
      </c>
      <c r="F5619" s="3">
        <v>102780</v>
      </c>
      <c r="G5619" s="57">
        <f t="shared" si="90"/>
        <v>5.6016768042084497E-2</v>
      </c>
      <c r="J5619" s="5" t="s">
        <v>1629</v>
      </c>
    </row>
    <row r="5620" spans="1:10" x14ac:dyDescent="0.2">
      <c r="A5620" s="1" t="s">
        <v>44</v>
      </c>
      <c r="B5620" s="2" t="s">
        <v>397</v>
      </c>
      <c r="D5620" s="7" t="s">
        <v>2455</v>
      </c>
      <c r="E5620" s="6">
        <v>261952</v>
      </c>
      <c r="F5620" s="3" t="s">
        <v>465</v>
      </c>
      <c r="G5620" s="57" t="str">
        <f t="shared" si="90"/>
        <v>-</v>
      </c>
      <c r="J5620" s="5" t="s">
        <v>4502</v>
      </c>
    </row>
    <row r="5621" spans="1:10" x14ac:dyDescent="0.2">
      <c r="A5621" s="1" t="s">
        <v>44</v>
      </c>
      <c r="B5621" s="2" t="s">
        <v>397</v>
      </c>
      <c r="D5621" s="7" t="s">
        <v>2456</v>
      </c>
      <c r="E5621" s="6">
        <v>234064</v>
      </c>
      <c r="F5621" s="3" t="s">
        <v>465</v>
      </c>
      <c r="G5621" s="57" t="str">
        <f t="shared" si="90"/>
        <v>-</v>
      </c>
      <c r="J5621" s="5" t="s">
        <v>4706</v>
      </c>
    </row>
    <row r="5622" spans="1:10" x14ac:dyDescent="0.2">
      <c r="A5622" s="1" t="s">
        <v>44</v>
      </c>
      <c r="B5622" s="2" t="s">
        <v>397</v>
      </c>
      <c r="D5622" s="5" t="s">
        <v>464</v>
      </c>
      <c r="G5622" s="57" t="str">
        <f t="shared" si="90"/>
        <v>-</v>
      </c>
      <c r="H5622" s="19">
        <v>92500</v>
      </c>
      <c r="I5622" s="19" t="s">
        <v>465</v>
      </c>
    </row>
    <row r="5623" spans="1:10" x14ac:dyDescent="0.2">
      <c r="A5623" s="1" t="s">
        <v>44</v>
      </c>
      <c r="B5623" s="2" t="s">
        <v>397</v>
      </c>
      <c r="D5623" s="5" t="s">
        <v>464</v>
      </c>
      <c r="G5623" s="57" t="str">
        <f t="shared" si="90"/>
        <v>-</v>
      </c>
      <c r="H5623" s="19" t="s">
        <v>465</v>
      </c>
      <c r="I5623" s="19">
        <v>92500</v>
      </c>
      <c r="J5623" s="5" t="s">
        <v>539</v>
      </c>
    </row>
    <row r="5624" spans="1:10" x14ac:dyDescent="0.2">
      <c r="A5624" s="1" t="s">
        <v>44</v>
      </c>
      <c r="B5624" s="2" t="s">
        <v>397</v>
      </c>
      <c r="D5624" s="5" t="s">
        <v>464</v>
      </c>
      <c r="E5624" s="3">
        <v>107500</v>
      </c>
      <c r="F5624" s="3" t="s">
        <v>465</v>
      </c>
      <c r="G5624" s="57" t="str">
        <f t="shared" si="90"/>
        <v>-</v>
      </c>
      <c r="J5624" s="5" t="s">
        <v>539</v>
      </c>
    </row>
    <row r="5625" spans="1:10" ht="38.25" customHeight="1" x14ac:dyDescent="0.2">
      <c r="A5625" s="1" t="s">
        <v>34</v>
      </c>
      <c r="B5625" s="30" t="s">
        <v>4506</v>
      </c>
      <c r="D5625" s="5" t="s">
        <v>450</v>
      </c>
      <c r="E5625" s="3">
        <v>114194</v>
      </c>
      <c r="F5625" s="3" t="s">
        <v>465</v>
      </c>
      <c r="G5625" s="57" t="str">
        <f t="shared" si="90"/>
        <v>-</v>
      </c>
      <c r="J5625" s="5" t="s">
        <v>4505</v>
      </c>
    </row>
    <row r="5626" spans="1:10" ht="25.5" x14ac:dyDescent="0.2">
      <c r="A5626" s="1" t="s">
        <v>25</v>
      </c>
      <c r="B5626" s="2" t="s">
        <v>398</v>
      </c>
      <c r="C5626" s="5" t="s">
        <v>664</v>
      </c>
      <c r="D5626" s="5" t="s">
        <v>450</v>
      </c>
      <c r="E5626" s="3">
        <v>204261</v>
      </c>
      <c r="F5626" s="3">
        <v>215583</v>
      </c>
      <c r="G5626" s="57">
        <f t="shared" si="90"/>
        <v>5.5429083378618529E-2</v>
      </c>
      <c r="J5626" s="5" t="s">
        <v>2448</v>
      </c>
    </row>
    <row r="5627" spans="1:10" ht="25.5" x14ac:dyDescent="0.2">
      <c r="A5627" s="1" t="s">
        <v>25</v>
      </c>
      <c r="B5627" s="2" t="s">
        <v>398</v>
      </c>
      <c r="D5627" s="5" t="s">
        <v>665</v>
      </c>
      <c r="E5627" s="3">
        <v>139059</v>
      </c>
      <c r="F5627" s="3">
        <v>144162</v>
      </c>
      <c r="G5627" s="57">
        <f t="shared" si="90"/>
        <v>3.6696653938256427E-2</v>
      </c>
      <c r="J5627" s="5" t="s">
        <v>2449</v>
      </c>
    </row>
    <row r="5628" spans="1:10" ht="25.5" x14ac:dyDescent="0.2">
      <c r="A5628" s="1" t="s">
        <v>25</v>
      </c>
      <c r="B5628" s="2" t="s">
        <v>398</v>
      </c>
      <c r="D5628" s="5" t="s">
        <v>2447</v>
      </c>
      <c r="E5628" s="3">
        <v>162768</v>
      </c>
      <c r="F5628" s="3">
        <v>163356</v>
      </c>
      <c r="G5628" s="57">
        <f t="shared" ref="G5628:G5691" si="91">IF(ISERROR((F5628-E5628)/E5628),"-",(F5628-E5628)/E5628)</f>
        <v>3.6125036862282513E-3</v>
      </c>
      <c r="J5628" s="5" t="s">
        <v>2450</v>
      </c>
    </row>
    <row r="5629" spans="1:10" ht="25.5" x14ac:dyDescent="0.2">
      <c r="A5629" s="1" t="s">
        <v>25</v>
      </c>
      <c r="B5629" s="2" t="s">
        <v>398</v>
      </c>
      <c r="D5629" s="5" t="s">
        <v>666</v>
      </c>
      <c r="E5629" s="3">
        <v>156544</v>
      </c>
      <c r="F5629" s="3">
        <v>161363</v>
      </c>
      <c r="G5629" s="57">
        <f t="shared" si="91"/>
        <v>3.0783677432542927E-2</v>
      </c>
      <c r="J5629" s="5" t="s">
        <v>2451</v>
      </c>
    </row>
    <row r="5630" spans="1:10" ht="25.5" x14ac:dyDescent="0.2">
      <c r="A5630" s="1" t="s">
        <v>25</v>
      </c>
      <c r="B5630" s="2" t="s">
        <v>398</v>
      </c>
      <c r="D5630" s="5" t="s">
        <v>667</v>
      </c>
      <c r="E5630" s="3">
        <v>131577</v>
      </c>
      <c r="F5630" s="3">
        <v>144371</v>
      </c>
      <c r="G5630" s="57">
        <f t="shared" si="91"/>
        <v>9.7235839090418538E-2</v>
      </c>
      <c r="J5630" s="5" t="s">
        <v>2452</v>
      </c>
    </row>
    <row r="5631" spans="1:10" ht="25.5" x14ac:dyDescent="0.2">
      <c r="A5631" s="1" t="s">
        <v>25</v>
      </c>
      <c r="B5631" s="2" t="s">
        <v>398</v>
      </c>
      <c r="D5631" s="5" t="s">
        <v>668</v>
      </c>
      <c r="E5631" s="3">
        <v>157356</v>
      </c>
      <c r="F5631" s="3">
        <v>156722</v>
      </c>
      <c r="G5631" s="57">
        <f t="shared" si="91"/>
        <v>-4.0290805561910576E-3</v>
      </c>
      <c r="J5631" s="5" t="s">
        <v>2453</v>
      </c>
    </row>
    <row r="5632" spans="1:10" ht="25.5" x14ac:dyDescent="0.2">
      <c r="A5632" s="1" t="s">
        <v>25</v>
      </c>
      <c r="B5632" s="2" t="s">
        <v>398</v>
      </c>
      <c r="D5632" s="5" t="s">
        <v>2446</v>
      </c>
      <c r="E5632" s="3">
        <v>139713</v>
      </c>
      <c r="F5632" s="3">
        <v>143033</v>
      </c>
      <c r="G5632" s="57">
        <f t="shared" si="91"/>
        <v>2.3762999864006928E-2</v>
      </c>
      <c r="J5632" s="5" t="s">
        <v>2454</v>
      </c>
    </row>
    <row r="5633" spans="1:10" x14ac:dyDescent="0.2">
      <c r="A5633" s="1" t="s">
        <v>25</v>
      </c>
      <c r="B5633" s="2" t="s">
        <v>398</v>
      </c>
      <c r="D5633" s="5" t="s">
        <v>669</v>
      </c>
      <c r="E5633" s="3">
        <v>142822</v>
      </c>
      <c r="F5633" s="3" t="s">
        <v>465</v>
      </c>
      <c r="G5633" s="57" t="str">
        <f t="shared" si="91"/>
        <v>-</v>
      </c>
    </row>
    <row r="5634" spans="1:10" x14ac:dyDescent="0.2">
      <c r="A5634" s="1" t="s">
        <v>25</v>
      </c>
      <c r="B5634" s="2" t="s">
        <v>398</v>
      </c>
      <c r="D5634" s="5" t="s">
        <v>464</v>
      </c>
      <c r="G5634" s="57" t="str">
        <f t="shared" si="91"/>
        <v>-</v>
      </c>
      <c r="H5634" s="19">
        <v>92500</v>
      </c>
      <c r="I5634" s="19" t="s">
        <v>465</v>
      </c>
      <c r="J5634" s="5" t="s">
        <v>1241</v>
      </c>
    </row>
    <row r="5635" spans="1:10" x14ac:dyDescent="0.2">
      <c r="A5635" s="1" t="s">
        <v>25</v>
      </c>
      <c r="B5635" s="2" t="s">
        <v>398</v>
      </c>
      <c r="D5635" s="5" t="s">
        <v>464</v>
      </c>
      <c r="G5635" s="57" t="str">
        <f t="shared" si="91"/>
        <v>-</v>
      </c>
      <c r="H5635" s="19">
        <v>92500</v>
      </c>
      <c r="I5635" s="19" t="s">
        <v>465</v>
      </c>
      <c r="J5635" s="5" t="s">
        <v>1241</v>
      </c>
    </row>
    <row r="5636" spans="1:10" x14ac:dyDescent="0.2">
      <c r="A5636" s="1" t="s">
        <v>25</v>
      </c>
      <c r="B5636" s="2" t="s">
        <v>398</v>
      </c>
      <c r="D5636" s="5" t="s">
        <v>464</v>
      </c>
      <c r="G5636" s="57" t="str">
        <f t="shared" si="91"/>
        <v>-</v>
      </c>
      <c r="H5636" s="19">
        <v>92500</v>
      </c>
      <c r="I5636" s="19" t="s">
        <v>465</v>
      </c>
      <c r="J5636" s="5" t="s">
        <v>1241</v>
      </c>
    </row>
    <row r="5637" spans="1:10" x14ac:dyDescent="0.2">
      <c r="A5637" s="1" t="s">
        <v>25</v>
      </c>
      <c r="B5637" s="2" t="s">
        <v>398</v>
      </c>
      <c r="D5637" s="5" t="s">
        <v>464</v>
      </c>
      <c r="G5637" s="57" t="str">
        <f t="shared" si="91"/>
        <v>-</v>
      </c>
      <c r="H5637" s="19">
        <v>92500</v>
      </c>
      <c r="I5637" s="19" t="s">
        <v>465</v>
      </c>
      <c r="J5637" s="5" t="s">
        <v>1241</v>
      </c>
    </row>
    <row r="5638" spans="1:10" x14ac:dyDescent="0.2">
      <c r="A5638" s="1" t="s">
        <v>25</v>
      </c>
      <c r="B5638" s="2" t="s">
        <v>398</v>
      </c>
      <c r="D5638" s="5" t="s">
        <v>464</v>
      </c>
      <c r="G5638" s="57" t="str">
        <f t="shared" si="91"/>
        <v>-</v>
      </c>
      <c r="H5638" s="19">
        <v>92500</v>
      </c>
      <c r="I5638" s="19" t="s">
        <v>465</v>
      </c>
      <c r="J5638" s="5" t="s">
        <v>1241</v>
      </c>
    </row>
    <row r="5639" spans="1:10" x14ac:dyDescent="0.2">
      <c r="A5639" s="1" t="s">
        <v>25</v>
      </c>
      <c r="B5639" s="2" t="s">
        <v>398</v>
      </c>
      <c r="D5639" s="5" t="s">
        <v>464</v>
      </c>
      <c r="G5639" s="57" t="str">
        <f t="shared" si="91"/>
        <v>-</v>
      </c>
      <c r="H5639" s="19">
        <v>92500</v>
      </c>
      <c r="I5639" s="19" t="s">
        <v>465</v>
      </c>
    </row>
    <row r="5640" spans="1:10" x14ac:dyDescent="0.2">
      <c r="A5640" s="1" t="s">
        <v>25</v>
      </c>
      <c r="B5640" s="2" t="s">
        <v>398</v>
      </c>
      <c r="D5640" s="5" t="s">
        <v>464</v>
      </c>
      <c r="G5640" s="57" t="str">
        <f t="shared" si="91"/>
        <v>-</v>
      </c>
      <c r="H5640" s="19">
        <v>92500</v>
      </c>
      <c r="I5640" s="19" t="s">
        <v>465</v>
      </c>
    </row>
    <row r="5641" spans="1:10" x14ac:dyDescent="0.2">
      <c r="A5641" s="1" t="s">
        <v>25</v>
      </c>
      <c r="B5641" s="2" t="s">
        <v>398</v>
      </c>
      <c r="D5641" s="5" t="s">
        <v>464</v>
      </c>
      <c r="G5641" s="57" t="str">
        <f t="shared" si="91"/>
        <v>-</v>
      </c>
      <c r="H5641" s="19">
        <v>92500</v>
      </c>
      <c r="I5641" s="19" t="s">
        <v>465</v>
      </c>
    </row>
    <row r="5642" spans="1:10" x14ac:dyDescent="0.2">
      <c r="A5642" s="1" t="s">
        <v>25</v>
      </c>
      <c r="B5642" s="2" t="s">
        <v>398</v>
      </c>
      <c r="D5642" s="5" t="s">
        <v>464</v>
      </c>
      <c r="G5642" s="57" t="str">
        <f t="shared" si="91"/>
        <v>-</v>
      </c>
      <c r="H5642" s="19">
        <v>92500</v>
      </c>
      <c r="I5642" s="19" t="s">
        <v>465</v>
      </c>
    </row>
    <row r="5643" spans="1:10" x14ac:dyDescent="0.2">
      <c r="A5643" s="1" t="s">
        <v>25</v>
      </c>
      <c r="B5643" s="2" t="s">
        <v>398</v>
      </c>
      <c r="D5643" s="5" t="s">
        <v>464</v>
      </c>
      <c r="G5643" s="57" t="str">
        <f t="shared" si="91"/>
        <v>-</v>
      </c>
      <c r="H5643" s="19">
        <v>92500</v>
      </c>
      <c r="I5643" s="19" t="s">
        <v>465</v>
      </c>
    </row>
    <row r="5644" spans="1:10" x14ac:dyDescent="0.2">
      <c r="A5644" s="1" t="s">
        <v>25</v>
      </c>
      <c r="B5644" s="2" t="s">
        <v>398</v>
      </c>
      <c r="D5644" s="5" t="s">
        <v>464</v>
      </c>
      <c r="G5644" s="57" t="str">
        <f t="shared" si="91"/>
        <v>-</v>
      </c>
      <c r="H5644" s="19">
        <v>92500</v>
      </c>
      <c r="I5644" s="19" t="s">
        <v>465</v>
      </c>
    </row>
    <row r="5645" spans="1:10" x14ac:dyDescent="0.2">
      <c r="A5645" s="1" t="s">
        <v>25</v>
      </c>
      <c r="B5645" s="2" t="s">
        <v>398</v>
      </c>
      <c r="D5645" s="5" t="s">
        <v>464</v>
      </c>
      <c r="G5645" s="57" t="str">
        <f t="shared" si="91"/>
        <v>-</v>
      </c>
      <c r="H5645" s="19">
        <v>97500</v>
      </c>
      <c r="I5645" s="19" t="s">
        <v>465</v>
      </c>
    </row>
    <row r="5646" spans="1:10" x14ac:dyDescent="0.2">
      <c r="A5646" s="1" t="s">
        <v>25</v>
      </c>
      <c r="B5646" s="2" t="s">
        <v>398</v>
      </c>
      <c r="D5646" s="5" t="s">
        <v>464</v>
      </c>
      <c r="G5646" s="57" t="str">
        <f t="shared" si="91"/>
        <v>-</v>
      </c>
      <c r="H5646" s="19">
        <v>97500</v>
      </c>
      <c r="I5646" s="19" t="s">
        <v>465</v>
      </c>
    </row>
    <row r="5647" spans="1:10" x14ac:dyDescent="0.2">
      <c r="A5647" s="1" t="s">
        <v>25</v>
      </c>
      <c r="B5647" s="2" t="s">
        <v>398</v>
      </c>
      <c r="D5647" s="5" t="s">
        <v>464</v>
      </c>
      <c r="G5647" s="57" t="str">
        <f t="shared" si="91"/>
        <v>-</v>
      </c>
      <c r="H5647" s="19">
        <v>97500</v>
      </c>
      <c r="I5647" s="19" t="s">
        <v>465</v>
      </c>
    </row>
    <row r="5648" spans="1:10" x14ac:dyDescent="0.2">
      <c r="A5648" s="1" t="s">
        <v>25</v>
      </c>
      <c r="B5648" s="2" t="s">
        <v>398</v>
      </c>
      <c r="D5648" s="5" t="s">
        <v>464</v>
      </c>
      <c r="G5648" s="57" t="str">
        <f t="shared" si="91"/>
        <v>-</v>
      </c>
      <c r="H5648" s="19">
        <v>97500</v>
      </c>
      <c r="I5648" s="19" t="s">
        <v>465</v>
      </c>
    </row>
    <row r="5649" spans="1:10" x14ac:dyDescent="0.2">
      <c r="A5649" s="1" t="s">
        <v>25</v>
      </c>
      <c r="B5649" s="2" t="s">
        <v>398</v>
      </c>
      <c r="D5649" s="5" t="s">
        <v>464</v>
      </c>
      <c r="G5649" s="57" t="str">
        <f t="shared" si="91"/>
        <v>-</v>
      </c>
      <c r="H5649" s="19" t="s">
        <v>465</v>
      </c>
      <c r="I5649" s="19">
        <v>92500</v>
      </c>
      <c r="J5649" s="5" t="s">
        <v>1241</v>
      </c>
    </row>
    <row r="5650" spans="1:10" x14ac:dyDescent="0.2">
      <c r="A5650" s="1" t="s">
        <v>25</v>
      </c>
      <c r="B5650" s="2" t="s">
        <v>398</v>
      </c>
      <c r="D5650" s="5" t="s">
        <v>464</v>
      </c>
      <c r="G5650" s="57" t="str">
        <f t="shared" si="91"/>
        <v>-</v>
      </c>
      <c r="H5650" s="19" t="s">
        <v>465</v>
      </c>
      <c r="I5650" s="19">
        <v>92500</v>
      </c>
      <c r="J5650" s="5" t="s">
        <v>1241</v>
      </c>
    </row>
    <row r="5651" spans="1:10" x14ac:dyDescent="0.2">
      <c r="A5651" s="1" t="s">
        <v>25</v>
      </c>
      <c r="B5651" s="2" t="s">
        <v>398</v>
      </c>
      <c r="D5651" s="5" t="s">
        <v>464</v>
      </c>
      <c r="G5651" s="57" t="str">
        <f t="shared" si="91"/>
        <v>-</v>
      </c>
      <c r="H5651" s="19" t="s">
        <v>465</v>
      </c>
      <c r="I5651" s="19">
        <v>92500</v>
      </c>
      <c r="J5651" s="5" t="s">
        <v>1241</v>
      </c>
    </row>
    <row r="5652" spans="1:10" x14ac:dyDescent="0.2">
      <c r="A5652" s="1" t="s">
        <v>25</v>
      </c>
      <c r="B5652" s="2" t="s">
        <v>398</v>
      </c>
      <c r="D5652" s="5" t="s">
        <v>464</v>
      </c>
      <c r="G5652" s="57" t="str">
        <f t="shared" si="91"/>
        <v>-</v>
      </c>
      <c r="H5652" s="19" t="s">
        <v>465</v>
      </c>
      <c r="I5652" s="19">
        <v>92500</v>
      </c>
      <c r="J5652" s="5" t="s">
        <v>1241</v>
      </c>
    </row>
    <row r="5653" spans="1:10" x14ac:dyDescent="0.2">
      <c r="A5653" s="1" t="s">
        <v>25</v>
      </c>
      <c r="B5653" s="2" t="s">
        <v>398</v>
      </c>
      <c r="D5653" s="5" t="s">
        <v>464</v>
      </c>
      <c r="G5653" s="57" t="str">
        <f t="shared" si="91"/>
        <v>-</v>
      </c>
      <c r="H5653" s="19" t="s">
        <v>465</v>
      </c>
      <c r="I5653" s="19">
        <v>92500</v>
      </c>
      <c r="J5653" s="5" t="s">
        <v>1241</v>
      </c>
    </row>
    <row r="5654" spans="1:10" x14ac:dyDescent="0.2">
      <c r="A5654" s="1" t="s">
        <v>25</v>
      </c>
      <c r="B5654" s="2" t="s">
        <v>398</v>
      </c>
      <c r="D5654" s="5" t="s">
        <v>464</v>
      </c>
      <c r="G5654" s="57" t="str">
        <f t="shared" si="91"/>
        <v>-</v>
      </c>
      <c r="H5654" s="19" t="s">
        <v>465</v>
      </c>
      <c r="I5654" s="19">
        <v>92500</v>
      </c>
      <c r="J5654" s="5" t="s">
        <v>1241</v>
      </c>
    </row>
    <row r="5655" spans="1:10" x14ac:dyDescent="0.2">
      <c r="A5655" s="1" t="s">
        <v>25</v>
      </c>
      <c r="B5655" s="2" t="s">
        <v>398</v>
      </c>
      <c r="D5655" s="5" t="s">
        <v>464</v>
      </c>
      <c r="G5655" s="57" t="str">
        <f t="shared" si="91"/>
        <v>-</v>
      </c>
      <c r="H5655" s="19" t="s">
        <v>465</v>
      </c>
      <c r="I5655" s="19">
        <v>92500</v>
      </c>
      <c r="J5655" s="5" t="s">
        <v>1241</v>
      </c>
    </row>
    <row r="5656" spans="1:10" x14ac:dyDescent="0.2">
      <c r="A5656" s="1" t="s">
        <v>25</v>
      </c>
      <c r="B5656" s="2" t="s">
        <v>398</v>
      </c>
      <c r="D5656" s="5" t="s">
        <v>464</v>
      </c>
      <c r="G5656" s="57" t="str">
        <f t="shared" si="91"/>
        <v>-</v>
      </c>
      <c r="H5656" s="19" t="s">
        <v>465</v>
      </c>
      <c r="I5656" s="19">
        <v>92500</v>
      </c>
    </row>
    <row r="5657" spans="1:10" x14ac:dyDescent="0.2">
      <c r="A5657" s="1" t="s">
        <v>25</v>
      </c>
      <c r="B5657" s="2" t="s">
        <v>398</v>
      </c>
      <c r="D5657" s="5" t="s">
        <v>464</v>
      </c>
      <c r="G5657" s="57" t="str">
        <f t="shared" si="91"/>
        <v>-</v>
      </c>
      <c r="H5657" s="19" t="s">
        <v>465</v>
      </c>
      <c r="I5657" s="19">
        <v>92500</v>
      </c>
    </row>
    <row r="5658" spans="1:10" x14ac:dyDescent="0.2">
      <c r="A5658" s="1" t="s">
        <v>25</v>
      </c>
      <c r="B5658" s="2" t="s">
        <v>398</v>
      </c>
      <c r="D5658" s="5" t="s">
        <v>464</v>
      </c>
      <c r="G5658" s="57" t="str">
        <f t="shared" si="91"/>
        <v>-</v>
      </c>
      <c r="H5658" s="19" t="s">
        <v>465</v>
      </c>
      <c r="I5658" s="19">
        <v>92500</v>
      </c>
    </row>
    <row r="5659" spans="1:10" x14ac:dyDescent="0.2">
      <c r="A5659" s="1" t="s">
        <v>25</v>
      </c>
      <c r="B5659" s="2" t="s">
        <v>398</v>
      </c>
      <c r="D5659" s="5" t="s">
        <v>464</v>
      </c>
      <c r="G5659" s="57" t="str">
        <f t="shared" si="91"/>
        <v>-</v>
      </c>
      <c r="H5659" s="19" t="s">
        <v>465</v>
      </c>
      <c r="I5659" s="19">
        <v>92500</v>
      </c>
    </row>
    <row r="5660" spans="1:10" x14ac:dyDescent="0.2">
      <c r="A5660" s="1" t="s">
        <v>25</v>
      </c>
      <c r="B5660" s="2" t="s">
        <v>398</v>
      </c>
      <c r="D5660" s="5" t="s">
        <v>464</v>
      </c>
      <c r="G5660" s="57" t="str">
        <f t="shared" si="91"/>
        <v>-</v>
      </c>
      <c r="H5660" s="19" t="s">
        <v>465</v>
      </c>
      <c r="I5660" s="19">
        <v>92500</v>
      </c>
    </row>
    <row r="5661" spans="1:10" x14ac:dyDescent="0.2">
      <c r="A5661" s="1" t="s">
        <v>25</v>
      </c>
      <c r="B5661" s="2" t="s">
        <v>398</v>
      </c>
      <c r="D5661" s="5" t="s">
        <v>464</v>
      </c>
      <c r="G5661" s="57" t="str">
        <f t="shared" si="91"/>
        <v>-</v>
      </c>
      <c r="H5661" s="19" t="s">
        <v>465</v>
      </c>
      <c r="I5661" s="19">
        <v>92500</v>
      </c>
    </row>
    <row r="5662" spans="1:10" x14ac:dyDescent="0.2">
      <c r="A5662" s="1" t="s">
        <v>25</v>
      </c>
      <c r="B5662" s="2" t="s">
        <v>398</v>
      </c>
      <c r="D5662" s="5" t="s">
        <v>464</v>
      </c>
      <c r="G5662" s="57" t="str">
        <f t="shared" si="91"/>
        <v>-</v>
      </c>
      <c r="H5662" s="19" t="s">
        <v>465</v>
      </c>
      <c r="I5662" s="19">
        <v>92500</v>
      </c>
    </row>
    <row r="5663" spans="1:10" x14ac:dyDescent="0.2">
      <c r="A5663" s="1" t="s">
        <v>25</v>
      </c>
      <c r="B5663" s="2" t="s">
        <v>398</v>
      </c>
      <c r="D5663" s="5" t="s">
        <v>464</v>
      </c>
      <c r="G5663" s="57" t="str">
        <f t="shared" si="91"/>
        <v>-</v>
      </c>
      <c r="H5663" s="19" t="s">
        <v>465</v>
      </c>
      <c r="I5663" s="19">
        <v>97500</v>
      </c>
      <c r="J5663" s="5" t="s">
        <v>1241</v>
      </c>
    </row>
    <row r="5664" spans="1:10" x14ac:dyDescent="0.2">
      <c r="A5664" s="1" t="s">
        <v>25</v>
      </c>
      <c r="B5664" s="2" t="s">
        <v>398</v>
      </c>
      <c r="D5664" s="5" t="s">
        <v>464</v>
      </c>
      <c r="G5664" s="57" t="str">
        <f t="shared" si="91"/>
        <v>-</v>
      </c>
      <c r="H5664" s="19" t="s">
        <v>465</v>
      </c>
      <c r="I5664" s="19">
        <v>97500</v>
      </c>
      <c r="J5664" s="5" t="s">
        <v>1241</v>
      </c>
    </row>
    <row r="5665" spans="1:10" x14ac:dyDescent="0.2">
      <c r="A5665" s="1" t="s">
        <v>25</v>
      </c>
      <c r="B5665" s="2" t="s">
        <v>398</v>
      </c>
      <c r="D5665" s="5" t="s">
        <v>464</v>
      </c>
      <c r="G5665" s="57" t="str">
        <f t="shared" si="91"/>
        <v>-</v>
      </c>
      <c r="H5665" s="19" t="s">
        <v>465</v>
      </c>
      <c r="I5665" s="19">
        <v>97500</v>
      </c>
      <c r="J5665" s="5" t="s">
        <v>1241</v>
      </c>
    </row>
    <row r="5666" spans="1:10" x14ac:dyDescent="0.2">
      <c r="A5666" s="1" t="s">
        <v>25</v>
      </c>
      <c r="B5666" s="2" t="s">
        <v>398</v>
      </c>
      <c r="D5666" s="5" t="s">
        <v>464</v>
      </c>
      <c r="G5666" s="57" t="str">
        <f t="shared" si="91"/>
        <v>-</v>
      </c>
      <c r="H5666" s="19" t="s">
        <v>465</v>
      </c>
      <c r="I5666" s="19">
        <v>97500</v>
      </c>
      <c r="J5666" s="5" t="s">
        <v>1241</v>
      </c>
    </row>
    <row r="5667" spans="1:10" x14ac:dyDescent="0.2">
      <c r="A5667" s="1" t="s">
        <v>25</v>
      </c>
      <c r="B5667" s="2" t="s">
        <v>398</v>
      </c>
      <c r="D5667" s="5" t="s">
        <v>464</v>
      </c>
      <c r="G5667" s="57" t="str">
        <f t="shared" si="91"/>
        <v>-</v>
      </c>
      <c r="H5667" s="19" t="s">
        <v>465</v>
      </c>
      <c r="I5667" s="19">
        <v>97500</v>
      </c>
    </row>
    <row r="5668" spans="1:10" x14ac:dyDescent="0.2">
      <c r="A5668" s="1" t="s">
        <v>25</v>
      </c>
      <c r="B5668" s="2" t="s">
        <v>398</v>
      </c>
      <c r="D5668" s="5" t="s">
        <v>464</v>
      </c>
      <c r="G5668" s="57" t="str">
        <f t="shared" si="91"/>
        <v>-</v>
      </c>
      <c r="H5668" s="19" t="s">
        <v>465</v>
      </c>
      <c r="I5668" s="19">
        <v>97500</v>
      </c>
    </row>
    <row r="5669" spans="1:10" x14ac:dyDescent="0.2">
      <c r="A5669" s="1" t="s">
        <v>25</v>
      </c>
      <c r="B5669" s="2" t="s">
        <v>398</v>
      </c>
      <c r="D5669" s="5" t="s">
        <v>464</v>
      </c>
      <c r="G5669" s="57" t="str">
        <f t="shared" si="91"/>
        <v>-</v>
      </c>
      <c r="H5669" s="19" t="s">
        <v>465</v>
      </c>
      <c r="I5669" s="19">
        <v>97500</v>
      </c>
    </row>
    <row r="5670" spans="1:10" x14ac:dyDescent="0.2">
      <c r="A5670" s="1" t="s">
        <v>25</v>
      </c>
      <c r="B5670" s="2" t="s">
        <v>398</v>
      </c>
      <c r="D5670" s="5" t="s">
        <v>464</v>
      </c>
      <c r="E5670" s="3">
        <v>102500</v>
      </c>
      <c r="F5670" s="3" t="s">
        <v>465</v>
      </c>
      <c r="G5670" s="57" t="str">
        <f t="shared" si="91"/>
        <v>-</v>
      </c>
      <c r="J5670" s="5" t="s">
        <v>1241</v>
      </c>
    </row>
    <row r="5671" spans="1:10" x14ac:dyDescent="0.2">
      <c r="A5671" s="1" t="s">
        <v>25</v>
      </c>
      <c r="B5671" s="2" t="s">
        <v>398</v>
      </c>
      <c r="D5671" s="5" t="s">
        <v>464</v>
      </c>
      <c r="E5671" s="3">
        <v>102500</v>
      </c>
      <c r="F5671" s="3" t="s">
        <v>465</v>
      </c>
      <c r="G5671" s="57" t="str">
        <f t="shared" si="91"/>
        <v>-</v>
      </c>
    </row>
    <row r="5672" spans="1:10" x14ac:dyDescent="0.2">
      <c r="A5672" s="1" t="s">
        <v>25</v>
      </c>
      <c r="B5672" s="2" t="s">
        <v>398</v>
      </c>
      <c r="D5672" s="5" t="s">
        <v>464</v>
      </c>
      <c r="E5672" s="3">
        <v>102500</v>
      </c>
      <c r="F5672" s="3" t="s">
        <v>465</v>
      </c>
      <c r="G5672" s="57" t="str">
        <f t="shared" si="91"/>
        <v>-</v>
      </c>
    </row>
    <row r="5673" spans="1:10" x14ac:dyDescent="0.2">
      <c r="A5673" s="1" t="s">
        <v>25</v>
      </c>
      <c r="B5673" s="2" t="s">
        <v>398</v>
      </c>
      <c r="D5673" s="5" t="s">
        <v>464</v>
      </c>
      <c r="E5673" s="3">
        <v>102500</v>
      </c>
      <c r="F5673" s="3" t="s">
        <v>465</v>
      </c>
      <c r="G5673" s="57" t="str">
        <f t="shared" si="91"/>
        <v>-</v>
      </c>
    </row>
    <row r="5674" spans="1:10" x14ac:dyDescent="0.2">
      <c r="A5674" s="1" t="s">
        <v>25</v>
      </c>
      <c r="B5674" s="2" t="s">
        <v>398</v>
      </c>
      <c r="D5674" s="5" t="s">
        <v>464</v>
      </c>
      <c r="E5674" s="3">
        <v>102500</v>
      </c>
      <c r="F5674" s="3" t="s">
        <v>465</v>
      </c>
      <c r="G5674" s="57" t="str">
        <f t="shared" si="91"/>
        <v>-</v>
      </c>
    </row>
    <row r="5675" spans="1:10" x14ac:dyDescent="0.2">
      <c r="A5675" s="1" t="s">
        <v>25</v>
      </c>
      <c r="B5675" s="2" t="s">
        <v>398</v>
      </c>
      <c r="D5675" s="5" t="s">
        <v>464</v>
      </c>
      <c r="E5675" s="3">
        <v>102500</v>
      </c>
      <c r="F5675" s="3" t="s">
        <v>465</v>
      </c>
      <c r="G5675" s="57" t="str">
        <f t="shared" si="91"/>
        <v>-</v>
      </c>
    </row>
    <row r="5676" spans="1:10" x14ac:dyDescent="0.2">
      <c r="A5676" s="1" t="s">
        <v>25</v>
      </c>
      <c r="B5676" s="2" t="s">
        <v>398</v>
      </c>
      <c r="D5676" s="5" t="s">
        <v>464</v>
      </c>
      <c r="E5676" s="3" t="s">
        <v>465</v>
      </c>
      <c r="F5676" s="3">
        <v>102500</v>
      </c>
      <c r="G5676" s="57" t="str">
        <f t="shared" si="91"/>
        <v>-</v>
      </c>
      <c r="J5676" s="5" t="s">
        <v>1241</v>
      </c>
    </row>
    <row r="5677" spans="1:10" x14ac:dyDescent="0.2">
      <c r="A5677" s="1" t="s">
        <v>25</v>
      </c>
      <c r="B5677" s="2" t="s">
        <v>398</v>
      </c>
      <c r="D5677" s="5" t="s">
        <v>464</v>
      </c>
      <c r="E5677" s="3" t="s">
        <v>465</v>
      </c>
      <c r="F5677" s="3">
        <v>102500</v>
      </c>
      <c r="G5677" s="57" t="str">
        <f t="shared" si="91"/>
        <v>-</v>
      </c>
      <c r="J5677" s="5" t="s">
        <v>1241</v>
      </c>
    </row>
    <row r="5678" spans="1:10" x14ac:dyDescent="0.2">
      <c r="A5678" s="1" t="s">
        <v>25</v>
      </c>
      <c r="B5678" s="2" t="s">
        <v>398</v>
      </c>
      <c r="D5678" s="5" t="s">
        <v>464</v>
      </c>
      <c r="E5678" s="3" t="s">
        <v>465</v>
      </c>
      <c r="F5678" s="3">
        <v>102500</v>
      </c>
      <c r="G5678" s="57" t="str">
        <f t="shared" si="91"/>
        <v>-</v>
      </c>
      <c r="J5678" s="5" t="s">
        <v>1241</v>
      </c>
    </row>
    <row r="5679" spans="1:10" x14ac:dyDescent="0.2">
      <c r="A5679" s="1" t="s">
        <v>25</v>
      </c>
      <c r="B5679" s="2" t="s">
        <v>398</v>
      </c>
      <c r="D5679" s="5" t="s">
        <v>464</v>
      </c>
      <c r="E5679" s="3" t="s">
        <v>465</v>
      </c>
      <c r="F5679" s="3">
        <v>102500</v>
      </c>
      <c r="G5679" s="57" t="str">
        <f t="shared" si="91"/>
        <v>-</v>
      </c>
      <c r="J5679" s="5" t="s">
        <v>1241</v>
      </c>
    </row>
    <row r="5680" spans="1:10" x14ac:dyDescent="0.2">
      <c r="A5680" s="1" t="s">
        <v>25</v>
      </c>
      <c r="B5680" s="2" t="s">
        <v>398</v>
      </c>
      <c r="D5680" s="5" t="s">
        <v>464</v>
      </c>
      <c r="E5680" s="3" t="s">
        <v>465</v>
      </c>
      <c r="F5680" s="3">
        <v>102500</v>
      </c>
      <c r="G5680" s="57" t="str">
        <f t="shared" si="91"/>
        <v>-</v>
      </c>
      <c r="J5680" s="5" t="s">
        <v>1241</v>
      </c>
    </row>
    <row r="5681" spans="1:10" x14ac:dyDescent="0.2">
      <c r="A5681" s="1" t="s">
        <v>25</v>
      </c>
      <c r="B5681" s="2" t="s">
        <v>398</v>
      </c>
      <c r="D5681" s="5" t="s">
        <v>464</v>
      </c>
      <c r="E5681" s="3" t="s">
        <v>465</v>
      </c>
      <c r="F5681" s="3">
        <v>102500</v>
      </c>
      <c r="G5681" s="57" t="str">
        <f t="shared" si="91"/>
        <v>-</v>
      </c>
      <c r="J5681" s="5" t="s">
        <v>1241</v>
      </c>
    </row>
    <row r="5682" spans="1:10" x14ac:dyDescent="0.2">
      <c r="A5682" s="1" t="s">
        <v>25</v>
      </c>
      <c r="B5682" s="2" t="s">
        <v>398</v>
      </c>
      <c r="D5682" s="5" t="s">
        <v>464</v>
      </c>
      <c r="E5682" s="3" t="s">
        <v>465</v>
      </c>
      <c r="F5682" s="3">
        <v>102500</v>
      </c>
      <c r="G5682" s="57" t="str">
        <f t="shared" si="91"/>
        <v>-</v>
      </c>
    </row>
    <row r="5683" spans="1:10" x14ac:dyDescent="0.2">
      <c r="A5683" s="1" t="s">
        <v>25</v>
      </c>
      <c r="B5683" s="2" t="s">
        <v>398</v>
      </c>
      <c r="D5683" s="5" t="s">
        <v>464</v>
      </c>
      <c r="E5683" s="3" t="s">
        <v>465</v>
      </c>
      <c r="F5683" s="3">
        <v>102500</v>
      </c>
      <c r="G5683" s="57" t="str">
        <f t="shared" si="91"/>
        <v>-</v>
      </c>
    </row>
    <row r="5684" spans="1:10" x14ac:dyDescent="0.2">
      <c r="A5684" s="1" t="s">
        <v>25</v>
      </c>
      <c r="B5684" s="2" t="s">
        <v>398</v>
      </c>
      <c r="D5684" s="5" t="s">
        <v>464</v>
      </c>
      <c r="E5684" s="3" t="s">
        <v>465</v>
      </c>
      <c r="F5684" s="3">
        <v>102500</v>
      </c>
      <c r="G5684" s="57" t="str">
        <f t="shared" si="91"/>
        <v>-</v>
      </c>
    </row>
    <row r="5685" spans="1:10" x14ac:dyDescent="0.2">
      <c r="A5685" s="1" t="s">
        <v>25</v>
      </c>
      <c r="B5685" s="2" t="s">
        <v>398</v>
      </c>
      <c r="D5685" s="5" t="s">
        <v>464</v>
      </c>
      <c r="E5685" s="3" t="s">
        <v>465</v>
      </c>
      <c r="F5685" s="3">
        <v>102500</v>
      </c>
      <c r="G5685" s="57" t="str">
        <f t="shared" si="91"/>
        <v>-</v>
      </c>
    </row>
    <row r="5686" spans="1:10" x14ac:dyDescent="0.2">
      <c r="A5686" s="1" t="s">
        <v>25</v>
      </c>
      <c r="B5686" s="2" t="s">
        <v>398</v>
      </c>
      <c r="D5686" s="5" t="s">
        <v>464</v>
      </c>
      <c r="E5686" s="3" t="s">
        <v>465</v>
      </c>
      <c r="F5686" s="3">
        <v>107500</v>
      </c>
      <c r="G5686" s="57" t="str">
        <f t="shared" si="91"/>
        <v>-</v>
      </c>
      <c r="J5686" s="5" t="s">
        <v>1241</v>
      </c>
    </row>
    <row r="5687" spans="1:10" x14ac:dyDescent="0.2">
      <c r="A5687" s="1" t="s">
        <v>25</v>
      </c>
      <c r="B5687" s="2" t="s">
        <v>398</v>
      </c>
      <c r="D5687" s="5" t="s">
        <v>464</v>
      </c>
      <c r="E5687" s="3" t="s">
        <v>465</v>
      </c>
      <c r="F5687" s="3">
        <v>107500</v>
      </c>
      <c r="G5687" s="57" t="str">
        <f t="shared" si="91"/>
        <v>-</v>
      </c>
      <c r="J5687" s="5" t="s">
        <v>1241</v>
      </c>
    </row>
    <row r="5688" spans="1:10" x14ac:dyDescent="0.2">
      <c r="A5688" s="1" t="s">
        <v>25</v>
      </c>
      <c r="B5688" s="2" t="s">
        <v>398</v>
      </c>
      <c r="D5688" s="5" t="s">
        <v>464</v>
      </c>
      <c r="E5688" s="3">
        <v>112500</v>
      </c>
      <c r="F5688" s="3" t="s">
        <v>465</v>
      </c>
      <c r="G5688" s="57" t="str">
        <f t="shared" si="91"/>
        <v>-</v>
      </c>
    </row>
    <row r="5689" spans="1:10" x14ac:dyDescent="0.2">
      <c r="A5689" s="1" t="s">
        <v>25</v>
      </c>
      <c r="B5689" s="2" t="s">
        <v>398</v>
      </c>
      <c r="D5689" s="5" t="s">
        <v>464</v>
      </c>
      <c r="E5689" s="3" t="s">
        <v>465</v>
      </c>
      <c r="F5689" s="3">
        <v>112500</v>
      </c>
      <c r="G5689" s="57" t="str">
        <f t="shared" si="91"/>
        <v>-</v>
      </c>
      <c r="J5689" s="5" t="s">
        <v>1241</v>
      </c>
    </row>
    <row r="5690" spans="1:10" x14ac:dyDescent="0.2">
      <c r="A5690" s="1" t="s">
        <v>25</v>
      </c>
      <c r="B5690" s="2" t="s">
        <v>398</v>
      </c>
      <c r="D5690" s="5" t="s">
        <v>464</v>
      </c>
      <c r="E5690" s="3" t="s">
        <v>465</v>
      </c>
      <c r="F5690" s="3">
        <v>112500</v>
      </c>
      <c r="G5690" s="57" t="str">
        <f t="shared" si="91"/>
        <v>-</v>
      </c>
      <c r="J5690" s="5" t="s">
        <v>1241</v>
      </c>
    </row>
    <row r="5691" spans="1:10" x14ac:dyDescent="0.2">
      <c r="A5691" s="1" t="s">
        <v>25</v>
      </c>
      <c r="B5691" s="2" t="s">
        <v>398</v>
      </c>
      <c r="D5691" s="5" t="s">
        <v>464</v>
      </c>
      <c r="E5691" s="3" t="s">
        <v>465</v>
      </c>
      <c r="F5691" s="3">
        <v>112500</v>
      </c>
      <c r="G5691" s="57" t="str">
        <f t="shared" si="91"/>
        <v>-</v>
      </c>
      <c r="J5691" s="5" t="s">
        <v>1241</v>
      </c>
    </row>
    <row r="5692" spans="1:10" x14ac:dyDescent="0.2">
      <c r="A5692" s="1" t="s">
        <v>25</v>
      </c>
      <c r="B5692" s="2" t="s">
        <v>398</v>
      </c>
      <c r="D5692" s="5" t="s">
        <v>464</v>
      </c>
      <c r="E5692" s="3" t="s">
        <v>465</v>
      </c>
      <c r="F5692" s="3">
        <v>112500</v>
      </c>
      <c r="G5692" s="57" t="str">
        <f t="shared" ref="G5692:G5755" si="92">IF(ISERROR((F5692-E5692)/E5692),"-",(F5692-E5692)/E5692)</f>
        <v>-</v>
      </c>
    </row>
    <row r="5693" spans="1:10" x14ac:dyDescent="0.2">
      <c r="A5693" s="1" t="s">
        <v>25</v>
      </c>
      <c r="B5693" s="2" t="s">
        <v>398</v>
      </c>
      <c r="D5693" s="5" t="s">
        <v>464</v>
      </c>
      <c r="E5693" s="3" t="s">
        <v>465</v>
      </c>
      <c r="F5693" s="3">
        <v>117500</v>
      </c>
      <c r="G5693" s="57" t="str">
        <f t="shared" si="92"/>
        <v>-</v>
      </c>
      <c r="J5693" s="5" t="s">
        <v>1241</v>
      </c>
    </row>
    <row r="5694" spans="1:10" x14ac:dyDescent="0.2">
      <c r="A5694" s="1" t="s">
        <v>25</v>
      </c>
      <c r="B5694" s="2" t="s">
        <v>398</v>
      </c>
      <c r="D5694" s="5" t="s">
        <v>464</v>
      </c>
      <c r="E5694" s="3" t="s">
        <v>465</v>
      </c>
      <c r="F5694" s="3">
        <v>122500</v>
      </c>
      <c r="G5694" s="57" t="str">
        <f t="shared" si="92"/>
        <v>-</v>
      </c>
      <c r="J5694" s="5" t="s">
        <v>1241</v>
      </c>
    </row>
    <row r="5695" spans="1:10" x14ac:dyDescent="0.2">
      <c r="A5695" s="1" t="s">
        <v>25</v>
      </c>
      <c r="B5695" s="2" t="s">
        <v>398</v>
      </c>
      <c r="D5695" s="5" t="s">
        <v>464</v>
      </c>
      <c r="E5695" s="3" t="s">
        <v>465</v>
      </c>
      <c r="F5695" s="3">
        <v>122500</v>
      </c>
      <c r="G5695" s="57" t="str">
        <f t="shared" si="92"/>
        <v>-</v>
      </c>
    </row>
    <row r="5696" spans="1:10" x14ac:dyDescent="0.2">
      <c r="A5696" s="1" t="s">
        <v>25</v>
      </c>
      <c r="B5696" s="2" t="s">
        <v>398</v>
      </c>
      <c r="D5696" s="5" t="s">
        <v>464</v>
      </c>
      <c r="E5696" s="3" t="s">
        <v>465</v>
      </c>
      <c r="F5696" s="3">
        <v>127500</v>
      </c>
      <c r="G5696" s="57" t="str">
        <f t="shared" si="92"/>
        <v>-</v>
      </c>
      <c r="J5696" s="5" t="s">
        <v>1241</v>
      </c>
    </row>
    <row r="5697" spans="1:10" x14ac:dyDescent="0.2">
      <c r="A5697" s="1" t="s">
        <v>25</v>
      </c>
      <c r="B5697" s="2" t="s">
        <v>398</v>
      </c>
      <c r="D5697" s="5" t="s">
        <v>464</v>
      </c>
      <c r="E5697" s="3" t="s">
        <v>465</v>
      </c>
      <c r="F5697" s="3">
        <v>127500</v>
      </c>
      <c r="G5697" s="57" t="str">
        <f t="shared" si="92"/>
        <v>-</v>
      </c>
      <c r="J5697" s="5" t="s">
        <v>1241</v>
      </c>
    </row>
    <row r="5698" spans="1:10" x14ac:dyDescent="0.2">
      <c r="A5698" s="1" t="s">
        <v>25</v>
      </c>
      <c r="B5698" s="2" t="s">
        <v>398</v>
      </c>
      <c r="D5698" s="5" t="s">
        <v>464</v>
      </c>
      <c r="E5698" s="3" t="s">
        <v>465</v>
      </c>
      <c r="F5698" s="3">
        <v>137500</v>
      </c>
      <c r="G5698" s="57" t="str">
        <f t="shared" si="92"/>
        <v>-</v>
      </c>
      <c r="J5698" s="5" t="s">
        <v>1241</v>
      </c>
    </row>
    <row r="5699" spans="1:10" x14ac:dyDescent="0.2">
      <c r="A5699" s="1" t="s">
        <v>25</v>
      </c>
      <c r="B5699" s="2" t="s">
        <v>398</v>
      </c>
      <c r="D5699" s="5" t="s">
        <v>464</v>
      </c>
      <c r="E5699" s="3" t="s">
        <v>465</v>
      </c>
      <c r="F5699" s="3">
        <v>142500</v>
      </c>
      <c r="G5699" s="57" t="str">
        <f t="shared" si="92"/>
        <v>-</v>
      </c>
      <c r="J5699" s="5" t="s">
        <v>1241</v>
      </c>
    </row>
    <row r="5700" spans="1:10" x14ac:dyDescent="0.2">
      <c r="A5700" s="1" t="s">
        <v>25</v>
      </c>
      <c r="B5700" s="2" t="s">
        <v>398</v>
      </c>
      <c r="D5700" s="5" t="s">
        <v>464</v>
      </c>
      <c r="E5700" s="3">
        <v>147500</v>
      </c>
      <c r="F5700" s="3" t="s">
        <v>465</v>
      </c>
      <c r="G5700" s="57" t="str">
        <f t="shared" si="92"/>
        <v>-</v>
      </c>
      <c r="J5700" s="5" t="s">
        <v>1241</v>
      </c>
    </row>
    <row r="5701" spans="1:10" x14ac:dyDescent="0.2">
      <c r="A5701" s="1" t="s">
        <v>25</v>
      </c>
      <c r="B5701" s="2" t="s">
        <v>398</v>
      </c>
      <c r="D5701" s="5" t="s">
        <v>464</v>
      </c>
      <c r="E5701" s="3" t="s">
        <v>465</v>
      </c>
      <c r="F5701" s="3">
        <v>157500</v>
      </c>
      <c r="G5701" s="57" t="str">
        <f t="shared" si="92"/>
        <v>-</v>
      </c>
      <c r="J5701" s="5" t="s">
        <v>1241</v>
      </c>
    </row>
    <row r="5702" spans="1:10" x14ac:dyDescent="0.2">
      <c r="A5702" s="1" t="s">
        <v>25</v>
      </c>
      <c r="B5702" s="2" t="s">
        <v>398</v>
      </c>
      <c r="D5702" s="5" t="s">
        <v>464</v>
      </c>
      <c r="E5702" s="3">
        <v>167500</v>
      </c>
      <c r="F5702" s="3" t="s">
        <v>465</v>
      </c>
      <c r="G5702" s="57" t="str">
        <f t="shared" si="92"/>
        <v>-</v>
      </c>
      <c r="J5702" s="5" t="s">
        <v>1241</v>
      </c>
    </row>
    <row r="5703" spans="1:10" x14ac:dyDescent="0.2">
      <c r="A5703" s="1" t="s">
        <v>25</v>
      </c>
      <c r="B5703" s="2" t="s">
        <v>398</v>
      </c>
      <c r="D5703" s="5" t="s">
        <v>464</v>
      </c>
      <c r="E5703" s="3" t="s">
        <v>465</v>
      </c>
      <c r="F5703" s="3">
        <v>182500</v>
      </c>
      <c r="G5703" s="57" t="str">
        <f t="shared" si="92"/>
        <v>-</v>
      </c>
      <c r="J5703" s="5" t="s">
        <v>1241</v>
      </c>
    </row>
    <row r="5704" spans="1:10" x14ac:dyDescent="0.2">
      <c r="A5704" s="1" t="s">
        <v>25</v>
      </c>
      <c r="B5704" s="2" t="s">
        <v>398</v>
      </c>
      <c r="D5704" s="5" t="s">
        <v>464</v>
      </c>
      <c r="E5704" s="3">
        <v>207500</v>
      </c>
      <c r="F5704" s="3" t="s">
        <v>465</v>
      </c>
      <c r="G5704" s="57" t="str">
        <f t="shared" si="92"/>
        <v>-</v>
      </c>
      <c r="J5704" s="5" t="s">
        <v>1241</v>
      </c>
    </row>
    <row r="5705" spans="1:10" ht="51" x14ac:dyDescent="0.2">
      <c r="A5705" s="1" t="s">
        <v>6</v>
      </c>
      <c r="B5705" s="2" t="s">
        <v>399</v>
      </c>
      <c r="C5705" s="5" t="s">
        <v>2439</v>
      </c>
      <c r="D5705" s="5" t="s">
        <v>450</v>
      </c>
      <c r="E5705" s="3">
        <v>57000</v>
      </c>
      <c r="F5705" s="3">
        <v>205000</v>
      </c>
      <c r="G5705" s="57">
        <f t="shared" si="92"/>
        <v>2.5964912280701755</v>
      </c>
      <c r="J5705" s="5" t="s">
        <v>4707</v>
      </c>
    </row>
    <row r="5706" spans="1:10" ht="38.25" x14ac:dyDescent="0.2">
      <c r="A5706" s="1" t="s">
        <v>6</v>
      </c>
      <c r="B5706" s="2" t="s">
        <v>399</v>
      </c>
      <c r="D5706" s="5" t="s">
        <v>662</v>
      </c>
      <c r="E5706" s="6">
        <v>86000</v>
      </c>
      <c r="F5706" s="3">
        <v>131000</v>
      </c>
      <c r="G5706" s="57">
        <f t="shared" si="92"/>
        <v>0.52325581395348841</v>
      </c>
      <c r="J5706" s="5" t="s">
        <v>2885</v>
      </c>
    </row>
    <row r="5707" spans="1:10" ht="38.25" x14ac:dyDescent="0.2">
      <c r="A5707" s="1" t="s">
        <v>6</v>
      </c>
      <c r="B5707" s="2" t="s">
        <v>399</v>
      </c>
      <c r="D5707" s="5" t="s">
        <v>663</v>
      </c>
      <c r="E5707" s="3" t="s">
        <v>465</v>
      </c>
      <c r="F5707" s="3">
        <v>126000</v>
      </c>
      <c r="G5707" s="57" t="str">
        <f t="shared" si="92"/>
        <v>-</v>
      </c>
      <c r="J5707" s="5" t="s">
        <v>2441</v>
      </c>
    </row>
    <row r="5708" spans="1:10" ht="25.5" x14ac:dyDescent="0.2">
      <c r="A5708" s="1" t="s">
        <v>6</v>
      </c>
      <c r="B5708" s="2" t="s">
        <v>399</v>
      </c>
      <c r="D5708" s="5" t="s">
        <v>507</v>
      </c>
      <c r="E5708" s="3">
        <v>100000</v>
      </c>
      <c r="F5708" s="3">
        <v>108000</v>
      </c>
      <c r="G5708" s="57">
        <f t="shared" si="92"/>
        <v>0.08</v>
      </c>
      <c r="J5708" s="5" t="s">
        <v>2442</v>
      </c>
    </row>
    <row r="5709" spans="1:10" ht="38.25" x14ac:dyDescent="0.2">
      <c r="A5709" s="1" t="s">
        <v>6</v>
      </c>
      <c r="B5709" s="2" t="s">
        <v>399</v>
      </c>
      <c r="D5709" s="5" t="s">
        <v>2443</v>
      </c>
      <c r="E5709" s="3">
        <v>146000</v>
      </c>
      <c r="F5709" s="3">
        <v>83000</v>
      </c>
      <c r="G5709" s="57">
        <f t="shared" si="92"/>
        <v>-0.4315068493150685</v>
      </c>
      <c r="J5709" s="5" t="s">
        <v>2444</v>
      </c>
    </row>
    <row r="5710" spans="1:10" ht="38.25" x14ac:dyDescent="0.2">
      <c r="A5710" s="1" t="s">
        <v>6</v>
      </c>
      <c r="B5710" s="2" t="s">
        <v>399</v>
      </c>
      <c r="D5710" s="7" t="s">
        <v>2440</v>
      </c>
      <c r="E5710" s="6">
        <v>100000</v>
      </c>
      <c r="F5710" s="6">
        <v>97000</v>
      </c>
      <c r="G5710" s="57">
        <f t="shared" si="92"/>
        <v>-0.03</v>
      </c>
      <c r="H5710" s="21"/>
      <c r="I5710" s="21"/>
      <c r="J5710" s="7" t="s">
        <v>2445</v>
      </c>
    </row>
    <row r="5711" spans="1:10" x14ac:dyDescent="0.2">
      <c r="A5711" s="1" t="s">
        <v>6</v>
      </c>
      <c r="B5711" s="2" t="s">
        <v>399</v>
      </c>
      <c r="D5711" s="5" t="s">
        <v>970</v>
      </c>
      <c r="E5711" s="3">
        <v>108000</v>
      </c>
      <c r="F5711" s="3" t="s">
        <v>465</v>
      </c>
      <c r="G5711" s="57" t="str">
        <f t="shared" si="92"/>
        <v>-</v>
      </c>
    </row>
    <row r="5712" spans="1:10" x14ac:dyDescent="0.2">
      <c r="A5712" s="1" t="s">
        <v>6</v>
      </c>
      <c r="B5712" s="2" t="s">
        <v>399</v>
      </c>
      <c r="D5712" s="5" t="s">
        <v>464</v>
      </c>
      <c r="E5712" s="3" t="s">
        <v>465</v>
      </c>
      <c r="F5712" s="3">
        <v>102500</v>
      </c>
      <c r="G5712" s="57" t="str">
        <f t="shared" si="92"/>
        <v>-</v>
      </c>
      <c r="J5712" s="5" t="s">
        <v>539</v>
      </c>
    </row>
    <row r="5713" spans="1:10" x14ac:dyDescent="0.2">
      <c r="A5713" s="1" t="s">
        <v>6</v>
      </c>
      <c r="B5713" s="2" t="s">
        <v>399</v>
      </c>
      <c r="D5713" s="5" t="s">
        <v>464</v>
      </c>
      <c r="G5713" s="57" t="str">
        <f t="shared" si="92"/>
        <v>-</v>
      </c>
      <c r="H5713" s="19" t="s">
        <v>465</v>
      </c>
      <c r="I5713" s="19">
        <v>97500</v>
      </c>
    </row>
    <row r="5714" spans="1:10" x14ac:dyDescent="0.2">
      <c r="A5714" s="1" t="s">
        <v>6</v>
      </c>
      <c r="B5714" s="2" t="s">
        <v>399</v>
      </c>
      <c r="D5714" s="5" t="s">
        <v>464</v>
      </c>
      <c r="G5714" s="57" t="str">
        <f t="shared" si="92"/>
        <v>-</v>
      </c>
      <c r="H5714" s="19">
        <v>92500</v>
      </c>
      <c r="I5714" s="19" t="s">
        <v>465</v>
      </c>
    </row>
    <row r="5715" spans="1:10" x14ac:dyDescent="0.2">
      <c r="A5715" s="1" t="s">
        <v>6</v>
      </c>
      <c r="B5715" s="2" t="s">
        <v>399</v>
      </c>
      <c r="D5715" s="5" t="s">
        <v>464</v>
      </c>
      <c r="G5715" s="57" t="str">
        <f t="shared" si="92"/>
        <v>-</v>
      </c>
      <c r="H5715" s="19" t="s">
        <v>465</v>
      </c>
      <c r="I5715" s="19">
        <v>92500</v>
      </c>
      <c r="J5715" s="5" t="s">
        <v>539</v>
      </c>
    </row>
    <row r="5716" spans="1:10" x14ac:dyDescent="0.2">
      <c r="A5716" s="1" t="s">
        <v>4</v>
      </c>
      <c r="B5716" s="12" t="s">
        <v>400</v>
      </c>
      <c r="D5716" s="5" t="s">
        <v>450</v>
      </c>
      <c r="E5716" s="3">
        <v>131856</v>
      </c>
      <c r="F5716" s="3">
        <v>127527</v>
      </c>
      <c r="G5716" s="57">
        <f t="shared" si="92"/>
        <v>-3.2831270476883875E-2</v>
      </c>
      <c r="J5716" s="5" t="s">
        <v>2437</v>
      </c>
    </row>
    <row r="5717" spans="1:10" x14ac:dyDescent="0.2">
      <c r="A5717" s="1" t="s">
        <v>4</v>
      </c>
      <c r="B5717" s="12" t="s">
        <v>400</v>
      </c>
      <c r="D5717" s="5" t="s">
        <v>661</v>
      </c>
      <c r="E5717" s="3" t="s">
        <v>465</v>
      </c>
      <c r="F5717" s="3">
        <v>106013</v>
      </c>
      <c r="G5717" s="57" t="str">
        <f t="shared" si="92"/>
        <v>-</v>
      </c>
      <c r="J5717" s="5" t="s">
        <v>2438</v>
      </c>
    </row>
    <row r="5718" spans="1:10" x14ac:dyDescent="0.2">
      <c r="A5718" s="1" t="s">
        <v>4</v>
      </c>
      <c r="B5718" s="12" t="s">
        <v>400</v>
      </c>
      <c r="D5718" s="5" t="s">
        <v>464</v>
      </c>
      <c r="E5718" s="3">
        <v>112500</v>
      </c>
      <c r="F5718" s="3" t="s">
        <v>465</v>
      </c>
      <c r="G5718" s="57" t="str">
        <f t="shared" si="92"/>
        <v>-</v>
      </c>
      <c r="J5718" s="5" t="s">
        <v>1555</v>
      </c>
    </row>
    <row r="5719" spans="1:10" x14ac:dyDescent="0.2">
      <c r="A5719" s="1" t="s">
        <v>4</v>
      </c>
      <c r="B5719" s="12" t="s">
        <v>400</v>
      </c>
      <c r="D5719" s="5" t="s">
        <v>464</v>
      </c>
      <c r="E5719" s="3" t="s">
        <v>465</v>
      </c>
      <c r="F5719" s="3">
        <v>112500</v>
      </c>
      <c r="G5719" s="57" t="str">
        <f t="shared" si="92"/>
        <v>-</v>
      </c>
      <c r="J5719" s="5" t="s">
        <v>1555</v>
      </c>
    </row>
    <row r="5720" spans="1:10" x14ac:dyDescent="0.2">
      <c r="A5720" s="1" t="s">
        <v>4</v>
      </c>
      <c r="B5720" s="12" t="s">
        <v>400</v>
      </c>
      <c r="D5720" s="5" t="s">
        <v>464</v>
      </c>
      <c r="E5720" s="3" t="s">
        <v>465</v>
      </c>
      <c r="F5720" s="3">
        <v>122500</v>
      </c>
      <c r="G5720" s="57" t="str">
        <f t="shared" si="92"/>
        <v>-</v>
      </c>
      <c r="J5720" s="5" t="s">
        <v>1555</v>
      </c>
    </row>
    <row r="5721" spans="1:10" x14ac:dyDescent="0.2">
      <c r="A5721" s="1" t="s">
        <v>4</v>
      </c>
      <c r="B5721" s="12" t="s">
        <v>400</v>
      </c>
      <c r="D5721" s="5" t="s">
        <v>464</v>
      </c>
      <c r="G5721" s="57" t="str">
        <f t="shared" si="92"/>
        <v>-</v>
      </c>
      <c r="H5721" s="19" t="s">
        <v>465</v>
      </c>
      <c r="I5721" s="19">
        <v>92500</v>
      </c>
      <c r="J5721" s="5" t="s">
        <v>1555</v>
      </c>
    </row>
    <row r="5722" spans="1:10" x14ac:dyDescent="0.2">
      <c r="A5722" s="1" t="s">
        <v>4</v>
      </c>
      <c r="B5722" s="12" t="s">
        <v>400</v>
      </c>
      <c r="D5722" s="5" t="s">
        <v>464</v>
      </c>
      <c r="G5722" s="57" t="str">
        <f t="shared" si="92"/>
        <v>-</v>
      </c>
      <c r="H5722" s="19">
        <v>92500</v>
      </c>
      <c r="I5722" s="19" t="s">
        <v>465</v>
      </c>
      <c r="J5722" s="5" t="s">
        <v>1555</v>
      </c>
    </row>
    <row r="5723" spans="1:10" x14ac:dyDescent="0.2">
      <c r="A5723" s="1" t="s">
        <v>4</v>
      </c>
      <c r="B5723" s="12" t="s">
        <v>400</v>
      </c>
      <c r="D5723" s="5" t="s">
        <v>464</v>
      </c>
      <c r="G5723" s="57" t="str">
        <f t="shared" si="92"/>
        <v>-</v>
      </c>
      <c r="H5723" s="19">
        <v>97500</v>
      </c>
      <c r="I5723" s="19" t="s">
        <v>465</v>
      </c>
      <c r="J5723" s="5" t="s">
        <v>1555</v>
      </c>
    </row>
    <row r="5724" spans="1:10" ht="25.5" x14ac:dyDescent="0.2">
      <c r="A5724" s="1" t="s">
        <v>20</v>
      </c>
      <c r="B5724" s="2" t="s">
        <v>401</v>
      </c>
      <c r="D5724" s="5" t="s">
        <v>450</v>
      </c>
      <c r="E5724" s="3">
        <v>116810</v>
      </c>
      <c r="F5724" s="3">
        <v>117658</v>
      </c>
      <c r="G5724" s="57">
        <f t="shared" si="92"/>
        <v>7.2596524270182351E-3</v>
      </c>
      <c r="J5724" s="5" t="s">
        <v>2436</v>
      </c>
    </row>
    <row r="5725" spans="1:10" ht="25.5" x14ac:dyDescent="0.2">
      <c r="A5725" s="1" t="s">
        <v>44</v>
      </c>
      <c r="B5725" s="2" t="s">
        <v>2429</v>
      </c>
      <c r="D5725" s="5" t="s">
        <v>450</v>
      </c>
      <c r="E5725" s="3">
        <f>144255+30751</f>
        <v>175006</v>
      </c>
      <c r="F5725" s="3">
        <f>141469+1345+30416</f>
        <v>173230</v>
      </c>
      <c r="G5725" s="57">
        <f t="shared" si="92"/>
        <v>-1.014822348948036E-2</v>
      </c>
      <c r="J5725" s="5" t="s">
        <v>2430</v>
      </c>
    </row>
    <row r="5726" spans="1:10" ht="25.5" x14ac:dyDescent="0.2">
      <c r="A5726" s="1" t="s">
        <v>44</v>
      </c>
      <c r="B5726" s="2" t="s">
        <v>2429</v>
      </c>
      <c r="D5726" s="5" t="s">
        <v>687</v>
      </c>
      <c r="E5726" s="3">
        <f>106686+22681</f>
        <v>129367</v>
      </c>
      <c r="F5726" s="3">
        <f>104425+1239+22451</f>
        <v>128115</v>
      </c>
      <c r="G5726" s="57">
        <f t="shared" si="92"/>
        <v>-9.6778931257585007E-3</v>
      </c>
      <c r="J5726" s="5" t="s">
        <v>2431</v>
      </c>
    </row>
    <row r="5727" spans="1:10" ht="25.5" x14ac:dyDescent="0.2">
      <c r="A5727" s="1" t="s">
        <v>44</v>
      </c>
      <c r="B5727" s="2" t="s">
        <v>2429</v>
      </c>
      <c r="D5727" s="5" t="s">
        <v>4708</v>
      </c>
      <c r="E5727" s="3">
        <f>105280+22635</f>
        <v>127915</v>
      </c>
      <c r="F5727" s="3">
        <f>104213+22406</f>
        <v>126619</v>
      </c>
      <c r="G5727" s="57">
        <f t="shared" si="92"/>
        <v>-1.0131728100691866E-2</v>
      </c>
      <c r="J5727" s="5" t="s">
        <v>2432</v>
      </c>
    </row>
    <row r="5728" spans="1:10" ht="25.5" x14ac:dyDescent="0.2">
      <c r="A5728" s="1" t="s">
        <v>44</v>
      </c>
      <c r="B5728" s="2" t="s">
        <v>2429</v>
      </c>
      <c r="D5728" s="5" t="s">
        <v>688</v>
      </c>
      <c r="E5728" s="3">
        <f>106556+22635</f>
        <v>129191</v>
      </c>
      <c r="F5728" s="3">
        <f>104213+1345+22406</f>
        <v>127964</v>
      </c>
      <c r="G5728" s="57">
        <f t="shared" si="92"/>
        <v>-9.4975656198961235E-3</v>
      </c>
      <c r="J5728" s="5" t="s">
        <v>2433</v>
      </c>
    </row>
    <row r="5729" spans="1:10" ht="25.5" x14ac:dyDescent="0.2">
      <c r="A5729" s="1" t="s">
        <v>44</v>
      </c>
      <c r="B5729" s="2" t="s">
        <v>2429</v>
      </c>
      <c r="D5729" s="5" t="s">
        <v>689</v>
      </c>
      <c r="E5729" s="3">
        <f>106450+22635</f>
        <v>129085</v>
      </c>
      <c r="F5729" s="3">
        <f>104213+1239+22406</f>
        <v>127858</v>
      </c>
      <c r="G5729" s="57">
        <f t="shared" si="92"/>
        <v>-9.505364682186157E-3</v>
      </c>
      <c r="J5729" s="5" t="s">
        <v>2434</v>
      </c>
    </row>
    <row r="5730" spans="1:10" ht="25.5" x14ac:dyDescent="0.2">
      <c r="A5730" s="1" t="s">
        <v>44</v>
      </c>
      <c r="B5730" s="2" t="s">
        <v>2429</v>
      </c>
      <c r="D5730" s="5" t="s">
        <v>690</v>
      </c>
      <c r="E5730" s="3">
        <f>101996+21854</f>
        <v>123850</v>
      </c>
      <c r="F5730" s="3">
        <f>104213+506+22406</f>
        <v>127125</v>
      </c>
      <c r="G5730" s="57">
        <f t="shared" si="92"/>
        <v>2.6443278159063385E-2</v>
      </c>
      <c r="J5730" s="5" t="s">
        <v>2435</v>
      </c>
    </row>
    <row r="5731" spans="1:10" x14ac:dyDescent="0.2">
      <c r="A5731" s="1" t="s">
        <v>44</v>
      </c>
      <c r="B5731" s="2" t="s">
        <v>2429</v>
      </c>
      <c r="D5731" s="5" t="s">
        <v>464</v>
      </c>
      <c r="G5731" s="57" t="str">
        <f t="shared" si="92"/>
        <v>-</v>
      </c>
      <c r="H5731" s="19">
        <v>92500</v>
      </c>
      <c r="I5731" s="19" t="s">
        <v>465</v>
      </c>
    </row>
    <row r="5732" spans="1:10" x14ac:dyDescent="0.2">
      <c r="A5732" s="1" t="s">
        <v>44</v>
      </c>
      <c r="B5732" s="2" t="s">
        <v>2429</v>
      </c>
      <c r="D5732" s="5" t="s">
        <v>464</v>
      </c>
      <c r="G5732" s="57" t="str">
        <f t="shared" si="92"/>
        <v>-</v>
      </c>
      <c r="H5732" s="19">
        <v>97500</v>
      </c>
      <c r="I5732" s="19" t="s">
        <v>465</v>
      </c>
    </row>
    <row r="5733" spans="1:10" x14ac:dyDescent="0.2">
      <c r="A5733" s="1" t="s">
        <v>44</v>
      </c>
      <c r="B5733" s="2" t="s">
        <v>2429</v>
      </c>
      <c r="D5733" s="5" t="s">
        <v>464</v>
      </c>
      <c r="G5733" s="57" t="str">
        <f t="shared" si="92"/>
        <v>-</v>
      </c>
      <c r="H5733" s="19" t="s">
        <v>465</v>
      </c>
      <c r="I5733" s="19">
        <v>92500</v>
      </c>
    </row>
    <row r="5734" spans="1:10" x14ac:dyDescent="0.2">
      <c r="A5734" s="1" t="s">
        <v>44</v>
      </c>
      <c r="B5734" s="2" t="s">
        <v>2429</v>
      </c>
      <c r="D5734" s="5" t="s">
        <v>464</v>
      </c>
      <c r="G5734" s="57" t="str">
        <f t="shared" si="92"/>
        <v>-</v>
      </c>
      <c r="H5734" s="19" t="s">
        <v>465</v>
      </c>
      <c r="I5734" s="19">
        <v>97500</v>
      </c>
    </row>
    <row r="5735" spans="1:10" x14ac:dyDescent="0.2">
      <c r="A5735" s="1" t="s">
        <v>44</v>
      </c>
      <c r="B5735" s="2" t="s">
        <v>2429</v>
      </c>
      <c r="D5735" s="5" t="s">
        <v>464</v>
      </c>
      <c r="E5735" s="3">
        <v>102500</v>
      </c>
      <c r="F5735" s="3" t="s">
        <v>465</v>
      </c>
      <c r="G5735" s="57" t="str">
        <f t="shared" si="92"/>
        <v>-</v>
      </c>
    </row>
    <row r="5736" spans="1:10" x14ac:dyDescent="0.2">
      <c r="A5736" s="1" t="s">
        <v>44</v>
      </c>
      <c r="B5736" s="2" t="s">
        <v>2429</v>
      </c>
      <c r="D5736" s="5" t="s">
        <v>464</v>
      </c>
      <c r="E5736" s="3" t="s">
        <v>465</v>
      </c>
      <c r="F5736" s="3">
        <v>102500</v>
      </c>
      <c r="G5736" s="57" t="str">
        <f t="shared" si="92"/>
        <v>-</v>
      </c>
    </row>
    <row r="5737" spans="1:10" ht="78" customHeight="1" x14ac:dyDescent="0.2">
      <c r="A5737" s="1" t="s">
        <v>4</v>
      </c>
      <c r="B5737" s="2" t="s">
        <v>402</v>
      </c>
      <c r="C5737" s="29" t="s">
        <v>4507</v>
      </c>
      <c r="G5737" s="57" t="str">
        <f t="shared" si="92"/>
        <v>-</v>
      </c>
    </row>
    <row r="5738" spans="1:10" ht="25.5" x14ac:dyDescent="0.2">
      <c r="A5738" s="1" t="s">
        <v>28</v>
      </c>
      <c r="B5738" s="2" t="s">
        <v>403</v>
      </c>
      <c r="C5738" s="5" t="s">
        <v>653</v>
      </c>
      <c r="D5738" s="5" t="s">
        <v>450</v>
      </c>
      <c r="E5738" s="3">
        <v>222172</v>
      </c>
      <c r="F5738" s="3">
        <v>220451</v>
      </c>
      <c r="G5738" s="57">
        <f t="shared" si="92"/>
        <v>-7.7462506526474982E-3</v>
      </c>
      <c r="J5738" s="5" t="s">
        <v>2425</v>
      </c>
    </row>
    <row r="5739" spans="1:10" ht="25.5" x14ac:dyDescent="0.2">
      <c r="A5739" s="1" t="s">
        <v>28</v>
      </c>
      <c r="B5739" s="2" t="s">
        <v>403</v>
      </c>
      <c r="D5739" s="5" t="s">
        <v>654</v>
      </c>
      <c r="E5739" s="3">
        <v>136800</v>
      </c>
      <c r="F5739" s="3">
        <v>137640</v>
      </c>
      <c r="G5739" s="57">
        <f t="shared" si="92"/>
        <v>6.1403508771929825E-3</v>
      </c>
      <c r="J5739" s="5" t="s">
        <v>2426</v>
      </c>
    </row>
    <row r="5740" spans="1:10" ht="25.5" x14ac:dyDescent="0.2">
      <c r="A5740" s="1" t="s">
        <v>28</v>
      </c>
      <c r="B5740" s="2" t="s">
        <v>403</v>
      </c>
      <c r="D5740" s="5" t="s">
        <v>655</v>
      </c>
      <c r="E5740" s="3">
        <v>64355</v>
      </c>
      <c r="F5740" s="3">
        <v>137640</v>
      </c>
      <c r="G5740" s="57">
        <f t="shared" si="92"/>
        <v>1.1387615569885789</v>
      </c>
      <c r="J5740" s="5" t="s">
        <v>2426</v>
      </c>
    </row>
    <row r="5741" spans="1:10" ht="25.5" x14ac:dyDescent="0.2">
      <c r="A5741" s="1" t="s">
        <v>28</v>
      </c>
      <c r="B5741" s="2" t="s">
        <v>403</v>
      </c>
      <c r="D5741" s="5" t="s">
        <v>656</v>
      </c>
      <c r="E5741" s="3">
        <v>167069</v>
      </c>
      <c r="F5741" s="3">
        <v>167916</v>
      </c>
      <c r="G5741" s="57">
        <f t="shared" si="92"/>
        <v>5.0697615955084428E-3</v>
      </c>
      <c r="J5741" s="5" t="s">
        <v>2427</v>
      </c>
    </row>
    <row r="5742" spans="1:10" ht="63.75" x14ac:dyDescent="0.2">
      <c r="A5742" s="1" t="s">
        <v>28</v>
      </c>
      <c r="B5742" s="2" t="s">
        <v>403</v>
      </c>
      <c r="D5742" s="5" t="s">
        <v>657</v>
      </c>
      <c r="E5742" s="3">
        <v>120987</v>
      </c>
      <c r="F5742" s="3">
        <v>204244</v>
      </c>
      <c r="G5742" s="57">
        <f t="shared" si="92"/>
        <v>0.68814831345516458</v>
      </c>
      <c r="J5742" s="5" t="s">
        <v>4709</v>
      </c>
    </row>
    <row r="5743" spans="1:10" ht="25.5" x14ac:dyDescent="0.2">
      <c r="A5743" s="1" t="s">
        <v>28</v>
      </c>
      <c r="B5743" s="2" t="s">
        <v>403</v>
      </c>
      <c r="D5743" s="5" t="s">
        <v>658</v>
      </c>
      <c r="E5743" s="3">
        <v>103964</v>
      </c>
      <c r="F5743" s="3">
        <v>106599</v>
      </c>
      <c r="G5743" s="57">
        <f t="shared" si="92"/>
        <v>2.53453118387134E-2</v>
      </c>
      <c r="J5743" s="5" t="s">
        <v>2428</v>
      </c>
    </row>
    <row r="5744" spans="1:10" ht="25.5" x14ac:dyDescent="0.2">
      <c r="A5744" s="1" t="s">
        <v>28</v>
      </c>
      <c r="B5744" s="2" t="s">
        <v>403</v>
      </c>
      <c r="D5744" s="5" t="s">
        <v>2423</v>
      </c>
      <c r="E5744" s="3">
        <v>202839</v>
      </c>
      <c r="F5744" s="3" t="s">
        <v>465</v>
      </c>
      <c r="G5744" s="57" t="str">
        <f t="shared" si="92"/>
        <v>-</v>
      </c>
      <c r="J5744" s="5" t="s">
        <v>2424</v>
      </c>
    </row>
    <row r="5745" spans="1:9" s="1" customFormat="1" x14ac:dyDescent="0.2">
      <c r="A5745" s="1" t="s">
        <v>28</v>
      </c>
      <c r="B5745" s="2" t="s">
        <v>403</v>
      </c>
      <c r="C5745" s="5"/>
      <c r="D5745" s="5" t="s">
        <v>464</v>
      </c>
      <c r="E5745" s="3">
        <v>107500</v>
      </c>
      <c r="F5745" s="3" t="s">
        <v>465</v>
      </c>
      <c r="G5745" s="57" t="str">
        <f t="shared" si="92"/>
        <v>-</v>
      </c>
      <c r="H5745" s="19"/>
      <c r="I5745" s="19"/>
    </row>
    <row r="5746" spans="1:9" s="1" customFormat="1" x14ac:dyDescent="0.2">
      <c r="A5746" s="1" t="s">
        <v>28</v>
      </c>
      <c r="B5746" s="2" t="s">
        <v>403</v>
      </c>
      <c r="C5746" s="5"/>
      <c r="D5746" s="5" t="s">
        <v>464</v>
      </c>
      <c r="E5746" s="3" t="s">
        <v>465</v>
      </c>
      <c r="F5746" s="3">
        <v>107500</v>
      </c>
      <c r="G5746" s="57" t="str">
        <f t="shared" si="92"/>
        <v>-</v>
      </c>
      <c r="H5746" s="19"/>
      <c r="I5746" s="19"/>
    </row>
    <row r="5747" spans="1:9" s="1" customFormat="1" x14ac:dyDescent="0.2">
      <c r="A5747" s="1" t="s">
        <v>28</v>
      </c>
      <c r="B5747" s="2" t="s">
        <v>403</v>
      </c>
      <c r="C5747" s="5"/>
      <c r="D5747" s="5" t="s">
        <v>464</v>
      </c>
      <c r="E5747" s="3" t="s">
        <v>465</v>
      </c>
      <c r="F5747" s="3">
        <v>107500</v>
      </c>
      <c r="G5747" s="57" t="str">
        <f t="shared" si="92"/>
        <v>-</v>
      </c>
      <c r="H5747" s="19"/>
      <c r="I5747" s="19"/>
    </row>
    <row r="5748" spans="1:9" s="1" customFormat="1" x14ac:dyDescent="0.2">
      <c r="A5748" s="1" t="s">
        <v>28</v>
      </c>
      <c r="B5748" s="2" t="s">
        <v>403</v>
      </c>
      <c r="C5748" s="5"/>
      <c r="D5748" s="5" t="s">
        <v>464</v>
      </c>
      <c r="E5748" s="3">
        <v>112500</v>
      </c>
      <c r="F5748" s="3" t="s">
        <v>465</v>
      </c>
      <c r="G5748" s="57" t="str">
        <f t="shared" si="92"/>
        <v>-</v>
      </c>
      <c r="H5748" s="19"/>
      <c r="I5748" s="19"/>
    </row>
    <row r="5749" spans="1:9" s="1" customFormat="1" x14ac:dyDescent="0.2">
      <c r="A5749" s="1" t="s">
        <v>28</v>
      </c>
      <c r="B5749" s="2" t="s">
        <v>403</v>
      </c>
      <c r="C5749" s="5"/>
      <c r="D5749" s="5" t="s">
        <v>464</v>
      </c>
      <c r="E5749" s="3" t="s">
        <v>465</v>
      </c>
      <c r="F5749" s="3">
        <v>117500</v>
      </c>
      <c r="G5749" s="57" t="str">
        <f t="shared" si="92"/>
        <v>-</v>
      </c>
      <c r="H5749" s="19"/>
      <c r="I5749" s="19"/>
    </row>
    <row r="5750" spans="1:9" s="1" customFormat="1" x14ac:dyDescent="0.2">
      <c r="A5750" s="1" t="s">
        <v>28</v>
      </c>
      <c r="B5750" s="2" t="s">
        <v>403</v>
      </c>
      <c r="C5750" s="5"/>
      <c r="D5750" s="5" t="s">
        <v>464</v>
      </c>
      <c r="E5750" s="3" t="s">
        <v>465</v>
      </c>
      <c r="F5750" s="3">
        <v>117500</v>
      </c>
      <c r="G5750" s="57" t="str">
        <f t="shared" si="92"/>
        <v>-</v>
      </c>
      <c r="H5750" s="19"/>
      <c r="I5750" s="19"/>
    </row>
    <row r="5751" spans="1:9" s="1" customFormat="1" x14ac:dyDescent="0.2">
      <c r="A5751" s="1" t="s">
        <v>28</v>
      </c>
      <c r="B5751" s="2" t="s">
        <v>403</v>
      </c>
      <c r="C5751" s="5"/>
      <c r="D5751" s="5" t="s">
        <v>464</v>
      </c>
      <c r="E5751" s="3">
        <v>137500</v>
      </c>
      <c r="F5751" s="3" t="s">
        <v>465</v>
      </c>
      <c r="G5751" s="57" t="str">
        <f t="shared" si="92"/>
        <v>-</v>
      </c>
      <c r="H5751" s="19"/>
      <c r="I5751" s="19"/>
    </row>
    <row r="5752" spans="1:9" s="1" customFormat="1" x14ac:dyDescent="0.2">
      <c r="A5752" s="1" t="s">
        <v>28</v>
      </c>
      <c r="B5752" s="2" t="s">
        <v>403</v>
      </c>
      <c r="C5752" s="5"/>
      <c r="D5752" s="5" t="s">
        <v>464</v>
      </c>
      <c r="E5752" s="3"/>
      <c r="F5752" s="3"/>
      <c r="G5752" s="57" t="str">
        <f t="shared" si="92"/>
        <v>-</v>
      </c>
      <c r="H5752" s="19">
        <v>92500</v>
      </c>
      <c r="I5752" s="19" t="s">
        <v>465</v>
      </c>
    </row>
    <row r="5753" spans="1:9" s="1" customFormat="1" x14ac:dyDescent="0.2">
      <c r="A5753" s="1" t="s">
        <v>28</v>
      </c>
      <c r="B5753" s="2" t="s">
        <v>403</v>
      </c>
      <c r="C5753" s="5"/>
      <c r="D5753" s="5" t="s">
        <v>464</v>
      </c>
      <c r="E5753" s="3"/>
      <c r="F5753" s="3"/>
      <c r="G5753" s="57" t="str">
        <f t="shared" si="92"/>
        <v>-</v>
      </c>
      <c r="H5753" s="19">
        <v>92500</v>
      </c>
      <c r="I5753" s="19" t="s">
        <v>465</v>
      </c>
    </row>
    <row r="5754" spans="1:9" s="1" customFormat="1" x14ac:dyDescent="0.2">
      <c r="A5754" s="1" t="s">
        <v>28</v>
      </c>
      <c r="B5754" s="2" t="s">
        <v>403</v>
      </c>
      <c r="C5754" s="5"/>
      <c r="D5754" s="5" t="s">
        <v>464</v>
      </c>
      <c r="E5754" s="3"/>
      <c r="F5754" s="3"/>
      <c r="G5754" s="57" t="str">
        <f t="shared" si="92"/>
        <v>-</v>
      </c>
      <c r="H5754" s="19">
        <v>92500</v>
      </c>
      <c r="I5754" s="19" t="s">
        <v>465</v>
      </c>
    </row>
    <row r="5755" spans="1:9" s="1" customFormat="1" x14ac:dyDescent="0.2">
      <c r="A5755" s="1" t="s">
        <v>28</v>
      </c>
      <c r="B5755" s="2" t="s">
        <v>403</v>
      </c>
      <c r="C5755" s="5"/>
      <c r="D5755" s="5" t="s">
        <v>464</v>
      </c>
      <c r="E5755" s="3"/>
      <c r="F5755" s="3"/>
      <c r="G5755" s="57" t="str">
        <f t="shared" si="92"/>
        <v>-</v>
      </c>
      <c r="H5755" s="19" t="s">
        <v>465</v>
      </c>
      <c r="I5755" s="19">
        <v>92500</v>
      </c>
    </row>
    <row r="5756" spans="1:9" s="1" customFormat="1" x14ac:dyDescent="0.2">
      <c r="A5756" s="1" t="s">
        <v>28</v>
      </c>
      <c r="B5756" s="2" t="s">
        <v>403</v>
      </c>
      <c r="C5756" s="5"/>
      <c r="D5756" s="5" t="s">
        <v>464</v>
      </c>
      <c r="E5756" s="3"/>
      <c r="F5756" s="3"/>
      <c r="G5756" s="57" t="str">
        <f t="shared" ref="G5756:G5819" si="93">IF(ISERROR((F5756-E5756)/E5756),"-",(F5756-E5756)/E5756)</f>
        <v>-</v>
      </c>
      <c r="H5756" s="19">
        <v>97500</v>
      </c>
      <c r="I5756" s="19" t="s">
        <v>465</v>
      </c>
    </row>
    <row r="5757" spans="1:9" s="1" customFormat="1" x14ac:dyDescent="0.2">
      <c r="A5757" s="1" t="s">
        <v>28</v>
      </c>
      <c r="B5757" s="2" t="s">
        <v>403</v>
      </c>
      <c r="C5757" s="5"/>
      <c r="D5757" s="5" t="s">
        <v>464</v>
      </c>
      <c r="E5757" s="3"/>
      <c r="F5757" s="3"/>
      <c r="G5757" s="57" t="str">
        <f t="shared" si="93"/>
        <v>-</v>
      </c>
      <c r="H5757" s="19" t="s">
        <v>465</v>
      </c>
      <c r="I5757" s="19">
        <v>97500</v>
      </c>
    </row>
    <row r="5758" spans="1:9" s="1" customFormat="1" x14ac:dyDescent="0.2">
      <c r="A5758" s="1" t="s">
        <v>28</v>
      </c>
      <c r="B5758" s="2" t="s">
        <v>403</v>
      </c>
      <c r="C5758" s="5"/>
      <c r="D5758" s="5" t="s">
        <v>464</v>
      </c>
      <c r="E5758" s="3"/>
      <c r="F5758" s="3"/>
      <c r="G5758" s="57" t="str">
        <f t="shared" si="93"/>
        <v>-</v>
      </c>
      <c r="H5758" s="19" t="s">
        <v>465</v>
      </c>
      <c r="I5758" s="19">
        <v>97500</v>
      </c>
    </row>
    <row r="5759" spans="1:9" s="1" customFormat="1" x14ac:dyDescent="0.2">
      <c r="A5759" s="1" t="s">
        <v>28</v>
      </c>
      <c r="B5759" s="2" t="s">
        <v>403</v>
      </c>
      <c r="C5759" s="5"/>
      <c r="D5759" s="5" t="s">
        <v>464</v>
      </c>
      <c r="E5759" s="3"/>
      <c r="F5759" s="3"/>
      <c r="G5759" s="57" t="str">
        <f t="shared" si="93"/>
        <v>-</v>
      </c>
      <c r="H5759" s="19" t="s">
        <v>465</v>
      </c>
      <c r="I5759" s="19">
        <v>97500</v>
      </c>
    </row>
    <row r="5760" spans="1:9" s="1" customFormat="1" x14ac:dyDescent="0.2">
      <c r="A5760" s="1" t="s">
        <v>28</v>
      </c>
      <c r="B5760" s="2" t="s">
        <v>403</v>
      </c>
      <c r="C5760" s="5"/>
      <c r="D5760" s="5" t="s">
        <v>464</v>
      </c>
      <c r="E5760" s="3"/>
      <c r="F5760" s="3"/>
      <c r="G5760" s="57" t="str">
        <f t="shared" si="93"/>
        <v>-</v>
      </c>
      <c r="H5760" s="19" t="s">
        <v>465</v>
      </c>
      <c r="I5760" s="19">
        <v>97500</v>
      </c>
    </row>
    <row r="5761" spans="1:10" ht="25.5" x14ac:dyDescent="0.2">
      <c r="A5761" s="1" t="s">
        <v>39</v>
      </c>
      <c r="B5761" s="2" t="s">
        <v>404</v>
      </c>
      <c r="C5761" s="5" t="s">
        <v>645</v>
      </c>
      <c r="D5761" s="5" t="s">
        <v>450</v>
      </c>
      <c r="E5761" s="3">
        <v>213893</v>
      </c>
      <c r="F5761" s="3">
        <v>226582</v>
      </c>
      <c r="G5761" s="57">
        <f t="shared" si="93"/>
        <v>5.9324054550639806E-2</v>
      </c>
      <c r="J5761" s="5" t="s">
        <v>4710</v>
      </c>
    </row>
    <row r="5762" spans="1:10" ht="25.5" x14ac:dyDescent="0.2">
      <c r="A5762" s="1" t="s">
        <v>39</v>
      </c>
      <c r="B5762" s="2" t="s">
        <v>404</v>
      </c>
      <c r="D5762" s="5" t="s">
        <v>599</v>
      </c>
      <c r="E5762" s="3">
        <v>139755</v>
      </c>
      <c r="F5762" s="3">
        <v>142280</v>
      </c>
      <c r="G5762" s="57">
        <f t="shared" si="93"/>
        <v>1.8067332116918893E-2</v>
      </c>
      <c r="J5762" s="5" t="s">
        <v>2417</v>
      </c>
    </row>
    <row r="5763" spans="1:10" ht="25.5" x14ac:dyDescent="0.2">
      <c r="A5763" s="1" t="s">
        <v>39</v>
      </c>
      <c r="B5763" s="2" t="s">
        <v>404</v>
      </c>
      <c r="D5763" s="5" t="s">
        <v>646</v>
      </c>
      <c r="E5763" s="3">
        <v>142740</v>
      </c>
      <c r="F5763" s="3">
        <v>137899</v>
      </c>
      <c r="G5763" s="57">
        <f t="shared" si="93"/>
        <v>-3.3914810144318339E-2</v>
      </c>
      <c r="J5763" s="5" t="s">
        <v>2418</v>
      </c>
    </row>
    <row r="5764" spans="1:10" ht="25.5" x14ac:dyDescent="0.2">
      <c r="A5764" s="1" t="s">
        <v>39</v>
      </c>
      <c r="B5764" s="2" t="s">
        <v>404</v>
      </c>
      <c r="D5764" s="5" t="s">
        <v>4511</v>
      </c>
      <c r="E5764" s="3" t="s">
        <v>465</v>
      </c>
      <c r="F5764" s="3">
        <v>130793</v>
      </c>
      <c r="G5764" s="57" t="str">
        <f t="shared" si="93"/>
        <v>-</v>
      </c>
      <c r="J5764" s="5" t="s">
        <v>4513</v>
      </c>
    </row>
    <row r="5765" spans="1:10" ht="26.25" customHeight="1" x14ac:dyDescent="0.2">
      <c r="A5765" s="1" t="s">
        <v>39</v>
      </c>
      <c r="B5765" s="2" t="s">
        <v>404</v>
      </c>
      <c r="D5765" s="5" t="s">
        <v>4512</v>
      </c>
      <c r="E5765" s="3">
        <v>114371</v>
      </c>
      <c r="F5765" s="3">
        <v>4330</v>
      </c>
      <c r="G5765" s="57">
        <f t="shared" si="93"/>
        <v>-0.96214075246347408</v>
      </c>
      <c r="J5765" s="5" t="s">
        <v>4514</v>
      </c>
    </row>
    <row r="5766" spans="1:10" ht="25.5" x14ac:dyDescent="0.2">
      <c r="A5766" s="1" t="s">
        <v>39</v>
      </c>
      <c r="B5766" s="2" t="s">
        <v>404</v>
      </c>
      <c r="D5766" s="5" t="s">
        <v>647</v>
      </c>
      <c r="E5766" s="3">
        <v>144525</v>
      </c>
      <c r="F5766" s="3">
        <v>131173</v>
      </c>
      <c r="G5766" s="57">
        <f t="shared" si="93"/>
        <v>-9.2385400449749175E-2</v>
      </c>
      <c r="J5766" s="5" t="s">
        <v>2419</v>
      </c>
    </row>
    <row r="5767" spans="1:10" ht="25.5" x14ac:dyDescent="0.2">
      <c r="A5767" s="1" t="s">
        <v>39</v>
      </c>
      <c r="B5767" s="2" t="s">
        <v>404</v>
      </c>
      <c r="D5767" s="5" t="s">
        <v>648</v>
      </c>
      <c r="E5767" s="3">
        <v>145992</v>
      </c>
      <c r="F5767" s="3">
        <v>131272</v>
      </c>
      <c r="G5767" s="57">
        <f t="shared" si="93"/>
        <v>-0.1008274425995945</v>
      </c>
      <c r="J5767" s="5" t="s">
        <v>2420</v>
      </c>
    </row>
    <row r="5768" spans="1:10" ht="25.5" x14ac:dyDescent="0.2">
      <c r="A5768" s="1" t="s">
        <v>39</v>
      </c>
      <c r="B5768" s="2" t="s">
        <v>404</v>
      </c>
      <c r="D5768" s="5" t="s">
        <v>650</v>
      </c>
      <c r="E5768" s="3">
        <v>110223</v>
      </c>
      <c r="F5768" s="3">
        <v>101085</v>
      </c>
      <c r="G5768" s="57">
        <f t="shared" si="93"/>
        <v>-8.2904656922783815E-2</v>
      </c>
      <c r="J5768" s="5" t="s">
        <v>2421</v>
      </c>
    </row>
    <row r="5769" spans="1:10" ht="25.5" x14ac:dyDescent="0.2">
      <c r="A5769" s="1" t="s">
        <v>39</v>
      </c>
      <c r="B5769" s="2" t="s">
        <v>404</v>
      </c>
      <c r="D5769" s="5" t="s">
        <v>649</v>
      </c>
      <c r="E5769" s="3">
        <v>109049</v>
      </c>
      <c r="F5769" s="3">
        <v>109949</v>
      </c>
      <c r="G5769" s="57">
        <f t="shared" si="93"/>
        <v>8.2531705930361573E-3</v>
      </c>
      <c r="J5769" s="5" t="s">
        <v>2422</v>
      </c>
    </row>
    <row r="5770" spans="1:10" x14ac:dyDescent="0.2">
      <c r="A5770" s="1" t="s">
        <v>39</v>
      </c>
      <c r="B5770" s="2" t="s">
        <v>404</v>
      </c>
      <c r="D5770" s="5" t="s">
        <v>464</v>
      </c>
      <c r="E5770" s="3">
        <v>102500</v>
      </c>
      <c r="F5770" s="3" t="s">
        <v>465</v>
      </c>
      <c r="G5770" s="57" t="str">
        <f t="shared" si="93"/>
        <v>-</v>
      </c>
    </row>
    <row r="5771" spans="1:10" x14ac:dyDescent="0.2">
      <c r="A5771" s="1" t="s">
        <v>39</v>
      </c>
      <c r="B5771" s="2" t="s">
        <v>404</v>
      </c>
      <c r="D5771" s="5" t="s">
        <v>464</v>
      </c>
      <c r="E5771" s="3">
        <v>117500</v>
      </c>
      <c r="F5771" s="3" t="s">
        <v>465</v>
      </c>
      <c r="G5771" s="57" t="str">
        <f t="shared" si="93"/>
        <v>-</v>
      </c>
    </row>
    <row r="5772" spans="1:10" x14ac:dyDescent="0.2">
      <c r="A5772" s="1" t="s">
        <v>39</v>
      </c>
      <c r="B5772" s="2" t="s">
        <v>404</v>
      </c>
      <c r="D5772" s="5" t="s">
        <v>464</v>
      </c>
      <c r="E5772" s="3">
        <v>127500</v>
      </c>
      <c r="F5772" s="3" t="s">
        <v>465</v>
      </c>
      <c r="G5772" s="57" t="str">
        <f t="shared" si="93"/>
        <v>-</v>
      </c>
    </row>
    <row r="5773" spans="1:10" x14ac:dyDescent="0.2">
      <c r="A5773" s="1" t="s">
        <v>39</v>
      </c>
      <c r="B5773" s="2" t="s">
        <v>404</v>
      </c>
      <c r="D5773" s="5" t="s">
        <v>464</v>
      </c>
      <c r="E5773" s="3">
        <v>127500</v>
      </c>
      <c r="F5773" s="3" t="s">
        <v>465</v>
      </c>
      <c r="G5773" s="57" t="str">
        <f t="shared" si="93"/>
        <v>-</v>
      </c>
    </row>
    <row r="5774" spans="1:10" x14ac:dyDescent="0.2">
      <c r="A5774" s="1" t="s">
        <v>39</v>
      </c>
      <c r="B5774" s="2" t="s">
        <v>404</v>
      </c>
      <c r="D5774" s="5" t="s">
        <v>464</v>
      </c>
      <c r="E5774" s="3">
        <v>152500</v>
      </c>
      <c r="F5774" s="3" t="s">
        <v>465</v>
      </c>
      <c r="G5774" s="57" t="str">
        <f t="shared" si="93"/>
        <v>-</v>
      </c>
    </row>
    <row r="5775" spans="1:10" x14ac:dyDescent="0.2">
      <c r="A5775" s="1" t="s">
        <v>39</v>
      </c>
      <c r="B5775" s="2" t="s">
        <v>404</v>
      </c>
      <c r="D5775" s="5" t="s">
        <v>464</v>
      </c>
      <c r="G5775" s="57" t="str">
        <f t="shared" si="93"/>
        <v>-</v>
      </c>
      <c r="H5775" s="19" t="s">
        <v>465</v>
      </c>
      <c r="I5775" s="19">
        <v>97500</v>
      </c>
    </row>
    <row r="5776" spans="1:10" x14ac:dyDescent="0.2">
      <c r="A5776" s="1" t="s">
        <v>39</v>
      </c>
      <c r="B5776" s="2" t="s">
        <v>404</v>
      </c>
      <c r="D5776" s="5" t="s">
        <v>464</v>
      </c>
      <c r="G5776" s="57" t="str">
        <f t="shared" si="93"/>
        <v>-</v>
      </c>
      <c r="H5776" s="19" t="s">
        <v>465</v>
      </c>
      <c r="I5776" s="19">
        <v>92500</v>
      </c>
    </row>
    <row r="5777" spans="1:10" x14ac:dyDescent="0.2">
      <c r="A5777" s="1" t="s">
        <v>39</v>
      </c>
      <c r="B5777" s="2" t="s">
        <v>404</v>
      </c>
      <c r="D5777" s="5" t="s">
        <v>464</v>
      </c>
      <c r="G5777" s="57" t="str">
        <f t="shared" si="93"/>
        <v>-</v>
      </c>
      <c r="H5777" s="19" t="s">
        <v>465</v>
      </c>
      <c r="I5777" s="19">
        <v>92500</v>
      </c>
    </row>
    <row r="5778" spans="1:10" x14ac:dyDescent="0.2">
      <c r="A5778" s="1" t="s">
        <v>39</v>
      </c>
      <c r="B5778" s="2" t="s">
        <v>404</v>
      </c>
      <c r="D5778" s="5" t="s">
        <v>464</v>
      </c>
      <c r="G5778" s="57" t="str">
        <f t="shared" si="93"/>
        <v>-</v>
      </c>
      <c r="H5778" s="19">
        <v>92500</v>
      </c>
      <c r="I5778" s="19" t="s">
        <v>465</v>
      </c>
    </row>
    <row r="5779" spans="1:10" x14ac:dyDescent="0.2">
      <c r="A5779" s="1" t="s">
        <v>39</v>
      </c>
      <c r="B5779" s="2" t="s">
        <v>404</v>
      </c>
      <c r="D5779" s="5" t="s">
        <v>464</v>
      </c>
      <c r="G5779" s="57" t="str">
        <f t="shared" si="93"/>
        <v>-</v>
      </c>
      <c r="H5779" s="19">
        <v>92500</v>
      </c>
      <c r="I5779" s="19" t="s">
        <v>465</v>
      </c>
    </row>
    <row r="5780" spans="1:10" x14ac:dyDescent="0.2">
      <c r="A5780" s="1" t="s">
        <v>39</v>
      </c>
      <c r="B5780" s="2" t="s">
        <v>404</v>
      </c>
      <c r="D5780" s="5" t="s">
        <v>464</v>
      </c>
      <c r="G5780" s="57" t="str">
        <f t="shared" si="93"/>
        <v>-</v>
      </c>
      <c r="H5780" s="19">
        <v>92500</v>
      </c>
      <c r="I5780" s="19" t="s">
        <v>465</v>
      </c>
    </row>
    <row r="5781" spans="1:10" x14ac:dyDescent="0.2">
      <c r="A5781" s="1" t="s">
        <v>39</v>
      </c>
      <c r="B5781" s="2" t="s">
        <v>404</v>
      </c>
      <c r="D5781" s="5" t="s">
        <v>464</v>
      </c>
      <c r="G5781" s="57" t="str">
        <f t="shared" si="93"/>
        <v>-</v>
      </c>
      <c r="H5781" s="19">
        <v>92500</v>
      </c>
      <c r="I5781" s="19" t="s">
        <v>465</v>
      </c>
    </row>
    <row r="5782" spans="1:10" x14ac:dyDescent="0.2">
      <c r="A5782" s="1" t="s">
        <v>39</v>
      </c>
      <c r="B5782" s="2" t="s">
        <v>404</v>
      </c>
      <c r="D5782" s="5" t="s">
        <v>464</v>
      </c>
      <c r="G5782" s="57" t="str">
        <f t="shared" si="93"/>
        <v>-</v>
      </c>
      <c r="H5782" s="19">
        <v>97500</v>
      </c>
      <c r="I5782" s="19" t="s">
        <v>465</v>
      </c>
    </row>
    <row r="5783" spans="1:10" x14ac:dyDescent="0.2">
      <c r="A5783" s="1" t="s">
        <v>39</v>
      </c>
      <c r="B5783" s="2" t="s">
        <v>404</v>
      </c>
      <c r="D5783" s="5" t="s">
        <v>464</v>
      </c>
      <c r="G5783" s="57" t="str">
        <f t="shared" si="93"/>
        <v>-</v>
      </c>
      <c r="H5783" s="19">
        <v>97500</v>
      </c>
      <c r="I5783" s="19" t="s">
        <v>465</v>
      </c>
    </row>
    <row r="5784" spans="1:10" x14ac:dyDescent="0.2">
      <c r="A5784" s="1" t="s">
        <v>39</v>
      </c>
      <c r="B5784" s="2" t="s">
        <v>404</v>
      </c>
      <c r="D5784" s="5" t="s">
        <v>464</v>
      </c>
      <c r="G5784" s="57" t="str">
        <f t="shared" si="93"/>
        <v>-</v>
      </c>
      <c r="H5784" s="19">
        <v>97500</v>
      </c>
      <c r="I5784" s="19" t="s">
        <v>465</v>
      </c>
    </row>
    <row r="5785" spans="1:10" x14ac:dyDescent="0.2">
      <c r="A5785" s="1" t="s">
        <v>39</v>
      </c>
      <c r="B5785" s="2" t="s">
        <v>404</v>
      </c>
      <c r="D5785" s="5" t="s">
        <v>464</v>
      </c>
      <c r="G5785" s="57" t="str">
        <f t="shared" si="93"/>
        <v>-</v>
      </c>
      <c r="H5785" s="19">
        <v>97500</v>
      </c>
      <c r="I5785" s="19" t="s">
        <v>465</v>
      </c>
    </row>
    <row r="5786" spans="1:10" ht="118.5" customHeight="1" x14ac:dyDescent="0.2">
      <c r="A5786" s="1" t="s">
        <v>25</v>
      </c>
      <c r="B5786" s="2" t="s">
        <v>405</v>
      </c>
      <c r="C5786" s="5" t="s">
        <v>639</v>
      </c>
      <c r="D5786" s="5" t="s">
        <v>450</v>
      </c>
      <c r="E5786" s="3">
        <v>257243</v>
      </c>
      <c r="F5786" s="3">
        <v>432213</v>
      </c>
      <c r="G5786" s="57">
        <f t="shared" si="93"/>
        <v>0.68017399890376029</v>
      </c>
      <c r="J5786" s="5" t="s">
        <v>4515</v>
      </c>
    </row>
    <row r="5787" spans="1:10" ht="40.5" customHeight="1" x14ac:dyDescent="0.2">
      <c r="A5787" s="1" t="s">
        <v>25</v>
      </c>
      <c r="B5787" s="2" t="s">
        <v>405</v>
      </c>
      <c r="C5787" s="5" t="s">
        <v>640</v>
      </c>
      <c r="D5787" s="5" t="s">
        <v>4517</v>
      </c>
      <c r="E5787" s="6">
        <v>181889</v>
      </c>
      <c r="F5787" s="3">
        <v>210834</v>
      </c>
      <c r="G5787" s="57">
        <f t="shared" si="93"/>
        <v>0.15913551671623902</v>
      </c>
      <c r="J5787" s="5" t="s">
        <v>4516</v>
      </c>
    </row>
    <row r="5788" spans="1:10" ht="25.5" x14ac:dyDescent="0.2">
      <c r="A5788" s="1" t="s">
        <v>25</v>
      </c>
      <c r="B5788" s="2" t="s">
        <v>405</v>
      </c>
      <c r="D5788" s="5" t="s">
        <v>641</v>
      </c>
      <c r="E5788" s="3">
        <v>166508</v>
      </c>
      <c r="F5788" s="3">
        <v>170321</v>
      </c>
      <c r="G5788" s="57">
        <f t="shared" si="93"/>
        <v>2.2899800610180893E-2</v>
      </c>
      <c r="J5788" s="5" t="s">
        <v>2414</v>
      </c>
    </row>
    <row r="5789" spans="1:10" ht="25.5" x14ac:dyDescent="0.2">
      <c r="A5789" s="1" t="s">
        <v>25</v>
      </c>
      <c r="B5789" s="2" t="s">
        <v>405</v>
      </c>
      <c r="D5789" s="5" t="s">
        <v>507</v>
      </c>
      <c r="E5789" s="3" t="s">
        <v>465</v>
      </c>
      <c r="F5789" s="3">
        <v>93447</v>
      </c>
      <c r="G5789" s="57" t="str">
        <f t="shared" si="93"/>
        <v>-</v>
      </c>
      <c r="J5789" s="5" t="s">
        <v>4518</v>
      </c>
    </row>
    <row r="5790" spans="1:10" ht="25.5" x14ac:dyDescent="0.2">
      <c r="A5790" s="1" t="s">
        <v>25</v>
      </c>
      <c r="B5790" s="2" t="s">
        <v>405</v>
      </c>
      <c r="D5790" s="5" t="s">
        <v>507</v>
      </c>
      <c r="E5790" s="6">
        <v>13693</v>
      </c>
      <c r="F5790" s="3">
        <v>105112</v>
      </c>
      <c r="G5790" s="57">
        <f t="shared" si="93"/>
        <v>6.6763309720295041</v>
      </c>
      <c r="J5790" s="5" t="s">
        <v>4519</v>
      </c>
    </row>
    <row r="5791" spans="1:10" ht="82.5" customHeight="1" x14ac:dyDescent="0.2">
      <c r="A5791" s="1" t="s">
        <v>25</v>
      </c>
      <c r="B5791" s="2" t="s">
        <v>405</v>
      </c>
      <c r="D5791" s="5" t="s">
        <v>642</v>
      </c>
      <c r="E5791" s="3" t="s">
        <v>465</v>
      </c>
      <c r="F5791" s="3">
        <v>164371</v>
      </c>
      <c r="G5791" s="57" t="str">
        <f t="shared" si="93"/>
        <v>-</v>
      </c>
      <c r="J5791" s="5" t="s">
        <v>4711</v>
      </c>
    </row>
    <row r="5792" spans="1:10" ht="38.25" x14ac:dyDescent="0.2">
      <c r="A5792" s="1" t="s">
        <v>25</v>
      </c>
      <c r="B5792" s="2" t="s">
        <v>405</v>
      </c>
      <c r="D5792" s="5" t="s">
        <v>643</v>
      </c>
      <c r="E5792" s="3">
        <v>144220</v>
      </c>
      <c r="F5792" s="3">
        <v>140347</v>
      </c>
      <c r="G5792" s="57">
        <f t="shared" si="93"/>
        <v>-2.6854805158785189E-2</v>
      </c>
      <c r="J5792" s="5" t="s">
        <v>4520</v>
      </c>
    </row>
    <row r="5793" spans="1:10" ht="25.5" x14ac:dyDescent="0.2">
      <c r="A5793" s="1" t="s">
        <v>25</v>
      </c>
      <c r="B5793" s="2" t="s">
        <v>405</v>
      </c>
      <c r="D5793" s="5" t="s">
        <v>644</v>
      </c>
      <c r="E5793" s="3">
        <v>117674</v>
      </c>
      <c r="F5793" s="3">
        <v>146994</v>
      </c>
      <c r="G5793" s="57">
        <f t="shared" si="93"/>
        <v>0.24916294168635383</v>
      </c>
      <c r="J5793" s="5" t="s">
        <v>2415</v>
      </c>
    </row>
    <row r="5794" spans="1:10" ht="25.5" x14ac:dyDescent="0.2">
      <c r="A5794" s="1" t="s">
        <v>25</v>
      </c>
      <c r="B5794" s="2" t="s">
        <v>405</v>
      </c>
      <c r="D5794" s="5" t="s">
        <v>451</v>
      </c>
      <c r="E5794" s="3" t="s">
        <v>465</v>
      </c>
      <c r="F5794" s="3">
        <v>126391</v>
      </c>
      <c r="G5794" s="57" t="str">
        <f t="shared" si="93"/>
        <v>-</v>
      </c>
      <c r="J5794" s="5" t="s">
        <v>2416</v>
      </c>
    </row>
    <row r="5795" spans="1:10" x14ac:dyDescent="0.2">
      <c r="A5795" s="1" t="s">
        <v>25</v>
      </c>
      <c r="B5795" s="2" t="s">
        <v>405</v>
      </c>
      <c r="D5795" s="5" t="s">
        <v>464</v>
      </c>
      <c r="E5795" s="3" t="s">
        <v>465</v>
      </c>
      <c r="F5795" s="3">
        <v>102500</v>
      </c>
      <c r="G5795" s="57" t="str">
        <f t="shared" si="93"/>
        <v>-</v>
      </c>
    </row>
    <row r="5796" spans="1:10" x14ac:dyDescent="0.2">
      <c r="A5796" s="1" t="s">
        <v>25</v>
      </c>
      <c r="B5796" s="2" t="s">
        <v>405</v>
      </c>
      <c r="D5796" s="5" t="s">
        <v>464</v>
      </c>
      <c r="E5796" s="3" t="s">
        <v>465</v>
      </c>
      <c r="F5796" s="3">
        <v>102500</v>
      </c>
      <c r="G5796" s="57" t="str">
        <f t="shared" si="93"/>
        <v>-</v>
      </c>
    </row>
    <row r="5797" spans="1:10" x14ac:dyDescent="0.2">
      <c r="A5797" s="1" t="s">
        <v>25</v>
      </c>
      <c r="B5797" s="2" t="s">
        <v>405</v>
      </c>
      <c r="D5797" s="5" t="s">
        <v>464</v>
      </c>
      <c r="E5797" s="3">
        <v>107500</v>
      </c>
      <c r="F5797" s="3" t="s">
        <v>465</v>
      </c>
      <c r="G5797" s="57" t="str">
        <f t="shared" si="93"/>
        <v>-</v>
      </c>
    </row>
    <row r="5798" spans="1:10" x14ac:dyDescent="0.2">
      <c r="A5798" s="1" t="s">
        <v>25</v>
      </c>
      <c r="B5798" s="2" t="s">
        <v>405</v>
      </c>
      <c r="D5798" s="5" t="s">
        <v>464</v>
      </c>
      <c r="E5798" s="3">
        <v>107500</v>
      </c>
      <c r="F5798" s="3" t="s">
        <v>465</v>
      </c>
      <c r="G5798" s="57" t="str">
        <f t="shared" si="93"/>
        <v>-</v>
      </c>
    </row>
    <row r="5799" spans="1:10" x14ac:dyDescent="0.2">
      <c r="A5799" s="1" t="s">
        <v>25</v>
      </c>
      <c r="B5799" s="2" t="s">
        <v>405</v>
      </c>
      <c r="D5799" s="5" t="s">
        <v>464</v>
      </c>
      <c r="E5799" s="3" t="s">
        <v>465</v>
      </c>
      <c r="F5799" s="3">
        <v>107500</v>
      </c>
      <c r="G5799" s="57" t="str">
        <f t="shared" si="93"/>
        <v>-</v>
      </c>
    </row>
    <row r="5800" spans="1:10" x14ac:dyDescent="0.2">
      <c r="A5800" s="1" t="s">
        <v>25</v>
      </c>
      <c r="B5800" s="2" t="s">
        <v>405</v>
      </c>
      <c r="D5800" s="5" t="s">
        <v>464</v>
      </c>
      <c r="E5800" s="3">
        <v>117500</v>
      </c>
      <c r="F5800" s="3" t="s">
        <v>465</v>
      </c>
      <c r="G5800" s="57" t="str">
        <f t="shared" si="93"/>
        <v>-</v>
      </c>
    </row>
    <row r="5801" spans="1:10" x14ac:dyDescent="0.2">
      <c r="A5801" s="1" t="s">
        <v>25</v>
      </c>
      <c r="B5801" s="2" t="s">
        <v>405</v>
      </c>
      <c r="D5801" s="5" t="s">
        <v>464</v>
      </c>
      <c r="E5801" s="3">
        <v>122500</v>
      </c>
      <c r="F5801" s="3" t="s">
        <v>465</v>
      </c>
      <c r="G5801" s="57" t="str">
        <f t="shared" si="93"/>
        <v>-</v>
      </c>
    </row>
    <row r="5802" spans="1:10" x14ac:dyDescent="0.2">
      <c r="A5802" s="1" t="s">
        <v>25</v>
      </c>
      <c r="B5802" s="2" t="s">
        <v>405</v>
      </c>
      <c r="D5802" s="5" t="s">
        <v>464</v>
      </c>
      <c r="E5802" s="3" t="s">
        <v>465</v>
      </c>
      <c r="F5802" s="3">
        <v>122500</v>
      </c>
      <c r="G5802" s="57" t="str">
        <f t="shared" si="93"/>
        <v>-</v>
      </c>
    </row>
    <row r="5803" spans="1:10" x14ac:dyDescent="0.2">
      <c r="A5803" s="1" t="s">
        <v>25</v>
      </c>
      <c r="B5803" s="2" t="s">
        <v>405</v>
      </c>
      <c r="D5803" s="5" t="s">
        <v>464</v>
      </c>
      <c r="E5803" s="3" t="s">
        <v>465</v>
      </c>
      <c r="F5803" s="3">
        <v>127500</v>
      </c>
      <c r="G5803" s="57" t="str">
        <f t="shared" si="93"/>
        <v>-</v>
      </c>
    </row>
    <row r="5804" spans="1:10" x14ac:dyDescent="0.2">
      <c r="A5804" s="1" t="s">
        <v>25</v>
      </c>
      <c r="B5804" s="2" t="s">
        <v>405</v>
      </c>
      <c r="D5804" s="5" t="s">
        <v>464</v>
      </c>
      <c r="E5804" s="3">
        <v>137500</v>
      </c>
      <c r="F5804" s="3" t="s">
        <v>465</v>
      </c>
      <c r="G5804" s="57" t="str">
        <f t="shared" si="93"/>
        <v>-</v>
      </c>
    </row>
    <row r="5805" spans="1:10" x14ac:dyDescent="0.2">
      <c r="A5805" s="1" t="s">
        <v>25</v>
      </c>
      <c r="B5805" s="2" t="s">
        <v>405</v>
      </c>
      <c r="D5805" s="5" t="s">
        <v>464</v>
      </c>
      <c r="E5805" s="3" t="s">
        <v>465</v>
      </c>
      <c r="F5805" s="3">
        <v>137500</v>
      </c>
      <c r="G5805" s="57" t="str">
        <f t="shared" si="93"/>
        <v>-</v>
      </c>
    </row>
    <row r="5806" spans="1:10" x14ac:dyDescent="0.2">
      <c r="A5806" s="1" t="s">
        <v>25</v>
      </c>
      <c r="B5806" s="2" t="s">
        <v>405</v>
      </c>
      <c r="D5806" s="5" t="s">
        <v>464</v>
      </c>
      <c r="E5806" s="3" t="s">
        <v>465</v>
      </c>
      <c r="F5806" s="3">
        <v>137500</v>
      </c>
      <c r="G5806" s="57" t="str">
        <f t="shared" si="93"/>
        <v>-</v>
      </c>
    </row>
    <row r="5807" spans="1:10" x14ac:dyDescent="0.2">
      <c r="A5807" s="1" t="s">
        <v>25</v>
      </c>
      <c r="B5807" s="2" t="s">
        <v>405</v>
      </c>
      <c r="D5807" s="5" t="s">
        <v>464</v>
      </c>
      <c r="E5807" s="3">
        <v>142500</v>
      </c>
      <c r="F5807" s="3" t="s">
        <v>465</v>
      </c>
      <c r="G5807" s="57" t="str">
        <f t="shared" si="93"/>
        <v>-</v>
      </c>
    </row>
    <row r="5808" spans="1:10" x14ac:dyDescent="0.2">
      <c r="A5808" s="1" t="s">
        <v>25</v>
      </c>
      <c r="B5808" s="2" t="s">
        <v>405</v>
      </c>
      <c r="D5808" s="5" t="s">
        <v>464</v>
      </c>
      <c r="E5808" s="3">
        <v>152500</v>
      </c>
      <c r="F5808" s="3" t="s">
        <v>465</v>
      </c>
      <c r="G5808" s="57" t="str">
        <f t="shared" si="93"/>
        <v>-</v>
      </c>
    </row>
    <row r="5809" spans="1:10" x14ac:dyDescent="0.2">
      <c r="A5809" s="1" t="s">
        <v>25</v>
      </c>
      <c r="B5809" s="2" t="s">
        <v>405</v>
      </c>
      <c r="D5809" s="5" t="s">
        <v>464</v>
      </c>
      <c r="E5809" s="3" t="s">
        <v>465</v>
      </c>
      <c r="F5809" s="3">
        <v>172500</v>
      </c>
      <c r="G5809" s="57" t="str">
        <f t="shared" si="93"/>
        <v>-</v>
      </c>
    </row>
    <row r="5810" spans="1:10" x14ac:dyDescent="0.2">
      <c r="A5810" s="1" t="s">
        <v>25</v>
      </c>
      <c r="B5810" s="2" t="s">
        <v>405</v>
      </c>
      <c r="D5810" s="5" t="s">
        <v>464</v>
      </c>
      <c r="E5810" s="3" t="s">
        <v>465</v>
      </c>
      <c r="F5810" s="3">
        <v>182500</v>
      </c>
      <c r="G5810" s="57" t="str">
        <f t="shared" si="93"/>
        <v>-</v>
      </c>
    </row>
    <row r="5811" spans="1:10" x14ac:dyDescent="0.2">
      <c r="A5811" s="1" t="s">
        <v>25</v>
      </c>
      <c r="B5811" s="2" t="s">
        <v>405</v>
      </c>
      <c r="D5811" s="5" t="s">
        <v>464</v>
      </c>
      <c r="E5811" s="3">
        <v>217500</v>
      </c>
      <c r="F5811" s="3" t="s">
        <v>465</v>
      </c>
      <c r="G5811" s="57" t="str">
        <f t="shared" si="93"/>
        <v>-</v>
      </c>
    </row>
    <row r="5812" spans="1:10" x14ac:dyDescent="0.2">
      <c r="A5812" s="1" t="s">
        <v>25</v>
      </c>
      <c r="B5812" s="2" t="s">
        <v>405</v>
      </c>
      <c r="D5812" s="5" t="s">
        <v>464</v>
      </c>
      <c r="G5812" s="57" t="str">
        <f t="shared" si="93"/>
        <v>-</v>
      </c>
      <c r="H5812" s="19">
        <v>92500</v>
      </c>
      <c r="I5812" s="19" t="s">
        <v>465</v>
      </c>
    </row>
    <row r="5813" spans="1:10" x14ac:dyDescent="0.2">
      <c r="A5813" s="1" t="s">
        <v>25</v>
      </c>
      <c r="B5813" s="2" t="s">
        <v>405</v>
      </c>
      <c r="D5813" s="5" t="s">
        <v>464</v>
      </c>
      <c r="G5813" s="57" t="str">
        <f t="shared" si="93"/>
        <v>-</v>
      </c>
      <c r="H5813" s="19">
        <v>92500</v>
      </c>
      <c r="I5813" s="19" t="s">
        <v>465</v>
      </c>
    </row>
    <row r="5814" spans="1:10" x14ac:dyDescent="0.2">
      <c r="A5814" s="1" t="s">
        <v>25</v>
      </c>
      <c r="B5814" s="2" t="s">
        <v>405</v>
      </c>
      <c r="D5814" s="5" t="s">
        <v>464</v>
      </c>
      <c r="G5814" s="57" t="str">
        <f t="shared" si="93"/>
        <v>-</v>
      </c>
      <c r="H5814" s="19">
        <v>92500</v>
      </c>
      <c r="I5814" s="19" t="s">
        <v>465</v>
      </c>
    </row>
    <row r="5815" spans="1:10" x14ac:dyDescent="0.2">
      <c r="A5815" s="1" t="s">
        <v>25</v>
      </c>
      <c r="B5815" s="2" t="s">
        <v>405</v>
      </c>
      <c r="D5815" s="5" t="s">
        <v>464</v>
      </c>
      <c r="G5815" s="57" t="str">
        <f t="shared" si="93"/>
        <v>-</v>
      </c>
      <c r="H5815" s="19">
        <v>92500</v>
      </c>
      <c r="I5815" s="19" t="s">
        <v>465</v>
      </c>
    </row>
    <row r="5816" spans="1:10" x14ac:dyDescent="0.2">
      <c r="A5816" s="1" t="s">
        <v>25</v>
      </c>
      <c r="B5816" s="2" t="s">
        <v>405</v>
      </c>
      <c r="D5816" s="5" t="s">
        <v>464</v>
      </c>
      <c r="G5816" s="57" t="str">
        <f t="shared" si="93"/>
        <v>-</v>
      </c>
      <c r="H5816" s="19" t="s">
        <v>465</v>
      </c>
      <c r="I5816" s="19">
        <v>92500</v>
      </c>
    </row>
    <row r="5817" spans="1:10" x14ac:dyDescent="0.2">
      <c r="A5817" s="1" t="s">
        <v>25</v>
      </c>
      <c r="B5817" s="2" t="s">
        <v>405</v>
      </c>
      <c r="D5817" s="5" t="s">
        <v>464</v>
      </c>
      <c r="G5817" s="57" t="str">
        <f t="shared" si="93"/>
        <v>-</v>
      </c>
      <c r="H5817" s="19" t="s">
        <v>465</v>
      </c>
      <c r="I5817" s="19">
        <v>92500</v>
      </c>
    </row>
    <row r="5818" spans="1:10" x14ac:dyDescent="0.2">
      <c r="A5818" s="1" t="s">
        <v>25</v>
      </c>
      <c r="B5818" s="2" t="s">
        <v>405</v>
      </c>
      <c r="D5818" s="5" t="s">
        <v>464</v>
      </c>
      <c r="G5818" s="57" t="str">
        <f t="shared" si="93"/>
        <v>-</v>
      </c>
      <c r="H5818" s="19" t="s">
        <v>465</v>
      </c>
      <c r="I5818" s="19">
        <v>92500</v>
      </c>
    </row>
    <row r="5819" spans="1:10" x14ac:dyDescent="0.2">
      <c r="A5819" s="1" t="s">
        <v>25</v>
      </c>
      <c r="B5819" s="2" t="s">
        <v>405</v>
      </c>
      <c r="D5819" s="5" t="s">
        <v>464</v>
      </c>
      <c r="G5819" s="57" t="str">
        <f t="shared" si="93"/>
        <v>-</v>
      </c>
      <c r="H5819" s="19">
        <v>97500</v>
      </c>
      <c r="I5819" s="19" t="s">
        <v>465</v>
      </c>
    </row>
    <row r="5820" spans="1:10" x14ac:dyDescent="0.2">
      <c r="A5820" s="1" t="s">
        <v>25</v>
      </c>
      <c r="B5820" s="2" t="s">
        <v>405</v>
      </c>
      <c r="D5820" s="5" t="s">
        <v>464</v>
      </c>
      <c r="G5820" s="57" t="str">
        <f t="shared" ref="G5820:G5883" si="94">IF(ISERROR((F5820-E5820)/E5820),"-",(F5820-E5820)/E5820)</f>
        <v>-</v>
      </c>
      <c r="H5820" s="19" t="s">
        <v>465</v>
      </c>
      <c r="I5820" s="19">
        <v>97500</v>
      </c>
    </row>
    <row r="5821" spans="1:10" x14ac:dyDescent="0.2">
      <c r="A5821" s="1" t="s">
        <v>25</v>
      </c>
      <c r="B5821" s="2" t="s">
        <v>405</v>
      </c>
      <c r="D5821" s="5" t="s">
        <v>464</v>
      </c>
      <c r="G5821" s="57" t="str">
        <f t="shared" si="94"/>
        <v>-</v>
      </c>
      <c r="H5821" s="19" t="s">
        <v>465</v>
      </c>
      <c r="I5821" s="19">
        <v>97500</v>
      </c>
    </row>
    <row r="5822" spans="1:10" ht="51" x14ac:dyDescent="0.2">
      <c r="A5822" s="1" t="s">
        <v>25</v>
      </c>
      <c r="B5822" s="2" t="s">
        <v>406</v>
      </c>
      <c r="C5822" s="5" t="s">
        <v>617</v>
      </c>
      <c r="D5822" s="5" t="s">
        <v>618</v>
      </c>
      <c r="E5822" s="9">
        <v>356891</v>
      </c>
      <c r="F5822" s="3">
        <v>227420</v>
      </c>
      <c r="G5822" s="57">
        <f t="shared" si="94"/>
        <v>-0.36277462866813676</v>
      </c>
      <c r="J5822" s="5" t="s">
        <v>4521</v>
      </c>
    </row>
    <row r="5823" spans="1:10" ht="38.25" x14ac:dyDescent="0.2">
      <c r="A5823" s="1" t="s">
        <v>25</v>
      </c>
      <c r="B5823" s="2" t="s">
        <v>406</v>
      </c>
      <c r="C5823" s="5" t="s">
        <v>619</v>
      </c>
      <c r="D5823" s="5" t="s">
        <v>562</v>
      </c>
      <c r="E5823" s="9">
        <v>213788</v>
      </c>
      <c r="F5823" s="3">
        <v>212420</v>
      </c>
      <c r="G5823" s="57">
        <f t="shared" si="94"/>
        <v>-6.3988624244578742E-3</v>
      </c>
      <c r="J5823" s="5" t="s">
        <v>2402</v>
      </c>
    </row>
    <row r="5824" spans="1:10" ht="38.25" x14ac:dyDescent="0.2">
      <c r="A5824" s="1" t="s">
        <v>25</v>
      </c>
      <c r="B5824" s="2" t="s">
        <v>406</v>
      </c>
      <c r="C5824" s="5" t="s">
        <v>620</v>
      </c>
      <c r="D5824" s="5" t="s">
        <v>621</v>
      </c>
      <c r="E5824" s="9">
        <v>193751</v>
      </c>
      <c r="F5824" s="3">
        <v>210753</v>
      </c>
      <c r="G5824" s="57">
        <f t="shared" si="94"/>
        <v>8.7751805151973408E-2</v>
      </c>
      <c r="J5824" s="5" t="s">
        <v>4522</v>
      </c>
    </row>
    <row r="5825" spans="1:10" ht="38.25" x14ac:dyDescent="0.2">
      <c r="A5825" s="1" t="s">
        <v>25</v>
      </c>
      <c r="B5825" s="2" t="s">
        <v>406</v>
      </c>
      <c r="C5825" s="5" t="s">
        <v>622</v>
      </c>
      <c r="D5825" s="5" t="s">
        <v>623</v>
      </c>
      <c r="E5825" s="9">
        <v>252180</v>
      </c>
      <c r="F5825" s="3">
        <v>209707</v>
      </c>
      <c r="G5825" s="57">
        <f t="shared" si="94"/>
        <v>-0.16842334840193512</v>
      </c>
      <c r="J5825" s="5" t="s">
        <v>2403</v>
      </c>
    </row>
    <row r="5826" spans="1:10" ht="38.25" x14ac:dyDescent="0.2">
      <c r="A5826" s="1" t="s">
        <v>25</v>
      </c>
      <c r="B5826" s="2" t="s">
        <v>406</v>
      </c>
      <c r="C5826" s="5" t="s">
        <v>624</v>
      </c>
      <c r="D5826" s="5" t="s">
        <v>625</v>
      </c>
      <c r="E5826" s="9">
        <v>197589</v>
      </c>
      <c r="F5826" s="3">
        <v>200253</v>
      </c>
      <c r="G5826" s="57">
        <f t="shared" si="94"/>
        <v>1.3482531922323611E-2</v>
      </c>
      <c r="J5826" s="5" t="s">
        <v>2404</v>
      </c>
    </row>
    <row r="5827" spans="1:10" ht="38.25" x14ac:dyDescent="0.2">
      <c r="A5827" s="1" t="s">
        <v>25</v>
      </c>
      <c r="B5827" s="2" t="s">
        <v>406</v>
      </c>
      <c r="C5827" s="5" t="s">
        <v>626</v>
      </c>
      <c r="D5827" s="5" t="s">
        <v>627</v>
      </c>
      <c r="E5827" s="9">
        <v>197440</v>
      </c>
      <c r="F5827" s="3">
        <v>199856</v>
      </c>
      <c r="G5827" s="57">
        <f t="shared" si="94"/>
        <v>1.2236628849270665E-2</v>
      </c>
      <c r="J5827" s="5" t="s">
        <v>2405</v>
      </c>
    </row>
    <row r="5828" spans="1:10" ht="38.25" x14ac:dyDescent="0.2">
      <c r="A5828" s="1" t="s">
        <v>25</v>
      </c>
      <c r="B5828" s="2" t="s">
        <v>406</v>
      </c>
      <c r="C5828" s="5" t="s">
        <v>628</v>
      </c>
      <c r="D5828" s="5" t="s">
        <v>549</v>
      </c>
      <c r="E5828" s="9">
        <v>188721</v>
      </c>
      <c r="F5828" s="3">
        <v>189730</v>
      </c>
      <c r="G5828" s="57">
        <f t="shared" si="94"/>
        <v>5.3465168158286572E-3</v>
      </c>
      <c r="J5828" s="5" t="s">
        <v>2406</v>
      </c>
    </row>
    <row r="5829" spans="1:10" ht="38.25" x14ac:dyDescent="0.2">
      <c r="A5829" s="1" t="s">
        <v>25</v>
      </c>
      <c r="B5829" s="2" t="s">
        <v>406</v>
      </c>
      <c r="D5829" s="5" t="s">
        <v>532</v>
      </c>
      <c r="E5829" s="9" t="s">
        <v>465</v>
      </c>
      <c r="F5829" s="3">
        <v>175234</v>
      </c>
      <c r="G5829" s="57" t="str">
        <f t="shared" si="94"/>
        <v>-</v>
      </c>
      <c r="J5829" s="5" t="s">
        <v>2407</v>
      </c>
    </row>
    <row r="5830" spans="1:10" ht="38.25" x14ac:dyDescent="0.2">
      <c r="A5830" s="1" t="s">
        <v>25</v>
      </c>
      <c r="B5830" s="2" t="s">
        <v>406</v>
      </c>
      <c r="D5830" s="5" t="s">
        <v>629</v>
      </c>
      <c r="E5830" s="9">
        <v>153912</v>
      </c>
      <c r="F5830" s="3">
        <v>156049</v>
      </c>
      <c r="G5830" s="57">
        <f t="shared" si="94"/>
        <v>1.3884557409428764E-2</v>
      </c>
      <c r="J5830" s="5" t="s">
        <v>2408</v>
      </c>
    </row>
    <row r="5831" spans="1:10" ht="66.75" customHeight="1" x14ac:dyDescent="0.2">
      <c r="A5831" s="1" t="s">
        <v>25</v>
      </c>
      <c r="B5831" s="2" t="s">
        <v>406</v>
      </c>
      <c r="D5831" s="5" t="s">
        <v>506</v>
      </c>
      <c r="E5831" s="9" t="s">
        <v>465</v>
      </c>
      <c r="F5831" s="3">
        <v>139883</v>
      </c>
      <c r="G5831" s="57" t="str">
        <f t="shared" si="94"/>
        <v>-</v>
      </c>
      <c r="J5831" s="5" t="s">
        <v>2886</v>
      </c>
    </row>
    <row r="5832" spans="1:10" ht="38.25" x14ac:dyDescent="0.2">
      <c r="A5832" s="1" t="s">
        <v>25</v>
      </c>
      <c r="B5832" s="2" t="s">
        <v>406</v>
      </c>
      <c r="D5832" s="5" t="s">
        <v>630</v>
      </c>
      <c r="E5832" s="9">
        <v>137151</v>
      </c>
      <c r="F5832" s="3">
        <v>134994</v>
      </c>
      <c r="G5832" s="57">
        <f t="shared" si="94"/>
        <v>-1.5727191198022617E-2</v>
      </c>
      <c r="J5832" s="5" t="s">
        <v>2409</v>
      </c>
    </row>
    <row r="5833" spans="1:10" ht="66.75" customHeight="1" x14ac:dyDescent="0.2">
      <c r="A5833" s="1" t="s">
        <v>25</v>
      </c>
      <c r="B5833" s="2" t="s">
        <v>406</v>
      </c>
      <c r="C5833" s="5" t="s">
        <v>631</v>
      </c>
      <c r="D5833" s="5" t="s">
        <v>506</v>
      </c>
      <c r="E5833" s="9">
        <v>218724</v>
      </c>
      <c r="F5833" s="3">
        <v>132247</v>
      </c>
      <c r="G5833" s="57">
        <f t="shared" si="94"/>
        <v>-0.39537042117005905</v>
      </c>
      <c r="J5833" s="5" t="s">
        <v>4523</v>
      </c>
    </row>
    <row r="5834" spans="1:10" ht="25.5" x14ac:dyDescent="0.2">
      <c r="A5834" s="1" t="s">
        <v>25</v>
      </c>
      <c r="B5834" s="2" t="s">
        <v>406</v>
      </c>
      <c r="D5834" s="5" t="s">
        <v>632</v>
      </c>
      <c r="E5834" s="9">
        <v>128184</v>
      </c>
      <c r="F5834" s="3">
        <v>132168</v>
      </c>
      <c r="G5834" s="57">
        <f t="shared" si="94"/>
        <v>3.1080322037071711E-2</v>
      </c>
      <c r="J5834" s="5" t="s">
        <v>2410</v>
      </c>
    </row>
    <row r="5835" spans="1:10" ht="51" x14ac:dyDescent="0.2">
      <c r="A5835" s="1" t="s">
        <v>25</v>
      </c>
      <c r="B5835" s="2" t="s">
        <v>406</v>
      </c>
      <c r="D5835" s="5" t="s">
        <v>633</v>
      </c>
      <c r="E5835" s="9">
        <v>53001</v>
      </c>
      <c r="F5835" s="3">
        <v>129051</v>
      </c>
      <c r="G5835" s="57">
        <f t="shared" si="94"/>
        <v>1.434878587196468</v>
      </c>
      <c r="J5835" s="5" t="s">
        <v>2887</v>
      </c>
    </row>
    <row r="5836" spans="1:10" ht="38.25" x14ac:dyDescent="0.2">
      <c r="A5836" s="1" t="s">
        <v>25</v>
      </c>
      <c r="B5836" s="2" t="s">
        <v>406</v>
      </c>
      <c r="D5836" s="5" t="s">
        <v>634</v>
      </c>
      <c r="E5836" s="9">
        <v>117295</v>
      </c>
      <c r="F5836" s="3">
        <v>122709</v>
      </c>
      <c r="G5836" s="57">
        <f t="shared" si="94"/>
        <v>4.6157125197152482E-2</v>
      </c>
      <c r="J5836" s="5" t="s">
        <v>2411</v>
      </c>
    </row>
    <row r="5837" spans="1:10" ht="25.5" x14ac:dyDescent="0.2">
      <c r="A5837" s="1" t="s">
        <v>25</v>
      </c>
      <c r="B5837" s="2" t="s">
        <v>406</v>
      </c>
      <c r="D5837" s="5" t="s">
        <v>635</v>
      </c>
      <c r="E5837" s="9">
        <v>127210</v>
      </c>
      <c r="F5837" s="3">
        <v>120451</v>
      </c>
      <c r="G5837" s="57">
        <f t="shared" si="94"/>
        <v>-5.313261536042764E-2</v>
      </c>
      <c r="J5837" s="5" t="s">
        <v>2412</v>
      </c>
    </row>
    <row r="5838" spans="1:10" ht="38.25" x14ac:dyDescent="0.2">
      <c r="A5838" s="1" t="s">
        <v>25</v>
      </c>
      <c r="B5838" s="2" t="s">
        <v>406</v>
      </c>
      <c r="D5838" s="5" t="s">
        <v>636</v>
      </c>
      <c r="E5838" s="9">
        <v>116478</v>
      </c>
      <c r="F5838" s="3">
        <v>118340</v>
      </c>
      <c r="G5838" s="57">
        <f t="shared" si="94"/>
        <v>1.5985851405415617E-2</v>
      </c>
      <c r="J5838" s="5" t="s">
        <v>2413</v>
      </c>
    </row>
    <row r="5839" spans="1:10" ht="51" x14ac:dyDescent="0.2">
      <c r="A5839" s="1" t="s">
        <v>25</v>
      </c>
      <c r="B5839" s="2" t="s">
        <v>406</v>
      </c>
      <c r="C5839" s="5" t="s">
        <v>637</v>
      </c>
      <c r="D5839" s="5" t="s">
        <v>638</v>
      </c>
      <c r="E5839" s="9" t="s">
        <v>465</v>
      </c>
      <c r="F5839" s="3">
        <v>106132</v>
      </c>
      <c r="G5839" s="57" t="str">
        <f t="shared" si="94"/>
        <v>-</v>
      </c>
      <c r="J5839" s="5" t="s">
        <v>4524</v>
      </c>
    </row>
    <row r="5840" spans="1:10" ht="25.5" x14ac:dyDescent="0.2">
      <c r="A5840" s="1" t="s">
        <v>25</v>
      </c>
      <c r="B5840" s="2" t="s">
        <v>406</v>
      </c>
      <c r="D5840" s="5" t="s">
        <v>2401</v>
      </c>
      <c r="E5840" s="9">
        <v>126847</v>
      </c>
      <c r="F5840" s="3" t="s">
        <v>465</v>
      </c>
      <c r="G5840" s="57" t="str">
        <f t="shared" si="94"/>
        <v>-</v>
      </c>
    </row>
    <row r="5841" spans="1:9" s="1" customFormat="1" x14ac:dyDescent="0.2">
      <c r="A5841" s="1" t="s">
        <v>25</v>
      </c>
      <c r="B5841" s="2" t="s">
        <v>406</v>
      </c>
      <c r="C5841" s="5"/>
      <c r="D5841" s="5" t="s">
        <v>464</v>
      </c>
      <c r="E5841" s="3">
        <v>102500</v>
      </c>
      <c r="F5841" s="3" t="s">
        <v>465</v>
      </c>
      <c r="G5841" s="57" t="str">
        <f t="shared" si="94"/>
        <v>-</v>
      </c>
      <c r="H5841" s="4"/>
      <c r="I5841" s="4"/>
    </row>
    <row r="5842" spans="1:9" s="1" customFormat="1" x14ac:dyDescent="0.2">
      <c r="A5842" s="1" t="s">
        <v>25</v>
      </c>
      <c r="B5842" s="2" t="s">
        <v>406</v>
      </c>
      <c r="C5842" s="5"/>
      <c r="D5842" s="5" t="s">
        <v>464</v>
      </c>
      <c r="E5842" s="3" t="s">
        <v>465</v>
      </c>
      <c r="F5842" s="3">
        <v>102500</v>
      </c>
      <c r="G5842" s="57" t="str">
        <f t="shared" si="94"/>
        <v>-</v>
      </c>
      <c r="H5842" s="4"/>
      <c r="I5842" s="4"/>
    </row>
    <row r="5843" spans="1:9" s="1" customFormat="1" x14ac:dyDescent="0.2">
      <c r="A5843" s="1" t="s">
        <v>25</v>
      </c>
      <c r="B5843" s="2" t="s">
        <v>406</v>
      </c>
      <c r="C5843" s="5"/>
      <c r="D5843" s="5" t="s">
        <v>464</v>
      </c>
      <c r="E5843" s="3" t="s">
        <v>465</v>
      </c>
      <c r="F5843" s="3">
        <v>102500</v>
      </c>
      <c r="G5843" s="57" t="str">
        <f t="shared" si="94"/>
        <v>-</v>
      </c>
      <c r="H5843" s="4"/>
      <c r="I5843" s="4"/>
    </row>
    <row r="5844" spans="1:9" s="1" customFormat="1" x14ac:dyDescent="0.2">
      <c r="A5844" s="1" t="s">
        <v>25</v>
      </c>
      <c r="B5844" s="2" t="s">
        <v>406</v>
      </c>
      <c r="C5844" s="5"/>
      <c r="D5844" s="5" t="s">
        <v>464</v>
      </c>
      <c r="E5844" s="3">
        <v>107500</v>
      </c>
      <c r="F5844" s="3" t="s">
        <v>465</v>
      </c>
      <c r="G5844" s="57" t="str">
        <f t="shared" si="94"/>
        <v>-</v>
      </c>
      <c r="H5844" s="4"/>
      <c r="I5844" s="4"/>
    </row>
    <row r="5845" spans="1:9" s="1" customFormat="1" x14ac:dyDescent="0.2">
      <c r="A5845" s="1" t="s">
        <v>25</v>
      </c>
      <c r="B5845" s="2" t="s">
        <v>406</v>
      </c>
      <c r="C5845" s="5"/>
      <c r="D5845" s="5" t="s">
        <v>464</v>
      </c>
      <c r="E5845" s="3">
        <v>107500</v>
      </c>
      <c r="F5845" s="3" t="s">
        <v>465</v>
      </c>
      <c r="G5845" s="57" t="str">
        <f t="shared" si="94"/>
        <v>-</v>
      </c>
      <c r="H5845" s="4"/>
      <c r="I5845" s="4"/>
    </row>
    <row r="5846" spans="1:9" s="1" customFormat="1" x14ac:dyDescent="0.2">
      <c r="A5846" s="1" t="s">
        <v>25</v>
      </c>
      <c r="B5846" s="2" t="s">
        <v>406</v>
      </c>
      <c r="C5846" s="5"/>
      <c r="D5846" s="5" t="s">
        <v>464</v>
      </c>
      <c r="E5846" s="3">
        <v>107500</v>
      </c>
      <c r="F5846" s="3" t="s">
        <v>465</v>
      </c>
      <c r="G5846" s="57" t="str">
        <f t="shared" si="94"/>
        <v>-</v>
      </c>
      <c r="H5846" s="4"/>
      <c r="I5846" s="4"/>
    </row>
    <row r="5847" spans="1:9" s="1" customFormat="1" x14ac:dyDescent="0.2">
      <c r="A5847" s="1" t="s">
        <v>25</v>
      </c>
      <c r="B5847" s="2" t="s">
        <v>406</v>
      </c>
      <c r="C5847" s="5"/>
      <c r="D5847" s="5" t="s">
        <v>464</v>
      </c>
      <c r="E5847" s="3">
        <v>107500</v>
      </c>
      <c r="F5847" s="3" t="s">
        <v>465</v>
      </c>
      <c r="G5847" s="57" t="str">
        <f t="shared" si="94"/>
        <v>-</v>
      </c>
      <c r="H5847" s="4"/>
      <c r="I5847" s="4"/>
    </row>
    <row r="5848" spans="1:9" s="1" customFormat="1" x14ac:dyDescent="0.2">
      <c r="A5848" s="1" t="s">
        <v>25</v>
      </c>
      <c r="B5848" s="2" t="s">
        <v>406</v>
      </c>
      <c r="C5848" s="5"/>
      <c r="D5848" s="5" t="s">
        <v>464</v>
      </c>
      <c r="E5848" s="3" t="s">
        <v>465</v>
      </c>
      <c r="F5848" s="3">
        <v>107500</v>
      </c>
      <c r="G5848" s="57" t="str">
        <f t="shared" si="94"/>
        <v>-</v>
      </c>
      <c r="H5848" s="4"/>
      <c r="I5848" s="4"/>
    </row>
    <row r="5849" spans="1:9" s="1" customFormat="1" x14ac:dyDescent="0.2">
      <c r="A5849" s="1" t="s">
        <v>25</v>
      </c>
      <c r="B5849" s="2" t="s">
        <v>406</v>
      </c>
      <c r="C5849" s="5"/>
      <c r="D5849" s="5" t="s">
        <v>464</v>
      </c>
      <c r="E5849" s="3" t="s">
        <v>465</v>
      </c>
      <c r="F5849" s="3">
        <v>112500</v>
      </c>
      <c r="G5849" s="57" t="str">
        <f t="shared" si="94"/>
        <v>-</v>
      </c>
      <c r="H5849" s="4"/>
      <c r="I5849" s="4"/>
    </row>
    <row r="5850" spans="1:9" s="1" customFormat="1" x14ac:dyDescent="0.2">
      <c r="A5850" s="1" t="s">
        <v>25</v>
      </c>
      <c r="B5850" s="2" t="s">
        <v>406</v>
      </c>
      <c r="C5850" s="5"/>
      <c r="D5850" s="5" t="s">
        <v>464</v>
      </c>
      <c r="E5850" s="3" t="s">
        <v>465</v>
      </c>
      <c r="F5850" s="3">
        <v>112500</v>
      </c>
      <c r="G5850" s="57" t="str">
        <f t="shared" si="94"/>
        <v>-</v>
      </c>
      <c r="H5850" s="4"/>
      <c r="I5850" s="4"/>
    </row>
    <row r="5851" spans="1:9" s="1" customFormat="1" x14ac:dyDescent="0.2">
      <c r="A5851" s="1" t="s">
        <v>25</v>
      </c>
      <c r="B5851" s="2" t="s">
        <v>406</v>
      </c>
      <c r="C5851" s="5"/>
      <c r="D5851" s="5" t="s">
        <v>464</v>
      </c>
      <c r="E5851" s="3" t="s">
        <v>465</v>
      </c>
      <c r="F5851" s="3">
        <v>112500</v>
      </c>
      <c r="G5851" s="57" t="str">
        <f t="shared" si="94"/>
        <v>-</v>
      </c>
      <c r="H5851" s="4"/>
      <c r="I5851" s="4"/>
    </row>
    <row r="5852" spans="1:9" s="1" customFormat="1" x14ac:dyDescent="0.2">
      <c r="A5852" s="1" t="s">
        <v>25</v>
      </c>
      <c r="B5852" s="2" t="s">
        <v>406</v>
      </c>
      <c r="C5852" s="5"/>
      <c r="D5852" s="5" t="s">
        <v>464</v>
      </c>
      <c r="E5852" s="3" t="s">
        <v>465</v>
      </c>
      <c r="F5852" s="3">
        <v>112500</v>
      </c>
      <c r="G5852" s="57" t="str">
        <f t="shared" si="94"/>
        <v>-</v>
      </c>
      <c r="H5852" s="4"/>
      <c r="I5852" s="4"/>
    </row>
    <row r="5853" spans="1:9" s="1" customFormat="1" x14ac:dyDescent="0.2">
      <c r="A5853" s="1" t="s">
        <v>25</v>
      </c>
      <c r="B5853" s="2" t="s">
        <v>406</v>
      </c>
      <c r="C5853" s="5"/>
      <c r="D5853" s="5" t="s">
        <v>464</v>
      </c>
      <c r="E5853" s="3" t="s">
        <v>465</v>
      </c>
      <c r="F5853" s="3">
        <v>112500</v>
      </c>
      <c r="G5853" s="57" t="str">
        <f t="shared" si="94"/>
        <v>-</v>
      </c>
      <c r="H5853" s="4"/>
      <c r="I5853" s="4"/>
    </row>
    <row r="5854" spans="1:9" s="1" customFormat="1" x14ac:dyDescent="0.2">
      <c r="A5854" s="1" t="s">
        <v>25</v>
      </c>
      <c r="B5854" s="2" t="s">
        <v>406</v>
      </c>
      <c r="C5854" s="5"/>
      <c r="D5854" s="5" t="s">
        <v>464</v>
      </c>
      <c r="E5854" s="3">
        <v>112500</v>
      </c>
      <c r="F5854" s="3" t="s">
        <v>465</v>
      </c>
      <c r="G5854" s="57" t="str">
        <f t="shared" si="94"/>
        <v>-</v>
      </c>
      <c r="H5854" s="4"/>
      <c r="I5854" s="4"/>
    </row>
    <row r="5855" spans="1:9" s="1" customFormat="1" x14ac:dyDescent="0.2">
      <c r="A5855" s="1" t="s">
        <v>25</v>
      </c>
      <c r="B5855" s="2" t="s">
        <v>406</v>
      </c>
      <c r="C5855" s="5"/>
      <c r="D5855" s="5" t="s">
        <v>464</v>
      </c>
      <c r="E5855" s="3">
        <v>112500</v>
      </c>
      <c r="F5855" s="3" t="s">
        <v>465</v>
      </c>
      <c r="G5855" s="57" t="str">
        <f t="shared" si="94"/>
        <v>-</v>
      </c>
      <c r="H5855" s="4"/>
      <c r="I5855" s="4"/>
    </row>
    <row r="5856" spans="1:9" s="1" customFormat="1" x14ac:dyDescent="0.2">
      <c r="A5856" s="1" t="s">
        <v>25</v>
      </c>
      <c r="B5856" s="2" t="s">
        <v>406</v>
      </c>
      <c r="C5856" s="5"/>
      <c r="D5856" s="5" t="s">
        <v>464</v>
      </c>
      <c r="E5856" s="3">
        <v>112500</v>
      </c>
      <c r="F5856" s="3" t="s">
        <v>465</v>
      </c>
      <c r="G5856" s="57" t="str">
        <f t="shared" si="94"/>
        <v>-</v>
      </c>
      <c r="H5856" s="4"/>
      <c r="I5856" s="4"/>
    </row>
    <row r="5857" spans="1:9" s="1" customFormat="1" x14ac:dyDescent="0.2">
      <c r="A5857" s="1" t="s">
        <v>25</v>
      </c>
      <c r="B5857" s="2" t="s">
        <v>406</v>
      </c>
      <c r="C5857" s="5"/>
      <c r="D5857" s="5" t="s">
        <v>464</v>
      </c>
      <c r="E5857" s="3" t="s">
        <v>465</v>
      </c>
      <c r="F5857" s="3">
        <v>117500</v>
      </c>
      <c r="G5857" s="57" t="str">
        <f t="shared" si="94"/>
        <v>-</v>
      </c>
      <c r="H5857" s="19"/>
      <c r="I5857" s="19"/>
    </row>
    <row r="5858" spans="1:9" s="1" customFormat="1" x14ac:dyDescent="0.2">
      <c r="A5858" s="1" t="s">
        <v>25</v>
      </c>
      <c r="B5858" s="2" t="s">
        <v>406</v>
      </c>
      <c r="C5858" s="5"/>
      <c r="D5858" s="5" t="s">
        <v>464</v>
      </c>
      <c r="E5858" s="3" t="s">
        <v>465</v>
      </c>
      <c r="F5858" s="3">
        <v>122500</v>
      </c>
      <c r="G5858" s="57" t="str">
        <f t="shared" si="94"/>
        <v>-</v>
      </c>
      <c r="H5858" s="19"/>
      <c r="I5858" s="19"/>
    </row>
    <row r="5859" spans="1:9" s="1" customFormat="1" x14ac:dyDescent="0.2">
      <c r="A5859" s="1" t="s">
        <v>25</v>
      </c>
      <c r="B5859" s="2" t="s">
        <v>406</v>
      </c>
      <c r="C5859" s="5"/>
      <c r="D5859" s="5" t="s">
        <v>464</v>
      </c>
      <c r="E5859" s="3">
        <v>122500</v>
      </c>
      <c r="F5859" s="3" t="s">
        <v>465</v>
      </c>
      <c r="G5859" s="57" t="str">
        <f t="shared" si="94"/>
        <v>-</v>
      </c>
      <c r="H5859" s="19"/>
      <c r="I5859" s="19"/>
    </row>
    <row r="5860" spans="1:9" s="1" customFormat="1" x14ac:dyDescent="0.2">
      <c r="A5860" s="1" t="s">
        <v>25</v>
      </c>
      <c r="B5860" s="2" t="s">
        <v>406</v>
      </c>
      <c r="C5860" s="5"/>
      <c r="D5860" s="5" t="s">
        <v>464</v>
      </c>
      <c r="E5860" s="3">
        <v>127500</v>
      </c>
      <c r="F5860" s="3" t="s">
        <v>465</v>
      </c>
      <c r="G5860" s="57" t="str">
        <f t="shared" si="94"/>
        <v>-</v>
      </c>
      <c r="H5860" s="19"/>
      <c r="I5860" s="19"/>
    </row>
    <row r="5861" spans="1:9" s="1" customFormat="1" x14ac:dyDescent="0.2">
      <c r="A5861" s="1" t="s">
        <v>25</v>
      </c>
      <c r="B5861" s="2" t="s">
        <v>406</v>
      </c>
      <c r="C5861" s="5"/>
      <c r="D5861" s="5" t="s">
        <v>464</v>
      </c>
      <c r="E5861" s="3">
        <v>127500</v>
      </c>
      <c r="F5861" s="3" t="s">
        <v>465</v>
      </c>
      <c r="G5861" s="57" t="str">
        <f t="shared" si="94"/>
        <v>-</v>
      </c>
      <c r="H5861" s="19"/>
      <c r="I5861" s="19"/>
    </row>
    <row r="5862" spans="1:9" s="1" customFormat="1" x14ac:dyDescent="0.2">
      <c r="A5862" s="1" t="s">
        <v>25</v>
      </c>
      <c r="B5862" s="2" t="s">
        <v>406</v>
      </c>
      <c r="C5862" s="5"/>
      <c r="D5862" s="5" t="s">
        <v>464</v>
      </c>
      <c r="E5862" s="3" t="s">
        <v>465</v>
      </c>
      <c r="F5862" s="3">
        <v>127500</v>
      </c>
      <c r="G5862" s="57" t="str">
        <f t="shared" si="94"/>
        <v>-</v>
      </c>
      <c r="H5862" s="19"/>
      <c r="I5862" s="19"/>
    </row>
    <row r="5863" spans="1:9" s="1" customFormat="1" x14ac:dyDescent="0.2">
      <c r="A5863" s="1" t="s">
        <v>25</v>
      </c>
      <c r="B5863" s="2" t="s">
        <v>406</v>
      </c>
      <c r="C5863" s="5"/>
      <c r="D5863" s="5" t="s">
        <v>464</v>
      </c>
      <c r="E5863" s="3">
        <v>132500</v>
      </c>
      <c r="F5863" s="3" t="s">
        <v>465</v>
      </c>
      <c r="G5863" s="57" t="str">
        <f t="shared" si="94"/>
        <v>-</v>
      </c>
      <c r="H5863" s="19"/>
      <c r="I5863" s="19"/>
    </row>
    <row r="5864" spans="1:9" s="1" customFormat="1" x14ac:dyDescent="0.2">
      <c r="A5864" s="1" t="s">
        <v>25</v>
      </c>
      <c r="B5864" s="2" t="s">
        <v>406</v>
      </c>
      <c r="C5864" s="5"/>
      <c r="D5864" s="5" t="s">
        <v>464</v>
      </c>
      <c r="E5864" s="3">
        <v>132500</v>
      </c>
      <c r="F5864" s="3" t="s">
        <v>465</v>
      </c>
      <c r="G5864" s="57" t="str">
        <f t="shared" si="94"/>
        <v>-</v>
      </c>
      <c r="H5864" s="19"/>
      <c r="I5864" s="19"/>
    </row>
    <row r="5865" spans="1:9" s="1" customFormat="1" x14ac:dyDescent="0.2">
      <c r="A5865" s="1" t="s">
        <v>25</v>
      </c>
      <c r="B5865" s="2" t="s">
        <v>406</v>
      </c>
      <c r="C5865" s="5"/>
      <c r="D5865" s="5" t="s">
        <v>464</v>
      </c>
      <c r="E5865" s="3" t="s">
        <v>465</v>
      </c>
      <c r="F5865" s="3">
        <v>132500</v>
      </c>
      <c r="G5865" s="57" t="str">
        <f t="shared" si="94"/>
        <v>-</v>
      </c>
      <c r="H5865" s="19"/>
      <c r="I5865" s="19"/>
    </row>
    <row r="5866" spans="1:9" s="1" customFormat="1" x14ac:dyDescent="0.2">
      <c r="A5866" s="1" t="s">
        <v>25</v>
      </c>
      <c r="B5866" s="2" t="s">
        <v>406</v>
      </c>
      <c r="C5866" s="5"/>
      <c r="D5866" s="5" t="s">
        <v>464</v>
      </c>
      <c r="E5866" s="3">
        <v>137500</v>
      </c>
      <c r="F5866" s="3" t="s">
        <v>465</v>
      </c>
      <c r="G5866" s="57" t="str">
        <f t="shared" si="94"/>
        <v>-</v>
      </c>
      <c r="H5866" s="19"/>
      <c r="I5866" s="19"/>
    </row>
    <row r="5867" spans="1:9" s="1" customFormat="1" x14ac:dyDescent="0.2">
      <c r="A5867" s="1" t="s">
        <v>25</v>
      </c>
      <c r="B5867" s="2" t="s">
        <v>406</v>
      </c>
      <c r="C5867" s="5"/>
      <c r="D5867" s="5" t="s">
        <v>464</v>
      </c>
      <c r="E5867" s="3">
        <v>137500</v>
      </c>
      <c r="F5867" s="3" t="s">
        <v>465</v>
      </c>
      <c r="G5867" s="57" t="str">
        <f t="shared" si="94"/>
        <v>-</v>
      </c>
      <c r="H5867" s="19"/>
      <c r="I5867" s="19"/>
    </row>
    <row r="5868" spans="1:9" s="1" customFormat="1" x14ac:dyDescent="0.2">
      <c r="A5868" s="1" t="s">
        <v>25</v>
      </c>
      <c r="B5868" s="2" t="s">
        <v>406</v>
      </c>
      <c r="C5868" s="5"/>
      <c r="D5868" s="5" t="s">
        <v>464</v>
      </c>
      <c r="E5868" s="3" t="s">
        <v>465</v>
      </c>
      <c r="F5868" s="3">
        <v>137500</v>
      </c>
      <c r="G5868" s="57" t="str">
        <f t="shared" si="94"/>
        <v>-</v>
      </c>
      <c r="H5868" s="19"/>
      <c r="I5868" s="19"/>
    </row>
    <row r="5869" spans="1:9" s="1" customFormat="1" x14ac:dyDescent="0.2">
      <c r="A5869" s="1" t="s">
        <v>25</v>
      </c>
      <c r="B5869" s="2" t="s">
        <v>406</v>
      </c>
      <c r="C5869" s="5"/>
      <c r="D5869" s="5" t="s">
        <v>464</v>
      </c>
      <c r="E5869" s="3" t="s">
        <v>465</v>
      </c>
      <c r="F5869" s="3">
        <v>137500</v>
      </c>
      <c r="G5869" s="57" t="str">
        <f t="shared" si="94"/>
        <v>-</v>
      </c>
      <c r="H5869" s="19"/>
      <c r="I5869" s="19"/>
    </row>
    <row r="5870" spans="1:9" s="1" customFormat="1" x14ac:dyDescent="0.2">
      <c r="A5870" s="1" t="s">
        <v>25</v>
      </c>
      <c r="B5870" s="2" t="s">
        <v>406</v>
      </c>
      <c r="C5870" s="5"/>
      <c r="D5870" s="5" t="s">
        <v>464</v>
      </c>
      <c r="E5870" s="3">
        <v>142500</v>
      </c>
      <c r="F5870" s="3" t="s">
        <v>465</v>
      </c>
      <c r="G5870" s="57" t="str">
        <f t="shared" si="94"/>
        <v>-</v>
      </c>
      <c r="H5870" s="19"/>
      <c r="I5870" s="19"/>
    </row>
    <row r="5871" spans="1:9" s="1" customFormat="1" x14ac:dyDescent="0.2">
      <c r="A5871" s="1" t="s">
        <v>25</v>
      </c>
      <c r="B5871" s="2" t="s">
        <v>406</v>
      </c>
      <c r="C5871" s="5"/>
      <c r="D5871" s="5" t="s">
        <v>464</v>
      </c>
      <c r="E5871" s="3">
        <v>142500</v>
      </c>
      <c r="F5871" s="3" t="s">
        <v>465</v>
      </c>
      <c r="G5871" s="57" t="str">
        <f t="shared" si="94"/>
        <v>-</v>
      </c>
      <c r="H5871" s="19"/>
      <c r="I5871" s="19"/>
    </row>
    <row r="5872" spans="1:9" s="1" customFormat="1" x14ac:dyDescent="0.2">
      <c r="A5872" s="1" t="s">
        <v>25</v>
      </c>
      <c r="B5872" s="2" t="s">
        <v>406</v>
      </c>
      <c r="C5872" s="5"/>
      <c r="D5872" s="5" t="s">
        <v>464</v>
      </c>
      <c r="E5872" s="3"/>
      <c r="F5872" s="3"/>
      <c r="G5872" s="57" t="str">
        <f t="shared" si="94"/>
        <v>-</v>
      </c>
      <c r="H5872" s="19">
        <v>92500</v>
      </c>
      <c r="I5872" s="19" t="s">
        <v>465</v>
      </c>
    </row>
    <row r="5873" spans="1:9" s="1" customFormat="1" x14ac:dyDescent="0.2">
      <c r="A5873" s="1" t="s">
        <v>25</v>
      </c>
      <c r="B5873" s="2" t="s">
        <v>406</v>
      </c>
      <c r="C5873" s="5"/>
      <c r="D5873" s="5" t="s">
        <v>464</v>
      </c>
      <c r="E5873" s="3"/>
      <c r="F5873" s="3"/>
      <c r="G5873" s="57" t="str">
        <f t="shared" si="94"/>
        <v>-</v>
      </c>
      <c r="H5873" s="19">
        <v>92500</v>
      </c>
      <c r="I5873" s="19" t="s">
        <v>465</v>
      </c>
    </row>
    <row r="5874" spans="1:9" s="1" customFormat="1" x14ac:dyDescent="0.2">
      <c r="A5874" s="1" t="s">
        <v>25</v>
      </c>
      <c r="B5874" s="2" t="s">
        <v>406</v>
      </c>
      <c r="C5874" s="5"/>
      <c r="D5874" s="5" t="s">
        <v>464</v>
      </c>
      <c r="E5874" s="3"/>
      <c r="F5874" s="3"/>
      <c r="G5874" s="57" t="str">
        <f t="shared" si="94"/>
        <v>-</v>
      </c>
      <c r="H5874" s="19">
        <v>92500</v>
      </c>
      <c r="I5874" s="19" t="s">
        <v>465</v>
      </c>
    </row>
    <row r="5875" spans="1:9" s="1" customFormat="1" x14ac:dyDescent="0.2">
      <c r="A5875" s="1" t="s">
        <v>25</v>
      </c>
      <c r="B5875" s="2" t="s">
        <v>406</v>
      </c>
      <c r="C5875" s="5"/>
      <c r="D5875" s="5" t="s">
        <v>464</v>
      </c>
      <c r="E5875" s="3"/>
      <c r="F5875" s="3"/>
      <c r="G5875" s="57" t="str">
        <f t="shared" si="94"/>
        <v>-</v>
      </c>
      <c r="H5875" s="19">
        <v>92500</v>
      </c>
      <c r="I5875" s="19" t="s">
        <v>465</v>
      </c>
    </row>
    <row r="5876" spans="1:9" s="1" customFormat="1" x14ac:dyDescent="0.2">
      <c r="A5876" s="1" t="s">
        <v>25</v>
      </c>
      <c r="B5876" s="2" t="s">
        <v>406</v>
      </c>
      <c r="C5876" s="5"/>
      <c r="D5876" s="5" t="s">
        <v>464</v>
      </c>
      <c r="E5876" s="3"/>
      <c r="F5876" s="3"/>
      <c r="G5876" s="57" t="str">
        <f t="shared" si="94"/>
        <v>-</v>
      </c>
      <c r="H5876" s="19" t="s">
        <v>465</v>
      </c>
      <c r="I5876" s="19">
        <v>92500</v>
      </c>
    </row>
    <row r="5877" spans="1:9" s="1" customFormat="1" x14ac:dyDescent="0.2">
      <c r="A5877" s="1" t="s">
        <v>25</v>
      </c>
      <c r="B5877" s="2" t="s">
        <v>406</v>
      </c>
      <c r="C5877" s="5"/>
      <c r="D5877" s="5" t="s">
        <v>464</v>
      </c>
      <c r="E5877" s="3"/>
      <c r="F5877" s="3"/>
      <c r="G5877" s="57" t="str">
        <f t="shared" si="94"/>
        <v>-</v>
      </c>
      <c r="H5877" s="19" t="s">
        <v>465</v>
      </c>
      <c r="I5877" s="19">
        <v>92500</v>
      </c>
    </row>
    <row r="5878" spans="1:9" s="1" customFormat="1" x14ac:dyDescent="0.2">
      <c r="A5878" s="1" t="s">
        <v>25</v>
      </c>
      <c r="B5878" s="2" t="s">
        <v>406</v>
      </c>
      <c r="C5878" s="5"/>
      <c r="D5878" s="5" t="s">
        <v>464</v>
      </c>
      <c r="E5878" s="3"/>
      <c r="F5878" s="3"/>
      <c r="G5878" s="57" t="str">
        <f t="shared" si="94"/>
        <v>-</v>
      </c>
      <c r="H5878" s="19" t="s">
        <v>465</v>
      </c>
      <c r="I5878" s="19">
        <v>92500</v>
      </c>
    </row>
    <row r="5879" spans="1:9" s="1" customFormat="1" x14ac:dyDescent="0.2">
      <c r="A5879" s="1" t="s">
        <v>25</v>
      </c>
      <c r="B5879" s="2" t="s">
        <v>406</v>
      </c>
      <c r="C5879" s="5"/>
      <c r="D5879" s="5" t="s">
        <v>464</v>
      </c>
      <c r="E5879" s="3"/>
      <c r="F5879" s="3"/>
      <c r="G5879" s="57" t="str">
        <f t="shared" si="94"/>
        <v>-</v>
      </c>
      <c r="H5879" s="19" t="s">
        <v>465</v>
      </c>
      <c r="I5879" s="19">
        <v>92500</v>
      </c>
    </row>
    <row r="5880" spans="1:9" s="1" customFormat="1" x14ac:dyDescent="0.2">
      <c r="A5880" s="1" t="s">
        <v>25</v>
      </c>
      <c r="B5880" s="2" t="s">
        <v>406</v>
      </c>
      <c r="C5880" s="5"/>
      <c r="D5880" s="5" t="s">
        <v>464</v>
      </c>
      <c r="E5880" s="3"/>
      <c r="F5880" s="3"/>
      <c r="G5880" s="57" t="str">
        <f t="shared" si="94"/>
        <v>-</v>
      </c>
      <c r="H5880" s="19" t="s">
        <v>465</v>
      </c>
      <c r="I5880" s="19">
        <v>92500</v>
      </c>
    </row>
    <row r="5881" spans="1:9" s="1" customFormat="1" x14ac:dyDescent="0.2">
      <c r="A5881" s="1" t="s">
        <v>25</v>
      </c>
      <c r="B5881" s="2" t="s">
        <v>406</v>
      </c>
      <c r="C5881" s="5"/>
      <c r="D5881" s="5" t="s">
        <v>464</v>
      </c>
      <c r="E5881" s="3"/>
      <c r="F5881" s="3"/>
      <c r="G5881" s="57" t="str">
        <f t="shared" si="94"/>
        <v>-</v>
      </c>
      <c r="H5881" s="19">
        <v>97500</v>
      </c>
      <c r="I5881" s="19" t="s">
        <v>465</v>
      </c>
    </row>
    <row r="5882" spans="1:9" s="1" customFormat="1" x14ac:dyDescent="0.2">
      <c r="A5882" s="1" t="s">
        <v>25</v>
      </c>
      <c r="B5882" s="2" t="s">
        <v>406</v>
      </c>
      <c r="C5882" s="5"/>
      <c r="D5882" s="5" t="s">
        <v>464</v>
      </c>
      <c r="E5882" s="3"/>
      <c r="F5882" s="3"/>
      <c r="G5882" s="57" t="str">
        <f t="shared" si="94"/>
        <v>-</v>
      </c>
      <c r="H5882" s="19">
        <v>97500</v>
      </c>
      <c r="I5882" s="19" t="s">
        <v>465</v>
      </c>
    </row>
    <row r="5883" spans="1:9" s="1" customFormat="1" x14ac:dyDescent="0.2">
      <c r="A5883" s="1" t="s">
        <v>25</v>
      </c>
      <c r="B5883" s="2" t="s">
        <v>406</v>
      </c>
      <c r="C5883" s="5"/>
      <c r="D5883" s="5" t="s">
        <v>464</v>
      </c>
      <c r="E5883" s="3"/>
      <c r="F5883" s="3"/>
      <c r="G5883" s="57" t="str">
        <f t="shared" si="94"/>
        <v>-</v>
      </c>
      <c r="H5883" s="19">
        <v>97500</v>
      </c>
      <c r="I5883" s="19" t="s">
        <v>465</v>
      </c>
    </row>
    <row r="5884" spans="1:9" s="1" customFormat="1" x14ac:dyDescent="0.2">
      <c r="A5884" s="1" t="s">
        <v>25</v>
      </c>
      <c r="B5884" s="2" t="s">
        <v>406</v>
      </c>
      <c r="C5884" s="5"/>
      <c r="D5884" s="5" t="s">
        <v>464</v>
      </c>
      <c r="E5884" s="3"/>
      <c r="F5884" s="3"/>
      <c r="G5884" s="57" t="str">
        <f t="shared" ref="G5884:G5947" si="95">IF(ISERROR((F5884-E5884)/E5884),"-",(F5884-E5884)/E5884)</f>
        <v>-</v>
      </c>
      <c r="H5884" s="19">
        <v>97500</v>
      </c>
      <c r="I5884" s="19" t="s">
        <v>465</v>
      </c>
    </row>
    <row r="5885" spans="1:9" s="1" customFormat="1" x14ac:dyDescent="0.2">
      <c r="A5885" s="1" t="s">
        <v>25</v>
      </c>
      <c r="B5885" s="2" t="s">
        <v>406</v>
      </c>
      <c r="C5885" s="5"/>
      <c r="D5885" s="5" t="s">
        <v>464</v>
      </c>
      <c r="E5885" s="3"/>
      <c r="F5885" s="3"/>
      <c r="G5885" s="57" t="str">
        <f t="shared" si="95"/>
        <v>-</v>
      </c>
      <c r="H5885" s="19">
        <v>97500</v>
      </c>
      <c r="I5885" s="19" t="s">
        <v>465</v>
      </c>
    </row>
    <row r="5886" spans="1:9" s="1" customFormat="1" x14ac:dyDescent="0.2">
      <c r="A5886" s="1" t="s">
        <v>25</v>
      </c>
      <c r="B5886" s="2" t="s">
        <v>406</v>
      </c>
      <c r="C5886" s="5"/>
      <c r="D5886" s="5" t="s">
        <v>464</v>
      </c>
      <c r="E5886" s="3"/>
      <c r="F5886" s="3"/>
      <c r="G5886" s="57" t="str">
        <f t="shared" si="95"/>
        <v>-</v>
      </c>
      <c r="H5886" s="19">
        <v>97500</v>
      </c>
      <c r="I5886" s="19" t="s">
        <v>465</v>
      </c>
    </row>
    <row r="5887" spans="1:9" s="1" customFormat="1" x14ac:dyDescent="0.2">
      <c r="A5887" s="1" t="s">
        <v>25</v>
      </c>
      <c r="B5887" s="2" t="s">
        <v>406</v>
      </c>
      <c r="C5887" s="5"/>
      <c r="D5887" s="5" t="s">
        <v>464</v>
      </c>
      <c r="E5887" s="3"/>
      <c r="F5887" s="3"/>
      <c r="G5887" s="57" t="str">
        <f t="shared" si="95"/>
        <v>-</v>
      </c>
      <c r="H5887" s="19" t="s">
        <v>465</v>
      </c>
      <c r="I5887" s="19">
        <v>97500</v>
      </c>
    </row>
    <row r="5888" spans="1:9" s="1" customFormat="1" x14ac:dyDescent="0.2">
      <c r="A5888" s="1" t="s">
        <v>25</v>
      </c>
      <c r="B5888" s="2" t="s">
        <v>406</v>
      </c>
      <c r="C5888" s="5"/>
      <c r="D5888" s="5" t="s">
        <v>464</v>
      </c>
      <c r="E5888" s="3"/>
      <c r="F5888" s="3"/>
      <c r="G5888" s="57" t="str">
        <f t="shared" si="95"/>
        <v>-</v>
      </c>
      <c r="H5888" s="19" t="s">
        <v>465</v>
      </c>
      <c r="I5888" s="19">
        <v>97500</v>
      </c>
    </row>
    <row r="5889" spans="1:10" x14ac:dyDescent="0.2">
      <c r="A5889" s="1" t="s">
        <v>25</v>
      </c>
      <c r="B5889" s="2" t="s">
        <v>406</v>
      </c>
      <c r="D5889" s="5" t="s">
        <v>464</v>
      </c>
      <c r="G5889" s="57" t="str">
        <f t="shared" si="95"/>
        <v>-</v>
      </c>
      <c r="H5889" s="19" t="s">
        <v>465</v>
      </c>
      <c r="I5889" s="19">
        <v>97500</v>
      </c>
    </row>
    <row r="5890" spans="1:10" x14ac:dyDescent="0.2">
      <c r="A5890" s="1" t="s">
        <v>25</v>
      </c>
      <c r="B5890" s="2" t="s">
        <v>406</v>
      </c>
      <c r="D5890" s="5" t="s">
        <v>464</v>
      </c>
      <c r="G5890" s="57" t="str">
        <f t="shared" si="95"/>
        <v>-</v>
      </c>
      <c r="H5890" s="19" t="s">
        <v>465</v>
      </c>
      <c r="I5890" s="19">
        <v>97500</v>
      </c>
    </row>
    <row r="5891" spans="1:10" ht="25.5" x14ac:dyDescent="0.2">
      <c r="A5891" s="1" t="s">
        <v>6</v>
      </c>
      <c r="B5891" s="2" t="s">
        <v>407</v>
      </c>
      <c r="C5891" s="5" t="s">
        <v>605</v>
      </c>
      <c r="D5891" s="5" t="s">
        <v>450</v>
      </c>
      <c r="E5891" s="3">
        <v>191000</v>
      </c>
      <c r="F5891" s="3">
        <v>198519</v>
      </c>
      <c r="G5891" s="57">
        <f t="shared" si="95"/>
        <v>3.9366492146596856E-2</v>
      </c>
      <c r="J5891" s="5" t="s">
        <v>2392</v>
      </c>
    </row>
    <row r="5892" spans="1:10" ht="25.5" x14ac:dyDescent="0.2">
      <c r="A5892" s="1" t="s">
        <v>6</v>
      </c>
      <c r="B5892" s="2" t="s">
        <v>407</v>
      </c>
      <c r="D5892" s="5" t="s">
        <v>606</v>
      </c>
      <c r="E5892" s="3">
        <v>36000</v>
      </c>
      <c r="F5892" s="3">
        <v>146091</v>
      </c>
      <c r="G5892" s="57">
        <f t="shared" si="95"/>
        <v>3.0580833333333333</v>
      </c>
      <c r="J5892" s="5" t="s">
        <v>4525</v>
      </c>
    </row>
    <row r="5893" spans="1:10" ht="25.5" x14ac:dyDescent="0.2">
      <c r="A5893" s="1" t="s">
        <v>6</v>
      </c>
      <c r="B5893" s="2" t="s">
        <v>407</v>
      </c>
      <c r="D5893" s="5" t="s">
        <v>607</v>
      </c>
      <c r="E5893" s="3">
        <v>133000</v>
      </c>
      <c r="F5893" s="3">
        <v>144026</v>
      </c>
      <c r="G5893" s="57">
        <f t="shared" si="95"/>
        <v>8.2902255639097741E-2</v>
      </c>
      <c r="J5893" s="5" t="s">
        <v>2393</v>
      </c>
    </row>
    <row r="5894" spans="1:10" ht="38.25" x14ac:dyDescent="0.2">
      <c r="A5894" s="1" t="s">
        <v>6</v>
      </c>
      <c r="B5894" s="2" t="s">
        <v>407</v>
      </c>
      <c r="D5894" s="5" t="s">
        <v>608</v>
      </c>
      <c r="E5894" s="3">
        <v>78000</v>
      </c>
      <c r="F5894" s="3">
        <v>136600</v>
      </c>
      <c r="G5894" s="57">
        <f t="shared" si="95"/>
        <v>0.75128205128205128</v>
      </c>
      <c r="J5894" s="5" t="s">
        <v>4526</v>
      </c>
    </row>
    <row r="5895" spans="1:10" ht="25.5" x14ac:dyDescent="0.2">
      <c r="A5895" s="1" t="s">
        <v>6</v>
      </c>
      <c r="B5895" s="2" t="s">
        <v>407</v>
      </c>
      <c r="D5895" s="5" t="s">
        <v>451</v>
      </c>
      <c r="E5895" s="3">
        <v>63000</v>
      </c>
      <c r="F5895" s="3">
        <v>131811</v>
      </c>
      <c r="G5895" s="57">
        <f t="shared" si="95"/>
        <v>1.0922380952380952</v>
      </c>
      <c r="J5895" s="5" t="s">
        <v>4527</v>
      </c>
    </row>
    <row r="5896" spans="1:10" ht="25.5" x14ac:dyDescent="0.2">
      <c r="A5896" s="1" t="s">
        <v>6</v>
      </c>
      <c r="B5896" s="2" t="s">
        <v>407</v>
      </c>
      <c r="D5896" s="5" t="s">
        <v>462</v>
      </c>
      <c r="E5896" s="3">
        <v>112000</v>
      </c>
      <c r="F5896" s="3">
        <v>123777</v>
      </c>
      <c r="G5896" s="57">
        <f t="shared" si="95"/>
        <v>0.10515178571428571</v>
      </c>
      <c r="J5896" s="5" t="s">
        <v>2394</v>
      </c>
    </row>
    <row r="5897" spans="1:10" ht="25.5" x14ac:dyDescent="0.2">
      <c r="A5897" s="1" t="s">
        <v>6</v>
      </c>
      <c r="B5897" s="2" t="s">
        <v>407</v>
      </c>
      <c r="D5897" s="5" t="s">
        <v>609</v>
      </c>
      <c r="E5897" s="3">
        <v>106000</v>
      </c>
      <c r="F5897" s="3">
        <v>107265</v>
      </c>
      <c r="G5897" s="57">
        <f t="shared" si="95"/>
        <v>1.1933962264150944E-2</v>
      </c>
      <c r="J5897" s="5" t="s">
        <v>2395</v>
      </c>
    </row>
    <row r="5898" spans="1:10" ht="25.5" x14ac:dyDescent="0.2">
      <c r="A5898" s="1" t="s">
        <v>6</v>
      </c>
      <c r="B5898" s="2" t="s">
        <v>407</v>
      </c>
      <c r="D5898" s="5" t="s">
        <v>610</v>
      </c>
      <c r="E5898" s="3">
        <v>106000</v>
      </c>
      <c r="F5898" s="3">
        <v>106364</v>
      </c>
      <c r="G5898" s="57">
        <f t="shared" si="95"/>
        <v>3.4339622641509433E-3</v>
      </c>
      <c r="J5898" s="5" t="s">
        <v>2396</v>
      </c>
    </row>
    <row r="5899" spans="1:10" ht="25.5" x14ac:dyDescent="0.2">
      <c r="A5899" s="1" t="s">
        <v>6</v>
      </c>
      <c r="B5899" s="2" t="s">
        <v>407</v>
      </c>
      <c r="D5899" s="5" t="s">
        <v>611</v>
      </c>
      <c r="E5899" s="3">
        <v>2000</v>
      </c>
      <c r="F5899" s="3">
        <v>103859</v>
      </c>
      <c r="G5899" s="57">
        <f t="shared" si="95"/>
        <v>50.929499999999997</v>
      </c>
      <c r="J5899" s="5" t="s">
        <v>4528</v>
      </c>
    </row>
    <row r="5900" spans="1:10" ht="25.5" x14ac:dyDescent="0.2">
      <c r="A5900" s="1" t="s">
        <v>6</v>
      </c>
      <c r="B5900" s="2" t="s">
        <v>407</v>
      </c>
      <c r="D5900" s="5" t="s">
        <v>612</v>
      </c>
      <c r="E5900" s="3">
        <v>100000</v>
      </c>
      <c r="F5900" s="3">
        <v>103036</v>
      </c>
      <c r="G5900" s="57">
        <f t="shared" si="95"/>
        <v>3.0360000000000002E-2</v>
      </c>
      <c r="J5900" s="5" t="s">
        <v>2397</v>
      </c>
    </row>
    <row r="5901" spans="1:10" ht="25.5" x14ac:dyDescent="0.2">
      <c r="A5901" s="1" t="s">
        <v>6</v>
      </c>
      <c r="B5901" s="2" t="s">
        <v>407</v>
      </c>
      <c r="D5901" s="5" t="s">
        <v>613</v>
      </c>
      <c r="E5901" s="3">
        <v>87000</v>
      </c>
      <c r="F5901" s="3">
        <v>102578</v>
      </c>
      <c r="G5901" s="57">
        <f t="shared" si="95"/>
        <v>0.17905747126436783</v>
      </c>
      <c r="J5901" s="5" t="s">
        <v>4529</v>
      </c>
    </row>
    <row r="5902" spans="1:10" ht="25.5" x14ac:dyDescent="0.2">
      <c r="A5902" s="1" t="s">
        <v>6</v>
      </c>
      <c r="B5902" s="2" t="s">
        <v>407</v>
      </c>
      <c r="D5902" s="5" t="s">
        <v>614</v>
      </c>
      <c r="E5902" s="3">
        <v>98000</v>
      </c>
      <c r="F5902" s="3">
        <v>102199</v>
      </c>
      <c r="G5902" s="57">
        <f t="shared" si="95"/>
        <v>4.2846938775510206E-2</v>
      </c>
      <c r="J5902" s="5" t="s">
        <v>2398</v>
      </c>
    </row>
    <row r="5903" spans="1:10" ht="25.5" x14ac:dyDescent="0.2">
      <c r="A5903" s="1" t="s">
        <v>6</v>
      </c>
      <c r="B5903" s="2" t="s">
        <v>407</v>
      </c>
      <c r="D5903" s="5" t="s">
        <v>2399</v>
      </c>
      <c r="E5903" s="3">
        <v>95000</v>
      </c>
      <c r="F5903" s="3">
        <v>101349</v>
      </c>
      <c r="G5903" s="57">
        <f t="shared" si="95"/>
        <v>6.6831578947368422E-2</v>
      </c>
      <c r="J5903" s="5" t="s">
        <v>2400</v>
      </c>
    </row>
    <row r="5904" spans="1:10" ht="38.25" x14ac:dyDescent="0.2">
      <c r="A5904" s="1" t="s">
        <v>6</v>
      </c>
      <c r="B5904" s="2" t="s">
        <v>407</v>
      </c>
      <c r="D5904" s="5" t="s">
        <v>615</v>
      </c>
      <c r="E5904" s="3">
        <v>102000</v>
      </c>
      <c r="F5904" s="3">
        <v>105187</v>
      </c>
      <c r="G5904" s="57">
        <f t="shared" si="95"/>
        <v>3.1245098039215685E-2</v>
      </c>
      <c r="J5904" s="5" t="s">
        <v>4535</v>
      </c>
    </row>
    <row r="5905" spans="1:10" ht="38.25" x14ac:dyDescent="0.2">
      <c r="A5905" s="1" t="s">
        <v>6</v>
      </c>
      <c r="B5905" s="2" t="s">
        <v>407</v>
      </c>
      <c r="D5905" s="5" t="s">
        <v>616</v>
      </c>
      <c r="E5905" s="3">
        <v>106000</v>
      </c>
      <c r="F5905" s="3">
        <v>178741</v>
      </c>
      <c r="G5905" s="57">
        <f t="shared" si="95"/>
        <v>0.68623584905660373</v>
      </c>
      <c r="J5905" s="5" t="s">
        <v>4534</v>
      </c>
    </row>
    <row r="5906" spans="1:10" x14ac:dyDescent="0.2">
      <c r="A5906" s="1" t="s">
        <v>6</v>
      </c>
      <c r="B5906" s="2" t="s">
        <v>407</v>
      </c>
      <c r="D5906" s="5" t="s">
        <v>2386</v>
      </c>
      <c r="E5906" s="3">
        <v>113000</v>
      </c>
      <c r="F5906" s="3" t="s">
        <v>465</v>
      </c>
      <c r="G5906" s="57" t="str">
        <f t="shared" si="95"/>
        <v>-</v>
      </c>
      <c r="J5906" s="5" t="s">
        <v>4532</v>
      </c>
    </row>
    <row r="5907" spans="1:10" x14ac:dyDescent="0.2">
      <c r="A5907" s="1" t="s">
        <v>6</v>
      </c>
      <c r="B5907" s="2" t="s">
        <v>407</v>
      </c>
      <c r="D5907" s="5" t="s">
        <v>2387</v>
      </c>
      <c r="E5907" s="3">
        <v>141000</v>
      </c>
      <c r="F5907" s="3" t="s">
        <v>465</v>
      </c>
      <c r="G5907" s="57" t="str">
        <f t="shared" si="95"/>
        <v>-</v>
      </c>
      <c r="J5907" s="5" t="s">
        <v>4533</v>
      </c>
    </row>
    <row r="5908" spans="1:10" ht="25.5" x14ac:dyDescent="0.2">
      <c r="A5908" s="1" t="s">
        <v>6</v>
      </c>
      <c r="B5908" s="2" t="s">
        <v>407</v>
      </c>
      <c r="D5908" s="5" t="s">
        <v>2388</v>
      </c>
      <c r="E5908" s="3">
        <v>144000</v>
      </c>
      <c r="F5908" s="3" t="s">
        <v>465</v>
      </c>
      <c r="G5908" s="57" t="str">
        <f t="shared" si="95"/>
        <v>-</v>
      </c>
      <c r="J5908" s="5" t="s">
        <v>4530</v>
      </c>
    </row>
    <row r="5909" spans="1:10" ht="25.5" x14ac:dyDescent="0.2">
      <c r="A5909" s="1" t="s">
        <v>6</v>
      </c>
      <c r="B5909" s="2" t="s">
        <v>407</v>
      </c>
      <c r="D5909" s="5" t="s">
        <v>2389</v>
      </c>
      <c r="E5909" s="3">
        <v>242000</v>
      </c>
      <c r="F5909" s="3" t="s">
        <v>465</v>
      </c>
      <c r="G5909" s="57" t="str">
        <f t="shared" si="95"/>
        <v>-</v>
      </c>
      <c r="J5909" s="5" t="s">
        <v>3759</v>
      </c>
    </row>
    <row r="5910" spans="1:10" ht="25.5" x14ac:dyDescent="0.2">
      <c r="A5910" s="1" t="s">
        <v>6</v>
      </c>
      <c r="B5910" s="2" t="s">
        <v>407</v>
      </c>
      <c r="D5910" s="5" t="s">
        <v>2390</v>
      </c>
      <c r="E5910" s="3">
        <v>202000</v>
      </c>
      <c r="F5910" s="3" t="s">
        <v>465</v>
      </c>
      <c r="G5910" s="57" t="str">
        <f t="shared" si="95"/>
        <v>-</v>
      </c>
      <c r="J5910" s="5" t="s">
        <v>4531</v>
      </c>
    </row>
    <row r="5911" spans="1:10" ht="25.5" x14ac:dyDescent="0.2">
      <c r="A5911" s="1" t="s">
        <v>6</v>
      </c>
      <c r="B5911" s="2" t="s">
        <v>407</v>
      </c>
      <c r="D5911" s="5" t="s">
        <v>2391</v>
      </c>
      <c r="E5911" s="3">
        <v>132000</v>
      </c>
      <c r="F5911" s="3" t="s">
        <v>465</v>
      </c>
      <c r="G5911" s="57" t="str">
        <f t="shared" si="95"/>
        <v>-</v>
      </c>
      <c r="J5911" s="5" t="s">
        <v>4389</v>
      </c>
    </row>
    <row r="5912" spans="1:10" x14ac:dyDescent="0.2">
      <c r="A5912" s="1" t="s">
        <v>6</v>
      </c>
      <c r="B5912" s="2" t="s">
        <v>407</v>
      </c>
      <c r="D5912" s="5" t="s">
        <v>464</v>
      </c>
      <c r="E5912" s="3">
        <v>102500</v>
      </c>
      <c r="F5912" s="3" t="s">
        <v>465</v>
      </c>
      <c r="G5912" s="57" t="str">
        <f t="shared" si="95"/>
        <v>-</v>
      </c>
      <c r="J5912" s="5" t="s">
        <v>651</v>
      </c>
    </row>
    <row r="5913" spans="1:10" x14ac:dyDescent="0.2">
      <c r="A5913" s="1" t="s">
        <v>6</v>
      </c>
      <c r="B5913" s="2" t="s">
        <v>407</v>
      </c>
      <c r="D5913" s="5" t="s">
        <v>464</v>
      </c>
      <c r="E5913" s="3">
        <v>107500</v>
      </c>
      <c r="F5913" s="3" t="s">
        <v>465</v>
      </c>
      <c r="G5913" s="57" t="str">
        <f t="shared" si="95"/>
        <v>-</v>
      </c>
      <c r="J5913" s="5" t="s">
        <v>651</v>
      </c>
    </row>
    <row r="5914" spans="1:10" x14ac:dyDescent="0.2">
      <c r="A5914" s="1" t="s">
        <v>6</v>
      </c>
      <c r="B5914" s="2" t="s">
        <v>407</v>
      </c>
      <c r="D5914" s="5" t="s">
        <v>464</v>
      </c>
      <c r="E5914" s="3">
        <v>107500</v>
      </c>
      <c r="F5914" s="3" t="s">
        <v>465</v>
      </c>
      <c r="G5914" s="57" t="str">
        <f t="shared" si="95"/>
        <v>-</v>
      </c>
      <c r="J5914" s="5" t="s">
        <v>651</v>
      </c>
    </row>
    <row r="5915" spans="1:10" x14ac:dyDescent="0.2">
      <c r="A5915" s="1" t="s">
        <v>6</v>
      </c>
      <c r="B5915" s="2" t="s">
        <v>407</v>
      </c>
      <c r="D5915" s="5" t="s">
        <v>464</v>
      </c>
      <c r="E5915" s="3">
        <v>107500</v>
      </c>
      <c r="F5915" s="3" t="s">
        <v>465</v>
      </c>
      <c r="G5915" s="57" t="str">
        <f t="shared" si="95"/>
        <v>-</v>
      </c>
      <c r="J5915" s="5" t="s">
        <v>651</v>
      </c>
    </row>
    <row r="5916" spans="1:10" x14ac:dyDescent="0.2">
      <c r="A5916" s="1" t="s">
        <v>6</v>
      </c>
      <c r="B5916" s="2" t="s">
        <v>407</v>
      </c>
      <c r="D5916" s="5" t="s">
        <v>464</v>
      </c>
      <c r="E5916" s="3">
        <v>107500</v>
      </c>
      <c r="F5916" s="3" t="s">
        <v>465</v>
      </c>
      <c r="G5916" s="57" t="str">
        <f t="shared" si="95"/>
        <v>-</v>
      </c>
      <c r="J5916" s="5" t="s">
        <v>651</v>
      </c>
    </row>
    <row r="5917" spans="1:10" x14ac:dyDescent="0.2">
      <c r="A5917" s="1" t="s">
        <v>6</v>
      </c>
      <c r="B5917" s="2" t="s">
        <v>407</v>
      </c>
      <c r="D5917" s="5" t="s">
        <v>464</v>
      </c>
      <c r="E5917" s="3">
        <v>112500</v>
      </c>
      <c r="F5917" s="3" t="s">
        <v>465</v>
      </c>
      <c r="G5917" s="57" t="str">
        <f t="shared" si="95"/>
        <v>-</v>
      </c>
      <c r="J5917" s="5" t="s">
        <v>651</v>
      </c>
    </row>
    <row r="5918" spans="1:10" x14ac:dyDescent="0.2">
      <c r="A5918" s="1" t="s">
        <v>6</v>
      </c>
      <c r="B5918" s="2" t="s">
        <v>407</v>
      </c>
      <c r="D5918" s="5" t="s">
        <v>464</v>
      </c>
      <c r="E5918" s="3">
        <v>112500</v>
      </c>
      <c r="F5918" s="3" t="s">
        <v>465</v>
      </c>
      <c r="G5918" s="57" t="str">
        <f t="shared" si="95"/>
        <v>-</v>
      </c>
      <c r="J5918" s="5" t="s">
        <v>651</v>
      </c>
    </row>
    <row r="5919" spans="1:10" x14ac:dyDescent="0.2">
      <c r="A5919" s="1" t="s">
        <v>6</v>
      </c>
      <c r="B5919" s="2" t="s">
        <v>407</v>
      </c>
      <c r="D5919" s="5" t="s">
        <v>464</v>
      </c>
      <c r="E5919" s="3">
        <v>117500</v>
      </c>
      <c r="F5919" s="3" t="s">
        <v>465</v>
      </c>
      <c r="G5919" s="57" t="str">
        <f t="shared" si="95"/>
        <v>-</v>
      </c>
      <c r="J5919" s="5" t="s">
        <v>651</v>
      </c>
    </row>
    <row r="5920" spans="1:10" x14ac:dyDescent="0.2">
      <c r="A5920" s="1" t="s">
        <v>6</v>
      </c>
      <c r="B5920" s="2" t="s">
        <v>407</v>
      </c>
      <c r="D5920" s="5" t="s">
        <v>464</v>
      </c>
      <c r="E5920" s="3">
        <v>132500</v>
      </c>
      <c r="F5920" s="3" t="s">
        <v>465</v>
      </c>
      <c r="G5920" s="57" t="str">
        <f t="shared" si="95"/>
        <v>-</v>
      </c>
      <c r="J5920" s="5" t="s">
        <v>651</v>
      </c>
    </row>
    <row r="5921" spans="1:10" x14ac:dyDescent="0.2">
      <c r="A5921" s="1" t="s">
        <v>6</v>
      </c>
      <c r="B5921" s="2" t="s">
        <v>407</v>
      </c>
      <c r="D5921" s="5" t="s">
        <v>464</v>
      </c>
      <c r="E5921" s="3">
        <v>137500</v>
      </c>
      <c r="F5921" s="3" t="s">
        <v>465</v>
      </c>
      <c r="G5921" s="57" t="str">
        <f t="shared" si="95"/>
        <v>-</v>
      </c>
      <c r="J5921" s="5" t="s">
        <v>651</v>
      </c>
    </row>
    <row r="5922" spans="1:10" x14ac:dyDescent="0.2">
      <c r="A5922" s="1" t="s">
        <v>6</v>
      </c>
      <c r="B5922" s="2" t="s">
        <v>407</v>
      </c>
      <c r="D5922" s="5" t="s">
        <v>464</v>
      </c>
      <c r="E5922" s="3">
        <v>137500</v>
      </c>
      <c r="F5922" s="3" t="s">
        <v>465</v>
      </c>
      <c r="G5922" s="57" t="str">
        <f t="shared" si="95"/>
        <v>-</v>
      </c>
      <c r="J5922" s="5" t="s">
        <v>651</v>
      </c>
    </row>
    <row r="5923" spans="1:10" x14ac:dyDescent="0.2">
      <c r="A5923" s="1" t="s">
        <v>6</v>
      </c>
      <c r="B5923" s="2" t="s">
        <v>407</v>
      </c>
      <c r="D5923" s="5" t="s">
        <v>464</v>
      </c>
      <c r="E5923" s="3">
        <v>147500</v>
      </c>
      <c r="F5923" s="3" t="s">
        <v>465</v>
      </c>
      <c r="G5923" s="57" t="str">
        <f t="shared" si="95"/>
        <v>-</v>
      </c>
      <c r="J5923" s="5" t="s">
        <v>651</v>
      </c>
    </row>
    <row r="5924" spans="1:10" x14ac:dyDescent="0.2">
      <c r="A5924" s="1" t="s">
        <v>6</v>
      </c>
      <c r="B5924" s="2" t="s">
        <v>407</v>
      </c>
      <c r="D5924" s="5" t="s">
        <v>464</v>
      </c>
      <c r="E5924" s="3">
        <v>152500</v>
      </c>
      <c r="F5924" s="3" t="s">
        <v>465</v>
      </c>
      <c r="G5924" s="57" t="str">
        <f t="shared" si="95"/>
        <v>-</v>
      </c>
      <c r="J5924" s="5" t="s">
        <v>651</v>
      </c>
    </row>
    <row r="5925" spans="1:10" x14ac:dyDescent="0.2">
      <c r="A5925" s="1" t="s">
        <v>6</v>
      </c>
      <c r="B5925" s="2" t="s">
        <v>407</v>
      </c>
      <c r="D5925" s="5" t="s">
        <v>464</v>
      </c>
      <c r="E5925" s="3">
        <v>222500</v>
      </c>
      <c r="F5925" s="3" t="s">
        <v>465</v>
      </c>
      <c r="G5925" s="57" t="str">
        <f t="shared" si="95"/>
        <v>-</v>
      </c>
      <c r="J5925" s="5" t="s">
        <v>651</v>
      </c>
    </row>
    <row r="5926" spans="1:10" x14ac:dyDescent="0.2">
      <c r="A5926" s="1" t="s">
        <v>6</v>
      </c>
      <c r="B5926" s="2" t="s">
        <v>407</v>
      </c>
      <c r="D5926" s="5" t="s">
        <v>464</v>
      </c>
      <c r="E5926" s="3">
        <v>112500</v>
      </c>
      <c r="F5926" s="3" t="s">
        <v>465</v>
      </c>
      <c r="G5926" s="57" t="str">
        <f t="shared" si="95"/>
        <v>-</v>
      </c>
      <c r="J5926" s="5" t="s">
        <v>652</v>
      </c>
    </row>
    <row r="5927" spans="1:10" x14ac:dyDescent="0.2">
      <c r="A5927" s="1" t="s">
        <v>6</v>
      </c>
      <c r="B5927" s="2" t="s">
        <v>407</v>
      </c>
      <c r="D5927" s="5" t="s">
        <v>464</v>
      </c>
      <c r="E5927" s="3">
        <v>152500</v>
      </c>
      <c r="F5927" s="3" t="s">
        <v>465</v>
      </c>
      <c r="G5927" s="57" t="str">
        <f t="shared" si="95"/>
        <v>-</v>
      </c>
      <c r="J5927" s="5" t="s">
        <v>652</v>
      </c>
    </row>
    <row r="5928" spans="1:10" x14ac:dyDescent="0.2">
      <c r="A5928" s="1" t="s">
        <v>6</v>
      </c>
      <c r="B5928" s="2" t="s">
        <v>407</v>
      </c>
      <c r="D5928" s="5" t="s">
        <v>464</v>
      </c>
      <c r="E5928" s="3">
        <v>152500</v>
      </c>
      <c r="F5928" s="3" t="s">
        <v>465</v>
      </c>
      <c r="G5928" s="57" t="str">
        <f t="shared" si="95"/>
        <v>-</v>
      </c>
      <c r="J5928" s="5" t="s">
        <v>652</v>
      </c>
    </row>
    <row r="5929" spans="1:10" x14ac:dyDescent="0.2">
      <c r="A5929" s="1" t="s">
        <v>6</v>
      </c>
      <c r="B5929" s="2" t="s">
        <v>407</v>
      </c>
      <c r="D5929" s="5" t="s">
        <v>464</v>
      </c>
      <c r="E5929" s="3">
        <v>182500</v>
      </c>
      <c r="F5929" s="3" t="s">
        <v>465</v>
      </c>
      <c r="G5929" s="57" t="str">
        <f t="shared" si="95"/>
        <v>-</v>
      </c>
      <c r="J5929" s="5" t="s">
        <v>652</v>
      </c>
    </row>
    <row r="5930" spans="1:10" x14ac:dyDescent="0.2">
      <c r="A5930" s="1" t="s">
        <v>6</v>
      </c>
      <c r="B5930" s="2" t="s">
        <v>407</v>
      </c>
      <c r="D5930" s="5" t="s">
        <v>464</v>
      </c>
      <c r="E5930" s="3" t="s">
        <v>465</v>
      </c>
      <c r="F5930" s="3">
        <v>102500</v>
      </c>
      <c r="G5930" s="57" t="str">
        <f t="shared" si="95"/>
        <v>-</v>
      </c>
      <c r="J5930" s="5" t="s">
        <v>651</v>
      </c>
    </row>
    <row r="5931" spans="1:10" x14ac:dyDescent="0.2">
      <c r="A5931" s="1" t="s">
        <v>6</v>
      </c>
      <c r="B5931" s="2" t="s">
        <v>407</v>
      </c>
      <c r="D5931" s="5" t="s">
        <v>464</v>
      </c>
      <c r="E5931" s="3" t="s">
        <v>465</v>
      </c>
      <c r="F5931" s="3">
        <v>102500</v>
      </c>
      <c r="G5931" s="57" t="str">
        <f t="shared" si="95"/>
        <v>-</v>
      </c>
      <c r="J5931" s="5" t="s">
        <v>651</v>
      </c>
    </row>
    <row r="5932" spans="1:10" x14ac:dyDescent="0.2">
      <c r="A5932" s="1" t="s">
        <v>6</v>
      </c>
      <c r="B5932" s="2" t="s">
        <v>407</v>
      </c>
      <c r="D5932" s="5" t="s">
        <v>464</v>
      </c>
      <c r="E5932" s="3" t="s">
        <v>465</v>
      </c>
      <c r="F5932" s="3">
        <v>102500</v>
      </c>
      <c r="G5932" s="57" t="str">
        <f t="shared" si="95"/>
        <v>-</v>
      </c>
      <c r="J5932" s="5" t="s">
        <v>651</v>
      </c>
    </row>
    <row r="5933" spans="1:10" x14ac:dyDescent="0.2">
      <c r="A5933" s="1" t="s">
        <v>6</v>
      </c>
      <c r="B5933" s="2" t="s">
        <v>407</v>
      </c>
      <c r="D5933" s="5" t="s">
        <v>464</v>
      </c>
      <c r="E5933" s="3" t="s">
        <v>465</v>
      </c>
      <c r="F5933" s="3">
        <v>102500</v>
      </c>
      <c r="G5933" s="57" t="str">
        <f t="shared" si="95"/>
        <v>-</v>
      </c>
      <c r="J5933" s="5" t="s">
        <v>651</v>
      </c>
    </row>
    <row r="5934" spans="1:10" x14ac:dyDescent="0.2">
      <c r="A5934" s="1" t="s">
        <v>6</v>
      </c>
      <c r="B5934" s="2" t="s">
        <v>407</v>
      </c>
      <c r="D5934" s="5" t="s">
        <v>464</v>
      </c>
      <c r="E5934" s="3" t="s">
        <v>465</v>
      </c>
      <c r="F5934" s="3">
        <v>112500</v>
      </c>
      <c r="G5934" s="57" t="str">
        <f t="shared" si="95"/>
        <v>-</v>
      </c>
      <c r="J5934" s="5" t="s">
        <v>651</v>
      </c>
    </row>
    <row r="5935" spans="1:10" x14ac:dyDescent="0.2">
      <c r="A5935" s="1" t="s">
        <v>6</v>
      </c>
      <c r="B5935" s="2" t="s">
        <v>407</v>
      </c>
      <c r="D5935" s="5" t="s">
        <v>464</v>
      </c>
      <c r="E5935" s="3" t="s">
        <v>465</v>
      </c>
      <c r="F5935" s="3">
        <v>112500</v>
      </c>
      <c r="G5935" s="57" t="str">
        <f t="shared" si="95"/>
        <v>-</v>
      </c>
      <c r="J5935" s="5" t="s">
        <v>651</v>
      </c>
    </row>
    <row r="5936" spans="1:10" x14ac:dyDescent="0.2">
      <c r="A5936" s="1" t="s">
        <v>6</v>
      </c>
      <c r="B5936" s="2" t="s">
        <v>407</v>
      </c>
      <c r="D5936" s="5" t="s">
        <v>464</v>
      </c>
      <c r="E5936" s="3" t="s">
        <v>465</v>
      </c>
      <c r="F5936" s="3">
        <v>112500</v>
      </c>
      <c r="G5936" s="57" t="str">
        <f t="shared" si="95"/>
        <v>-</v>
      </c>
      <c r="J5936" s="5" t="s">
        <v>651</v>
      </c>
    </row>
    <row r="5937" spans="1:10" x14ac:dyDescent="0.2">
      <c r="A5937" s="1" t="s">
        <v>6</v>
      </c>
      <c r="B5937" s="2" t="s">
        <v>407</v>
      </c>
      <c r="D5937" s="5" t="s">
        <v>464</v>
      </c>
      <c r="E5937" s="3" t="s">
        <v>465</v>
      </c>
      <c r="F5937" s="3">
        <v>117500</v>
      </c>
      <c r="G5937" s="57" t="str">
        <f t="shared" si="95"/>
        <v>-</v>
      </c>
      <c r="J5937" s="5" t="s">
        <v>651</v>
      </c>
    </row>
    <row r="5938" spans="1:10" x14ac:dyDescent="0.2">
      <c r="A5938" s="1" t="s">
        <v>6</v>
      </c>
      <c r="B5938" s="2" t="s">
        <v>407</v>
      </c>
      <c r="D5938" s="5" t="s">
        <v>464</v>
      </c>
      <c r="E5938" s="3" t="s">
        <v>465</v>
      </c>
      <c r="F5938" s="3">
        <v>117500</v>
      </c>
      <c r="G5938" s="57" t="str">
        <f t="shared" si="95"/>
        <v>-</v>
      </c>
      <c r="J5938" s="5" t="s">
        <v>651</v>
      </c>
    </row>
    <row r="5939" spans="1:10" x14ac:dyDescent="0.2">
      <c r="A5939" s="1" t="s">
        <v>6</v>
      </c>
      <c r="B5939" s="2" t="s">
        <v>407</v>
      </c>
      <c r="D5939" s="5" t="s">
        <v>464</v>
      </c>
      <c r="E5939" s="3" t="s">
        <v>465</v>
      </c>
      <c r="F5939" s="3">
        <v>122500</v>
      </c>
      <c r="G5939" s="57" t="str">
        <f t="shared" si="95"/>
        <v>-</v>
      </c>
      <c r="J5939" s="5" t="s">
        <v>651</v>
      </c>
    </row>
    <row r="5940" spans="1:10" x14ac:dyDescent="0.2">
      <c r="A5940" s="1" t="s">
        <v>6</v>
      </c>
      <c r="B5940" s="2" t="s">
        <v>407</v>
      </c>
      <c r="D5940" s="5" t="s">
        <v>464</v>
      </c>
      <c r="E5940" s="3" t="s">
        <v>465</v>
      </c>
      <c r="F5940" s="3">
        <v>122500</v>
      </c>
      <c r="G5940" s="57" t="str">
        <f t="shared" si="95"/>
        <v>-</v>
      </c>
      <c r="J5940" s="5" t="s">
        <v>651</v>
      </c>
    </row>
    <row r="5941" spans="1:10" x14ac:dyDescent="0.2">
      <c r="A5941" s="1" t="s">
        <v>6</v>
      </c>
      <c r="B5941" s="2" t="s">
        <v>407</v>
      </c>
      <c r="D5941" s="5" t="s">
        <v>464</v>
      </c>
      <c r="E5941" s="3" t="s">
        <v>465</v>
      </c>
      <c r="F5941" s="3">
        <v>167500</v>
      </c>
      <c r="G5941" s="57" t="str">
        <f t="shared" si="95"/>
        <v>-</v>
      </c>
      <c r="J5941" s="5" t="s">
        <v>651</v>
      </c>
    </row>
    <row r="5942" spans="1:10" x14ac:dyDescent="0.2">
      <c r="A5942" s="1" t="s">
        <v>6</v>
      </c>
      <c r="B5942" s="2" t="s">
        <v>407</v>
      </c>
      <c r="D5942" s="5" t="s">
        <v>464</v>
      </c>
      <c r="E5942" s="3" t="s">
        <v>465</v>
      </c>
      <c r="F5942" s="3">
        <v>167500</v>
      </c>
      <c r="G5942" s="57" t="str">
        <f t="shared" si="95"/>
        <v>-</v>
      </c>
      <c r="J5942" s="5" t="s">
        <v>651</v>
      </c>
    </row>
    <row r="5943" spans="1:10" x14ac:dyDescent="0.2">
      <c r="A5943" s="1" t="s">
        <v>6</v>
      </c>
      <c r="B5943" s="2" t="s">
        <v>407</v>
      </c>
      <c r="D5943" s="5" t="s">
        <v>464</v>
      </c>
      <c r="E5943" s="3" t="s">
        <v>465</v>
      </c>
      <c r="F5943" s="3">
        <v>102500</v>
      </c>
      <c r="G5943" s="57" t="str">
        <f t="shared" si="95"/>
        <v>-</v>
      </c>
      <c r="J5943" s="5" t="s">
        <v>652</v>
      </c>
    </row>
    <row r="5944" spans="1:10" x14ac:dyDescent="0.2">
      <c r="A5944" s="1" t="s">
        <v>6</v>
      </c>
      <c r="B5944" s="2" t="s">
        <v>407</v>
      </c>
      <c r="D5944" s="5" t="s">
        <v>464</v>
      </c>
      <c r="E5944" s="3" t="s">
        <v>465</v>
      </c>
      <c r="F5944" s="3">
        <v>102500</v>
      </c>
      <c r="G5944" s="57" t="str">
        <f t="shared" si="95"/>
        <v>-</v>
      </c>
      <c r="J5944" s="5" t="s">
        <v>652</v>
      </c>
    </row>
    <row r="5945" spans="1:10" x14ac:dyDescent="0.2">
      <c r="A5945" s="1" t="s">
        <v>6</v>
      </c>
      <c r="B5945" s="2" t="s">
        <v>407</v>
      </c>
      <c r="D5945" s="5" t="s">
        <v>464</v>
      </c>
      <c r="E5945" s="3" t="s">
        <v>465</v>
      </c>
      <c r="F5945" s="3">
        <v>102500</v>
      </c>
      <c r="G5945" s="57" t="str">
        <f t="shared" si="95"/>
        <v>-</v>
      </c>
      <c r="J5945" s="5" t="s">
        <v>652</v>
      </c>
    </row>
    <row r="5946" spans="1:10" x14ac:dyDescent="0.2">
      <c r="A5946" s="1" t="s">
        <v>6</v>
      </c>
      <c r="B5946" s="2" t="s">
        <v>407</v>
      </c>
      <c r="D5946" s="5" t="s">
        <v>464</v>
      </c>
      <c r="E5946" s="3" t="s">
        <v>465</v>
      </c>
      <c r="F5946" s="3">
        <v>102500</v>
      </c>
      <c r="G5946" s="57" t="str">
        <f t="shared" si="95"/>
        <v>-</v>
      </c>
      <c r="J5946" s="5" t="s">
        <v>652</v>
      </c>
    </row>
    <row r="5947" spans="1:10" x14ac:dyDescent="0.2">
      <c r="A5947" s="1" t="s">
        <v>6</v>
      </c>
      <c r="B5947" s="2" t="s">
        <v>407</v>
      </c>
      <c r="D5947" s="5" t="s">
        <v>464</v>
      </c>
      <c r="E5947" s="3" t="s">
        <v>465</v>
      </c>
      <c r="F5947" s="3">
        <v>112500</v>
      </c>
      <c r="G5947" s="57" t="str">
        <f t="shared" si="95"/>
        <v>-</v>
      </c>
      <c r="J5947" s="5" t="s">
        <v>652</v>
      </c>
    </row>
    <row r="5948" spans="1:10" x14ac:dyDescent="0.2">
      <c r="A5948" s="1" t="s">
        <v>6</v>
      </c>
      <c r="B5948" s="2" t="s">
        <v>407</v>
      </c>
      <c r="D5948" s="5" t="s">
        <v>464</v>
      </c>
      <c r="E5948" s="3" t="s">
        <v>465</v>
      </c>
      <c r="F5948" s="3">
        <v>137500</v>
      </c>
      <c r="G5948" s="57" t="str">
        <f t="shared" ref="G5948:G6011" si="96">IF(ISERROR((F5948-E5948)/E5948),"-",(F5948-E5948)/E5948)</f>
        <v>-</v>
      </c>
      <c r="J5948" s="5" t="s">
        <v>652</v>
      </c>
    </row>
    <row r="5949" spans="1:10" x14ac:dyDescent="0.2">
      <c r="A5949" s="1" t="s">
        <v>6</v>
      </c>
      <c r="B5949" s="2" t="s">
        <v>407</v>
      </c>
      <c r="G5949" s="57" t="str">
        <f t="shared" si="96"/>
        <v>-</v>
      </c>
      <c r="H5949" s="19">
        <v>92500</v>
      </c>
      <c r="I5949" s="19" t="s">
        <v>465</v>
      </c>
      <c r="J5949" s="5" t="s">
        <v>651</v>
      </c>
    </row>
    <row r="5950" spans="1:10" x14ac:dyDescent="0.2">
      <c r="A5950" s="1" t="s">
        <v>6</v>
      </c>
      <c r="B5950" s="2" t="s">
        <v>407</v>
      </c>
      <c r="G5950" s="57" t="str">
        <f t="shared" si="96"/>
        <v>-</v>
      </c>
      <c r="H5950" s="19">
        <v>92500</v>
      </c>
      <c r="I5950" s="19" t="s">
        <v>465</v>
      </c>
      <c r="J5950" s="5" t="s">
        <v>651</v>
      </c>
    </row>
    <row r="5951" spans="1:10" x14ac:dyDescent="0.2">
      <c r="A5951" s="1" t="s">
        <v>6</v>
      </c>
      <c r="B5951" s="2" t="s">
        <v>407</v>
      </c>
      <c r="G5951" s="57" t="str">
        <f t="shared" si="96"/>
        <v>-</v>
      </c>
      <c r="H5951" s="19">
        <v>92500</v>
      </c>
      <c r="I5951" s="19" t="s">
        <v>465</v>
      </c>
      <c r="J5951" s="5" t="s">
        <v>651</v>
      </c>
    </row>
    <row r="5952" spans="1:10" x14ac:dyDescent="0.2">
      <c r="A5952" s="1" t="s">
        <v>6</v>
      </c>
      <c r="B5952" s="2" t="s">
        <v>407</v>
      </c>
      <c r="G5952" s="57" t="str">
        <f t="shared" si="96"/>
        <v>-</v>
      </c>
      <c r="H5952" s="19">
        <v>92500</v>
      </c>
      <c r="I5952" s="19" t="s">
        <v>465</v>
      </c>
      <c r="J5952" s="5" t="s">
        <v>651</v>
      </c>
    </row>
    <row r="5953" spans="1:10" x14ac:dyDescent="0.2">
      <c r="A5953" s="1" t="s">
        <v>6</v>
      </c>
      <c r="B5953" s="2" t="s">
        <v>407</v>
      </c>
      <c r="G5953" s="57" t="str">
        <f t="shared" si="96"/>
        <v>-</v>
      </c>
      <c r="H5953" s="19">
        <v>92500</v>
      </c>
      <c r="I5953" s="19" t="s">
        <v>465</v>
      </c>
      <c r="J5953" s="5" t="s">
        <v>651</v>
      </c>
    </row>
    <row r="5954" spans="1:10" x14ac:dyDescent="0.2">
      <c r="A5954" s="1" t="s">
        <v>6</v>
      </c>
      <c r="B5954" s="2" t="s">
        <v>407</v>
      </c>
      <c r="G5954" s="57" t="str">
        <f t="shared" si="96"/>
        <v>-</v>
      </c>
      <c r="H5954" s="19" t="s">
        <v>465</v>
      </c>
      <c r="I5954" s="19">
        <v>92500</v>
      </c>
      <c r="J5954" s="5" t="s">
        <v>651</v>
      </c>
    </row>
    <row r="5955" spans="1:10" x14ac:dyDescent="0.2">
      <c r="A5955" s="1" t="s">
        <v>6</v>
      </c>
      <c r="B5955" s="2" t="s">
        <v>407</v>
      </c>
      <c r="G5955" s="57" t="str">
        <f t="shared" si="96"/>
        <v>-</v>
      </c>
      <c r="H5955" s="19" t="s">
        <v>465</v>
      </c>
      <c r="I5955" s="19">
        <v>92000</v>
      </c>
      <c r="J5955" s="5" t="s">
        <v>651</v>
      </c>
    </row>
    <row r="5956" spans="1:10" x14ac:dyDescent="0.2">
      <c r="A5956" s="1" t="s">
        <v>6</v>
      </c>
      <c r="B5956" s="2" t="s">
        <v>407</v>
      </c>
      <c r="G5956" s="57" t="str">
        <f t="shared" si="96"/>
        <v>-</v>
      </c>
      <c r="H5956" s="19" t="s">
        <v>465</v>
      </c>
      <c r="I5956" s="19">
        <v>92500</v>
      </c>
      <c r="J5956" s="5" t="s">
        <v>651</v>
      </c>
    </row>
    <row r="5957" spans="1:10" x14ac:dyDescent="0.2">
      <c r="A5957" s="1" t="s">
        <v>6</v>
      </c>
      <c r="B5957" s="2" t="s">
        <v>407</v>
      </c>
      <c r="G5957" s="57" t="str">
        <f t="shared" si="96"/>
        <v>-</v>
      </c>
      <c r="H5957" s="19" t="s">
        <v>465</v>
      </c>
      <c r="I5957" s="19">
        <v>92500</v>
      </c>
      <c r="J5957" s="5" t="s">
        <v>651</v>
      </c>
    </row>
    <row r="5958" spans="1:10" x14ac:dyDescent="0.2">
      <c r="A5958" s="1" t="s">
        <v>6</v>
      </c>
      <c r="B5958" s="2" t="s">
        <v>407</v>
      </c>
      <c r="G5958" s="57" t="str">
        <f t="shared" si="96"/>
        <v>-</v>
      </c>
      <c r="H5958" s="19" t="s">
        <v>465</v>
      </c>
      <c r="I5958" s="19">
        <v>92500</v>
      </c>
      <c r="J5958" s="5" t="s">
        <v>651</v>
      </c>
    </row>
    <row r="5959" spans="1:10" x14ac:dyDescent="0.2">
      <c r="A5959" s="1" t="s">
        <v>6</v>
      </c>
      <c r="B5959" s="2" t="s">
        <v>407</v>
      </c>
      <c r="G5959" s="57" t="str">
        <f t="shared" si="96"/>
        <v>-</v>
      </c>
      <c r="H5959" s="19" t="s">
        <v>465</v>
      </c>
      <c r="I5959" s="19">
        <v>92500</v>
      </c>
      <c r="J5959" s="5" t="s">
        <v>652</v>
      </c>
    </row>
    <row r="5960" spans="1:10" x14ac:dyDescent="0.2">
      <c r="A5960" s="1" t="s">
        <v>6</v>
      </c>
      <c r="B5960" s="2" t="s">
        <v>407</v>
      </c>
      <c r="G5960" s="57" t="str">
        <f t="shared" si="96"/>
        <v>-</v>
      </c>
      <c r="H5960" s="19" t="s">
        <v>465</v>
      </c>
      <c r="I5960" s="19">
        <v>97500</v>
      </c>
      <c r="J5960" s="5" t="s">
        <v>651</v>
      </c>
    </row>
    <row r="5961" spans="1:10" x14ac:dyDescent="0.2">
      <c r="A5961" s="1" t="s">
        <v>6</v>
      </c>
      <c r="B5961" s="2" t="s">
        <v>407</v>
      </c>
      <c r="G5961" s="57" t="str">
        <f t="shared" si="96"/>
        <v>-</v>
      </c>
      <c r="I5961" s="19">
        <v>97500</v>
      </c>
      <c r="J5961" s="5" t="s">
        <v>652</v>
      </c>
    </row>
    <row r="5962" spans="1:10" ht="25.5" x14ac:dyDescent="0.2">
      <c r="A5962" s="1" t="s">
        <v>39</v>
      </c>
      <c r="B5962" s="2" t="s">
        <v>408</v>
      </c>
      <c r="D5962" s="5" t="s">
        <v>450</v>
      </c>
      <c r="E5962" s="3">
        <v>129822</v>
      </c>
      <c r="F5962" s="3">
        <v>126985</v>
      </c>
      <c r="G5962" s="57">
        <f t="shared" si="96"/>
        <v>-2.1852998721326122E-2</v>
      </c>
      <c r="J5962" s="5" t="s">
        <v>1626</v>
      </c>
    </row>
    <row r="5963" spans="1:10" ht="25.5" x14ac:dyDescent="0.2">
      <c r="A5963" s="1" t="s">
        <v>39</v>
      </c>
      <c r="B5963" s="2" t="s">
        <v>409</v>
      </c>
      <c r="C5963" s="5" t="s">
        <v>600</v>
      </c>
      <c r="D5963" s="5" t="s">
        <v>450</v>
      </c>
      <c r="E5963" s="3">
        <v>204242</v>
      </c>
      <c r="F5963" s="3">
        <v>204100</v>
      </c>
      <c r="G5963" s="57">
        <f t="shared" si="96"/>
        <v>-6.9525366966637612E-4</v>
      </c>
      <c r="J5963" s="5" t="s">
        <v>2379</v>
      </c>
    </row>
    <row r="5964" spans="1:10" ht="25.5" x14ac:dyDescent="0.2">
      <c r="A5964" s="1" t="s">
        <v>39</v>
      </c>
      <c r="B5964" s="2" t="s">
        <v>409</v>
      </c>
      <c r="D5964" s="5" t="s">
        <v>601</v>
      </c>
      <c r="E5964" s="3">
        <v>156859</v>
      </c>
      <c r="F5964" s="3">
        <v>158037</v>
      </c>
      <c r="G5964" s="57">
        <f t="shared" si="96"/>
        <v>7.5099292995620274E-3</v>
      </c>
      <c r="J5964" s="5" t="s">
        <v>2380</v>
      </c>
    </row>
    <row r="5965" spans="1:10" ht="25.5" x14ac:dyDescent="0.2">
      <c r="A5965" s="1" t="s">
        <v>39</v>
      </c>
      <c r="B5965" s="2" t="s">
        <v>409</v>
      </c>
      <c r="D5965" s="5" t="s">
        <v>602</v>
      </c>
      <c r="E5965" s="3">
        <v>146632</v>
      </c>
      <c r="F5965" s="3">
        <v>146876</v>
      </c>
      <c r="G5965" s="57">
        <f t="shared" si="96"/>
        <v>1.6640296797424846E-3</v>
      </c>
      <c r="J5965" s="5" t="s">
        <v>2381</v>
      </c>
    </row>
    <row r="5966" spans="1:10" ht="39" customHeight="1" x14ac:dyDescent="0.2">
      <c r="A5966" s="1" t="s">
        <v>39</v>
      </c>
      <c r="B5966" s="2" t="s">
        <v>409</v>
      </c>
      <c r="D5966" s="5" t="s">
        <v>603</v>
      </c>
      <c r="E5966" s="3">
        <v>138611</v>
      </c>
      <c r="F5966" s="3">
        <v>143323</v>
      </c>
      <c r="G5966" s="57">
        <f t="shared" si="96"/>
        <v>3.3994416027588001E-2</v>
      </c>
      <c r="J5966" s="5" t="s">
        <v>2382</v>
      </c>
    </row>
    <row r="5967" spans="1:10" ht="63.75" x14ac:dyDescent="0.2">
      <c r="A5967" s="1" t="s">
        <v>39</v>
      </c>
      <c r="B5967" s="2" t="s">
        <v>409</v>
      </c>
      <c r="D5967" s="5" t="s">
        <v>604</v>
      </c>
      <c r="E5967" s="3" t="s">
        <v>465</v>
      </c>
      <c r="F5967" s="3">
        <v>165675</v>
      </c>
      <c r="G5967" s="57" t="str">
        <f t="shared" si="96"/>
        <v>-</v>
      </c>
      <c r="J5967" s="5" t="s">
        <v>4536</v>
      </c>
    </row>
    <row r="5968" spans="1:10" ht="39" customHeight="1" x14ac:dyDescent="0.2">
      <c r="A5968" s="1" t="s">
        <v>39</v>
      </c>
      <c r="B5968" s="2" t="s">
        <v>409</v>
      </c>
      <c r="D5968" s="5" t="s">
        <v>2378</v>
      </c>
      <c r="E5968" s="3">
        <v>146566</v>
      </c>
      <c r="F5968" s="3">
        <v>147586</v>
      </c>
      <c r="G5968" s="57">
        <f t="shared" si="96"/>
        <v>6.9593220801550159E-3</v>
      </c>
      <c r="J5968" s="5" t="s">
        <v>2383</v>
      </c>
    </row>
    <row r="5969" spans="1:10" ht="25.5" x14ac:dyDescent="0.2">
      <c r="A5969" s="1" t="s">
        <v>39</v>
      </c>
      <c r="B5969" s="2" t="s">
        <v>409</v>
      </c>
      <c r="D5969" s="5" t="s">
        <v>451</v>
      </c>
      <c r="E5969" s="3">
        <v>126744</v>
      </c>
      <c r="F5969" s="3">
        <v>131422</v>
      </c>
      <c r="G5969" s="57">
        <f t="shared" si="96"/>
        <v>3.6909045004102761E-2</v>
      </c>
      <c r="J5969" s="5" t="s">
        <v>2384</v>
      </c>
    </row>
    <row r="5970" spans="1:10" ht="25.5" x14ac:dyDescent="0.2">
      <c r="A5970" s="1" t="s">
        <v>39</v>
      </c>
      <c r="B5970" s="2" t="s">
        <v>409</v>
      </c>
      <c r="D5970" s="5" t="s">
        <v>2385</v>
      </c>
      <c r="E5970" s="3">
        <v>148797</v>
      </c>
      <c r="F5970" s="3" t="s">
        <v>465</v>
      </c>
      <c r="G5970" s="57" t="str">
        <f t="shared" si="96"/>
        <v>-</v>
      </c>
      <c r="J5970" s="11"/>
    </row>
    <row r="5971" spans="1:10" x14ac:dyDescent="0.2">
      <c r="A5971" s="1" t="s">
        <v>39</v>
      </c>
      <c r="B5971" s="2" t="s">
        <v>409</v>
      </c>
      <c r="D5971" s="5" t="s">
        <v>587</v>
      </c>
      <c r="E5971" s="3">
        <v>102500</v>
      </c>
      <c r="F5971" s="3" t="s">
        <v>465</v>
      </c>
      <c r="G5971" s="57" t="str">
        <f t="shared" si="96"/>
        <v>-</v>
      </c>
    </row>
    <row r="5972" spans="1:10" x14ac:dyDescent="0.2">
      <c r="A5972" s="1" t="s">
        <v>39</v>
      </c>
      <c r="B5972" s="2" t="s">
        <v>409</v>
      </c>
      <c r="D5972" s="5" t="s">
        <v>587</v>
      </c>
      <c r="E5972" s="3" t="s">
        <v>465</v>
      </c>
      <c r="F5972" s="3">
        <v>102500</v>
      </c>
      <c r="G5972" s="57" t="str">
        <f t="shared" si="96"/>
        <v>-</v>
      </c>
    </row>
    <row r="5973" spans="1:10" x14ac:dyDescent="0.2">
      <c r="A5973" s="1" t="s">
        <v>39</v>
      </c>
      <c r="B5973" s="2" t="s">
        <v>409</v>
      </c>
      <c r="D5973" s="5" t="s">
        <v>587</v>
      </c>
      <c r="E5973" s="3" t="s">
        <v>465</v>
      </c>
      <c r="F5973" s="3">
        <v>102500</v>
      </c>
      <c r="G5973" s="57" t="str">
        <f t="shared" si="96"/>
        <v>-</v>
      </c>
    </row>
    <row r="5974" spans="1:10" x14ac:dyDescent="0.2">
      <c r="A5974" s="1" t="s">
        <v>39</v>
      </c>
      <c r="B5974" s="2" t="s">
        <v>409</v>
      </c>
      <c r="D5974" s="5" t="s">
        <v>587</v>
      </c>
      <c r="E5974" s="3" t="s">
        <v>465</v>
      </c>
      <c r="F5974" s="3">
        <v>102500</v>
      </c>
      <c r="G5974" s="57" t="str">
        <f t="shared" si="96"/>
        <v>-</v>
      </c>
      <c r="J5974" s="5" t="s">
        <v>540</v>
      </c>
    </row>
    <row r="5975" spans="1:10" x14ac:dyDescent="0.2">
      <c r="A5975" s="1" t="s">
        <v>39</v>
      </c>
      <c r="B5975" s="2" t="s">
        <v>409</v>
      </c>
      <c r="D5975" s="5" t="s">
        <v>587</v>
      </c>
      <c r="E5975" s="3" t="s">
        <v>465</v>
      </c>
      <c r="F5975" s="3">
        <v>102500</v>
      </c>
      <c r="G5975" s="57" t="str">
        <f t="shared" si="96"/>
        <v>-</v>
      </c>
      <c r="J5975" s="5" t="s">
        <v>540</v>
      </c>
    </row>
    <row r="5976" spans="1:10" x14ac:dyDescent="0.2">
      <c r="A5976" s="1" t="s">
        <v>39</v>
      </c>
      <c r="B5976" s="2" t="s">
        <v>409</v>
      </c>
      <c r="D5976" s="5" t="s">
        <v>587</v>
      </c>
      <c r="E5976" s="3" t="s">
        <v>465</v>
      </c>
      <c r="F5976" s="3">
        <v>102500</v>
      </c>
      <c r="G5976" s="57" t="str">
        <f t="shared" si="96"/>
        <v>-</v>
      </c>
      <c r="J5976" s="5" t="s">
        <v>540</v>
      </c>
    </row>
    <row r="5977" spans="1:10" x14ac:dyDescent="0.2">
      <c r="A5977" s="1" t="s">
        <v>39</v>
      </c>
      <c r="B5977" s="2" t="s">
        <v>409</v>
      </c>
      <c r="D5977" s="5" t="s">
        <v>587</v>
      </c>
      <c r="E5977" s="3" t="s">
        <v>465</v>
      </c>
      <c r="F5977" s="3">
        <v>107500</v>
      </c>
      <c r="G5977" s="57" t="str">
        <f t="shared" si="96"/>
        <v>-</v>
      </c>
      <c r="J5977" s="5" t="s">
        <v>540</v>
      </c>
    </row>
    <row r="5978" spans="1:10" x14ac:dyDescent="0.2">
      <c r="A5978" s="1" t="s">
        <v>39</v>
      </c>
      <c r="B5978" s="2" t="s">
        <v>409</v>
      </c>
      <c r="D5978" s="5" t="s">
        <v>587</v>
      </c>
      <c r="E5978" s="3" t="s">
        <v>465</v>
      </c>
      <c r="F5978" s="3">
        <v>107500</v>
      </c>
      <c r="G5978" s="57" t="str">
        <f t="shared" si="96"/>
        <v>-</v>
      </c>
      <c r="J5978" s="5" t="s">
        <v>540</v>
      </c>
    </row>
    <row r="5979" spans="1:10" x14ac:dyDescent="0.2">
      <c r="A5979" s="1" t="s">
        <v>39</v>
      </c>
      <c r="B5979" s="2" t="s">
        <v>409</v>
      </c>
      <c r="D5979" s="5" t="s">
        <v>587</v>
      </c>
      <c r="E5979" s="3" t="s">
        <v>465</v>
      </c>
      <c r="F5979" s="3">
        <v>107500</v>
      </c>
      <c r="G5979" s="57" t="str">
        <f t="shared" si="96"/>
        <v>-</v>
      </c>
      <c r="J5979" s="5" t="s">
        <v>540</v>
      </c>
    </row>
    <row r="5980" spans="1:10" x14ac:dyDescent="0.2">
      <c r="A5980" s="1" t="s">
        <v>39</v>
      </c>
      <c r="B5980" s="2" t="s">
        <v>409</v>
      </c>
      <c r="D5980" s="5" t="s">
        <v>587</v>
      </c>
      <c r="E5980" s="3" t="s">
        <v>465</v>
      </c>
      <c r="F5980" s="3">
        <v>112500</v>
      </c>
      <c r="G5980" s="57" t="str">
        <f t="shared" si="96"/>
        <v>-</v>
      </c>
      <c r="J5980" s="5" t="s">
        <v>540</v>
      </c>
    </row>
    <row r="5981" spans="1:10" x14ac:dyDescent="0.2">
      <c r="A5981" s="1" t="s">
        <v>39</v>
      </c>
      <c r="B5981" s="2" t="s">
        <v>409</v>
      </c>
      <c r="D5981" s="5" t="s">
        <v>587</v>
      </c>
      <c r="E5981" s="3" t="s">
        <v>465</v>
      </c>
      <c r="F5981" s="3">
        <v>112500</v>
      </c>
      <c r="G5981" s="57" t="str">
        <f t="shared" si="96"/>
        <v>-</v>
      </c>
      <c r="J5981" s="5" t="s">
        <v>540</v>
      </c>
    </row>
    <row r="5982" spans="1:10" x14ac:dyDescent="0.2">
      <c r="A5982" s="1" t="s">
        <v>39</v>
      </c>
      <c r="B5982" s="2" t="s">
        <v>409</v>
      </c>
      <c r="D5982" s="5" t="s">
        <v>587</v>
      </c>
      <c r="E5982" s="3" t="s">
        <v>465</v>
      </c>
      <c r="F5982" s="3">
        <v>117500</v>
      </c>
      <c r="G5982" s="57" t="str">
        <f t="shared" si="96"/>
        <v>-</v>
      </c>
      <c r="J5982" s="5" t="s">
        <v>540</v>
      </c>
    </row>
    <row r="5983" spans="1:10" x14ac:dyDescent="0.2">
      <c r="A5983" s="1" t="s">
        <v>39</v>
      </c>
      <c r="B5983" s="2" t="s">
        <v>409</v>
      </c>
      <c r="D5983" s="5" t="s">
        <v>587</v>
      </c>
      <c r="E5983" s="3" t="s">
        <v>465</v>
      </c>
      <c r="F5983" s="3">
        <v>117500</v>
      </c>
      <c r="G5983" s="57" t="str">
        <f t="shared" si="96"/>
        <v>-</v>
      </c>
      <c r="J5983" s="5" t="s">
        <v>540</v>
      </c>
    </row>
    <row r="5984" spans="1:10" x14ac:dyDescent="0.2">
      <c r="A5984" s="1" t="s">
        <v>39</v>
      </c>
      <c r="B5984" s="2" t="s">
        <v>409</v>
      </c>
      <c r="D5984" s="5" t="s">
        <v>587</v>
      </c>
      <c r="E5984" s="3" t="s">
        <v>465</v>
      </c>
      <c r="F5984" s="3">
        <v>122500</v>
      </c>
      <c r="G5984" s="57" t="str">
        <f t="shared" si="96"/>
        <v>-</v>
      </c>
      <c r="J5984" s="5" t="s">
        <v>540</v>
      </c>
    </row>
    <row r="5985" spans="1:10" x14ac:dyDescent="0.2">
      <c r="A5985" s="1" t="s">
        <v>39</v>
      </c>
      <c r="B5985" s="2" t="s">
        <v>409</v>
      </c>
      <c r="D5985" s="5" t="s">
        <v>587</v>
      </c>
      <c r="E5985" s="3" t="s">
        <v>465</v>
      </c>
      <c r="F5985" s="3">
        <v>127500</v>
      </c>
      <c r="G5985" s="57" t="str">
        <f t="shared" si="96"/>
        <v>-</v>
      </c>
      <c r="J5985" s="5" t="s">
        <v>540</v>
      </c>
    </row>
    <row r="5986" spans="1:10" x14ac:dyDescent="0.2">
      <c r="A5986" s="1" t="s">
        <v>39</v>
      </c>
      <c r="B5986" s="2" t="s">
        <v>409</v>
      </c>
      <c r="D5986" s="5" t="s">
        <v>587</v>
      </c>
      <c r="E5986" s="3" t="s">
        <v>465</v>
      </c>
      <c r="F5986" s="3">
        <v>127500</v>
      </c>
      <c r="G5986" s="57" t="str">
        <f t="shared" si="96"/>
        <v>-</v>
      </c>
      <c r="J5986" s="5" t="s">
        <v>540</v>
      </c>
    </row>
    <row r="5987" spans="1:10" x14ac:dyDescent="0.2">
      <c r="A5987" s="1" t="s">
        <v>39</v>
      </c>
      <c r="B5987" s="2" t="s">
        <v>409</v>
      </c>
      <c r="D5987" s="5" t="s">
        <v>587</v>
      </c>
      <c r="E5987" s="3" t="s">
        <v>465</v>
      </c>
      <c r="F5987" s="3">
        <v>147500</v>
      </c>
      <c r="G5987" s="57" t="str">
        <f t="shared" si="96"/>
        <v>-</v>
      </c>
      <c r="J5987" s="5" t="s">
        <v>540</v>
      </c>
    </row>
    <row r="5988" spans="1:10" x14ac:dyDescent="0.2">
      <c r="A5988" s="1" t="s">
        <v>39</v>
      </c>
      <c r="B5988" s="2" t="s">
        <v>409</v>
      </c>
      <c r="D5988" s="5" t="s">
        <v>587</v>
      </c>
      <c r="E5988" s="3" t="s">
        <v>465</v>
      </c>
      <c r="F5988" s="3">
        <v>152500</v>
      </c>
      <c r="G5988" s="57" t="str">
        <f t="shared" si="96"/>
        <v>-</v>
      </c>
      <c r="J5988" s="5" t="s">
        <v>540</v>
      </c>
    </row>
    <row r="5989" spans="1:10" x14ac:dyDescent="0.2">
      <c r="A5989" s="1" t="s">
        <v>39</v>
      </c>
      <c r="B5989" s="2" t="s">
        <v>409</v>
      </c>
      <c r="D5989" s="5" t="s">
        <v>587</v>
      </c>
      <c r="E5989" s="3" t="s">
        <v>465</v>
      </c>
      <c r="F5989" s="3">
        <v>187500</v>
      </c>
      <c r="G5989" s="57" t="str">
        <f t="shared" si="96"/>
        <v>-</v>
      </c>
      <c r="J5989" s="5" t="s">
        <v>540</v>
      </c>
    </row>
    <row r="5990" spans="1:10" x14ac:dyDescent="0.2">
      <c r="A5990" s="1" t="s">
        <v>39</v>
      </c>
      <c r="B5990" s="2" t="s">
        <v>409</v>
      </c>
      <c r="D5990" s="5" t="s">
        <v>587</v>
      </c>
      <c r="E5990" s="3" t="s">
        <v>465</v>
      </c>
      <c r="F5990" s="3">
        <v>207500</v>
      </c>
      <c r="G5990" s="57" t="str">
        <f t="shared" si="96"/>
        <v>-</v>
      </c>
      <c r="J5990" s="5" t="s">
        <v>540</v>
      </c>
    </row>
    <row r="5991" spans="1:10" x14ac:dyDescent="0.2">
      <c r="A5991" s="1" t="s">
        <v>39</v>
      </c>
      <c r="B5991" s="2" t="s">
        <v>409</v>
      </c>
      <c r="D5991" s="5" t="s">
        <v>587</v>
      </c>
      <c r="G5991" s="57" t="str">
        <f t="shared" si="96"/>
        <v>-</v>
      </c>
      <c r="H5991" s="19">
        <v>92500</v>
      </c>
      <c r="I5991" s="19" t="s">
        <v>465</v>
      </c>
    </row>
    <row r="5992" spans="1:10" x14ac:dyDescent="0.2">
      <c r="A5992" s="1" t="s">
        <v>39</v>
      </c>
      <c r="B5992" s="2" t="s">
        <v>409</v>
      </c>
      <c r="D5992" s="5" t="s">
        <v>587</v>
      </c>
      <c r="G5992" s="57" t="str">
        <f t="shared" si="96"/>
        <v>-</v>
      </c>
      <c r="H5992" s="19" t="s">
        <v>465</v>
      </c>
      <c r="I5992" s="19">
        <v>92500</v>
      </c>
    </row>
    <row r="5993" spans="1:10" x14ac:dyDescent="0.2">
      <c r="A5993" s="1" t="s">
        <v>39</v>
      </c>
      <c r="B5993" s="2" t="s">
        <v>409</v>
      </c>
      <c r="D5993" s="5" t="s">
        <v>587</v>
      </c>
      <c r="G5993" s="57" t="str">
        <f t="shared" si="96"/>
        <v>-</v>
      </c>
      <c r="H5993" s="19" t="s">
        <v>465</v>
      </c>
      <c r="I5993" s="19">
        <v>92500</v>
      </c>
    </row>
    <row r="5994" spans="1:10" x14ac:dyDescent="0.2">
      <c r="A5994" s="1" t="s">
        <v>39</v>
      </c>
      <c r="B5994" s="2" t="s">
        <v>409</v>
      </c>
      <c r="D5994" s="5" t="s">
        <v>587</v>
      </c>
      <c r="G5994" s="57" t="str">
        <f t="shared" si="96"/>
        <v>-</v>
      </c>
      <c r="H5994" s="19" t="s">
        <v>465</v>
      </c>
      <c r="I5994" s="19">
        <v>92500</v>
      </c>
    </row>
    <row r="5995" spans="1:10" x14ac:dyDescent="0.2">
      <c r="A5995" s="1" t="s">
        <v>39</v>
      </c>
      <c r="B5995" s="2" t="s">
        <v>409</v>
      </c>
      <c r="D5995" s="5" t="s">
        <v>587</v>
      </c>
      <c r="G5995" s="57" t="str">
        <f t="shared" si="96"/>
        <v>-</v>
      </c>
      <c r="H5995" s="19" t="s">
        <v>465</v>
      </c>
      <c r="I5995" s="19">
        <v>92500</v>
      </c>
    </row>
    <row r="5996" spans="1:10" x14ac:dyDescent="0.2">
      <c r="A5996" s="1" t="s">
        <v>39</v>
      </c>
      <c r="B5996" s="2" t="s">
        <v>409</v>
      </c>
      <c r="D5996" s="5" t="s">
        <v>587</v>
      </c>
      <c r="G5996" s="57" t="str">
        <f t="shared" si="96"/>
        <v>-</v>
      </c>
      <c r="H5996" s="19" t="s">
        <v>465</v>
      </c>
      <c r="I5996" s="19">
        <v>92500</v>
      </c>
    </row>
    <row r="5997" spans="1:10" x14ac:dyDescent="0.2">
      <c r="A5997" s="1" t="s">
        <v>39</v>
      </c>
      <c r="B5997" s="2" t="s">
        <v>409</v>
      </c>
      <c r="D5997" s="5" t="s">
        <v>587</v>
      </c>
      <c r="G5997" s="57" t="str">
        <f t="shared" si="96"/>
        <v>-</v>
      </c>
      <c r="H5997" s="19" t="s">
        <v>465</v>
      </c>
      <c r="I5997" s="19">
        <v>92500</v>
      </c>
    </row>
    <row r="5998" spans="1:10" x14ac:dyDescent="0.2">
      <c r="A5998" s="1" t="s">
        <v>39</v>
      </c>
      <c r="B5998" s="2" t="s">
        <v>409</v>
      </c>
      <c r="D5998" s="5" t="s">
        <v>587</v>
      </c>
      <c r="G5998" s="57" t="str">
        <f t="shared" si="96"/>
        <v>-</v>
      </c>
      <c r="H5998" s="19" t="s">
        <v>465</v>
      </c>
      <c r="I5998" s="19">
        <v>92500</v>
      </c>
    </row>
    <row r="5999" spans="1:10" x14ac:dyDescent="0.2">
      <c r="A5999" s="1" t="s">
        <v>39</v>
      </c>
      <c r="B5999" s="2" t="s">
        <v>409</v>
      </c>
      <c r="D5999" s="5" t="s">
        <v>587</v>
      </c>
      <c r="G5999" s="57" t="str">
        <f t="shared" si="96"/>
        <v>-</v>
      </c>
      <c r="H5999" s="19" t="s">
        <v>465</v>
      </c>
      <c r="I5999" s="19">
        <v>92500</v>
      </c>
    </row>
    <row r="6000" spans="1:10" x14ac:dyDescent="0.2">
      <c r="A6000" s="1" t="s">
        <v>39</v>
      </c>
      <c r="B6000" s="2" t="s">
        <v>409</v>
      </c>
      <c r="D6000" s="5" t="s">
        <v>587</v>
      </c>
      <c r="G6000" s="57" t="str">
        <f t="shared" si="96"/>
        <v>-</v>
      </c>
      <c r="H6000" s="19" t="s">
        <v>465</v>
      </c>
      <c r="I6000" s="19">
        <v>92500</v>
      </c>
      <c r="J6000" s="5" t="s">
        <v>540</v>
      </c>
    </row>
    <row r="6001" spans="1:10" x14ac:dyDescent="0.2">
      <c r="A6001" s="1" t="s">
        <v>39</v>
      </c>
      <c r="B6001" s="2" t="s">
        <v>409</v>
      </c>
      <c r="D6001" s="5" t="s">
        <v>587</v>
      </c>
      <c r="G6001" s="57" t="str">
        <f t="shared" si="96"/>
        <v>-</v>
      </c>
      <c r="H6001" s="19" t="s">
        <v>465</v>
      </c>
      <c r="I6001" s="19">
        <v>92500</v>
      </c>
      <c r="J6001" s="5" t="s">
        <v>540</v>
      </c>
    </row>
    <row r="6002" spans="1:10" x14ac:dyDescent="0.2">
      <c r="A6002" s="1" t="s">
        <v>39</v>
      </c>
      <c r="B6002" s="2" t="s">
        <v>409</v>
      </c>
      <c r="D6002" s="5" t="s">
        <v>587</v>
      </c>
      <c r="G6002" s="57" t="str">
        <f t="shared" si="96"/>
        <v>-</v>
      </c>
      <c r="H6002" s="19" t="s">
        <v>465</v>
      </c>
      <c r="I6002" s="19">
        <v>92500</v>
      </c>
      <c r="J6002" s="5" t="s">
        <v>540</v>
      </c>
    </row>
    <row r="6003" spans="1:10" x14ac:dyDescent="0.2">
      <c r="A6003" s="1" t="s">
        <v>39</v>
      </c>
      <c r="B6003" s="2" t="s">
        <v>409</v>
      </c>
      <c r="D6003" s="5" t="s">
        <v>587</v>
      </c>
      <c r="G6003" s="57" t="str">
        <f t="shared" si="96"/>
        <v>-</v>
      </c>
      <c r="H6003" s="19">
        <v>97500</v>
      </c>
      <c r="I6003" s="19" t="s">
        <v>465</v>
      </c>
    </row>
    <row r="6004" spans="1:10" x14ac:dyDescent="0.2">
      <c r="A6004" s="1" t="s">
        <v>39</v>
      </c>
      <c r="B6004" s="2" t="s">
        <v>409</v>
      </c>
      <c r="D6004" s="5" t="s">
        <v>587</v>
      </c>
      <c r="G6004" s="57" t="str">
        <f t="shared" si="96"/>
        <v>-</v>
      </c>
      <c r="H6004" s="19">
        <v>97500</v>
      </c>
      <c r="I6004" s="19" t="s">
        <v>465</v>
      </c>
    </row>
    <row r="6005" spans="1:10" x14ac:dyDescent="0.2">
      <c r="A6005" s="1" t="s">
        <v>39</v>
      </c>
      <c r="B6005" s="2" t="s">
        <v>409</v>
      </c>
      <c r="D6005" s="5" t="s">
        <v>587</v>
      </c>
      <c r="G6005" s="57" t="str">
        <f t="shared" si="96"/>
        <v>-</v>
      </c>
      <c r="H6005" s="19">
        <v>97500</v>
      </c>
      <c r="I6005" s="19" t="s">
        <v>465</v>
      </c>
    </row>
    <row r="6006" spans="1:10" x14ac:dyDescent="0.2">
      <c r="A6006" s="1" t="s">
        <v>39</v>
      </c>
      <c r="B6006" s="2" t="s">
        <v>409</v>
      </c>
      <c r="D6006" s="5" t="s">
        <v>587</v>
      </c>
      <c r="G6006" s="57" t="str">
        <f t="shared" si="96"/>
        <v>-</v>
      </c>
      <c r="H6006" s="19">
        <v>97500</v>
      </c>
      <c r="I6006" s="19" t="s">
        <v>465</v>
      </c>
    </row>
    <row r="6007" spans="1:10" x14ac:dyDescent="0.2">
      <c r="A6007" s="1" t="s">
        <v>39</v>
      </c>
      <c r="B6007" s="2" t="s">
        <v>409</v>
      </c>
      <c r="D6007" s="5" t="s">
        <v>587</v>
      </c>
      <c r="G6007" s="57" t="str">
        <f t="shared" si="96"/>
        <v>-</v>
      </c>
      <c r="H6007" s="19" t="s">
        <v>465</v>
      </c>
      <c r="I6007" s="19">
        <v>97500</v>
      </c>
      <c r="J6007" s="5" t="s">
        <v>540</v>
      </c>
    </row>
    <row r="6008" spans="1:10" x14ac:dyDescent="0.2">
      <c r="A6008" s="1" t="s">
        <v>39</v>
      </c>
      <c r="B6008" s="2" t="s">
        <v>409</v>
      </c>
      <c r="D6008" s="5" t="s">
        <v>587</v>
      </c>
      <c r="G6008" s="57" t="str">
        <f t="shared" si="96"/>
        <v>-</v>
      </c>
      <c r="H6008" s="19" t="s">
        <v>465</v>
      </c>
      <c r="I6008" s="19">
        <v>97500</v>
      </c>
    </row>
    <row r="6009" spans="1:10" ht="38.25" x14ac:dyDescent="0.2">
      <c r="A6009" s="1" t="s">
        <v>20</v>
      </c>
      <c r="B6009" s="2" t="s">
        <v>410</v>
      </c>
      <c r="D6009" s="5" t="s">
        <v>470</v>
      </c>
      <c r="E6009" s="3">
        <v>99281</v>
      </c>
      <c r="F6009" s="3">
        <v>171313</v>
      </c>
      <c r="G6009" s="57">
        <f t="shared" si="96"/>
        <v>0.72553660821305188</v>
      </c>
      <c r="J6009" s="5" t="s">
        <v>4537</v>
      </c>
    </row>
    <row r="6010" spans="1:10" x14ac:dyDescent="0.2">
      <c r="A6010" s="1" t="s">
        <v>20</v>
      </c>
      <c r="B6010" s="2" t="s">
        <v>410</v>
      </c>
      <c r="D6010" s="5" t="s">
        <v>470</v>
      </c>
      <c r="E6010" s="3">
        <v>110689</v>
      </c>
      <c r="F6010" s="3" t="s">
        <v>465</v>
      </c>
      <c r="G6010" s="57" t="str">
        <f t="shared" si="96"/>
        <v>-</v>
      </c>
      <c r="J6010" s="5" t="s">
        <v>4538</v>
      </c>
    </row>
    <row r="6011" spans="1:10" x14ac:dyDescent="0.2">
      <c r="A6011" s="1" t="s">
        <v>20</v>
      </c>
      <c r="B6011" s="2" t="s">
        <v>410</v>
      </c>
      <c r="D6011" s="5" t="s">
        <v>1762</v>
      </c>
      <c r="E6011" s="3">
        <v>259378</v>
      </c>
      <c r="F6011" s="3" t="s">
        <v>465</v>
      </c>
      <c r="G6011" s="57" t="str">
        <f t="shared" si="96"/>
        <v>-</v>
      </c>
      <c r="J6011" s="5" t="s">
        <v>4539</v>
      </c>
    </row>
    <row r="6012" spans="1:10" ht="25.5" x14ac:dyDescent="0.2">
      <c r="A6012" s="1" t="s">
        <v>20</v>
      </c>
      <c r="B6012" s="2" t="s">
        <v>410</v>
      </c>
      <c r="D6012" s="5" t="s">
        <v>598</v>
      </c>
      <c r="E6012" s="3">
        <v>121063</v>
      </c>
      <c r="F6012" s="3">
        <v>125424</v>
      </c>
      <c r="G6012" s="57">
        <f t="shared" ref="G6012:G6075" si="97">IF(ISERROR((F6012-E6012)/E6012),"-",(F6012-E6012)/E6012)</f>
        <v>3.6022566762759882E-2</v>
      </c>
      <c r="J6012" s="5" t="s">
        <v>1624</v>
      </c>
    </row>
    <row r="6013" spans="1:10" ht="25.5" x14ac:dyDescent="0.2">
      <c r="A6013" s="1" t="s">
        <v>20</v>
      </c>
      <c r="B6013" s="2" t="s">
        <v>410</v>
      </c>
      <c r="D6013" s="5" t="s">
        <v>599</v>
      </c>
      <c r="E6013" s="3">
        <v>125211</v>
      </c>
      <c r="F6013" s="3">
        <v>125423</v>
      </c>
      <c r="G6013" s="57">
        <f t="shared" si="97"/>
        <v>1.6931419763439315E-3</v>
      </c>
      <c r="J6013" s="5" t="s">
        <v>1625</v>
      </c>
    </row>
    <row r="6014" spans="1:10" ht="25.5" x14ac:dyDescent="0.2">
      <c r="A6014" s="1" t="s">
        <v>20</v>
      </c>
      <c r="B6014" s="30" t="s">
        <v>4540</v>
      </c>
      <c r="D6014" s="5" t="s">
        <v>464</v>
      </c>
      <c r="E6014" s="3">
        <v>107500</v>
      </c>
      <c r="F6014" s="3" t="s">
        <v>465</v>
      </c>
      <c r="G6014" s="57" t="str">
        <f t="shared" si="97"/>
        <v>-</v>
      </c>
      <c r="J6014" s="5" t="s">
        <v>539</v>
      </c>
    </row>
    <row r="6015" spans="1:10" ht="25.5" x14ac:dyDescent="0.2">
      <c r="A6015" s="1" t="s">
        <v>4</v>
      </c>
      <c r="B6015" s="2" t="s">
        <v>411</v>
      </c>
      <c r="D6015" s="5" t="s">
        <v>450</v>
      </c>
      <c r="E6015" s="3">
        <v>144836</v>
      </c>
      <c r="F6015" s="3">
        <v>145120</v>
      </c>
      <c r="G6015" s="57">
        <f t="shared" si="97"/>
        <v>1.9608384655748572E-3</v>
      </c>
      <c r="J6015" s="5" t="s">
        <v>597</v>
      </c>
    </row>
    <row r="6016" spans="1:10" ht="25.5" x14ac:dyDescent="0.2">
      <c r="A6016" s="1" t="s">
        <v>4</v>
      </c>
      <c r="B6016" s="2" t="s">
        <v>411</v>
      </c>
      <c r="D6016" s="5" t="s">
        <v>455</v>
      </c>
      <c r="E6016" s="3">
        <v>119366</v>
      </c>
      <c r="F6016" s="3">
        <v>117750</v>
      </c>
      <c r="G6016" s="57">
        <f t="shared" si="97"/>
        <v>-1.3538193455422818E-2</v>
      </c>
      <c r="J6016" s="5" t="s">
        <v>1622</v>
      </c>
    </row>
    <row r="6017" spans="1:10" ht="25.5" x14ac:dyDescent="0.2">
      <c r="A6017" s="1" t="s">
        <v>4</v>
      </c>
      <c r="B6017" s="2" t="s">
        <v>411</v>
      </c>
      <c r="D6017" s="38" t="s">
        <v>504</v>
      </c>
      <c r="E6017" s="3" t="s">
        <v>465</v>
      </c>
      <c r="F6017" s="3">
        <v>101080</v>
      </c>
      <c r="G6017" s="57" t="str">
        <f t="shared" si="97"/>
        <v>-</v>
      </c>
      <c r="J6017" s="5" t="s">
        <v>1623</v>
      </c>
    </row>
    <row r="6018" spans="1:10" x14ac:dyDescent="0.2">
      <c r="A6018" s="1" t="s">
        <v>4</v>
      </c>
      <c r="B6018" s="2" t="s">
        <v>411</v>
      </c>
      <c r="D6018" s="38" t="s">
        <v>2073</v>
      </c>
      <c r="E6018" s="3">
        <v>126690</v>
      </c>
      <c r="F6018" s="3" t="s">
        <v>465</v>
      </c>
      <c r="G6018" s="57" t="str">
        <f t="shared" si="97"/>
        <v>-</v>
      </c>
      <c r="J6018" s="5" t="s">
        <v>2377</v>
      </c>
    </row>
    <row r="6019" spans="1:10" x14ac:dyDescent="0.2">
      <c r="A6019" s="1" t="s">
        <v>4</v>
      </c>
      <c r="B6019" s="2" t="s">
        <v>411</v>
      </c>
      <c r="D6019" s="38" t="s">
        <v>2073</v>
      </c>
      <c r="E6019" s="3">
        <v>112388</v>
      </c>
      <c r="F6019" s="3" t="s">
        <v>465</v>
      </c>
      <c r="G6019" s="57" t="str">
        <f t="shared" si="97"/>
        <v>-</v>
      </c>
    </row>
    <row r="6020" spans="1:10" x14ac:dyDescent="0.2">
      <c r="A6020" s="1" t="s">
        <v>4</v>
      </c>
      <c r="B6020" s="2" t="s">
        <v>411</v>
      </c>
      <c r="D6020" s="5" t="s">
        <v>464</v>
      </c>
      <c r="E6020" s="3" t="s">
        <v>465</v>
      </c>
      <c r="F6020" s="3">
        <v>102500</v>
      </c>
      <c r="G6020" s="57" t="str">
        <f t="shared" si="97"/>
        <v>-</v>
      </c>
      <c r="J6020" s="5" t="s">
        <v>539</v>
      </c>
    </row>
    <row r="6021" spans="1:10" ht="25.5" x14ac:dyDescent="0.2">
      <c r="A6021" s="1" t="s">
        <v>4</v>
      </c>
      <c r="B6021" s="12" t="s">
        <v>412</v>
      </c>
      <c r="D6021" s="5" t="s">
        <v>450</v>
      </c>
      <c r="E6021" s="3">
        <v>154386</v>
      </c>
      <c r="F6021" s="3">
        <v>153673</v>
      </c>
      <c r="G6021" s="57">
        <f t="shared" si="97"/>
        <v>-4.6182944049330899E-3</v>
      </c>
      <c r="J6021" s="5" t="s">
        <v>2374</v>
      </c>
    </row>
    <row r="6022" spans="1:10" ht="25.5" x14ac:dyDescent="0.2">
      <c r="A6022" s="1" t="s">
        <v>4</v>
      </c>
      <c r="B6022" s="2" t="s">
        <v>412</v>
      </c>
      <c r="D6022" s="5" t="s">
        <v>476</v>
      </c>
      <c r="E6022" s="3">
        <v>118556</v>
      </c>
      <c r="F6022" s="3" t="s">
        <v>465</v>
      </c>
      <c r="G6022" s="57" t="str">
        <f t="shared" si="97"/>
        <v>-</v>
      </c>
      <c r="J6022" s="5" t="s">
        <v>2373</v>
      </c>
    </row>
    <row r="6023" spans="1:10" ht="25.5" x14ac:dyDescent="0.2">
      <c r="A6023" s="1" t="s">
        <v>4</v>
      </c>
      <c r="B6023" s="2" t="s">
        <v>412</v>
      </c>
      <c r="D6023" s="5" t="s">
        <v>452</v>
      </c>
      <c r="E6023" s="3">
        <v>115676</v>
      </c>
      <c r="F6023" s="3">
        <v>115608</v>
      </c>
      <c r="G6023" s="57">
        <f t="shared" si="97"/>
        <v>-5.8784881911546044E-4</v>
      </c>
      <c r="J6023" s="5" t="s">
        <v>2375</v>
      </c>
    </row>
    <row r="6024" spans="1:10" ht="25.5" x14ac:dyDescent="0.2">
      <c r="A6024" s="1" t="s">
        <v>4</v>
      </c>
      <c r="B6024" s="2" t="s">
        <v>412</v>
      </c>
      <c r="D6024" s="5" t="s">
        <v>596</v>
      </c>
      <c r="E6024" s="3">
        <v>113430</v>
      </c>
      <c r="F6024" s="3">
        <v>116299</v>
      </c>
      <c r="G6024" s="57">
        <f t="shared" si="97"/>
        <v>2.5293132328308206E-2</v>
      </c>
      <c r="J6024" s="5" t="s">
        <v>2376</v>
      </c>
    </row>
    <row r="6025" spans="1:10" ht="25.5" x14ac:dyDescent="0.2">
      <c r="A6025" s="1" t="s">
        <v>8</v>
      </c>
      <c r="B6025" s="2" t="s">
        <v>413</v>
      </c>
      <c r="D6025" s="5" t="s">
        <v>450</v>
      </c>
      <c r="E6025" s="3">
        <v>147685</v>
      </c>
      <c r="F6025" s="3">
        <v>39858</v>
      </c>
      <c r="G6025" s="57">
        <f t="shared" si="97"/>
        <v>-0.73011477130378843</v>
      </c>
      <c r="J6025" s="5" t="s">
        <v>2371</v>
      </c>
    </row>
    <row r="6026" spans="1:10" ht="25.5" x14ac:dyDescent="0.2">
      <c r="A6026" s="1" t="s">
        <v>8</v>
      </c>
      <c r="B6026" s="2" t="s">
        <v>413</v>
      </c>
      <c r="D6026" s="5" t="s">
        <v>455</v>
      </c>
      <c r="E6026" s="3">
        <v>107727</v>
      </c>
      <c r="F6026" s="3">
        <v>27517</v>
      </c>
      <c r="G6026" s="57">
        <f t="shared" si="97"/>
        <v>-0.74456728582435228</v>
      </c>
      <c r="J6026" s="5" t="s">
        <v>2372</v>
      </c>
    </row>
    <row r="6027" spans="1:10" x14ac:dyDescent="0.2">
      <c r="A6027" s="1" t="s">
        <v>8</v>
      </c>
      <c r="B6027" s="2" t="s">
        <v>413</v>
      </c>
      <c r="D6027" s="5" t="s">
        <v>464</v>
      </c>
      <c r="E6027" s="3" t="s">
        <v>465</v>
      </c>
      <c r="F6027" s="3">
        <v>112500</v>
      </c>
      <c r="G6027" s="57" t="str">
        <f t="shared" si="97"/>
        <v>-</v>
      </c>
    </row>
    <row r="6028" spans="1:10" x14ac:dyDescent="0.2">
      <c r="A6028" s="1" t="s">
        <v>8</v>
      </c>
      <c r="B6028" s="2" t="s">
        <v>413</v>
      </c>
      <c r="D6028" s="5" t="s">
        <v>464</v>
      </c>
      <c r="G6028" s="57" t="str">
        <f t="shared" si="97"/>
        <v>-</v>
      </c>
      <c r="H6028" s="19">
        <v>92500</v>
      </c>
      <c r="I6028" s="19" t="s">
        <v>465</v>
      </c>
    </row>
    <row r="6029" spans="1:10" ht="25.5" x14ac:dyDescent="0.2">
      <c r="A6029" s="1" t="s">
        <v>20</v>
      </c>
      <c r="B6029" s="2" t="s">
        <v>414</v>
      </c>
      <c r="C6029" s="5" t="s">
        <v>591</v>
      </c>
      <c r="D6029" s="5" t="s">
        <v>450</v>
      </c>
      <c r="E6029" s="3">
        <v>126000</v>
      </c>
      <c r="F6029" s="3">
        <v>135000</v>
      </c>
      <c r="G6029" s="57">
        <f t="shared" si="97"/>
        <v>7.1428571428571425E-2</v>
      </c>
      <c r="J6029" s="5" t="s">
        <v>2368</v>
      </c>
    </row>
    <row r="6030" spans="1:10" ht="25.5" x14ac:dyDescent="0.2">
      <c r="A6030" s="1" t="s">
        <v>20</v>
      </c>
      <c r="B6030" s="2" t="s">
        <v>414</v>
      </c>
      <c r="C6030" s="5" t="s">
        <v>592</v>
      </c>
      <c r="D6030" s="5" t="s">
        <v>593</v>
      </c>
      <c r="E6030" s="3">
        <v>95000</v>
      </c>
      <c r="F6030" s="3">
        <v>101000</v>
      </c>
      <c r="G6030" s="57">
        <f t="shared" si="97"/>
        <v>6.3157894736842107E-2</v>
      </c>
      <c r="J6030" s="5" t="s">
        <v>2369</v>
      </c>
    </row>
    <row r="6031" spans="1:10" ht="25.5" x14ac:dyDescent="0.2">
      <c r="A6031" s="1" t="s">
        <v>20</v>
      </c>
      <c r="B6031" s="2" t="s">
        <v>414</v>
      </c>
      <c r="C6031" s="5" t="s">
        <v>594</v>
      </c>
      <c r="D6031" s="5" t="s">
        <v>595</v>
      </c>
      <c r="E6031" s="3">
        <v>97000</v>
      </c>
      <c r="F6031" s="3">
        <v>103000</v>
      </c>
      <c r="G6031" s="57">
        <f t="shared" si="97"/>
        <v>6.1855670103092786E-2</v>
      </c>
      <c r="J6031" s="5" t="s">
        <v>2370</v>
      </c>
    </row>
    <row r="6032" spans="1:10" ht="25.5" x14ac:dyDescent="0.2">
      <c r="A6032" s="1" t="s">
        <v>20</v>
      </c>
      <c r="B6032" s="2" t="s">
        <v>414</v>
      </c>
      <c r="C6032" s="5" t="s">
        <v>2365</v>
      </c>
      <c r="D6032" s="5" t="s">
        <v>2364</v>
      </c>
      <c r="E6032" s="3">
        <v>107000</v>
      </c>
      <c r="F6032" s="3" t="s">
        <v>465</v>
      </c>
      <c r="G6032" s="57" t="str">
        <f t="shared" si="97"/>
        <v>-</v>
      </c>
      <c r="J6032" s="5" t="s">
        <v>4541</v>
      </c>
    </row>
    <row r="6033" spans="1:10" x14ac:dyDescent="0.2">
      <c r="A6033" s="1" t="s">
        <v>20</v>
      </c>
      <c r="B6033" s="2" t="s">
        <v>414</v>
      </c>
      <c r="C6033" s="5" t="s">
        <v>2367</v>
      </c>
      <c r="D6033" s="5" t="s">
        <v>2366</v>
      </c>
      <c r="E6033" s="3">
        <v>114000</v>
      </c>
      <c r="F6033" s="3" t="s">
        <v>465</v>
      </c>
      <c r="G6033" s="57" t="str">
        <f t="shared" si="97"/>
        <v>-</v>
      </c>
      <c r="J6033" s="5" t="s">
        <v>4542</v>
      </c>
    </row>
    <row r="6034" spans="1:10" ht="25.5" x14ac:dyDescent="0.2">
      <c r="A6034" s="1" t="s">
        <v>4</v>
      </c>
      <c r="B6034" s="2" t="s">
        <v>415</v>
      </c>
      <c r="D6034" s="5" t="s">
        <v>450</v>
      </c>
      <c r="E6034" s="3">
        <v>158431</v>
      </c>
      <c r="F6034" s="3">
        <v>158697</v>
      </c>
      <c r="G6034" s="57">
        <f t="shared" si="97"/>
        <v>1.6789643440993239E-3</v>
      </c>
      <c r="J6034" s="5" t="s">
        <v>2358</v>
      </c>
    </row>
    <row r="6035" spans="1:10" ht="25.5" x14ac:dyDescent="0.2">
      <c r="A6035" s="1" t="s">
        <v>4</v>
      </c>
      <c r="B6035" s="2" t="s">
        <v>415</v>
      </c>
      <c r="D6035" s="5" t="s">
        <v>588</v>
      </c>
      <c r="E6035" s="3">
        <v>120354</v>
      </c>
      <c r="F6035" s="3">
        <v>120556</v>
      </c>
      <c r="G6035" s="57">
        <f t="shared" si="97"/>
        <v>1.6783821061202785E-3</v>
      </c>
      <c r="J6035" s="5" t="s">
        <v>2359</v>
      </c>
    </row>
    <row r="6036" spans="1:10" ht="25.5" x14ac:dyDescent="0.2">
      <c r="A6036" s="1" t="s">
        <v>4</v>
      </c>
      <c r="B6036" s="2" t="s">
        <v>415</v>
      </c>
      <c r="D6036" s="5" t="s">
        <v>589</v>
      </c>
      <c r="E6036" s="3">
        <v>119975</v>
      </c>
      <c r="F6036" s="3">
        <v>120357</v>
      </c>
      <c r="G6036" s="57">
        <f t="shared" si="97"/>
        <v>3.1839966659720775E-3</v>
      </c>
      <c r="J6036" s="5" t="s">
        <v>2360</v>
      </c>
    </row>
    <row r="6037" spans="1:10" ht="25.5" x14ac:dyDescent="0.2">
      <c r="A6037" s="1" t="s">
        <v>4</v>
      </c>
      <c r="B6037" s="2" t="s">
        <v>415</v>
      </c>
      <c r="D6037" s="5" t="s">
        <v>590</v>
      </c>
      <c r="E6037" s="3">
        <v>106756</v>
      </c>
      <c r="F6037" s="3">
        <v>112380</v>
      </c>
      <c r="G6037" s="57">
        <f t="shared" si="97"/>
        <v>5.2680879763198324E-2</v>
      </c>
      <c r="J6037" s="5" t="s">
        <v>2361</v>
      </c>
    </row>
    <row r="6038" spans="1:10" x14ac:dyDescent="0.2">
      <c r="A6038" s="1" t="s">
        <v>4</v>
      </c>
      <c r="B6038" s="2" t="s">
        <v>415</v>
      </c>
      <c r="D6038" s="5" t="s">
        <v>464</v>
      </c>
      <c r="E6038" s="3" t="s">
        <v>465</v>
      </c>
      <c r="F6038" s="3">
        <v>102500</v>
      </c>
      <c r="G6038" s="57" t="str">
        <f t="shared" si="97"/>
        <v>-</v>
      </c>
      <c r="J6038" s="5" t="s">
        <v>539</v>
      </c>
    </row>
    <row r="6039" spans="1:10" x14ac:dyDescent="0.2">
      <c r="A6039" s="1" t="s">
        <v>4</v>
      </c>
      <c r="B6039" s="2" t="s">
        <v>415</v>
      </c>
      <c r="D6039" s="5" t="s">
        <v>464</v>
      </c>
      <c r="E6039" s="3" t="s">
        <v>465</v>
      </c>
      <c r="F6039" s="3">
        <v>107500</v>
      </c>
      <c r="G6039" s="57" t="str">
        <f t="shared" si="97"/>
        <v>-</v>
      </c>
      <c r="J6039" s="5" t="s">
        <v>539</v>
      </c>
    </row>
    <row r="6040" spans="1:10" x14ac:dyDescent="0.2">
      <c r="A6040" s="1" t="s">
        <v>4</v>
      </c>
      <c r="B6040" s="2" t="s">
        <v>415</v>
      </c>
      <c r="D6040" s="5" t="s">
        <v>464</v>
      </c>
      <c r="E6040" s="3" t="s">
        <v>465</v>
      </c>
      <c r="F6040" s="3">
        <v>107500</v>
      </c>
      <c r="G6040" s="57" t="str">
        <f t="shared" si="97"/>
        <v>-</v>
      </c>
      <c r="J6040" s="5" t="s">
        <v>539</v>
      </c>
    </row>
    <row r="6041" spans="1:10" x14ac:dyDescent="0.2">
      <c r="A6041" s="1" t="s">
        <v>4</v>
      </c>
      <c r="B6041" s="2" t="s">
        <v>415</v>
      </c>
      <c r="D6041" s="5" t="s">
        <v>464</v>
      </c>
      <c r="E6041" s="3" t="s">
        <v>465</v>
      </c>
      <c r="F6041" s="3">
        <v>112500</v>
      </c>
      <c r="G6041" s="57" t="str">
        <f t="shared" si="97"/>
        <v>-</v>
      </c>
      <c r="J6041" s="5" t="s">
        <v>539</v>
      </c>
    </row>
    <row r="6042" spans="1:10" x14ac:dyDescent="0.2">
      <c r="A6042" s="1" t="s">
        <v>4</v>
      </c>
      <c r="B6042" s="2" t="s">
        <v>415</v>
      </c>
      <c r="D6042" s="5" t="s">
        <v>464</v>
      </c>
      <c r="E6042" s="3" t="s">
        <v>465</v>
      </c>
      <c r="F6042" s="3">
        <v>112500</v>
      </c>
      <c r="G6042" s="57" t="str">
        <f t="shared" si="97"/>
        <v>-</v>
      </c>
      <c r="J6042" s="5" t="s">
        <v>539</v>
      </c>
    </row>
    <row r="6043" spans="1:10" x14ac:dyDescent="0.2">
      <c r="A6043" s="1" t="s">
        <v>4</v>
      </c>
      <c r="B6043" s="2" t="s">
        <v>415</v>
      </c>
      <c r="D6043" s="5" t="s">
        <v>464</v>
      </c>
      <c r="E6043" s="3" t="s">
        <v>465</v>
      </c>
      <c r="F6043" s="3">
        <v>117500</v>
      </c>
      <c r="G6043" s="57" t="str">
        <f t="shared" si="97"/>
        <v>-</v>
      </c>
      <c r="J6043" s="5" t="s">
        <v>539</v>
      </c>
    </row>
    <row r="6044" spans="1:10" x14ac:dyDescent="0.2">
      <c r="A6044" s="1" t="s">
        <v>4</v>
      </c>
      <c r="B6044" s="2" t="s">
        <v>415</v>
      </c>
      <c r="D6044" s="5" t="s">
        <v>464</v>
      </c>
      <c r="E6044" s="3" t="s">
        <v>465</v>
      </c>
      <c r="F6044" s="3">
        <v>127500</v>
      </c>
      <c r="G6044" s="57" t="str">
        <f t="shared" si="97"/>
        <v>-</v>
      </c>
      <c r="J6044" s="5" t="s">
        <v>539</v>
      </c>
    </row>
    <row r="6045" spans="1:10" x14ac:dyDescent="0.2">
      <c r="A6045" s="1" t="s">
        <v>4</v>
      </c>
      <c r="B6045" s="2" t="s">
        <v>415</v>
      </c>
      <c r="D6045" s="5" t="s">
        <v>464</v>
      </c>
      <c r="E6045" s="3" t="s">
        <v>465</v>
      </c>
      <c r="F6045" s="3">
        <v>142500</v>
      </c>
      <c r="G6045" s="57" t="str">
        <f t="shared" si="97"/>
        <v>-</v>
      </c>
      <c r="J6045" s="5" t="s">
        <v>539</v>
      </c>
    </row>
    <row r="6046" spans="1:10" x14ac:dyDescent="0.2">
      <c r="A6046" s="1" t="s">
        <v>4</v>
      </c>
      <c r="B6046" s="2" t="s">
        <v>415</v>
      </c>
      <c r="D6046" s="5" t="s">
        <v>464</v>
      </c>
      <c r="E6046" s="3">
        <v>122500</v>
      </c>
      <c r="F6046" s="3" t="s">
        <v>465</v>
      </c>
      <c r="G6046" s="57" t="str">
        <f t="shared" si="97"/>
        <v>-</v>
      </c>
      <c r="J6046" s="5" t="s">
        <v>2363</v>
      </c>
    </row>
    <row r="6047" spans="1:10" x14ac:dyDescent="0.2">
      <c r="A6047" s="1" t="s">
        <v>4</v>
      </c>
      <c r="B6047" s="2" t="s">
        <v>415</v>
      </c>
      <c r="D6047" s="5" t="s">
        <v>464</v>
      </c>
      <c r="E6047" s="3">
        <v>152500</v>
      </c>
      <c r="F6047" s="3" t="s">
        <v>465</v>
      </c>
      <c r="G6047" s="57" t="str">
        <f t="shared" si="97"/>
        <v>-</v>
      </c>
      <c r="J6047" s="5" t="s">
        <v>2363</v>
      </c>
    </row>
    <row r="6048" spans="1:10" x14ac:dyDescent="0.2">
      <c r="A6048" s="1" t="s">
        <v>4</v>
      </c>
      <c r="B6048" s="2" t="s">
        <v>415</v>
      </c>
      <c r="D6048" s="5" t="s">
        <v>464</v>
      </c>
      <c r="E6048" s="3">
        <v>162500</v>
      </c>
      <c r="F6048" s="3" t="s">
        <v>465</v>
      </c>
      <c r="G6048" s="57" t="str">
        <f t="shared" si="97"/>
        <v>-</v>
      </c>
      <c r="J6048" s="5" t="s">
        <v>2363</v>
      </c>
    </row>
    <row r="6049" spans="1:10" x14ac:dyDescent="0.2">
      <c r="A6049" s="1" t="s">
        <v>4</v>
      </c>
      <c r="B6049" s="2" t="s">
        <v>415</v>
      </c>
      <c r="D6049" s="5" t="s">
        <v>464</v>
      </c>
      <c r="G6049" s="57" t="str">
        <f t="shared" si="97"/>
        <v>-</v>
      </c>
      <c r="H6049" s="19" t="s">
        <v>465</v>
      </c>
      <c r="I6049" s="19">
        <v>92500</v>
      </c>
      <c r="J6049" s="5" t="s">
        <v>539</v>
      </c>
    </row>
    <row r="6050" spans="1:10" x14ac:dyDescent="0.2">
      <c r="A6050" s="1" t="s">
        <v>4</v>
      </c>
      <c r="B6050" s="2" t="s">
        <v>415</v>
      </c>
      <c r="D6050" s="5" t="s">
        <v>464</v>
      </c>
      <c r="G6050" s="57" t="str">
        <f t="shared" si="97"/>
        <v>-</v>
      </c>
      <c r="H6050" s="19" t="s">
        <v>465</v>
      </c>
      <c r="I6050" s="19">
        <v>92500</v>
      </c>
      <c r="J6050" s="5" t="s">
        <v>539</v>
      </c>
    </row>
    <row r="6051" spans="1:10" x14ac:dyDescent="0.2">
      <c r="A6051" s="1" t="s">
        <v>4</v>
      </c>
      <c r="B6051" s="2" t="s">
        <v>415</v>
      </c>
      <c r="D6051" s="5" t="s">
        <v>464</v>
      </c>
      <c r="G6051" s="57" t="str">
        <f t="shared" si="97"/>
        <v>-</v>
      </c>
      <c r="H6051" s="19" t="s">
        <v>465</v>
      </c>
      <c r="I6051" s="19">
        <v>97500</v>
      </c>
    </row>
    <row r="6052" spans="1:10" x14ac:dyDescent="0.2">
      <c r="A6052" s="1" t="s">
        <v>4</v>
      </c>
      <c r="B6052" s="2" t="s">
        <v>415</v>
      </c>
      <c r="D6052" s="5" t="s">
        <v>464</v>
      </c>
      <c r="G6052" s="57" t="str">
        <f t="shared" si="97"/>
        <v>-</v>
      </c>
      <c r="H6052" s="19">
        <v>97500</v>
      </c>
      <c r="I6052" s="19" t="s">
        <v>465</v>
      </c>
      <c r="J6052" s="5" t="s">
        <v>2362</v>
      </c>
    </row>
    <row r="6053" spans="1:10" x14ac:dyDescent="0.2">
      <c r="A6053" s="1" t="s">
        <v>4</v>
      </c>
      <c r="B6053" s="2" t="s">
        <v>415</v>
      </c>
      <c r="D6053" s="5" t="s">
        <v>464</v>
      </c>
      <c r="G6053" s="57" t="str">
        <f t="shared" si="97"/>
        <v>-</v>
      </c>
      <c r="H6053" s="19">
        <v>97500</v>
      </c>
      <c r="I6053" s="19" t="s">
        <v>465</v>
      </c>
      <c r="J6053" s="5" t="s">
        <v>2362</v>
      </c>
    </row>
    <row r="6054" spans="1:10" s="13" customFormat="1" ht="38.25" x14ac:dyDescent="0.2">
      <c r="A6054" s="13" t="s">
        <v>34</v>
      </c>
      <c r="B6054" s="12" t="s">
        <v>416</v>
      </c>
      <c r="C6054" s="7"/>
      <c r="D6054" s="7" t="s">
        <v>4543</v>
      </c>
      <c r="E6054" s="6">
        <v>137295</v>
      </c>
      <c r="F6054" s="6">
        <v>110162</v>
      </c>
      <c r="G6054" s="57">
        <f t="shared" si="97"/>
        <v>-0.19762555082122438</v>
      </c>
      <c r="H6054" s="21"/>
      <c r="I6054" s="21"/>
      <c r="J6054" s="7" t="s">
        <v>4544</v>
      </c>
    </row>
    <row r="6055" spans="1:10" x14ac:dyDescent="0.2">
      <c r="A6055" s="13" t="s">
        <v>34</v>
      </c>
      <c r="B6055" s="12" t="s">
        <v>416</v>
      </c>
      <c r="D6055" s="5" t="s">
        <v>464</v>
      </c>
      <c r="E6055" s="3" t="s">
        <v>465</v>
      </c>
      <c r="F6055" s="3">
        <v>117500</v>
      </c>
      <c r="G6055" s="57" t="str">
        <f t="shared" si="97"/>
        <v>-</v>
      </c>
    </row>
    <row r="6056" spans="1:10" x14ac:dyDescent="0.2">
      <c r="A6056" s="13" t="s">
        <v>34</v>
      </c>
      <c r="B6056" s="12" t="s">
        <v>416</v>
      </c>
      <c r="D6056" s="5" t="s">
        <v>464</v>
      </c>
      <c r="G6056" s="57" t="str">
        <f t="shared" si="97"/>
        <v>-</v>
      </c>
      <c r="H6056" s="19">
        <v>92500</v>
      </c>
      <c r="I6056" s="19" t="s">
        <v>465</v>
      </c>
      <c r="J6056" s="5" t="s">
        <v>539</v>
      </c>
    </row>
    <row r="6057" spans="1:10" ht="63.75" x14ac:dyDescent="0.2">
      <c r="A6057" s="13" t="s">
        <v>34</v>
      </c>
      <c r="B6057" s="2" t="s">
        <v>4732</v>
      </c>
      <c r="C6057" s="5" t="s">
        <v>4564</v>
      </c>
      <c r="D6057" s="5" t="s">
        <v>450</v>
      </c>
      <c r="E6057" s="3">
        <v>115892</v>
      </c>
      <c r="F6057" s="3">
        <v>119842</v>
      </c>
      <c r="G6057" s="57">
        <f t="shared" si="97"/>
        <v>3.4083457011700548E-2</v>
      </c>
      <c r="J6057" s="5" t="s">
        <v>4565</v>
      </c>
    </row>
    <row r="6058" spans="1:10" ht="27" customHeight="1" x14ac:dyDescent="0.2">
      <c r="A6058" s="1" t="s">
        <v>1</v>
      </c>
      <c r="B6058" s="12" t="s">
        <v>417</v>
      </c>
      <c r="C6058" s="5" t="s">
        <v>580</v>
      </c>
      <c r="D6058" s="5" t="s">
        <v>450</v>
      </c>
      <c r="E6058" s="3">
        <f>121338+20922</f>
        <v>142260</v>
      </c>
      <c r="F6058" s="3">
        <f>119925+21826</f>
        <v>141751</v>
      </c>
      <c r="G6058" s="57">
        <f t="shared" si="97"/>
        <v>-3.5779558554758892E-3</v>
      </c>
      <c r="J6058" s="7" t="s">
        <v>4550</v>
      </c>
    </row>
    <row r="6059" spans="1:10" ht="26.25" customHeight="1" x14ac:dyDescent="0.2">
      <c r="A6059" s="1" t="s">
        <v>1</v>
      </c>
      <c r="B6059" s="12" t="s">
        <v>417</v>
      </c>
      <c r="C6059" s="5" t="s">
        <v>581</v>
      </c>
      <c r="D6059" s="5" t="s">
        <v>582</v>
      </c>
      <c r="E6059" s="3">
        <f>98642+14585</f>
        <v>113227</v>
      </c>
      <c r="F6059" s="3">
        <f>101109+15065</f>
        <v>116174</v>
      </c>
      <c r="G6059" s="57">
        <f t="shared" si="97"/>
        <v>2.6027360965140824E-2</v>
      </c>
      <c r="J6059" s="7" t="s">
        <v>4549</v>
      </c>
    </row>
    <row r="6060" spans="1:10" ht="24.75" customHeight="1" x14ac:dyDescent="0.2">
      <c r="A6060" s="1" t="s">
        <v>1</v>
      </c>
      <c r="B6060" s="12" t="s">
        <v>417</v>
      </c>
      <c r="C6060" s="5" t="s">
        <v>583</v>
      </c>
      <c r="D6060" s="5" t="s">
        <v>584</v>
      </c>
      <c r="E6060" s="3">
        <f>98642+17025</f>
        <v>115667</v>
      </c>
      <c r="F6060" s="3">
        <f>101109+18402</f>
        <v>119511</v>
      </c>
      <c r="G6060" s="57">
        <f t="shared" si="97"/>
        <v>3.3233333621516939E-2</v>
      </c>
      <c r="J6060" s="7" t="s">
        <v>4548</v>
      </c>
    </row>
    <row r="6061" spans="1:10" ht="25.5" x14ac:dyDescent="0.2">
      <c r="A6061" s="1" t="s">
        <v>1</v>
      </c>
      <c r="B6061" s="12" t="s">
        <v>417</v>
      </c>
      <c r="C6061" s="5" t="s">
        <v>585</v>
      </c>
      <c r="D6061" s="5" t="s">
        <v>586</v>
      </c>
      <c r="E6061" s="3">
        <f>98642+17025</f>
        <v>115667</v>
      </c>
      <c r="F6061" s="3">
        <f>101109+18402</f>
        <v>119511</v>
      </c>
      <c r="G6061" s="57">
        <f t="shared" si="97"/>
        <v>3.3233333621516939E-2</v>
      </c>
      <c r="J6061" s="7" t="s">
        <v>4548</v>
      </c>
    </row>
    <row r="6062" spans="1:10" ht="25.5" x14ac:dyDescent="0.2">
      <c r="A6062" s="1" t="s">
        <v>1</v>
      </c>
      <c r="B6062" s="12" t="s">
        <v>417</v>
      </c>
      <c r="C6062" s="5" t="s">
        <v>4545</v>
      </c>
      <c r="D6062" s="5" t="s">
        <v>4546</v>
      </c>
      <c r="E6062" s="3">
        <f>79863+13718</f>
        <v>93581</v>
      </c>
      <c r="F6062" s="3">
        <f>85297+15402</f>
        <v>100699</v>
      </c>
      <c r="G6062" s="57">
        <f t="shared" si="97"/>
        <v>7.606244857396266E-2</v>
      </c>
      <c r="J6062" s="7" t="s">
        <v>4547</v>
      </c>
    </row>
    <row r="6063" spans="1:10" ht="25.5" x14ac:dyDescent="0.2">
      <c r="A6063" s="1" t="s">
        <v>6</v>
      </c>
      <c r="B6063" s="2" t="s">
        <v>418</v>
      </c>
      <c r="D6063" s="5" t="s">
        <v>450</v>
      </c>
      <c r="E6063" s="3">
        <v>139311</v>
      </c>
      <c r="F6063" s="3">
        <v>141273</v>
      </c>
      <c r="G6063" s="57">
        <f t="shared" si="97"/>
        <v>1.4083597131597649E-2</v>
      </c>
      <c r="J6063" s="5" t="s">
        <v>2357</v>
      </c>
    </row>
    <row r="6064" spans="1:10" ht="38.25" x14ac:dyDescent="0.2">
      <c r="A6064" s="1" t="s">
        <v>6</v>
      </c>
      <c r="B6064" s="2" t="s">
        <v>418</v>
      </c>
      <c r="D6064" s="5" t="s">
        <v>455</v>
      </c>
      <c r="E6064" s="3">
        <v>119270</v>
      </c>
      <c r="F6064" s="3">
        <v>137125</v>
      </c>
      <c r="G6064" s="57">
        <f t="shared" si="97"/>
        <v>0.14970235599899387</v>
      </c>
      <c r="J6064" s="5" t="s">
        <v>4551</v>
      </c>
    </row>
    <row r="6065" spans="1:10" x14ac:dyDescent="0.2">
      <c r="A6065" s="1" t="s">
        <v>6</v>
      </c>
      <c r="B6065" s="2" t="s">
        <v>418</v>
      </c>
      <c r="D6065" s="5" t="s">
        <v>2355</v>
      </c>
      <c r="E6065" s="3">
        <v>149097</v>
      </c>
      <c r="F6065" s="3" t="s">
        <v>465</v>
      </c>
      <c r="G6065" s="57" t="str">
        <f t="shared" si="97"/>
        <v>-</v>
      </c>
      <c r="J6065" s="5" t="s">
        <v>4414</v>
      </c>
    </row>
    <row r="6066" spans="1:10" ht="25.5" x14ac:dyDescent="0.2">
      <c r="A6066" s="1" t="s">
        <v>8</v>
      </c>
      <c r="B6066" s="2" t="s">
        <v>419</v>
      </c>
      <c r="C6066" s="5" t="s">
        <v>579</v>
      </c>
      <c r="D6066" s="5" t="s">
        <v>450</v>
      </c>
      <c r="E6066" s="3" t="s">
        <v>465</v>
      </c>
      <c r="F6066" s="3">
        <v>127468</v>
      </c>
      <c r="G6066" s="57" t="str">
        <f t="shared" si="97"/>
        <v>-</v>
      </c>
      <c r="J6066" s="5" t="s">
        <v>4552</v>
      </c>
    </row>
    <row r="6067" spans="1:10" x14ac:dyDescent="0.2">
      <c r="A6067" s="1" t="s">
        <v>8</v>
      </c>
      <c r="B6067" s="2" t="s">
        <v>419</v>
      </c>
      <c r="D6067" s="5" t="s">
        <v>450</v>
      </c>
      <c r="E6067" s="3">
        <v>116727</v>
      </c>
      <c r="F6067" s="3" t="s">
        <v>465</v>
      </c>
      <c r="G6067" s="57" t="str">
        <f t="shared" si="97"/>
        <v>-</v>
      </c>
      <c r="J6067" s="5" t="s">
        <v>4553</v>
      </c>
    </row>
    <row r="6068" spans="1:10" ht="25.5" x14ac:dyDescent="0.2">
      <c r="A6068" s="1" t="s">
        <v>8</v>
      </c>
      <c r="B6068" s="2" t="s">
        <v>419</v>
      </c>
      <c r="D6068" s="5" t="s">
        <v>2354</v>
      </c>
      <c r="E6068" s="3">
        <v>100395</v>
      </c>
      <c r="F6068" s="3">
        <v>43259</v>
      </c>
      <c r="G6068" s="57">
        <f t="shared" si="97"/>
        <v>-0.56911200757009817</v>
      </c>
      <c r="J6068" s="5" t="s">
        <v>4554</v>
      </c>
    </row>
    <row r="6069" spans="1:10" ht="25.5" x14ac:dyDescent="0.2">
      <c r="A6069" s="1" t="s">
        <v>1</v>
      </c>
      <c r="B6069" s="12" t="s">
        <v>420</v>
      </c>
      <c r="C6069" s="5" t="s">
        <v>575</v>
      </c>
      <c r="D6069" s="5" t="s">
        <v>4555</v>
      </c>
      <c r="E6069" s="9">
        <f>108804+20999</f>
        <v>129803</v>
      </c>
      <c r="F6069" s="9">
        <f>119675+21652</f>
        <v>141327</v>
      </c>
      <c r="G6069" s="57">
        <f t="shared" si="97"/>
        <v>8.8780690739043017E-2</v>
      </c>
      <c r="J6069" s="5" t="s">
        <v>4558</v>
      </c>
    </row>
    <row r="6070" spans="1:10" ht="25.5" x14ac:dyDescent="0.2">
      <c r="A6070" s="1" t="s">
        <v>1</v>
      </c>
      <c r="B6070" s="12" t="s">
        <v>420</v>
      </c>
      <c r="C6070" s="5" t="s">
        <v>3600</v>
      </c>
      <c r="D6070" s="5" t="s">
        <v>450</v>
      </c>
      <c r="E6070" s="9">
        <f>128607+25739</f>
        <v>154346</v>
      </c>
      <c r="F6070" s="9">
        <f>74380+14863</f>
        <v>89243</v>
      </c>
      <c r="G6070" s="57">
        <f t="shared" si="97"/>
        <v>-0.42179907480595547</v>
      </c>
      <c r="J6070" s="5" t="s">
        <v>3632</v>
      </c>
    </row>
    <row r="6071" spans="1:10" ht="25.5" x14ac:dyDescent="0.2">
      <c r="A6071" s="1" t="s">
        <v>1</v>
      </c>
      <c r="B6071" s="12" t="s">
        <v>420</v>
      </c>
      <c r="C6071" s="5" t="s">
        <v>576</v>
      </c>
      <c r="D6071" s="5" t="s">
        <v>577</v>
      </c>
      <c r="E6071" s="9">
        <f>109587+16212</f>
        <v>125799</v>
      </c>
      <c r="F6071" s="9">
        <f>112308+16617</f>
        <v>128925</v>
      </c>
      <c r="G6071" s="57">
        <f t="shared" si="97"/>
        <v>2.4849164142799227E-2</v>
      </c>
      <c r="J6071" s="5" t="s">
        <v>3631</v>
      </c>
    </row>
    <row r="6072" spans="1:10" ht="38.25" x14ac:dyDescent="0.2">
      <c r="A6072" s="1" t="s">
        <v>1</v>
      </c>
      <c r="B6072" s="12" t="s">
        <v>420</v>
      </c>
      <c r="C6072" s="5" t="s">
        <v>578</v>
      </c>
      <c r="D6072" s="5" t="s">
        <v>3601</v>
      </c>
      <c r="E6072" s="9">
        <f>109587+20999</f>
        <v>130586</v>
      </c>
      <c r="F6072" s="9">
        <f>116093+38191</f>
        <v>154284</v>
      </c>
      <c r="G6072" s="57">
        <f t="shared" si="97"/>
        <v>0.18147427748763267</v>
      </c>
      <c r="J6072" s="5" t="s">
        <v>3602</v>
      </c>
    </row>
    <row r="6073" spans="1:10" ht="25.5" x14ac:dyDescent="0.2">
      <c r="A6073" s="1" t="s">
        <v>1</v>
      </c>
      <c r="B6073" s="12" t="s">
        <v>420</v>
      </c>
      <c r="C6073" s="5" t="s">
        <v>3603</v>
      </c>
      <c r="D6073" s="5" t="s">
        <v>4556</v>
      </c>
      <c r="E6073" s="9">
        <f>82779+15825</f>
        <v>98604</v>
      </c>
      <c r="F6073" s="9">
        <f>95138+16317</f>
        <v>111455</v>
      </c>
      <c r="G6073" s="57">
        <f t="shared" si="97"/>
        <v>0.13032939840168756</v>
      </c>
      <c r="J6073" s="5" t="s">
        <v>4557</v>
      </c>
    </row>
    <row r="6074" spans="1:10" ht="38.25" x14ac:dyDescent="0.2">
      <c r="A6074" s="1" t="s">
        <v>1</v>
      </c>
      <c r="B6074" s="12" t="s">
        <v>420</v>
      </c>
      <c r="C6074" s="5" t="s">
        <v>3604</v>
      </c>
      <c r="D6074" s="5" t="s">
        <v>3605</v>
      </c>
      <c r="E6074" s="9">
        <f>89484+17119</f>
        <v>106603</v>
      </c>
      <c r="F6074" s="9">
        <f>44815+139520</f>
        <v>184335</v>
      </c>
      <c r="G6074" s="57">
        <f t="shared" si="97"/>
        <v>0.72917272497021657</v>
      </c>
      <c r="J6074" s="5" t="s">
        <v>3633</v>
      </c>
    </row>
    <row r="6075" spans="1:10" ht="25.5" x14ac:dyDescent="0.2">
      <c r="A6075" s="1" t="s">
        <v>1</v>
      </c>
      <c r="B6075" s="12" t="s">
        <v>420</v>
      </c>
      <c r="C6075" s="5" t="s">
        <v>3606</v>
      </c>
      <c r="D6075" s="5" t="s">
        <v>3607</v>
      </c>
      <c r="E6075" s="9">
        <f>89484+17119</f>
        <v>106603</v>
      </c>
      <c r="F6075" s="9">
        <f>91701+17651</f>
        <v>109352</v>
      </c>
      <c r="G6075" s="57">
        <f t="shared" si="97"/>
        <v>2.5787266774856241E-2</v>
      </c>
      <c r="J6075" s="5" t="s">
        <v>3608</v>
      </c>
    </row>
    <row r="6076" spans="1:10" ht="25.5" x14ac:dyDescent="0.2">
      <c r="A6076" s="1" t="s">
        <v>1</v>
      </c>
      <c r="B6076" s="12" t="s">
        <v>420</v>
      </c>
      <c r="C6076" s="5" t="s">
        <v>3609</v>
      </c>
      <c r="D6076" s="5" t="s">
        <v>1732</v>
      </c>
      <c r="E6076" s="9">
        <f>80307+15499</f>
        <v>95806</v>
      </c>
      <c r="F6076" s="9">
        <f>84045+15981</f>
        <v>100026</v>
      </c>
      <c r="G6076" s="57">
        <f t="shared" ref="G6076:G6139" si="98">IF(ISERROR((F6076-E6076)/E6076),"-",(F6076-E6076)/E6076)</f>
        <v>4.4047345677723733E-2</v>
      </c>
      <c r="J6076" s="5" t="s">
        <v>3610</v>
      </c>
    </row>
    <row r="6077" spans="1:10" ht="25.5" x14ac:dyDescent="0.2">
      <c r="A6077" s="1" t="s">
        <v>1</v>
      </c>
      <c r="B6077" s="12" t="s">
        <v>420</v>
      </c>
      <c r="C6077" s="5" t="s">
        <v>3611</v>
      </c>
      <c r="D6077" s="5" t="s">
        <v>3612</v>
      </c>
      <c r="E6077" s="9">
        <f>82779+15825</f>
        <v>98604</v>
      </c>
      <c r="F6077" s="9">
        <f>84828+16317</f>
        <v>101145</v>
      </c>
      <c r="G6077" s="57">
        <f t="shared" si="98"/>
        <v>2.5769745649263723E-2</v>
      </c>
      <c r="J6077" s="5" t="s">
        <v>3620</v>
      </c>
    </row>
    <row r="6078" spans="1:10" ht="25.5" x14ac:dyDescent="0.2">
      <c r="A6078" s="1" t="s">
        <v>1</v>
      </c>
      <c r="B6078" s="12" t="s">
        <v>420</v>
      </c>
      <c r="C6078" s="5" t="s">
        <v>3613</v>
      </c>
      <c r="D6078" s="5" t="s">
        <v>3614</v>
      </c>
      <c r="E6078" s="9">
        <f>82779+15825</f>
        <v>98604</v>
      </c>
      <c r="F6078" s="9">
        <f>84828+16317</f>
        <v>101145</v>
      </c>
      <c r="G6078" s="57">
        <f t="shared" si="98"/>
        <v>2.5769745649263723E-2</v>
      </c>
      <c r="J6078" s="5" t="s">
        <v>3620</v>
      </c>
    </row>
    <row r="6079" spans="1:10" ht="25.5" x14ac:dyDescent="0.2">
      <c r="A6079" s="1" t="s">
        <v>1</v>
      </c>
      <c r="B6079" s="12" t="s">
        <v>420</v>
      </c>
      <c r="C6079" s="5" t="s">
        <v>3615</v>
      </c>
      <c r="D6079" s="5" t="s">
        <v>3616</v>
      </c>
      <c r="E6079" s="9">
        <f>82818+15825</f>
        <v>98643</v>
      </c>
      <c r="F6079" s="9">
        <f>84831+16317</f>
        <v>101148</v>
      </c>
      <c r="G6079" s="57">
        <f t="shared" si="98"/>
        <v>2.5394604786959034E-2</v>
      </c>
      <c r="J6079" s="5" t="s">
        <v>3621</v>
      </c>
    </row>
    <row r="6080" spans="1:10" ht="38.25" x14ac:dyDescent="0.2">
      <c r="A6080" s="1" t="s">
        <v>1</v>
      </c>
      <c r="B6080" s="12" t="s">
        <v>420</v>
      </c>
      <c r="C6080" s="5" t="s">
        <v>3617</v>
      </c>
      <c r="D6080" s="5" t="s">
        <v>3622</v>
      </c>
      <c r="E6080" s="9">
        <f>77760+14856</f>
        <v>92616</v>
      </c>
      <c r="F6080" s="9">
        <f>88555+145809</f>
        <v>234364</v>
      </c>
      <c r="G6080" s="57">
        <f t="shared" si="98"/>
        <v>1.5304914917508854</v>
      </c>
      <c r="J6080" s="5" t="s">
        <v>3623</v>
      </c>
    </row>
    <row r="6081" spans="1:10" ht="38.25" x14ac:dyDescent="0.2">
      <c r="A6081" s="1" t="s">
        <v>1</v>
      </c>
      <c r="B6081" s="12" t="s">
        <v>420</v>
      </c>
      <c r="C6081" s="5" t="s">
        <v>3618</v>
      </c>
      <c r="D6081" s="5" t="s">
        <v>3624</v>
      </c>
      <c r="E6081" s="9">
        <f>82779+15825</f>
        <v>98604</v>
      </c>
      <c r="F6081" s="9">
        <f>94995+14005</f>
        <v>109000</v>
      </c>
      <c r="G6081" s="57">
        <f t="shared" si="98"/>
        <v>0.10543182832339459</v>
      </c>
      <c r="J6081" s="5" t="s">
        <v>3625</v>
      </c>
    </row>
    <row r="6082" spans="1:10" ht="25.5" x14ac:dyDescent="0.2">
      <c r="A6082" s="1" t="s">
        <v>1</v>
      </c>
      <c r="B6082" s="12" t="s">
        <v>420</v>
      </c>
      <c r="C6082" s="5" t="s">
        <v>3619</v>
      </c>
      <c r="D6082" s="5" t="s">
        <v>3626</v>
      </c>
      <c r="E6082" s="9">
        <f>87309+16692</f>
        <v>104001</v>
      </c>
      <c r="F6082" s="9">
        <f>40638+8129</f>
        <v>48767</v>
      </c>
      <c r="G6082" s="57">
        <f t="shared" si="98"/>
        <v>-0.53109104720146927</v>
      </c>
      <c r="J6082" s="5" t="s">
        <v>3627</v>
      </c>
    </row>
    <row r="6083" spans="1:10" ht="25.5" x14ac:dyDescent="0.2">
      <c r="A6083" s="1" t="s">
        <v>1</v>
      </c>
      <c r="B6083" s="12" t="s">
        <v>420</v>
      </c>
      <c r="C6083" s="5" t="s">
        <v>3628</v>
      </c>
      <c r="D6083" s="5" t="s">
        <v>3629</v>
      </c>
      <c r="E6083" s="9">
        <f>83993+12392</f>
        <v>96385</v>
      </c>
      <c r="F6083" s="9">
        <f>91957+13585</f>
        <v>105542</v>
      </c>
      <c r="G6083" s="57">
        <f t="shared" si="98"/>
        <v>9.5004409399802869E-2</v>
      </c>
      <c r="J6083" s="5" t="s">
        <v>3630</v>
      </c>
    </row>
    <row r="6084" spans="1:10" ht="38.25" x14ac:dyDescent="0.2">
      <c r="A6084" s="1" t="s">
        <v>4</v>
      </c>
      <c r="B6084" s="2" t="s">
        <v>421</v>
      </c>
      <c r="D6084" s="5" t="s">
        <v>450</v>
      </c>
      <c r="E6084" s="3">
        <v>142763</v>
      </c>
      <c r="F6084" s="3">
        <v>145744</v>
      </c>
      <c r="G6084" s="57">
        <f t="shared" si="98"/>
        <v>2.0880760421117518E-2</v>
      </c>
      <c r="J6084" s="5" t="s">
        <v>2353</v>
      </c>
    </row>
    <row r="6085" spans="1:10" ht="25.5" x14ac:dyDescent="0.2">
      <c r="A6085" s="1" t="s">
        <v>4</v>
      </c>
      <c r="B6085" s="2" t="s">
        <v>421</v>
      </c>
      <c r="D6085" s="5" t="s">
        <v>572</v>
      </c>
      <c r="E6085" s="3">
        <v>101521</v>
      </c>
      <c r="F6085" s="3">
        <v>100460</v>
      </c>
      <c r="G6085" s="57">
        <f t="shared" si="98"/>
        <v>-1.0451039686370308E-2</v>
      </c>
      <c r="J6085" s="5" t="s">
        <v>2350</v>
      </c>
    </row>
    <row r="6086" spans="1:10" ht="38.25" x14ac:dyDescent="0.2">
      <c r="A6086" s="1" t="s">
        <v>4</v>
      </c>
      <c r="B6086" s="2" t="s">
        <v>421</v>
      </c>
      <c r="D6086" s="5" t="s">
        <v>573</v>
      </c>
      <c r="E6086" s="3">
        <v>101812</v>
      </c>
      <c r="F6086" s="3">
        <v>211245</v>
      </c>
      <c r="G6086" s="57">
        <f t="shared" si="98"/>
        <v>1.0748536518288609</v>
      </c>
      <c r="J6086" s="5" t="s">
        <v>2351</v>
      </c>
    </row>
    <row r="6087" spans="1:10" ht="38.25" x14ac:dyDescent="0.2">
      <c r="A6087" s="1" t="s">
        <v>4</v>
      </c>
      <c r="B6087" s="2" t="s">
        <v>421</v>
      </c>
      <c r="D6087" s="5" t="s">
        <v>574</v>
      </c>
      <c r="E6087" s="3">
        <v>105040</v>
      </c>
      <c r="F6087" s="3">
        <v>105496</v>
      </c>
      <c r="G6087" s="57">
        <f t="shared" si="98"/>
        <v>4.341203351104341E-3</v>
      </c>
      <c r="J6087" s="5" t="s">
        <v>2352</v>
      </c>
    </row>
    <row r="6088" spans="1:10" x14ac:dyDescent="0.2">
      <c r="A6088" s="1" t="s">
        <v>34</v>
      </c>
      <c r="B6088" s="2" t="s">
        <v>422</v>
      </c>
      <c r="D6088" s="7" t="s">
        <v>464</v>
      </c>
      <c r="G6088" s="57" t="str">
        <f t="shared" si="98"/>
        <v>-</v>
      </c>
      <c r="H6088" s="19">
        <v>92500</v>
      </c>
      <c r="I6088" s="19" t="s">
        <v>465</v>
      </c>
      <c r="J6088" s="5" t="s">
        <v>539</v>
      </c>
    </row>
    <row r="6089" spans="1:10" ht="25.5" x14ac:dyDescent="0.2">
      <c r="A6089" s="1" t="s">
        <v>4</v>
      </c>
      <c r="B6089" s="2" t="s">
        <v>423</v>
      </c>
      <c r="C6089" s="5" t="s">
        <v>551</v>
      </c>
      <c r="D6089" s="5" t="s">
        <v>450</v>
      </c>
      <c r="E6089" s="6">
        <v>183342</v>
      </c>
      <c r="F6089" s="3">
        <v>207693</v>
      </c>
      <c r="G6089" s="57">
        <f t="shared" si="98"/>
        <v>0.13281735772490755</v>
      </c>
      <c r="J6089" s="5" t="s">
        <v>2334</v>
      </c>
    </row>
    <row r="6090" spans="1:10" ht="38.25" x14ac:dyDescent="0.2">
      <c r="A6090" s="1" t="s">
        <v>4</v>
      </c>
      <c r="B6090" s="2" t="s">
        <v>423</v>
      </c>
      <c r="C6090" s="5" t="s">
        <v>552</v>
      </c>
      <c r="D6090" s="5" t="s">
        <v>450</v>
      </c>
      <c r="E6090" s="6">
        <v>266470</v>
      </c>
      <c r="F6090" s="3">
        <v>397232</v>
      </c>
      <c r="G6090" s="57">
        <f t="shared" si="98"/>
        <v>0.49071940556160171</v>
      </c>
      <c r="J6090" s="5" t="s">
        <v>2335</v>
      </c>
    </row>
    <row r="6091" spans="1:10" ht="25.5" x14ac:dyDescent="0.2">
      <c r="A6091" s="1" t="s">
        <v>4</v>
      </c>
      <c r="B6091" s="2" t="s">
        <v>423</v>
      </c>
      <c r="C6091" s="5" t="s">
        <v>553</v>
      </c>
      <c r="D6091" s="5" t="s">
        <v>554</v>
      </c>
      <c r="E6091" s="6">
        <v>202165</v>
      </c>
      <c r="F6091" s="3">
        <v>305766</v>
      </c>
      <c r="G6091" s="57">
        <f t="shared" si="98"/>
        <v>0.51245764598224219</v>
      </c>
      <c r="J6091" s="5" t="s">
        <v>2336</v>
      </c>
    </row>
    <row r="6092" spans="1:10" ht="25.5" x14ac:dyDescent="0.2">
      <c r="A6092" s="1" t="s">
        <v>4</v>
      </c>
      <c r="B6092" s="2" t="s">
        <v>423</v>
      </c>
      <c r="C6092" s="5" t="s">
        <v>555</v>
      </c>
      <c r="D6092" s="5" t="s">
        <v>556</v>
      </c>
      <c r="E6092" s="6">
        <v>125165</v>
      </c>
      <c r="F6092" s="3">
        <v>151591</v>
      </c>
      <c r="G6092" s="57">
        <f t="shared" si="98"/>
        <v>0.21112930931170854</v>
      </c>
      <c r="J6092" s="5" t="s">
        <v>2337</v>
      </c>
    </row>
    <row r="6093" spans="1:10" ht="25.5" x14ac:dyDescent="0.2">
      <c r="A6093" s="1" t="s">
        <v>4</v>
      </c>
      <c r="B6093" s="2" t="s">
        <v>423</v>
      </c>
      <c r="C6093" s="5" t="s">
        <v>557</v>
      </c>
      <c r="D6093" s="5" t="s">
        <v>558</v>
      </c>
      <c r="E6093" s="6">
        <v>140333</v>
      </c>
      <c r="F6093" s="3">
        <v>158808</v>
      </c>
      <c r="G6093" s="57">
        <f t="shared" si="98"/>
        <v>0.1316511440644752</v>
      </c>
      <c r="J6093" s="5" t="s">
        <v>2338</v>
      </c>
    </row>
    <row r="6094" spans="1:10" ht="25.5" x14ac:dyDescent="0.2">
      <c r="A6094" s="1" t="s">
        <v>4</v>
      </c>
      <c r="B6094" s="2" t="s">
        <v>423</v>
      </c>
      <c r="D6094" s="5" t="s">
        <v>559</v>
      </c>
      <c r="E6094" s="6">
        <v>145560</v>
      </c>
      <c r="F6094" s="3">
        <v>145560</v>
      </c>
      <c r="G6094" s="57">
        <f t="shared" si="98"/>
        <v>0</v>
      </c>
      <c r="J6094" s="5" t="s">
        <v>2339</v>
      </c>
    </row>
    <row r="6095" spans="1:10" ht="25.5" x14ac:dyDescent="0.2">
      <c r="A6095" s="1" t="s">
        <v>4</v>
      </c>
      <c r="B6095" s="2" t="s">
        <v>423</v>
      </c>
      <c r="D6095" s="5" t="s">
        <v>2333</v>
      </c>
      <c r="E6095" s="6">
        <v>118503</v>
      </c>
      <c r="F6095" s="3">
        <v>59387</v>
      </c>
      <c r="G6095" s="57">
        <f t="shared" si="98"/>
        <v>-0.49885656903200765</v>
      </c>
      <c r="J6095" s="5" t="s">
        <v>4559</v>
      </c>
    </row>
    <row r="6096" spans="1:10" ht="25.5" x14ac:dyDescent="0.2">
      <c r="A6096" s="1" t="s">
        <v>4</v>
      </c>
      <c r="B6096" s="2" t="s">
        <v>423</v>
      </c>
      <c r="D6096" s="5" t="s">
        <v>560</v>
      </c>
      <c r="E6096" s="6">
        <v>125714</v>
      </c>
      <c r="F6096" s="3">
        <v>126052</v>
      </c>
      <c r="G6096" s="57">
        <f t="shared" si="98"/>
        <v>2.6886424741874413E-3</v>
      </c>
      <c r="J6096" s="5" t="s">
        <v>2340</v>
      </c>
    </row>
    <row r="6097" spans="1:10" ht="25.5" x14ac:dyDescent="0.2">
      <c r="A6097" s="1" t="s">
        <v>4</v>
      </c>
      <c r="B6097" s="2" t="s">
        <v>423</v>
      </c>
      <c r="D6097" s="5" t="s">
        <v>561</v>
      </c>
      <c r="E6097" s="6">
        <v>104686</v>
      </c>
      <c r="F6097" s="3">
        <v>114402</v>
      </c>
      <c r="G6097" s="57">
        <f t="shared" si="98"/>
        <v>9.2810882066369907E-2</v>
      </c>
      <c r="J6097" s="5" t="s">
        <v>2341</v>
      </c>
    </row>
    <row r="6098" spans="1:10" ht="25.5" x14ac:dyDescent="0.2">
      <c r="A6098" s="1" t="s">
        <v>4</v>
      </c>
      <c r="B6098" s="2" t="s">
        <v>423</v>
      </c>
      <c r="D6098" s="5" t="s">
        <v>562</v>
      </c>
      <c r="E6098" s="6">
        <v>125598</v>
      </c>
      <c r="F6098" s="3">
        <v>133392</v>
      </c>
      <c r="G6098" s="57">
        <f t="shared" si="98"/>
        <v>6.2055128266373667E-2</v>
      </c>
      <c r="J6098" s="5" t="s">
        <v>2342</v>
      </c>
    </row>
    <row r="6099" spans="1:10" ht="25.5" x14ac:dyDescent="0.2">
      <c r="A6099" s="1" t="s">
        <v>4</v>
      </c>
      <c r="B6099" s="2" t="s">
        <v>423</v>
      </c>
      <c r="D6099" s="5" t="s">
        <v>457</v>
      </c>
      <c r="E6099" s="6">
        <v>125580</v>
      </c>
      <c r="F6099" s="3">
        <v>125903</v>
      </c>
      <c r="G6099" s="57">
        <f t="shared" si="98"/>
        <v>2.5720656155438764E-3</v>
      </c>
      <c r="J6099" s="5" t="s">
        <v>2343</v>
      </c>
    </row>
    <row r="6100" spans="1:10" ht="25.5" x14ac:dyDescent="0.2">
      <c r="A6100" s="1" t="s">
        <v>4</v>
      </c>
      <c r="B6100" s="2" t="s">
        <v>423</v>
      </c>
      <c r="D6100" s="5" t="s">
        <v>563</v>
      </c>
      <c r="E6100" s="6">
        <v>118477</v>
      </c>
      <c r="F6100" s="3">
        <v>121748</v>
      </c>
      <c r="G6100" s="57">
        <f t="shared" si="98"/>
        <v>2.7608734184694075E-2</v>
      </c>
      <c r="J6100" s="5" t="s">
        <v>2344</v>
      </c>
    </row>
    <row r="6101" spans="1:10" ht="25.5" x14ac:dyDescent="0.2">
      <c r="A6101" s="1" t="s">
        <v>4</v>
      </c>
      <c r="B6101" s="2" t="s">
        <v>423</v>
      </c>
      <c r="D6101" s="5" t="s">
        <v>564</v>
      </c>
      <c r="E6101" s="6">
        <v>126240</v>
      </c>
      <c r="F6101" s="3">
        <v>124696</v>
      </c>
      <c r="G6101" s="57">
        <f t="shared" si="98"/>
        <v>-1.2230671736375159E-2</v>
      </c>
      <c r="J6101" s="5" t="s">
        <v>2345</v>
      </c>
    </row>
    <row r="6102" spans="1:10" ht="25.5" x14ac:dyDescent="0.2">
      <c r="A6102" s="1" t="s">
        <v>4</v>
      </c>
      <c r="B6102" s="2" t="s">
        <v>423</v>
      </c>
      <c r="D6102" s="5" t="s">
        <v>565</v>
      </c>
      <c r="E6102" s="6">
        <v>143520</v>
      </c>
      <c r="F6102" s="3">
        <v>143880</v>
      </c>
      <c r="G6102" s="57">
        <f t="shared" si="98"/>
        <v>2.508361204013378E-3</v>
      </c>
      <c r="J6102" s="5" t="s">
        <v>2346</v>
      </c>
    </row>
    <row r="6103" spans="1:10" ht="51" x14ac:dyDescent="0.2">
      <c r="A6103" s="1" t="s">
        <v>4</v>
      </c>
      <c r="B6103" s="2" t="s">
        <v>423</v>
      </c>
      <c r="D6103" s="5" t="s">
        <v>566</v>
      </c>
      <c r="E6103" s="6">
        <v>121862</v>
      </c>
      <c r="F6103" s="3">
        <v>298500</v>
      </c>
      <c r="G6103" s="57">
        <f t="shared" si="98"/>
        <v>1.4494920483825966</v>
      </c>
      <c r="J6103" s="5" t="s">
        <v>4560</v>
      </c>
    </row>
    <row r="6104" spans="1:10" ht="38.25" x14ac:dyDescent="0.2">
      <c r="A6104" s="1" t="s">
        <v>4</v>
      </c>
      <c r="B6104" s="2" t="s">
        <v>423</v>
      </c>
      <c r="D6104" s="5" t="s">
        <v>567</v>
      </c>
      <c r="E6104" s="6">
        <v>128019</v>
      </c>
      <c r="F6104" s="3">
        <v>349837</v>
      </c>
      <c r="G6104" s="57">
        <f t="shared" si="98"/>
        <v>1.7326959279481953</v>
      </c>
      <c r="J6104" s="5" t="s">
        <v>4561</v>
      </c>
    </row>
    <row r="6105" spans="1:10" ht="25.5" x14ac:dyDescent="0.2">
      <c r="A6105" s="1" t="s">
        <v>4</v>
      </c>
      <c r="B6105" s="2" t="s">
        <v>423</v>
      </c>
      <c r="D6105" s="5" t="s">
        <v>568</v>
      </c>
      <c r="E6105" s="6">
        <v>114349</v>
      </c>
      <c r="F6105" s="3">
        <v>114607</v>
      </c>
      <c r="G6105" s="57">
        <f t="shared" si="98"/>
        <v>2.2562506012295692E-3</v>
      </c>
      <c r="J6105" s="5" t="s">
        <v>2347</v>
      </c>
    </row>
    <row r="6106" spans="1:10" ht="25.5" x14ac:dyDescent="0.2">
      <c r="A6106" s="1" t="s">
        <v>4</v>
      </c>
      <c r="B6106" s="2" t="s">
        <v>423</v>
      </c>
      <c r="D6106" s="5" t="s">
        <v>569</v>
      </c>
      <c r="E6106" s="6">
        <v>91202</v>
      </c>
      <c r="F6106" s="3">
        <v>101929</v>
      </c>
      <c r="G6106" s="57">
        <f t="shared" si="98"/>
        <v>0.11761803469222167</v>
      </c>
      <c r="J6106" s="5" t="s">
        <v>2348</v>
      </c>
    </row>
    <row r="6107" spans="1:10" ht="25.5" x14ac:dyDescent="0.2">
      <c r="A6107" s="1" t="s">
        <v>4</v>
      </c>
      <c r="B6107" s="2" t="s">
        <v>423</v>
      </c>
      <c r="D6107" s="5" t="s">
        <v>570</v>
      </c>
      <c r="E6107" s="6">
        <v>102355</v>
      </c>
      <c r="F6107" s="3">
        <v>106711</v>
      </c>
      <c r="G6107" s="57">
        <f t="shared" si="98"/>
        <v>4.2557764642665231E-2</v>
      </c>
      <c r="J6107" s="5" t="s">
        <v>2349</v>
      </c>
    </row>
    <row r="6108" spans="1:10" ht="38.25" x14ac:dyDescent="0.2">
      <c r="A6108" s="1" t="s">
        <v>4</v>
      </c>
      <c r="B6108" s="2" t="s">
        <v>423</v>
      </c>
      <c r="D6108" s="5" t="s">
        <v>571</v>
      </c>
      <c r="E6108" s="6">
        <v>93823</v>
      </c>
      <c r="F6108" s="3">
        <v>150894</v>
      </c>
      <c r="G6108" s="57">
        <f t="shared" si="98"/>
        <v>0.60828368310542191</v>
      </c>
      <c r="J6108" s="5" t="s">
        <v>4562</v>
      </c>
    </row>
    <row r="6109" spans="1:10" x14ac:dyDescent="0.2">
      <c r="A6109" s="1" t="s">
        <v>4</v>
      </c>
      <c r="B6109" s="2" t="s">
        <v>423</v>
      </c>
      <c r="D6109" s="5" t="s">
        <v>464</v>
      </c>
      <c r="E6109" s="3">
        <v>102500</v>
      </c>
      <c r="F6109" s="3" t="s">
        <v>465</v>
      </c>
      <c r="G6109" s="57" t="str">
        <f t="shared" si="98"/>
        <v>-</v>
      </c>
    </row>
    <row r="6110" spans="1:10" x14ac:dyDescent="0.2">
      <c r="A6110" s="1" t="s">
        <v>4</v>
      </c>
      <c r="B6110" s="2" t="s">
        <v>423</v>
      </c>
      <c r="D6110" s="5" t="s">
        <v>464</v>
      </c>
      <c r="E6110" s="3" t="s">
        <v>465</v>
      </c>
      <c r="F6110" s="3">
        <v>102500</v>
      </c>
      <c r="G6110" s="57" t="str">
        <f t="shared" si="98"/>
        <v>-</v>
      </c>
    </row>
    <row r="6111" spans="1:10" x14ac:dyDescent="0.2">
      <c r="A6111" s="1" t="s">
        <v>4</v>
      </c>
      <c r="B6111" s="2" t="s">
        <v>423</v>
      </c>
      <c r="D6111" s="5" t="s">
        <v>464</v>
      </c>
      <c r="E6111" s="3">
        <v>112500</v>
      </c>
      <c r="F6111" s="3" t="s">
        <v>465</v>
      </c>
      <c r="G6111" s="57" t="str">
        <f t="shared" si="98"/>
        <v>-</v>
      </c>
    </row>
    <row r="6112" spans="1:10" x14ac:dyDescent="0.2">
      <c r="A6112" s="1" t="s">
        <v>4</v>
      </c>
      <c r="B6112" s="2" t="s">
        <v>423</v>
      </c>
      <c r="D6112" s="5" t="s">
        <v>464</v>
      </c>
      <c r="E6112" s="3" t="s">
        <v>465</v>
      </c>
      <c r="F6112" s="3">
        <v>117500</v>
      </c>
      <c r="G6112" s="57" t="str">
        <f t="shared" si="98"/>
        <v>-</v>
      </c>
    </row>
    <row r="6113" spans="1:10" x14ac:dyDescent="0.2">
      <c r="A6113" s="1" t="s">
        <v>4</v>
      </c>
      <c r="B6113" s="2" t="s">
        <v>423</v>
      </c>
      <c r="D6113" s="5" t="s">
        <v>464</v>
      </c>
      <c r="E6113" s="3">
        <v>162500</v>
      </c>
      <c r="F6113" s="3" t="s">
        <v>465</v>
      </c>
      <c r="G6113" s="57" t="str">
        <f t="shared" si="98"/>
        <v>-</v>
      </c>
    </row>
    <row r="6114" spans="1:10" x14ac:dyDescent="0.2">
      <c r="A6114" s="1" t="s">
        <v>4</v>
      </c>
      <c r="B6114" s="2" t="s">
        <v>423</v>
      </c>
      <c r="D6114" s="5" t="s">
        <v>464</v>
      </c>
      <c r="G6114" s="57" t="str">
        <f t="shared" si="98"/>
        <v>-</v>
      </c>
      <c r="H6114" s="19">
        <v>92500</v>
      </c>
      <c r="I6114" s="19" t="s">
        <v>465</v>
      </c>
    </row>
    <row r="6115" spans="1:10" x14ac:dyDescent="0.2">
      <c r="A6115" s="1" t="s">
        <v>4</v>
      </c>
      <c r="B6115" s="2" t="s">
        <v>423</v>
      </c>
      <c r="D6115" s="5" t="s">
        <v>464</v>
      </c>
      <c r="G6115" s="57" t="str">
        <f t="shared" si="98"/>
        <v>-</v>
      </c>
      <c r="H6115" s="19">
        <v>97500</v>
      </c>
      <c r="I6115" s="19" t="s">
        <v>465</v>
      </c>
    </row>
    <row r="6116" spans="1:10" x14ac:dyDescent="0.2">
      <c r="A6116" s="1" t="s">
        <v>4</v>
      </c>
      <c r="B6116" s="2" t="s">
        <v>423</v>
      </c>
      <c r="D6116" s="5" t="s">
        <v>464</v>
      </c>
      <c r="G6116" s="57" t="str">
        <f t="shared" si="98"/>
        <v>-</v>
      </c>
      <c r="H6116" s="19" t="s">
        <v>465</v>
      </c>
      <c r="I6116" s="19">
        <v>97500</v>
      </c>
    </row>
    <row r="6117" spans="1:10" x14ac:dyDescent="0.2">
      <c r="A6117" s="1" t="s">
        <v>4</v>
      </c>
      <c r="B6117" s="2" t="s">
        <v>423</v>
      </c>
      <c r="D6117" s="5" t="s">
        <v>464</v>
      </c>
      <c r="G6117" s="57" t="str">
        <f t="shared" si="98"/>
        <v>-</v>
      </c>
      <c r="H6117" s="19" t="s">
        <v>465</v>
      </c>
      <c r="I6117" s="19">
        <v>97500</v>
      </c>
    </row>
    <row r="6118" spans="1:10" x14ac:dyDescent="0.2">
      <c r="A6118" s="1" t="s">
        <v>4</v>
      </c>
      <c r="B6118" s="2" t="s">
        <v>423</v>
      </c>
      <c r="D6118" s="5" t="s">
        <v>464</v>
      </c>
      <c r="G6118" s="57" t="str">
        <f t="shared" si="98"/>
        <v>-</v>
      </c>
      <c r="H6118" s="19" t="s">
        <v>465</v>
      </c>
      <c r="I6118" s="19">
        <v>97500</v>
      </c>
    </row>
    <row r="6119" spans="1:10" x14ac:dyDescent="0.2">
      <c r="A6119" s="1" t="s">
        <v>4</v>
      </c>
      <c r="B6119" s="2" t="s">
        <v>423</v>
      </c>
      <c r="D6119" s="5" t="s">
        <v>464</v>
      </c>
      <c r="G6119" s="57" t="str">
        <f t="shared" si="98"/>
        <v>-</v>
      </c>
      <c r="H6119" s="19" t="s">
        <v>465</v>
      </c>
      <c r="I6119" s="19">
        <v>97500</v>
      </c>
    </row>
    <row r="6120" spans="1:10" ht="25.5" x14ac:dyDescent="0.2">
      <c r="A6120" s="1" t="s">
        <v>25</v>
      </c>
      <c r="B6120" s="2" t="s">
        <v>424</v>
      </c>
      <c r="C6120" s="5" t="s">
        <v>542</v>
      </c>
      <c r="D6120" s="5" t="s">
        <v>450</v>
      </c>
      <c r="E6120" s="3">
        <v>234500</v>
      </c>
      <c r="F6120" s="3">
        <v>232604</v>
      </c>
      <c r="G6120" s="57">
        <f t="shared" si="98"/>
        <v>-8.0852878464818759E-3</v>
      </c>
      <c r="J6120" s="5" t="s">
        <v>2328</v>
      </c>
    </row>
    <row r="6121" spans="1:10" ht="38.25" x14ac:dyDescent="0.2">
      <c r="A6121" s="1" t="s">
        <v>25</v>
      </c>
      <c r="B6121" s="2" t="s">
        <v>424</v>
      </c>
      <c r="C6121" s="5" t="s">
        <v>543</v>
      </c>
      <c r="D6121" s="5" t="s">
        <v>544</v>
      </c>
      <c r="E6121" s="3">
        <v>53292</v>
      </c>
      <c r="F6121" s="3">
        <v>192617</v>
      </c>
      <c r="G6121" s="57">
        <f t="shared" si="98"/>
        <v>2.6143698866621632</v>
      </c>
      <c r="J6121" s="5" t="s">
        <v>4563</v>
      </c>
    </row>
    <row r="6122" spans="1:10" x14ac:dyDescent="0.2">
      <c r="A6122" s="1" t="s">
        <v>25</v>
      </c>
      <c r="B6122" s="2" t="s">
        <v>424</v>
      </c>
      <c r="C6122" s="5" t="s">
        <v>545</v>
      </c>
      <c r="D6122" s="5" t="s">
        <v>546</v>
      </c>
      <c r="E6122" s="3">
        <v>262800</v>
      </c>
      <c r="F6122" s="3">
        <v>164426</v>
      </c>
      <c r="G6122" s="57">
        <f t="shared" si="98"/>
        <v>-0.37433028919330291</v>
      </c>
      <c r="J6122" s="5" t="s">
        <v>2332</v>
      </c>
    </row>
    <row r="6123" spans="1:10" ht="25.5" x14ac:dyDescent="0.2">
      <c r="A6123" s="1" t="s">
        <v>25</v>
      </c>
      <c r="B6123" s="2" t="s">
        <v>424</v>
      </c>
      <c r="D6123" s="5" t="s">
        <v>547</v>
      </c>
      <c r="E6123" s="3">
        <v>148328</v>
      </c>
      <c r="F6123" s="3">
        <v>158733</v>
      </c>
      <c r="G6123" s="57">
        <f t="shared" si="98"/>
        <v>7.0148589612210779E-2</v>
      </c>
      <c r="J6123" s="5" t="s">
        <v>2329</v>
      </c>
    </row>
    <row r="6124" spans="1:10" ht="25.5" x14ac:dyDescent="0.2">
      <c r="A6124" s="1" t="s">
        <v>25</v>
      </c>
      <c r="B6124" s="2" t="s">
        <v>424</v>
      </c>
      <c r="D6124" s="5" t="s">
        <v>548</v>
      </c>
      <c r="E6124" s="3">
        <v>167081</v>
      </c>
      <c r="F6124" s="3">
        <v>135849</v>
      </c>
      <c r="G6124" s="57">
        <f t="shared" si="98"/>
        <v>-0.18692729873534394</v>
      </c>
      <c r="J6124" s="5" t="s">
        <v>2330</v>
      </c>
    </row>
    <row r="6125" spans="1:10" ht="25.5" x14ac:dyDescent="0.2">
      <c r="A6125" s="1" t="s">
        <v>25</v>
      </c>
      <c r="B6125" s="2" t="s">
        <v>424</v>
      </c>
      <c r="D6125" s="5" t="s">
        <v>515</v>
      </c>
      <c r="E6125" s="3">
        <v>167157</v>
      </c>
      <c r="F6125" s="3">
        <v>161479</v>
      </c>
      <c r="G6125" s="57">
        <f t="shared" si="98"/>
        <v>-3.3968065949975174E-2</v>
      </c>
      <c r="J6125" s="5" t="s">
        <v>2331</v>
      </c>
    </row>
    <row r="6126" spans="1:10" ht="25.5" x14ac:dyDescent="0.2">
      <c r="A6126" s="1" t="s">
        <v>25</v>
      </c>
      <c r="B6126" s="2" t="s">
        <v>424</v>
      </c>
      <c r="D6126" s="5" t="s">
        <v>549</v>
      </c>
      <c r="E6126" s="3">
        <v>168756</v>
      </c>
      <c r="F6126" s="3">
        <v>165133</v>
      </c>
      <c r="G6126" s="57">
        <f t="shared" si="98"/>
        <v>-2.1468866292161465E-2</v>
      </c>
      <c r="J6126" s="5" t="s">
        <v>4712</v>
      </c>
    </row>
    <row r="6127" spans="1:10" ht="25.5" x14ac:dyDescent="0.2">
      <c r="A6127" s="1" t="s">
        <v>25</v>
      </c>
      <c r="B6127" s="2" t="s">
        <v>424</v>
      </c>
      <c r="D6127" s="5" t="s">
        <v>550</v>
      </c>
      <c r="E6127" s="3">
        <v>167619</v>
      </c>
      <c r="F6127" s="3">
        <v>164288</v>
      </c>
      <c r="G6127" s="57">
        <f t="shared" si="98"/>
        <v>-1.9872448827400236E-2</v>
      </c>
      <c r="J6127" s="5" t="s">
        <v>4713</v>
      </c>
    </row>
    <row r="6128" spans="1:10" x14ac:dyDescent="0.2">
      <c r="A6128" s="1" t="s">
        <v>25</v>
      </c>
      <c r="B6128" s="2" t="s">
        <v>424</v>
      </c>
      <c r="D6128" s="5" t="s">
        <v>464</v>
      </c>
      <c r="E6128" s="3" t="s">
        <v>465</v>
      </c>
      <c r="F6128" s="3">
        <v>102500</v>
      </c>
      <c r="G6128" s="57" t="str">
        <f t="shared" si="98"/>
        <v>-</v>
      </c>
    </row>
    <row r="6129" spans="1:9" s="1" customFormat="1" x14ac:dyDescent="0.2">
      <c r="A6129" s="1" t="s">
        <v>25</v>
      </c>
      <c r="B6129" s="2" t="s">
        <v>424</v>
      </c>
      <c r="C6129" s="5"/>
      <c r="D6129" s="5" t="s">
        <v>464</v>
      </c>
      <c r="E6129" s="3" t="s">
        <v>465</v>
      </c>
      <c r="F6129" s="3">
        <v>102500</v>
      </c>
      <c r="G6129" s="57" t="str">
        <f t="shared" si="98"/>
        <v>-</v>
      </c>
      <c r="H6129" s="4"/>
      <c r="I6129" s="4"/>
    </row>
    <row r="6130" spans="1:9" s="1" customFormat="1" x14ac:dyDescent="0.2">
      <c r="A6130" s="1" t="s">
        <v>25</v>
      </c>
      <c r="B6130" s="2" t="s">
        <v>424</v>
      </c>
      <c r="C6130" s="5"/>
      <c r="D6130" s="5" t="s">
        <v>464</v>
      </c>
      <c r="E6130" s="3" t="s">
        <v>465</v>
      </c>
      <c r="F6130" s="3">
        <v>102500</v>
      </c>
      <c r="G6130" s="57" t="str">
        <f t="shared" si="98"/>
        <v>-</v>
      </c>
      <c r="H6130" s="4"/>
      <c r="I6130" s="4"/>
    </row>
    <row r="6131" spans="1:9" s="1" customFormat="1" x14ac:dyDescent="0.2">
      <c r="A6131" s="1" t="s">
        <v>25</v>
      </c>
      <c r="B6131" s="2" t="s">
        <v>424</v>
      </c>
      <c r="C6131" s="5"/>
      <c r="D6131" s="5" t="s">
        <v>464</v>
      </c>
      <c r="E6131" s="3" t="s">
        <v>465</v>
      </c>
      <c r="F6131" s="3">
        <v>102500</v>
      </c>
      <c r="G6131" s="57" t="str">
        <f t="shared" si="98"/>
        <v>-</v>
      </c>
      <c r="H6131" s="4"/>
      <c r="I6131" s="4"/>
    </row>
    <row r="6132" spans="1:9" s="1" customFormat="1" x14ac:dyDescent="0.2">
      <c r="A6132" s="1" t="s">
        <v>25</v>
      </c>
      <c r="B6132" s="2" t="s">
        <v>424</v>
      </c>
      <c r="C6132" s="5"/>
      <c r="D6132" s="5" t="s">
        <v>464</v>
      </c>
      <c r="E6132" s="3" t="s">
        <v>465</v>
      </c>
      <c r="F6132" s="3">
        <v>102500</v>
      </c>
      <c r="G6132" s="57" t="str">
        <f t="shared" si="98"/>
        <v>-</v>
      </c>
      <c r="H6132" s="4"/>
      <c r="I6132" s="4"/>
    </row>
    <row r="6133" spans="1:9" s="1" customFormat="1" x14ac:dyDescent="0.2">
      <c r="A6133" s="1" t="s">
        <v>25</v>
      </c>
      <c r="B6133" s="2" t="s">
        <v>424</v>
      </c>
      <c r="C6133" s="5"/>
      <c r="D6133" s="5" t="s">
        <v>464</v>
      </c>
      <c r="E6133" s="3" t="s">
        <v>465</v>
      </c>
      <c r="F6133" s="3">
        <v>102500</v>
      </c>
      <c r="G6133" s="57" t="str">
        <f t="shared" si="98"/>
        <v>-</v>
      </c>
      <c r="H6133" s="4"/>
      <c r="I6133" s="4"/>
    </row>
    <row r="6134" spans="1:9" s="1" customFormat="1" x14ac:dyDescent="0.2">
      <c r="A6134" s="1" t="s">
        <v>25</v>
      </c>
      <c r="B6134" s="2" t="s">
        <v>424</v>
      </c>
      <c r="C6134" s="5"/>
      <c r="D6134" s="5" t="s">
        <v>464</v>
      </c>
      <c r="E6134" s="3" t="s">
        <v>465</v>
      </c>
      <c r="F6134" s="3">
        <v>102500</v>
      </c>
      <c r="G6134" s="57" t="str">
        <f t="shared" si="98"/>
        <v>-</v>
      </c>
      <c r="H6134" s="4"/>
      <c r="I6134" s="4"/>
    </row>
    <row r="6135" spans="1:9" s="1" customFormat="1" x14ac:dyDescent="0.2">
      <c r="A6135" s="1" t="s">
        <v>25</v>
      </c>
      <c r="B6135" s="2" t="s">
        <v>424</v>
      </c>
      <c r="C6135" s="5"/>
      <c r="D6135" s="5" t="s">
        <v>464</v>
      </c>
      <c r="E6135" s="3" t="s">
        <v>465</v>
      </c>
      <c r="F6135" s="3">
        <v>102500</v>
      </c>
      <c r="G6135" s="57" t="str">
        <f t="shared" si="98"/>
        <v>-</v>
      </c>
      <c r="H6135" s="4"/>
      <c r="I6135" s="4"/>
    </row>
    <row r="6136" spans="1:9" s="1" customFormat="1" x14ac:dyDescent="0.2">
      <c r="A6136" s="1" t="s">
        <v>25</v>
      </c>
      <c r="B6136" s="2" t="s">
        <v>424</v>
      </c>
      <c r="C6136" s="5"/>
      <c r="D6136" s="5" t="s">
        <v>464</v>
      </c>
      <c r="E6136" s="3">
        <v>102500</v>
      </c>
      <c r="F6136" s="3" t="s">
        <v>465</v>
      </c>
      <c r="G6136" s="57" t="str">
        <f t="shared" si="98"/>
        <v>-</v>
      </c>
      <c r="H6136" s="4"/>
      <c r="I6136" s="4"/>
    </row>
    <row r="6137" spans="1:9" s="1" customFormat="1" x14ac:dyDescent="0.2">
      <c r="A6137" s="1" t="s">
        <v>25</v>
      </c>
      <c r="B6137" s="2" t="s">
        <v>424</v>
      </c>
      <c r="C6137" s="5"/>
      <c r="D6137" s="5" t="s">
        <v>464</v>
      </c>
      <c r="E6137" s="3" t="s">
        <v>465</v>
      </c>
      <c r="F6137" s="3">
        <v>107500</v>
      </c>
      <c r="G6137" s="57" t="str">
        <f t="shared" si="98"/>
        <v>-</v>
      </c>
      <c r="H6137" s="4"/>
      <c r="I6137" s="4"/>
    </row>
    <row r="6138" spans="1:9" s="1" customFormat="1" x14ac:dyDescent="0.2">
      <c r="A6138" s="1" t="s">
        <v>25</v>
      </c>
      <c r="B6138" s="2" t="s">
        <v>424</v>
      </c>
      <c r="C6138" s="5"/>
      <c r="D6138" s="5" t="s">
        <v>464</v>
      </c>
      <c r="E6138" s="3">
        <v>107500</v>
      </c>
      <c r="F6138" s="3" t="s">
        <v>465</v>
      </c>
      <c r="G6138" s="57" t="str">
        <f t="shared" si="98"/>
        <v>-</v>
      </c>
      <c r="H6138" s="4"/>
      <c r="I6138" s="4"/>
    </row>
    <row r="6139" spans="1:9" s="1" customFormat="1" x14ac:dyDescent="0.2">
      <c r="A6139" s="1" t="s">
        <v>25</v>
      </c>
      <c r="B6139" s="2" t="s">
        <v>424</v>
      </c>
      <c r="C6139" s="5"/>
      <c r="D6139" s="5" t="s">
        <v>464</v>
      </c>
      <c r="E6139" s="3">
        <v>107500</v>
      </c>
      <c r="F6139" s="3" t="s">
        <v>465</v>
      </c>
      <c r="G6139" s="57" t="str">
        <f t="shared" si="98"/>
        <v>-</v>
      </c>
      <c r="H6139" s="4"/>
      <c r="I6139" s="4"/>
    </row>
    <row r="6140" spans="1:9" s="1" customFormat="1" x14ac:dyDescent="0.2">
      <c r="A6140" s="1" t="s">
        <v>25</v>
      </c>
      <c r="B6140" s="2" t="s">
        <v>424</v>
      </c>
      <c r="C6140" s="5"/>
      <c r="D6140" s="5" t="s">
        <v>464</v>
      </c>
      <c r="E6140" s="3">
        <v>107500</v>
      </c>
      <c r="F6140" s="3" t="s">
        <v>465</v>
      </c>
      <c r="G6140" s="57" t="str">
        <f t="shared" ref="G6140:G6203" si="99">IF(ISERROR((F6140-E6140)/E6140),"-",(F6140-E6140)/E6140)</f>
        <v>-</v>
      </c>
      <c r="H6140" s="4"/>
      <c r="I6140" s="4"/>
    </row>
    <row r="6141" spans="1:9" s="1" customFormat="1" x14ac:dyDescent="0.2">
      <c r="A6141" s="1" t="s">
        <v>25</v>
      </c>
      <c r="B6141" s="2" t="s">
        <v>424</v>
      </c>
      <c r="C6141" s="5"/>
      <c r="D6141" s="5" t="s">
        <v>464</v>
      </c>
      <c r="E6141" s="3">
        <v>107500</v>
      </c>
      <c r="F6141" s="3" t="s">
        <v>465</v>
      </c>
      <c r="G6141" s="57" t="str">
        <f t="shared" si="99"/>
        <v>-</v>
      </c>
      <c r="H6141" s="4"/>
      <c r="I6141" s="4"/>
    </row>
    <row r="6142" spans="1:9" s="1" customFormat="1" x14ac:dyDescent="0.2">
      <c r="A6142" s="1" t="s">
        <v>25</v>
      </c>
      <c r="B6142" s="2" t="s">
        <v>424</v>
      </c>
      <c r="C6142" s="5"/>
      <c r="D6142" s="5" t="s">
        <v>464</v>
      </c>
      <c r="E6142" s="3" t="s">
        <v>465</v>
      </c>
      <c r="F6142" s="3">
        <v>112500</v>
      </c>
      <c r="G6142" s="57" t="str">
        <f t="shared" si="99"/>
        <v>-</v>
      </c>
      <c r="H6142" s="4"/>
      <c r="I6142" s="4"/>
    </row>
    <row r="6143" spans="1:9" s="1" customFormat="1" x14ac:dyDescent="0.2">
      <c r="A6143" s="1" t="s">
        <v>25</v>
      </c>
      <c r="B6143" s="2" t="s">
        <v>424</v>
      </c>
      <c r="C6143" s="5"/>
      <c r="D6143" s="5" t="s">
        <v>464</v>
      </c>
      <c r="E6143" s="3" t="s">
        <v>465</v>
      </c>
      <c r="F6143" s="3">
        <v>112500</v>
      </c>
      <c r="G6143" s="57" t="str">
        <f t="shared" si="99"/>
        <v>-</v>
      </c>
      <c r="H6143" s="4"/>
      <c r="I6143" s="4"/>
    </row>
    <row r="6144" spans="1:9" s="1" customFormat="1" x14ac:dyDescent="0.2">
      <c r="A6144" s="1" t="s">
        <v>25</v>
      </c>
      <c r="B6144" s="2" t="s">
        <v>424</v>
      </c>
      <c r="C6144" s="5"/>
      <c r="D6144" s="5" t="s">
        <v>464</v>
      </c>
      <c r="E6144" s="3" t="s">
        <v>465</v>
      </c>
      <c r="F6144" s="3">
        <v>112500</v>
      </c>
      <c r="G6144" s="57" t="str">
        <f t="shared" si="99"/>
        <v>-</v>
      </c>
      <c r="H6144" s="4"/>
      <c r="I6144" s="4"/>
    </row>
    <row r="6145" spans="1:9" s="1" customFormat="1" x14ac:dyDescent="0.2">
      <c r="A6145" s="1" t="s">
        <v>25</v>
      </c>
      <c r="B6145" s="2" t="s">
        <v>424</v>
      </c>
      <c r="C6145" s="5"/>
      <c r="D6145" s="5" t="s">
        <v>464</v>
      </c>
      <c r="E6145" s="3">
        <v>117500</v>
      </c>
      <c r="F6145" s="3" t="s">
        <v>465</v>
      </c>
      <c r="G6145" s="57" t="str">
        <f t="shared" si="99"/>
        <v>-</v>
      </c>
      <c r="H6145" s="19"/>
      <c r="I6145" s="19"/>
    </row>
    <row r="6146" spans="1:9" s="1" customFormat="1" x14ac:dyDescent="0.2">
      <c r="A6146" s="1" t="s">
        <v>25</v>
      </c>
      <c r="B6146" s="2" t="s">
        <v>424</v>
      </c>
      <c r="C6146" s="5"/>
      <c r="D6146" s="5" t="s">
        <v>464</v>
      </c>
      <c r="E6146" s="3">
        <v>117500</v>
      </c>
      <c r="F6146" s="3" t="s">
        <v>465</v>
      </c>
      <c r="G6146" s="57" t="str">
        <f t="shared" si="99"/>
        <v>-</v>
      </c>
      <c r="H6146" s="19"/>
      <c r="I6146" s="19"/>
    </row>
    <row r="6147" spans="1:9" s="1" customFormat="1" x14ac:dyDescent="0.2">
      <c r="A6147" s="1" t="s">
        <v>25</v>
      </c>
      <c r="B6147" s="2" t="s">
        <v>424</v>
      </c>
      <c r="C6147" s="5"/>
      <c r="D6147" s="5" t="s">
        <v>464</v>
      </c>
      <c r="E6147" s="3">
        <v>117500</v>
      </c>
      <c r="F6147" s="3" t="s">
        <v>465</v>
      </c>
      <c r="G6147" s="57" t="str">
        <f t="shared" si="99"/>
        <v>-</v>
      </c>
      <c r="H6147" s="19"/>
      <c r="I6147" s="19"/>
    </row>
    <row r="6148" spans="1:9" s="1" customFormat="1" x14ac:dyDescent="0.2">
      <c r="A6148" s="1" t="s">
        <v>25</v>
      </c>
      <c r="B6148" s="2" t="s">
        <v>424</v>
      </c>
      <c r="C6148" s="5"/>
      <c r="D6148" s="5" t="s">
        <v>464</v>
      </c>
      <c r="E6148" s="3" t="s">
        <v>465</v>
      </c>
      <c r="F6148" s="3">
        <v>117500</v>
      </c>
      <c r="G6148" s="57" t="str">
        <f t="shared" si="99"/>
        <v>-</v>
      </c>
      <c r="H6148" s="19"/>
      <c r="I6148" s="19"/>
    </row>
    <row r="6149" spans="1:9" s="1" customFormat="1" x14ac:dyDescent="0.2">
      <c r="A6149" s="1" t="s">
        <v>25</v>
      </c>
      <c r="B6149" s="2" t="s">
        <v>424</v>
      </c>
      <c r="C6149" s="5"/>
      <c r="D6149" s="5" t="s">
        <v>464</v>
      </c>
      <c r="E6149" s="3" t="s">
        <v>465</v>
      </c>
      <c r="F6149" s="3">
        <v>122500</v>
      </c>
      <c r="G6149" s="57" t="str">
        <f t="shared" si="99"/>
        <v>-</v>
      </c>
      <c r="H6149" s="19"/>
      <c r="I6149" s="19"/>
    </row>
    <row r="6150" spans="1:9" s="1" customFormat="1" x14ac:dyDescent="0.2">
      <c r="A6150" s="1" t="s">
        <v>25</v>
      </c>
      <c r="B6150" s="2" t="s">
        <v>424</v>
      </c>
      <c r="C6150" s="5"/>
      <c r="D6150" s="5" t="s">
        <v>464</v>
      </c>
      <c r="E6150" s="3"/>
      <c r="F6150" s="3"/>
      <c r="G6150" s="57" t="str">
        <f t="shared" si="99"/>
        <v>-</v>
      </c>
      <c r="H6150" s="19" t="s">
        <v>465</v>
      </c>
      <c r="I6150" s="19">
        <v>92500</v>
      </c>
    </row>
    <row r="6151" spans="1:9" s="1" customFormat="1" x14ac:dyDescent="0.2">
      <c r="A6151" s="1" t="s">
        <v>25</v>
      </c>
      <c r="B6151" s="2" t="s">
        <v>424</v>
      </c>
      <c r="C6151" s="5"/>
      <c r="D6151" s="5" t="s">
        <v>464</v>
      </c>
      <c r="E6151" s="3"/>
      <c r="F6151" s="3"/>
      <c r="G6151" s="57" t="str">
        <f t="shared" si="99"/>
        <v>-</v>
      </c>
      <c r="H6151" s="19" t="s">
        <v>465</v>
      </c>
      <c r="I6151" s="19">
        <v>92500</v>
      </c>
    </row>
    <row r="6152" spans="1:9" s="1" customFormat="1" x14ac:dyDescent="0.2">
      <c r="A6152" s="1" t="s">
        <v>25</v>
      </c>
      <c r="B6152" s="2" t="s">
        <v>424</v>
      </c>
      <c r="C6152" s="5"/>
      <c r="D6152" s="5" t="s">
        <v>464</v>
      </c>
      <c r="E6152" s="3"/>
      <c r="F6152" s="3"/>
      <c r="G6152" s="57" t="str">
        <f t="shared" si="99"/>
        <v>-</v>
      </c>
      <c r="H6152" s="19" t="s">
        <v>465</v>
      </c>
      <c r="I6152" s="19">
        <v>92500</v>
      </c>
    </row>
    <row r="6153" spans="1:9" s="1" customFormat="1" x14ac:dyDescent="0.2">
      <c r="A6153" s="1" t="s">
        <v>25</v>
      </c>
      <c r="B6153" s="2" t="s">
        <v>424</v>
      </c>
      <c r="C6153" s="5"/>
      <c r="D6153" s="5" t="s">
        <v>464</v>
      </c>
      <c r="E6153" s="3"/>
      <c r="F6153" s="3"/>
      <c r="G6153" s="57" t="str">
        <f t="shared" si="99"/>
        <v>-</v>
      </c>
      <c r="H6153" s="19" t="s">
        <v>465</v>
      </c>
      <c r="I6153" s="19">
        <v>92500</v>
      </c>
    </row>
    <row r="6154" spans="1:9" s="1" customFormat="1" x14ac:dyDescent="0.2">
      <c r="A6154" s="1" t="s">
        <v>25</v>
      </c>
      <c r="B6154" s="2" t="s">
        <v>424</v>
      </c>
      <c r="C6154" s="5"/>
      <c r="D6154" s="5" t="s">
        <v>464</v>
      </c>
      <c r="E6154" s="3"/>
      <c r="F6154" s="3"/>
      <c r="G6154" s="57" t="str">
        <f t="shared" si="99"/>
        <v>-</v>
      </c>
      <c r="H6154" s="19" t="s">
        <v>465</v>
      </c>
      <c r="I6154" s="19">
        <v>92500</v>
      </c>
    </row>
    <row r="6155" spans="1:9" s="1" customFormat="1" x14ac:dyDescent="0.2">
      <c r="A6155" s="1" t="s">
        <v>25</v>
      </c>
      <c r="B6155" s="2" t="s">
        <v>424</v>
      </c>
      <c r="C6155" s="5"/>
      <c r="D6155" s="5" t="s">
        <v>464</v>
      </c>
      <c r="E6155" s="3"/>
      <c r="F6155" s="3"/>
      <c r="G6155" s="57" t="str">
        <f t="shared" si="99"/>
        <v>-</v>
      </c>
      <c r="H6155" s="19" t="s">
        <v>465</v>
      </c>
      <c r="I6155" s="19">
        <v>92500</v>
      </c>
    </row>
    <row r="6156" spans="1:9" s="1" customFormat="1" x14ac:dyDescent="0.2">
      <c r="A6156" s="1" t="s">
        <v>25</v>
      </c>
      <c r="B6156" s="2" t="s">
        <v>424</v>
      </c>
      <c r="C6156" s="5"/>
      <c r="D6156" s="5" t="s">
        <v>464</v>
      </c>
      <c r="E6156" s="3"/>
      <c r="F6156" s="3"/>
      <c r="G6156" s="57" t="str">
        <f t="shared" si="99"/>
        <v>-</v>
      </c>
      <c r="H6156" s="19" t="s">
        <v>465</v>
      </c>
      <c r="I6156" s="19">
        <v>92500</v>
      </c>
    </row>
    <row r="6157" spans="1:9" s="1" customFormat="1" x14ac:dyDescent="0.2">
      <c r="A6157" s="1" t="s">
        <v>25</v>
      </c>
      <c r="B6157" s="2" t="s">
        <v>424</v>
      </c>
      <c r="C6157" s="5"/>
      <c r="D6157" s="5" t="s">
        <v>464</v>
      </c>
      <c r="E6157" s="3"/>
      <c r="F6157" s="3"/>
      <c r="G6157" s="57" t="str">
        <f t="shared" si="99"/>
        <v>-</v>
      </c>
      <c r="H6157" s="19" t="s">
        <v>465</v>
      </c>
      <c r="I6157" s="19">
        <v>92500</v>
      </c>
    </row>
    <row r="6158" spans="1:9" s="1" customFormat="1" x14ac:dyDescent="0.2">
      <c r="A6158" s="1" t="s">
        <v>25</v>
      </c>
      <c r="B6158" s="2" t="s">
        <v>424</v>
      </c>
      <c r="C6158" s="5"/>
      <c r="D6158" s="5" t="s">
        <v>464</v>
      </c>
      <c r="E6158" s="3"/>
      <c r="F6158" s="3"/>
      <c r="G6158" s="57" t="str">
        <f t="shared" si="99"/>
        <v>-</v>
      </c>
      <c r="H6158" s="19" t="s">
        <v>465</v>
      </c>
      <c r="I6158" s="19">
        <v>92500</v>
      </c>
    </row>
    <row r="6159" spans="1:9" s="1" customFormat="1" x14ac:dyDescent="0.2">
      <c r="A6159" s="1" t="s">
        <v>25</v>
      </c>
      <c r="B6159" s="2" t="s">
        <v>424</v>
      </c>
      <c r="C6159" s="5"/>
      <c r="D6159" s="5" t="s">
        <v>464</v>
      </c>
      <c r="E6159" s="3"/>
      <c r="F6159" s="3"/>
      <c r="G6159" s="57" t="str">
        <f t="shared" si="99"/>
        <v>-</v>
      </c>
      <c r="H6159" s="19">
        <v>92500</v>
      </c>
      <c r="I6159" s="19" t="s">
        <v>465</v>
      </c>
    </row>
    <row r="6160" spans="1:9" s="1" customFormat="1" x14ac:dyDescent="0.2">
      <c r="A6160" s="1" t="s">
        <v>25</v>
      </c>
      <c r="B6160" s="2" t="s">
        <v>424</v>
      </c>
      <c r="C6160" s="5"/>
      <c r="D6160" s="5" t="s">
        <v>464</v>
      </c>
      <c r="E6160" s="3"/>
      <c r="F6160" s="3"/>
      <c r="G6160" s="57" t="str">
        <f t="shared" si="99"/>
        <v>-</v>
      </c>
      <c r="H6160" s="19">
        <v>92500</v>
      </c>
      <c r="I6160" s="19" t="s">
        <v>465</v>
      </c>
    </row>
    <row r="6161" spans="1:10" x14ac:dyDescent="0.2">
      <c r="A6161" s="1" t="s">
        <v>25</v>
      </c>
      <c r="B6161" s="2" t="s">
        <v>424</v>
      </c>
      <c r="D6161" s="5" t="s">
        <v>464</v>
      </c>
      <c r="G6161" s="57" t="str">
        <f t="shared" si="99"/>
        <v>-</v>
      </c>
      <c r="H6161" s="19">
        <v>92500</v>
      </c>
      <c r="I6161" s="19" t="s">
        <v>465</v>
      </c>
    </row>
    <row r="6162" spans="1:10" x14ac:dyDescent="0.2">
      <c r="A6162" s="1" t="s">
        <v>25</v>
      </c>
      <c r="B6162" s="2" t="s">
        <v>424</v>
      </c>
      <c r="D6162" s="5" t="s">
        <v>464</v>
      </c>
      <c r="G6162" s="57" t="str">
        <f t="shared" si="99"/>
        <v>-</v>
      </c>
      <c r="H6162" s="19">
        <v>92500</v>
      </c>
      <c r="I6162" s="19" t="s">
        <v>465</v>
      </c>
    </row>
    <row r="6163" spans="1:10" x14ac:dyDescent="0.2">
      <c r="A6163" s="1" t="s">
        <v>25</v>
      </c>
      <c r="B6163" s="2" t="s">
        <v>424</v>
      </c>
      <c r="D6163" s="5" t="s">
        <v>464</v>
      </c>
      <c r="G6163" s="57" t="str">
        <f t="shared" si="99"/>
        <v>-</v>
      </c>
      <c r="H6163" s="19">
        <v>92500</v>
      </c>
      <c r="I6163" s="19" t="s">
        <v>465</v>
      </c>
    </row>
    <row r="6164" spans="1:10" x14ac:dyDescent="0.2">
      <c r="A6164" s="1" t="s">
        <v>25</v>
      </c>
      <c r="B6164" s="2" t="s">
        <v>424</v>
      </c>
      <c r="D6164" s="5" t="s">
        <v>464</v>
      </c>
      <c r="G6164" s="57" t="str">
        <f t="shared" si="99"/>
        <v>-</v>
      </c>
      <c r="H6164" s="19">
        <v>92500</v>
      </c>
      <c r="I6164" s="19" t="s">
        <v>465</v>
      </c>
    </row>
    <row r="6165" spans="1:10" x14ac:dyDescent="0.2">
      <c r="A6165" s="1" t="s">
        <v>25</v>
      </c>
      <c r="B6165" s="2" t="s">
        <v>424</v>
      </c>
      <c r="D6165" s="5" t="s">
        <v>464</v>
      </c>
      <c r="G6165" s="57" t="str">
        <f t="shared" si="99"/>
        <v>-</v>
      </c>
      <c r="H6165" s="19">
        <v>92500</v>
      </c>
      <c r="I6165" s="19" t="s">
        <v>465</v>
      </c>
    </row>
    <row r="6166" spans="1:10" x14ac:dyDescent="0.2">
      <c r="A6166" s="1" t="s">
        <v>25</v>
      </c>
      <c r="B6166" s="2" t="s">
        <v>424</v>
      </c>
      <c r="D6166" s="5" t="s">
        <v>464</v>
      </c>
      <c r="G6166" s="57" t="str">
        <f t="shared" si="99"/>
        <v>-</v>
      </c>
      <c r="H6166" s="19">
        <v>97500</v>
      </c>
      <c r="I6166" s="19" t="s">
        <v>465</v>
      </c>
    </row>
    <row r="6167" spans="1:10" x14ac:dyDescent="0.2">
      <c r="A6167" s="1" t="s">
        <v>25</v>
      </c>
      <c r="B6167" s="2" t="s">
        <v>424</v>
      </c>
      <c r="D6167" s="5" t="s">
        <v>464</v>
      </c>
      <c r="G6167" s="57" t="str">
        <f t="shared" si="99"/>
        <v>-</v>
      </c>
      <c r="H6167" s="19">
        <v>97500</v>
      </c>
      <c r="I6167" s="19" t="s">
        <v>465</v>
      </c>
    </row>
    <row r="6168" spans="1:10" x14ac:dyDescent="0.2">
      <c r="A6168" s="1" t="s">
        <v>25</v>
      </c>
      <c r="B6168" s="2" t="s">
        <v>424</v>
      </c>
      <c r="D6168" s="5" t="s">
        <v>464</v>
      </c>
      <c r="G6168" s="57" t="str">
        <f t="shared" si="99"/>
        <v>-</v>
      </c>
      <c r="H6168" s="19">
        <v>97500</v>
      </c>
      <c r="I6168" s="19" t="s">
        <v>465</v>
      </c>
    </row>
    <row r="6169" spans="1:10" x14ac:dyDescent="0.2">
      <c r="A6169" s="1" t="s">
        <v>25</v>
      </c>
      <c r="B6169" s="2" t="s">
        <v>424</v>
      </c>
      <c r="D6169" s="5" t="s">
        <v>464</v>
      </c>
      <c r="G6169" s="57" t="str">
        <f t="shared" si="99"/>
        <v>-</v>
      </c>
      <c r="H6169" s="19">
        <v>97500</v>
      </c>
      <c r="I6169" s="19" t="s">
        <v>465</v>
      </c>
    </row>
    <row r="6170" spans="1:10" x14ac:dyDescent="0.2">
      <c r="A6170" s="1" t="s">
        <v>25</v>
      </c>
      <c r="B6170" s="2" t="s">
        <v>424</v>
      </c>
      <c r="D6170" s="5" t="s">
        <v>464</v>
      </c>
      <c r="G6170" s="57" t="str">
        <f t="shared" si="99"/>
        <v>-</v>
      </c>
      <c r="H6170" s="19">
        <v>97500</v>
      </c>
      <c r="I6170" s="19" t="s">
        <v>465</v>
      </c>
    </row>
    <row r="6171" spans="1:10" x14ac:dyDescent="0.2">
      <c r="A6171" s="1" t="s">
        <v>25</v>
      </c>
      <c r="B6171" s="2" t="s">
        <v>424</v>
      </c>
      <c r="D6171" s="5" t="s">
        <v>464</v>
      </c>
      <c r="G6171" s="57" t="str">
        <f t="shared" si="99"/>
        <v>-</v>
      </c>
      <c r="H6171" s="19">
        <v>97500</v>
      </c>
      <c r="I6171" s="19" t="s">
        <v>465</v>
      </c>
    </row>
    <row r="6172" spans="1:10" x14ac:dyDescent="0.2">
      <c r="A6172" s="1" t="s">
        <v>25</v>
      </c>
      <c r="B6172" s="2" t="s">
        <v>424</v>
      </c>
      <c r="D6172" s="5" t="s">
        <v>464</v>
      </c>
      <c r="G6172" s="57" t="str">
        <f t="shared" si="99"/>
        <v>-</v>
      </c>
      <c r="H6172" s="19">
        <v>97500</v>
      </c>
      <c r="I6172" s="19" t="s">
        <v>465</v>
      </c>
    </row>
    <row r="6173" spans="1:10" ht="38.25" x14ac:dyDescent="0.2">
      <c r="A6173" s="1" t="s">
        <v>34</v>
      </c>
      <c r="B6173" s="30" t="s">
        <v>4566</v>
      </c>
      <c r="C6173" s="5" t="s">
        <v>541</v>
      </c>
      <c r="D6173" s="5" t="s">
        <v>450</v>
      </c>
      <c r="E6173" s="3">
        <v>110082</v>
      </c>
      <c r="F6173" s="3">
        <v>343849</v>
      </c>
      <c r="G6173" s="57">
        <f t="shared" si="99"/>
        <v>2.1235715194128013</v>
      </c>
      <c r="J6173" s="5" t="s">
        <v>4714</v>
      </c>
    </row>
    <row r="6174" spans="1:10" ht="25.5" x14ac:dyDescent="0.2">
      <c r="A6174" s="1" t="s">
        <v>6</v>
      </c>
      <c r="B6174" s="2" t="s">
        <v>426</v>
      </c>
      <c r="C6174" s="5" t="s">
        <v>527</v>
      </c>
      <c r="D6174" s="5" t="s">
        <v>450</v>
      </c>
      <c r="E6174" s="3">
        <v>228876</v>
      </c>
      <c r="F6174" s="3">
        <v>238258</v>
      </c>
      <c r="G6174" s="57">
        <f t="shared" si="99"/>
        <v>4.0991628654817452E-2</v>
      </c>
      <c r="J6174" s="5" t="s">
        <v>4715</v>
      </c>
    </row>
    <row r="6175" spans="1:10" ht="25.5" x14ac:dyDescent="0.2">
      <c r="A6175" s="1" t="s">
        <v>6</v>
      </c>
      <c r="B6175" s="2" t="s">
        <v>426</v>
      </c>
      <c r="C6175" s="5" t="s">
        <v>528</v>
      </c>
      <c r="D6175" s="5" t="s">
        <v>531</v>
      </c>
      <c r="E6175" s="3">
        <v>157291</v>
      </c>
      <c r="F6175" s="6">
        <v>202462</v>
      </c>
      <c r="G6175" s="57">
        <f t="shared" si="99"/>
        <v>0.28718108474102144</v>
      </c>
      <c r="J6175" s="5" t="s">
        <v>2322</v>
      </c>
    </row>
    <row r="6176" spans="1:10" ht="38.25" x14ac:dyDescent="0.2">
      <c r="A6176" s="1" t="s">
        <v>6</v>
      </c>
      <c r="B6176" s="2" t="s">
        <v>426</v>
      </c>
      <c r="C6176" s="5" t="s">
        <v>530</v>
      </c>
      <c r="D6176" s="5" t="s">
        <v>532</v>
      </c>
      <c r="E6176" s="3">
        <v>113360</v>
      </c>
      <c r="F6176" s="6">
        <v>172213</v>
      </c>
      <c r="G6176" s="57">
        <f t="shared" si="99"/>
        <v>0.51916901905434021</v>
      </c>
      <c r="J6176" s="5" t="s">
        <v>2323</v>
      </c>
    </row>
    <row r="6177" spans="1:10" ht="25.5" x14ac:dyDescent="0.2">
      <c r="A6177" s="1" t="s">
        <v>6</v>
      </c>
      <c r="B6177" s="2" t="s">
        <v>426</v>
      </c>
      <c r="C6177" s="5" t="s">
        <v>533</v>
      </c>
      <c r="D6177" s="5" t="s">
        <v>529</v>
      </c>
      <c r="E6177" s="3">
        <v>148048</v>
      </c>
      <c r="F6177" s="3">
        <v>153326</v>
      </c>
      <c r="G6177" s="57">
        <f t="shared" si="99"/>
        <v>3.5650599805468496E-2</v>
      </c>
      <c r="J6177" s="5" t="s">
        <v>2324</v>
      </c>
    </row>
    <row r="6178" spans="1:10" ht="25.5" x14ac:dyDescent="0.2">
      <c r="A6178" s="1" t="s">
        <v>6</v>
      </c>
      <c r="B6178" s="2" t="s">
        <v>426</v>
      </c>
      <c r="C6178" s="5" t="s">
        <v>534</v>
      </c>
      <c r="D6178" s="5" t="s">
        <v>529</v>
      </c>
      <c r="E6178" s="3">
        <v>164359</v>
      </c>
      <c r="F6178" s="3">
        <v>140812</v>
      </c>
      <c r="G6178" s="57">
        <f t="shared" si="99"/>
        <v>-0.14326565627680871</v>
      </c>
      <c r="J6178" s="5" t="s">
        <v>2325</v>
      </c>
    </row>
    <row r="6179" spans="1:10" ht="25.5" x14ac:dyDescent="0.2">
      <c r="A6179" s="1" t="s">
        <v>6</v>
      </c>
      <c r="B6179" s="2" t="s">
        <v>426</v>
      </c>
      <c r="C6179" s="5" t="s">
        <v>535</v>
      </c>
      <c r="D6179" s="5" t="s">
        <v>537</v>
      </c>
      <c r="E6179" s="3">
        <v>48013</v>
      </c>
      <c r="F6179" s="3">
        <v>136384</v>
      </c>
      <c r="G6179" s="57">
        <f t="shared" si="99"/>
        <v>1.8405640139128987</v>
      </c>
      <c r="J6179" s="5" t="s">
        <v>2326</v>
      </c>
    </row>
    <row r="6180" spans="1:10" ht="25.5" x14ac:dyDescent="0.2">
      <c r="A6180" s="1" t="s">
        <v>6</v>
      </c>
      <c r="B6180" s="2" t="s">
        <v>426</v>
      </c>
      <c r="C6180" s="5" t="s">
        <v>536</v>
      </c>
      <c r="D6180" s="5" t="s">
        <v>538</v>
      </c>
      <c r="E6180" s="3">
        <v>111386</v>
      </c>
      <c r="F6180" s="3">
        <v>120910</v>
      </c>
      <c r="G6180" s="57">
        <f t="shared" si="99"/>
        <v>8.5504461961108225E-2</v>
      </c>
      <c r="J6180" s="5" t="s">
        <v>2327</v>
      </c>
    </row>
    <row r="6181" spans="1:10" x14ac:dyDescent="0.2">
      <c r="A6181" s="1" t="s">
        <v>6</v>
      </c>
      <c r="B6181" s="2" t="s">
        <v>426</v>
      </c>
      <c r="D6181" s="5" t="s">
        <v>455</v>
      </c>
      <c r="E6181" s="3">
        <v>157813</v>
      </c>
      <c r="F6181" s="3" t="s">
        <v>465</v>
      </c>
      <c r="G6181" s="57" t="str">
        <f t="shared" si="99"/>
        <v>-</v>
      </c>
    </row>
    <row r="6182" spans="1:10" x14ac:dyDescent="0.2">
      <c r="A6182" s="1" t="s">
        <v>6</v>
      </c>
      <c r="B6182" s="2" t="s">
        <v>426</v>
      </c>
      <c r="D6182" s="5" t="s">
        <v>464</v>
      </c>
      <c r="E6182" s="3" t="s">
        <v>465</v>
      </c>
      <c r="F6182" s="3">
        <v>137500</v>
      </c>
      <c r="G6182" s="57" t="str">
        <f t="shared" si="99"/>
        <v>-</v>
      </c>
      <c r="J6182" s="5" t="s">
        <v>1241</v>
      </c>
    </row>
    <row r="6183" spans="1:10" x14ac:dyDescent="0.2">
      <c r="A6183" s="1" t="s">
        <v>6</v>
      </c>
      <c r="B6183" s="2" t="s">
        <v>426</v>
      </c>
      <c r="D6183" s="5" t="s">
        <v>464</v>
      </c>
      <c r="E6183" s="3" t="s">
        <v>465</v>
      </c>
      <c r="F6183" s="3">
        <v>142500</v>
      </c>
      <c r="G6183" s="57" t="str">
        <f t="shared" si="99"/>
        <v>-</v>
      </c>
      <c r="J6183" s="5" t="s">
        <v>1241</v>
      </c>
    </row>
    <row r="6184" spans="1:10" x14ac:dyDescent="0.2">
      <c r="A6184" s="1" t="s">
        <v>6</v>
      </c>
      <c r="B6184" s="2" t="s">
        <v>426</v>
      </c>
      <c r="D6184" s="5" t="s">
        <v>464</v>
      </c>
      <c r="E6184" s="3">
        <v>102500</v>
      </c>
      <c r="F6184" s="3" t="s">
        <v>465</v>
      </c>
      <c r="G6184" s="57" t="str">
        <f t="shared" si="99"/>
        <v>-</v>
      </c>
      <c r="J6184" s="5" t="s">
        <v>1241</v>
      </c>
    </row>
    <row r="6185" spans="1:10" x14ac:dyDescent="0.2">
      <c r="A6185" s="1" t="s">
        <v>6</v>
      </c>
      <c r="B6185" s="2" t="s">
        <v>426</v>
      </c>
      <c r="D6185" s="5" t="s">
        <v>464</v>
      </c>
      <c r="E6185" s="3">
        <v>132500</v>
      </c>
      <c r="F6185" s="3" t="s">
        <v>465</v>
      </c>
      <c r="G6185" s="57" t="str">
        <f t="shared" si="99"/>
        <v>-</v>
      </c>
    </row>
    <row r="6186" spans="1:10" x14ac:dyDescent="0.2">
      <c r="A6186" s="1" t="s">
        <v>6</v>
      </c>
      <c r="B6186" s="2" t="s">
        <v>426</v>
      </c>
      <c r="D6186" s="5" t="s">
        <v>464</v>
      </c>
      <c r="G6186" s="57" t="str">
        <f t="shared" si="99"/>
        <v>-</v>
      </c>
      <c r="H6186" s="19">
        <v>92500</v>
      </c>
      <c r="I6186" s="19" t="s">
        <v>465</v>
      </c>
    </row>
    <row r="6187" spans="1:10" x14ac:dyDescent="0.2">
      <c r="A6187" s="1" t="s">
        <v>6</v>
      </c>
      <c r="B6187" s="2" t="s">
        <v>426</v>
      </c>
      <c r="D6187" s="5" t="s">
        <v>464</v>
      </c>
      <c r="G6187" s="57" t="str">
        <f t="shared" si="99"/>
        <v>-</v>
      </c>
      <c r="H6187" s="19">
        <v>92500</v>
      </c>
      <c r="I6187" s="19" t="s">
        <v>465</v>
      </c>
    </row>
    <row r="6188" spans="1:10" x14ac:dyDescent="0.2">
      <c r="A6188" s="1" t="s">
        <v>6</v>
      </c>
      <c r="B6188" s="2" t="s">
        <v>426</v>
      </c>
      <c r="D6188" s="5" t="s">
        <v>464</v>
      </c>
      <c r="G6188" s="57" t="str">
        <f t="shared" si="99"/>
        <v>-</v>
      </c>
      <c r="H6188" s="19">
        <v>92500</v>
      </c>
      <c r="I6188" s="19" t="s">
        <v>465</v>
      </c>
    </row>
    <row r="6189" spans="1:10" x14ac:dyDescent="0.2">
      <c r="A6189" s="1" t="s">
        <v>6</v>
      </c>
      <c r="B6189" s="2" t="s">
        <v>426</v>
      </c>
      <c r="D6189" s="5" t="s">
        <v>464</v>
      </c>
      <c r="G6189" s="57" t="str">
        <f t="shared" si="99"/>
        <v>-</v>
      </c>
      <c r="H6189" s="19" t="s">
        <v>465</v>
      </c>
      <c r="I6189" s="19">
        <v>92500</v>
      </c>
    </row>
    <row r="6190" spans="1:10" x14ac:dyDescent="0.2">
      <c r="A6190" s="1" t="s">
        <v>6</v>
      </c>
      <c r="B6190" s="2" t="s">
        <v>426</v>
      </c>
      <c r="D6190" s="5" t="s">
        <v>464</v>
      </c>
      <c r="G6190" s="57" t="str">
        <f t="shared" si="99"/>
        <v>-</v>
      </c>
      <c r="H6190" s="19" t="s">
        <v>465</v>
      </c>
      <c r="I6190" s="19">
        <v>92500</v>
      </c>
    </row>
    <row r="6191" spans="1:10" x14ac:dyDescent="0.2">
      <c r="A6191" s="1" t="s">
        <v>6</v>
      </c>
      <c r="B6191" s="2" t="s">
        <v>426</v>
      </c>
      <c r="D6191" s="5" t="s">
        <v>464</v>
      </c>
      <c r="G6191" s="57" t="str">
        <f t="shared" si="99"/>
        <v>-</v>
      </c>
      <c r="H6191" s="19" t="s">
        <v>465</v>
      </c>
      <c r="I6191" s="19">
        <v>92500</v>
      </c>
    </row>
    <row r="6192" spans="1:10" x14ac:dyDescent="0.2">
      <c r="A6192" s="1" t="s">
        <v>6</v>
      </c>
      <c r="B6192" s="2" t="s">
        <v>426</v>
      </c>
      <c r="D6192" s="5" t="s">
        <v>464</v>
      </c>
      <c r="G6192" s="57" t="str">
        <f t="shared" si="99"/>
        <v>-</v>
      </c>
      <c r="H6192" s="19" t="s">
        <v>465</v>
      </c>
      <c r="I6192" s="19">
        <v>92500</v>
      </c>
    </row>
    <row r="6193" spans="1:10" x14ac:dyDescent="0.2">
      <c r="A6193" s="1" t="s">
        <v>6</v>
      </c>
      <c r="B6193" s="2" t="s">
        <v>426</v>
      </c>
      <c r="D6193" s="5" t="s">
        <v>464</v>
      </c>
      <c r="G6193" s="57" t="str">
        <f t="shared" si="99"/>
        <v>-</v>
      </c>
      <c r="H6193" s="19" t="s">
        <v>465</v>
      </c>
      <c r="I6193" s="19">
        <v>97500</v>
      </c>
      <c r="J6193" s="5" t="s">
        <v>1241</v>
      </c>
    </row>
    <row r="6194" spans="1:10" x14ac:dyDescent="0.2">
      <c r="A6194" s="1" t="s">
        <v>6</v>
      </c>
      <c r="B6194" s="2" t="s">
        <v>426</v>
      </c>
      <c r="D6194" s="5" t="s">
        <v>464</v>
      </c>
      <c r="G6194" s="57" t="str">
        <f t="shared" si="99"/>
        <v>-</v>
      </c>
      <c r="H6194" s="19" t="s">
        <v>465</v>
      </c>
      <c r="I6194" s="19">
        <v>97500</v>
      </c>
      <c r="J6194" s="5" t="s">
        <v>1241</v>
      </c>
    </row>
    <row r="6195" spans="1:10" x14ac:dyDescent="0.2">
      <c r="A6195" s="1" t="s">
        <v>6</v>
      </c>
      <c r="B6195" s="2" t="s">
        <v>426</v>
      </c>
      <c r="D6195" s="5" t="s">
        <v>464</v>
      </c>
      <c r="G6195" s="57" t="str">
        <f t="shared" si="99"/>
        <v>-</v>
      </c>
      <c r="H6195" s="19" t="s">
        <v>465</v>
      </c>
      <c r="I6195" s="19">
        <v>97500</v>
      </c>
      <c r="J6195" s="5" t="s">
        <v>1241</v>
      </c>
    </row>
    <row r="6196" spans="1:10" x14ac:dyDescent="0.2">
      <c r="A6196" s="1" t="s">
        <v>6</v>
      </c>
      <c r="B6196" s="2" t="s">
        <v>426</v>
      </c>
      <c r="D6196" s="5" t="s">
        <v>464</v>
      </c>
      <c r="G6196" s="57" t="str">
        <f t="shared" si="99"/>
        <v>-</v>
      </c>
      <c r="H6196" s="19" t="s">
        <v>465</v>
      </c>
      <c r="I6196" s="19">
        <v>97500</v>
      </c>
      <c r="J6196" s="5" t="s">
        <v>1241</v>
      </c>
    </row>
    <row r="6197" spans="1:10" ht="38.25" x14ac:dyDescent="0.2">
      <c r="A6197" s="1" t="s">
        <v>34</v>
      </c>
      <c r="B6197" s="12" t="s">
        <v>427</v>
      </c>
      <c r="C6197" s="5" t="s">
        <v>523</v>
      </c>
      <c r="D6197" s="5" t="s">
        <v>450</v>
      </c>
      <c r="E6197" s="3">
        <v>30021</v>
      </c>
      <c r="F6197" s="3">
        <v>225830</v>
      </c>
      <c r="G6197" s="57">
        <f t="shared" si="99"/>
        <v>6.5224009859764829</v>
      </c>
      <c r="J6197" s="5" t="s">
        <v>4567</v>
      </c>
    </row>
    <row r="6198" spans="1:10" x14ac:dyDescent="0.2">
      <c r="A6198" s="1" t="s">
        <v>34</v>
      </c>
      <c r="B6198" s="2" t="s">
        <v>427</v>
      </c>
      <c r="C6198" s="5" t="s">
        <v>2315</v>
      </c>
      <c r="D6198" s="5" t="s">
        <v>450</v>
      </c>
      <c r="E6198" s="3">
        <v>484832</v>
      </c>
      <c r="F6198" s="3" t="s">
        <v>465</v>
      </c>
      <c r="G6198" s="57" t="str">
        <f t="shared" si="99"/>
        <v>-</v>
      </c>
      <c r="J6198" s="5" t="s">
        <v>4568</v>
      </c>
    </row>
    <row r="6199" spans="1:10" ht="25.5" x14ac:dyDescent="0.2">
      <c r="A6199" s="1" t="s">
        <v>34</v>
      </c>
      <c r="B6199" s="2" t="s">
        <v>427</v>
      </c>
      <c r="D6199" s="5" t="s">
        <v>524</v>
      </c>
      <c r="E6199" s="3">
        <v>150410</v>
      </c>
      <c r="F6199" s="3">
        <v>150225</v>
      </c>
      <c r="G6199" s="57">
        <f t="shared" si="99"/>
        <v>-1.2299714114753009E-3</v>
      </c>
      <c r="J6199" s="5" t="s">
        <v>2317</v>
      </c>
    </row>
    <row r="6200" spans="1:10" ht="25.5" x14ac:dyDescent="0.2">
      <c r="A6200" s="1" t="s">
        <v>34</v>
      </c>
      <c r="B6200" s="2" t="s">
        <v>427</v>
      </c>
      <c r="D6200" s="5" t="s">
        <v>463</v>
      </c>
      <c r="E6200" s="3">
        <v>146494</v>
      </c>
      <c r="F6200" s="3">
        <v>151530</v>
      </c>
      <c r="G6200" s="57">
        <f t="shared" si="99"/>
        <v>3.4376834546124758E-2</v>
      </c>
      <c r="J6200" s="5" t="s">
        <v>2318</v>
      </c>
    </row>
    <row r="6201" spans="1:10" ht="25.5" x14ac:dyDescent="0.2">
      <c r="A6201" s="1" t="s">
        <v>34</v>
      </c>
      <c r="B6201" s="2" t="s">
        <v>427</v>
      </c>
      <c r="D6201" s="5" t="s">
        <v>525</v>
      </c>
      <c r="E6201" s="3">
        <v>145969</v>
      </c>
      <c r="F6201" s="3">
        <v>150139</v>
      </c>
      <c r="G6201" s="57">
        <f t="shared" si="99"/>
        <v>2.8567709582171558E-2</v>
      </c>
      <c r="J6201" s="5" t="s">
        <v>2319</v>
      </c>
    </row>
    <row r="6202" spans="1:10" ht="25.5" x14ac:dyDescent="0.2">
      <c r="A6202" s="1" t="s">
        <v>34</v>
      </c>
      <c r="B6202" s="2" t="s">
        <v>427</v>
      </c>
      <c r="D6202" s="5" t="s">
        <v>526</v>
      </c>
      <c r="E6202" s="3" t="s">
        <v>465</v>
      </c>
      <c r="F6202" s="3">
        <v>140749</v>
      </c>
      <c r="G6202" s="57" t="str">
        <f t="shared" si="99"/>
        <v>-</v>
      </c>
      <c r="J6202" s="5" t="s">
        <v>2320</v>
      </c>
    </row>
    <row r="6203" spans="1:10" x14ac:dyDescent="0.2">
      <c r="A6203" s="1" t="s">
        <v>34</v>
      </c>
      <c r="B6203" s="2" t="s">
        <v>427</v>
      </c>
      <c r="D6203" s="5" t="s">
        <v>2316</v>
      </c>
      <c r="E6203" s="3">
        <v>558296</v>
      </c>
      <c r="F6203" s="3" t="s">
        <v>465</v>
      </c>
      <c r="G6203" s="57" t="str">
        <f t="shared" si="99"/>
        <v>-</v>
      </c>
      <c r="J6203" s="5" t="s">
        <v>3661</v>
      </c>
    </row>
    <row r="6204" spans="1:10" x14ac:dyDescent="0.2">
      <c r="A6204" s="1" t="s">
        <v>34</v>
      </c>
      <c r="B6204" s="2" t="s">
        <v>427</v>
      </c>
      <c r="D6204" s="5" t="s">
        <v>2321</v>
      </c>
      <c r="E6204" s="3">
        <v>136259</v>
      </c>
      <c r="F6204" s="3" t="s">
        <v>465</v>
      </c>
      <c r="G6204" s="57" t="str">
        <f t="shared" ref="G6204:G6267" si="100">IF(ISERROR((F6204-E6204)/E6204),"-",(F6204-E6204)/E6204)</f>
        <v>-</v>
      </c>
    </row>
    <row r="6205" spans="1:10" x14ac:dyDescent="0.2">
      <c r="A6205" s="1" t="s">
        <v>34</v>
      </c>
      <c r="B6205" s="2" t="s">
        <v>427</v>
      </c>
      <c r="D6205" s="5" t="s">
        <v>611</v>
      </c>
      <c r="E6205" s="3">
        <v>333153</v>
      </c>
      <c r="F6205" s="3" t="s">
        <v>465</v>
      </c>
      <c r="G6205" s="57" t="str">
        <f t="shared" si="100"/>
        <v>-</v>
      </c>
      <c r="J6205" s="5" t="s">
        <v>4569</v>
      </c>
    </row>
    <row r="6206" spans="1:10" x14ac:dyDescent="0.2">
      <c r="A6206" s="1" t="s">
        <v>34</v>
      </c>
      <c r="B6206" s="2" t="s">
        <v>427</v>
      </c>
      <c r="D6206" s="5" t="s">
        <v>613</v>
      </c>
      <c r="E6206" s="3">
        <v>390738</v>
      </c>
      <c r="F6206" s="3" t="s">
        <v>465</v>
      </c>
      <c r="G6206" s="57" t="str">
        <f t="shared" si="100"/>
        <v>-</v>
      </c>
      <c r="J6206" s="5" t="s">
        <v>4569</v>
      </c>
    </row>
    <row r="6207" spans="1:10" x14ac:dyDescent="0.2">
      <c r="A6207" s="1" t="s">
        <v>34</v>
      </c>
      <c r="B6207" s="2" t="s">
        <v>427</v>
      </c>
      <c r="D6207" s="5" t="s">
        <v>464</v>
      </c>
      <c r="E6207" s="3" t="s">
        <v>465</v>
      </c>
      <c r="F6207" s="3">
        <v>102500</v>
      </c>
      <c r="G6207" s="57" t="str">
        <f t="shared" si="100"/>
        <v>-</v>
      </c>
      <c r="J6207" s="5" t="s">
        <v>1241</v>
      </c>
    </row>
    <row r="6208" spans="1:10" x14ac:dyDescent="0.2">
      <c r="A6208" s="1" t="s">
        <v>34</v>
      </c>
      <c r="B6208" s="2" t="s">
        <v>427</v>
      </c>
      <c r="D6208" s="5" t="s">
        <v>464</v>
      </c>
      <c r="E6208" s="3" t="s">
        <v>465</v>
      </c>
      <c r="F6208" s="3">
        <v>102500</v>
      </c>
      <c r="G6208" s="57" t="str">
        <f t="shared" si="100"/>
        <v>-</v>
      </c>
      <c r="J6208" s="5" t="s">
        <v>1241</v>
      </c>
    </row>
    <row r="6209" spans="1:10" x14ac:dyDescent="0.2">
      <c r="A6209" s="1" t="s">
        <v>34</v>
      </c>
      <c r="B6209" s="2" t="s">
        <v>427</v>
      </c>
      <c r="D6209" s="5" t="s">
        <v>464</v>
      </c>
      <c r="E6209" s="3" t="s">
        <v>465</v>
      </c>
      <c r="F6209" s="3">
        <v>107500</v>
      </c>
      <c r="G6209" s="57" t="str">
        <f t="shared" si="100"/>
        <v>-</v>
      </c>
      <c r="J6209" s="5" t="s">
        <v>1241</v>
      </c>
    </row>
    <row r="6210" spans="1:10" x14ac:dyDescent="0.2">
      <c r="A6210" s="1" t="s">
        <v>34</v>
      </c>
      <c r="B6210" s="2" t="s">
        <v>427</v>
      </c>
      <c r="D6210" s="5" t="s">
        <v>464</v>
      </c>
      <c r="E6210" s="3" t="s">
        <v>465</v>
      </c>
      <c r="F6210" s="3">
        <v>107500</v>
      </c>
      <c r="G6210" s="57" t="str">
        <f t="shared" si="100"/>
        <v>-</v>
      </c>
      <c r="J6210" s="5" t="s">
        <v>1241</v>
      </c>
    </row>
    <row r="6211" spans="1:10" x14ac:dyDescent="0.2">
      <c r="A6211" s="1" t="s">
        <v>34</v>
      </c>
      <c r="B6211" s="2" t="s">
        <v>427</v>
      </c>
      <c r="D6211" s="5" t="s">
        <v>464</v>
      </c>
      <c r="E6211" s="3" t="s">
        <v>465</v>
      </c>
      <c r="F6211" s="3">
        <v>107500</v>
      </c>
      <c r="G6211" s="57" t="str">
        <f t="shared" si="100"/>
        <v>-</v>
      </c>
      <c r="J6211" s="5" t="s">
        <v>1241</v>
      </c>
    </row>
    <row r="6212" spans="1:10" x14ac:dyDescent="0.2">
      <c r="A6212" s="1" t="s">
        <v>34</v>
      </c>
      <c r="B6212" s="2" t="s">
        <v>427</v>
      </c>
      <c r="D6212" s="5" t="s">
        <v>464</v>
      </c>
      <c r="E6212" s="3" t="s">
        <v>465</v>
      </c>
      <c r="F6212" s="3">
        <v>107500</v>
      </c>
      <c r="G6212" s="57" t="str">
        <f t="shared" si="100"/>
        <v>-</v>
      </c>
    </row>
    <row r="6213" spans="1:10" x14ac:dyDescent="0.2">
      <c r="A6213" s="1" t="s">
        <v>34</v>
      </c>
      <c r="B6213" s="2" t="s">
        <v>427</v>
      </c>
      <c r="D6213" s="5" t="s">
        <v>464</v>
      </c>
      <c r="E6213" s="3" t="s">
        <v>465</v>
      </c>
      <c r="F6213" s="3">
        <v>117500</v>
      </c>
      <c r="G6213" s="57" t="str">
        <f t="shared" si="100"/>
        <v>-</v>
      </c>
      <c r="J6213" s="5" t="s">
        <v>1241</v>
      </c>
    </row>
    <row r="6214" spans="1:10" x14ac:dyDescent="0.2">
      <c r="A6214" s="1" t="s">
        <v>34</v>
      </c>
      <c r="B6214" s="2" t="s">
        <v>427</v>
      </c>
      <c r="D6214" s="5" t="s">
        <v>464</v>
      </c>
      <c r="E6214" s="3" t="s">
        <v>465</v>
      </c>
      <c r="F6214" s="3">
        <v>122500</v>
      </c>
      <c r="G6214" s="57" t="str">
        <f t="shared" si="100"/>
        <v>-</v>
      </c>
      <c r="J6214" s="5" t="s">
        <v>1241</v>
      </c>
    </row>
    <row r="6215" spans="1:10" x14ac:dyDescent="0.2">
      <c r="A6215" s="1" t="s">
        <v>34</v>
      </c>
      <c r="B6215" s="2" t="s">
        <v>427</v>
      </c>
      <c r="D6215" s="5" t="s">
        <v>464</v>
      </c>
      <c r="E6215" s="3" t="s">
        <v>465</v>
      </c>
      <c r="F6215" s="3">
        <v>122500</v>
      </c>
      <c r="G6215" s="57" t="str">
        <f t="shared" si="100"/>
        <v>-</v>
      </c>
      <c r="J6215" s="5" t="s">
        <v>1241</v>
      </c>
    </row>
    <row r="6216" spans="1:10" x14ac:dyDescent="0.2">
      <c r="A6216" s="1" t="s">
        <v>34</v>
      </c>
      <c r="B6216" s="2" t="s">
        <v>427</v>
      </c>
      <c r="D6216" s="5" t="s">
        <v>464</v>
      </c>
      <c r="E6216" s="3" t="s">
        <v>465</v>
      </c>
      <c r="F6216" s="3">
        <v>122500</v>
      </c>
      <c r="G6216" s="57" t="str">
        <f t="shared" si="100"/>
        <v>-</v>
      </c>
      <c r="J6216" s="5" t="s">
        <v>1241</v>
      </c>
    </row>
    <row r="6217" spans="1:10" x14ac:dyDescent="0.2">
      <c r="A6217" s="1" t="s">
        <v>34</v>
      </c>
      <c r="B6217" s="2" t="s">
        <v>427</v>
      </c>
      <c r="D6217" s="5" t="s">
        <v>464</v>
      </c>
      <c r="E6217" s="3" t="s">
        <v>465</v>
      </c>
      <c r="F6217" s="3">
        <v>122500</v>
      </c>
      <c r="G6217" s="57" t="str">
        <f t="shared" si="100"/>
        <v>-</v>
      </c>
      <c r="J6217" s="5" t="s">
        <v>1241</v>
      </c>
    </row>
    <row r="6218" spans="1:10" x14ac:dyDescent="0.2">
      <c r="A6218" s="1" t="s">
        <v>34</v>
      </c>
      <c r="B6218" s="2" t="s">
        <v>427</v>
      </c>
      <c r="D6218" s="5" t="s">
        <v>464</v>
      </c>
      <c r="E6218" s="3" t="s">
        <v>465</v>
      </c>
      <c r="F6218" s="3">
        <v>122500</v>
      </c>
      <c r="G6218" s="57" t="str">
        <f t="shared" si="100"/>
        <v>-</v>
      </c>
    </row>
    <row r="6219" spans="1:10" x14ac:dyDescent="0.2">
      <c r="A6219" s="1" t="s">
        <v>34</v>
      </c>
      <c r="B6219" s="2" t="s">
        <v>427</v>
      </c>
      <c r="D6219" s="5" t="s">
        <v>464</v>
      </c>
      <c r="E6219" s="3" t="s">
        <v>465</v>
      </c>
      <c r="F6219" s="3">
        <v>127500</v>
      </c>
      <c r="G6219" s="57" t="str">
        <f t="shared" si="100"/>
        <v>-</v>
      </c>
      <c r="J6219" s="5" t="s">
        <v>1241</v>
      </c>
    </row>
    <row r="6220" spans="1:10" x14ac:dyDescent="0.2">
      <c r="A6220" s="1" t="s">
        <v>34</v>
      </c>
      <c r="B6220" s="2" t="s">
        <v>427</v>
      </c>
      <c r="D6220" s="5" t="s">
        <v>464</v>
      </c>
      <c r="E6220" s="3" t="s">
        <v>465</v>
      </c>
      <c r="F6220" s="3">
        <v>127500</v>
      </c>
      <c r="G6220" s="57" t="str">
        <f t="shared" si="100"/>
        <v>-</v>
      </c>
      <c r="J6220" s="5" t="s">
        <v>1241</v>
      </c>
    </row>
    <row r="6221" spans="1:10" x14ac:dyDescent="0.2">
      <c r="A6221" s="1" t="s">
        <v>34</v>
      </c>
      <c r="B6221" s="2" t="s">
        <v>427</v>
      </c>
      <c r="D6221" s="5" t="s">
        <v>464</v>
      </c>
      <c r="E6221" s="3" t="s">
        <v>465</v>
      </c>
      <c r="F6221" s="3">
        <v>127500</v>
      </c>
      <c r="G6221" s="57" t="str">
        <f t="shared" si="100"/>
        <v>-</v>
      </c>
    </row>
    <row r="6222" spans="1:10" x14ac:dyDescent="0.2">
      <c r="A6222" s="1" t="s">
        <v>34</v>
      </c>
      <c r="B6222" s="2" t="s">
        <v>427</v>
      </c>
      <c r="D6222" s="5" t="s">
        <v>464</v>
      </c>
      <c r="E6222" s="3" t="s">
        <v>465</v>
      </c>
      <c r="F6222" s="3">
        <v>132500</v>
      </c>
      <c r="G6222" s="57" t="str">
        <f t="shared" si="100"/>
        <v>-</v>
      </c>
      <c r="J6222" s="5" t="s">
        <v>1241</v>
      </c>
    </row>
    <row r="6223" spans="1:10" x14ac:dyDescent="0.2">
      <c r="A6223" s="1" t="s">
        <v>34</v>
      </c>
      <c r="B6223" s="2" t="s">
        <v>427</v>
      </c>
      <c r="D6223" s="5" t="s">
        <v>464</v>
      </c>
      <c r="E6223" s="3">
        <v>102500</v>
      </c>
      <c r="F6223" s="3" t="s">
        <v>465</v>
      </c>
      <c r="G6223" s="57" t="str">
        <f t="shared" si="100"/>
        <v>-</v>
      </c>
      <c r="J6223" s="5" t="s">
        <v>1241</v>
      </c>
    </row>
    <row r="6224" spans="1:10" x14ac:dyDescent="0.2">
      <c r="A6224" s="1" t="s">
        <v>34</v>
      </c>
      <c r="B6224" s="2" t="s">
        <v>427</v>
      </c>
      <c r="D6224" s="5" t="s">
        <v>464</v>
      </c>
      <c r="E6224" s="3">
        <v>102500</v>
      </c>
      <c r="F6224" s="3" t="s">
        <v>465</v>
      </c>
      <c r="G6224" s="57" t="str">
        <f t="shared" si="100"/>
        <v>-</v>
      </c>
      <c r="J6224" s="5" t="s">
        <v>1241</v>
      </c>
    </row>
    <row r="6225" spans="1:10" x14ac:dyDescent="0.2">
      <c r="A6225" s="1" t="s">
        <v>34</v>
      </c>
      <c r="B6225" s="2" t="s">
        <v>427</v>
      </c>
      <c r="D6225" s="5" t="s">
        <v>464</v>
      </c>
      <c r="E6225" s="3">
        <v>102500</v>
      </c>
      <c r="F6225" s="3" t="s">
        <v>465</v>
      </c>
      <c r="G6225" s="57" t="str">
        <f t="shared" si="100"/>
        <v>-</v>
      </c>
    </row>
    <row r="6226" spans="1:10" x14ac:dyDescent="0.2">
      <c r="A6226" s="1" t="s">
        <v>34</v>
      </c>
      <c r="B6226" s="2" t="s">
        <v>427</v>
      </c>
      <c r="D6226" s="5" t="s">
        <v>464</v>
      </c>
      <c r="E6226" s="3">
        <v>102500</v>
      </c>
      <c r="F6226" s="3" t="s">
        <v>465</v>
      </c>
      <c r="G6226" s="57" t="str">
        <f t="shared" si="100"/>
        <v>-</v>
      </c>
    </row>
    <row r="6227" spans="1:10" x14ac:dyDescent="0.2">
      <c r="A6227" s="1" t="s">
        <v>34</v>
      </c>
      <c r="B6227" s="2" t="s">
        <v>427</v>
      </c>
      <c r="D6227" s="5" t="s">
        <v>464</v>
      </c>
      <c r="E6227" s="3">
        <v>102500</v>
      </c>
      <c r="F6227" s="3" t="s">
        <v>465</v>
      </c>
      <c r="G6227" s="57" t="str">
        <f t="shared" si="100"/>
        <v>-</v>
      </c>
    </row>
    <row r="6228" spans="1:10" x14ac:dyDescent="0.2">
      <c r="A6228" s="1" t="s">
        <v>34</v>
      </c>
      <c r="B6228" s="2" t="s">
        <v>427</v>
      </c>
      <c r="D6228" s="5" t="s">
        <v>464</v>
      </c>
      <c r="E6228" s="3">
        <v>107500</v>
      </c>
      <c r="F6228" s="3" t="s">
        <v>465</v>
      </c>
      <c r="G6228" s="57" t="str">
        <f t="shared" si="100"/>
        <v>-</v>
      </c>
      <c r="J6228" s="5" t="s">
        <v>1241</v>
      </c>
    </row>
    <row r="6229" spans="1:10" x14ac:dyDescent="0.2">
      <c r="A6229" s="1" t="s">
        <v>34</v>
      </c>
      <c r="B6229" s="2" t="s">
        <v>427</v>
      </c>
      <c r="D6229" s="5" t="s">
        <v>464</v>
      </c>
      <c r="E6229" s="3">
        <v>112500</v>
      </c>
      <c r="F6229" s="3" t="s">
        <v>465</v>
      </c>
      <c r="G6229" s="57" t="str">
        <f t="shared" si="100"/>
        <v>-</v>
      </c>
    </row>
    <row r="6230" spans="1:10" x14ac:dyDescent="0.2">
      <c r="A6230" s="1" t="s">
        <v>34</v>
      </c>
      <c r="B6230" s="2" t="s">
        <v>427</v>
      </c>
      <c r="D6230" s="5" t="s">
        <v>464</v>
      </c>
      <c r="E6230" s="3">
        <v>117500</v>
      </c>
      <c r="F6230" s="3" t="s">
        <v>465</v>
      </c>
      <c r="G6230" s="57" t="str">
        <f t="shared" si="100"/>
        <v>-</v>
      </c>
    </row>
    <row r="6231" spans="1:10" x14ac:dyDescent="0.2">
      <c r="A6231" s="1" t="s">
        <v>34</v>
      </c>
      <c r="B6231" s="2" t="s">
        <v>427</v>
      </c>
      <c r="D6231" s="7" t="s">
        <v>464</v>
      </c>
      <c r="E6231" s="3">
        <v>137500</v>
      </c>
      <c r="F6231" s="3" t="s">
        <v>465</v>
      </c>
      <c r="G6231" s="57" t="str">
        <f t="shared" si="100"/>
        <v>-</v>
      </c>
      <c r="J6231" s="5" t="s">
        <v>1241</v>
      </c>
    </row>
    <row r="6232" spans="1:10" x14ac:dyDescent="0.2">
      <c r="A6232" s="1" t="s">
        <v>34</v>
      </c>
      <c r="B6232" s="2" t="s">
        <v>427</v>
      </c>
      <c r="D6232" s="5" t="s">
        <v>464</v>
      </c>
      <c r="E6232" s="3">
        <v>152500</v>
      </c>
      <c r="F6232" s="3" t="s">
        <v>465</v>
      </c>
      <c r="G6232" s="57" t="str">
        <f t="shared" si="100"/>
        <v>-</v>
      </c>
      <c r="J6232" s="5" t="s">
        <v>1241</v>
      </c>
    </row>
    <row r="6233" spans="1:10" x14ac:dyDescent="0.2">
      <c r="A6233" s="1" t="s">
        <v>34</v>
      </c>
      <c r="B6233" s="2" t="s">
        <v>427</v>
      </c>
      <c r="D6233" s="5" t="s">
        <v>464</v>
      </c>
      <c r="G6233" s="57" t="str">
        <f t="shared" si="100"/>
        <v>-</v>
      </c>
      <c r="H6233" s="19" t="s">
        <v>465</v>
      </c>
      <c r="I6233" s="19">
        <v>92500</v>
      </c>
      <c r="J6233" s="5" t="s">
        <v>1241</v>
      </c>
    </row>
    <row r="6234" spans="1:10" x14ac:dyDescent="0.2">
      <c r="A6234" s="1" t="s">
        <v>34</v>
      </c>
      <c r="B6234" s="2" t="s">
        <v>427</v>
      </c>
      <c r="D6234" s="5" t="s">
        <v>464</v>
      </c>
      <c r="G6234" s="57" t="str">
        <f t="shared" si="100"/>
        <v>-</v>
      </c>
      <c r="H6234" s="19" t="s">
        <v>465</v>
      </c>
      <c r="I6234" s="19">
        <v>92500</v>
      </c>
      <c r="J6234" s="5" t="s">
        <v>1241</v>
      </c>
    </row>
    <row r="6235" spans="1:10" x14ac:dyDescent="0.2">
      <c r="A6235" s="1" t="s">
        <v>34</v>
      </c>
      <c r="B6235" s="2" t="s">
        <v>427</v>
      </c>
      <c r="D6235" s="5" t="s">
        <v>464</v>
      </c>
      <c r="G6235" s="57" t="str">
        <f t="shared" si="100"/>
        <v>-</v>
      </c>
      <c r="H6235" s="19" t="s">
        <v>465</v>
      </c>
      <c r="I6235" s="19">
        <v>92500</v>
      </c>
      <c r="J6235" s="5" t="s">
        <v>1241</v>
      </c>
    </row>
    <row r="6236" spans="1:10" x14ac:dyDescent="0.2">
      <c r="A6236" s="1" t="s">
        <v>34</v>
      </c>
      <c r="B6236" s="2" t="s">
        <v>427</v>
      </c>
      <c r="D6236" s="5" t="s">
        <v>464</v>
      </c>
      <c r="G6236" s="57" t="str">
        <f t="shared" si="100"/>
        <v>-</v>
      </c>
      <c r="H6236" s="19" t="s">
        <v>465</v>
      </c>
      <c r="I6236" s="19">
        <v>92500</v>
      </c>
      <c r="J6236" s="5" t="s">
        <v>1241</v>
      </c>
    </row>
    <row r="6237" spans="1:10" x14ac:dyDescent="0.2">
      <c r="A6237" s="1" t="s">
        <v>34</v>
      </c>
      <c r="B6237" s="2" t="s">
        <v>427</v>
      </c>
      <c r="D6237" s="5" t="s">
        <v>464</v>
      </c>
      <c r="G6237" s="57" t="str">
        <f t="shared" si="100"/>
        <v>-</v>
      </c>
      <c r="H6237" s="19" t="s">
        <v>465</v>
      </c>
      <c r="I6237" s="19">
        <v>92500</v>
      </c>
      <c r="J6237" s="5" t="s">
        <v>1241</v>
      </c>
    </row>
    <row r="6238" spans="1:10" x14ac:dyDescent="0.2">
      <c r="A6238" s="1" t="s">
        <v>34</v>
      </c>
      <c r="B6238" s="2" t="s">
        <v>427</v>
      </c>
      <c r="D6238" s="5" t="s">
        <v>464</v>
      </c>
      <c r="G6238" s="57" t="str">
        <f t="shared" si="100"/>
        <v>-</v>
      </c>
      <c r="H6238" s="19" t="s">
        <v>465</v>
      </c>
      <c r="I6238" s="19">
        <v>92500</v>
      </c>
    </row>
    <row r="6239" spans="1:10" x14ac:dyDescent="0.2">
      <c r="A6239" s="1" t="s">
        <v>34</v>
      </c>
      <c r="B6239" s="2" t="s">
        <v>427</v>
      </c>
      <c r="D6239" s="5" t="s">
        <v>464</v>
      </c>
      <c r="G6239" s="57" t="str">
        <f t="shared" si="100"/>
        <v>-</v>
      </c>
      <c r="H6239" s="19" t="s">
        <v>465</v>
      </c>
      <c r="I6239" s="19">
        <v>92500</v>
      </c>
    </row>
    <row r="6240" spans="1:10" x14ac:dyDescent="0.2">
      <c r="A6240" s="1" t="s">
        <v>34</v>
      </c>
      <c r="B6240" s="2" t="s">
        <v>427</v>
      </c>
      <c r="D6240" s="5" t="s">
        <v>464</v>
      </c>
      <c r="G6240" s="57" t="str">
        <f t="shared" si="100"/>
        <v>-</v>
      </c>
      <c r="H6240" s="19" t="s">
        <v>465</v>
      </c>
      <c r="I6240" s="19">
        <v>92500</v>
      </c>
    </row>
    <row r="6241" spans="1:10" x14ac:dyDescent="0.2">
      <c r="A6241" s="1" t="s">
        <v>34</v>
      </c>
      <c r="B6241" s="2" t="s">
        <v>427</v>
      </c>
      <c r="D6241" s="5" t="s">
        <v>464</v>
      </c>
      <c r="G6241" s="57" t="str">
        <f t="shared" si="100"/>
        <v>-</v>
      </c>
      <c r="H6241" s="19" t="s">
        <v>465</v>
      </c>
      <c r="I6241" s="19">
        <v>92500</v>
      </c>
    </row>
    <row r="6242" spans="1:10" x14ac:dyDescent="0.2">
      <c r="A6242" s="1" t="s">
        <v>34</v>
      </c>
      <c r="B6242" s="2" t="s">
        <v>427</v>
      </c>
      <c r="D6242" s="5" t="s">
        <v>464</v>
      </c>
      <c r="G6242" s="57" t="str">
        <f t="shared" si="100"/>
        <v>-</v>
      </c>
      <c r="H6242" s="19" t="s">
        <v>465</v>
      </c>
      <c r="I6242" s="19">
        <v>92500</v>
      </c>
    </row>
    <row r="6243" spans="1:10" x14ac:dyDescent="0.2">
      <c r="A6243" s="1" t="s">
        <v>34</v>
      </c>
      <c r="B6243" s="2" t="s">
        <v>427</v>
      </c>
      <c r="D6243" s="5" t="s">
        <v>464</v>
      </c>
      <c r="G6243" s="57" t="str">
        <f t="shared" si="100"/>
        <v>-</v>
      </c>
      <c r="H6243" s="19" t="s">
        <v>465</v>
      </c>
      <c r="I6243" s="19">
        <v>92500</v>
      </c>
    </row>
    <row r="6244" spans="1:10" x14ac:dyDescent="0.2">
      <c r="A6244" s="1" t="s">
        <v>34</v>
      </c>
      <c r="B6244" s="2" t="s">
        <v>427</v>
      </c>
      <c r="D6244" s="5" t="s">
        <v>464</v>
      </c>
      <c r="G6244" s="57" t="str">
        <f t="shared" si="100"/>
        <v>-</v>
      </c>
      <c r="H6244" s="19" t="s">
        <v>465</v>
      </c>
      <c r="I6244" s="19">
        <v>92500</v>
      </c>
    </row>
    <row r="6245" spans="1:10" x14ac:dyDescent="0.2">
      <c r="A6245" s="1" t="s">
        <v>34</v>
      </c>
      <c r="B6245" s="2" t="s">
        <v>427</v>
      </c>
      <c r="D6245" s="5" t="s">
        <v>464</v>
      </c>
      <c r="G6245" s="57" t="str">
        <f t="shared" si="100"/>
        <v>-</v>
      </c>
      <c r="H6245" s="19" t="s">
        <v>465</v>
      </c>
      <c r="I6245" s="19">
        <v>92500</v>
      </c>
    </row>
    <row r="6246" spans="1:10" x14ac:dyDescent="0.2">
      <c r="A6246" s="1" t="s">
        <v>34</v>
      </c>
      <c r="B6246" s="2" t="s">
        <v>427</v>
      </c>
      <c r="D6246" s="5" t="s">
        <v>464</v>
      </c>
      <c r="G6246" s="57" t="str">
        <f t="shared" si="100"/>
        <v>-</v>
      </c>
      <c r="H6246" s="19">
        <v>92500</v>
      </c>
      <c r="I6246" s="19" t="s">
        <v>465</v>
      </c>
      <c r="J6246" s="5" t="s">
        <v>1241</v>
      </c>
    </row>
    <row r="6247" spans="1:10" x14ac:dyDescent="0.2">
      <c r="A6247" s="1" t="s">
        <v>34</v>
      </c>
      <c r="B6247" s="2" t="s">
        <v>427</v>
      </c>
      <c r="D6247" s="5" t="s">
        <v>464</v>
      </c>
      <c r="G6247" s="57" t="str">
        <f t="shared" si="100"/>
        <v>-</v>
      </c>
      <c r="H6247" s="19">
        <v>92500</v>
      </c>
      <c r="I6247" s="19" t="s">
        <v>465</v>
      </c>
      <c r="J6247" s="5" t="s">
        <v>1241</v>
      </c>
    </row>
    <row r="6248" spans="1:10" x14ac:dyDescent="0.2">
      <c r="A6248" s="1" t="s">
        <v>34</v>
      </c>
      <c r="B6248" s="2" t="s">
        <v>427</v>
      </c>
      <c r="D6248" s="5" t="s">
        <v>464</v>
      </c>
      <c r="G6248" s="57" t="str">
        <f t="shared" si="100"/>
        <v>-</v>
      </c>
      <c r="H6248" s="19">
        <v>92500</v>
      </c>
      <c r="I6248" s="19" t="s">
        <v>465</v>
      </c>
      <c r="J6248" s="5" t="s">
        <v>1241</v>
      </c>
    </row>
    <row r="6249" spans="1:10" x14ac:dyDescent="0.2">
      <c r="A6249" s="1" t="s">
        <v>34</v>
      </c>
      <c r="B6249" s="2" t="s">
        <v>427</v>
      </c>
      <c r="D6249" s="5" t="s">
        <v>464</v>
      </c>
      <c r="G6249" s="57" t="str">
        <f t="shared" si="100"/>
        <v>-</v>
      </c>
      <c r="H6249" s="19">
        <v>92500</v>
      </c>
      <c r="I6249" s="19" t="s">
        <v>465</v>
      </c>
    </row>
    <row r="6250" spans="1:10" x14ac:dyDescent="0.2">
      <c r="A6250" s="1" t="s">
        <v>34</v>
      </c>
      <c r="B6250" s="2" t="s">
        <v>427</v>
      </c>
      <c r="D6250" s="5" t="s">
        <v>464</v>
      </c>
      <c r="G6250" s="57" t="str">
        <f t="shared" si="100"/>
        <v>-</v>
      </c>
      <c r="H6250" s="19" t="s">
        <v>465</v>
      </c>
      <c r="I6250" s="19">
        <v>97500</v>
      </c>
      <c r="J6250" s="5" t="s">
        <v>1241</v>
      </c>
    </row>
    <row r="6251" spans="1:10" x14ac:dyDescent="0.2">
      <c r="A6251" s="1" t="s">
        <v>34</v>
      </c>
      <c r="B6251" s="2" t="s">
        <v>427</v>
      </c>
      <c r="D6251" s="5" t="s">
        <v>464</v>
      </c>
      <c r="G6251" s="57" t="str">
        <f t="shared" si="100"/>
        <v>-</v>
      </c>
      <c r="H6251" s="19" t="s">
        <v>465</v>
      </c>
      <c r="I6251" s="19">
        <v>97500</v>
      </c>
      <c r="J6251" s="5" t="s">
        <v>1241</v>
      </c>
    </row>
    <row r="6252" spans="1:10" x14ac:dyDescent="0.2">
      <c r="A6252" s="1" t="s">
        <v>34</v>
      </c>
      <c r="B6252" s="2" t="s">
        <v>427</v>
      </c>
      <c r="D6252" s="5" t="s">
        <v>464</v>
      </c>
      <c r="G6252" s="57" t="str">
        <f t="shared" si="100"/>
        <v>-</v>
      </c>
      <c r="H6252" s="19" t="s">
        <v>465</v>
      </c>
      <c r="I6252" s="19">
        <v>97500</v>
      </c>
    </row>
    <row r="6253" spans="1:10" x14ac:dyDescent="0.2">
      <c r="A6253" s="1" t="s">
        <v>34</v>
      </c>
      <c r="B6253" s="2" t="s">
        <v>427</v>
      </c>
      <c r="D6253" s="5" t="s">
        <v>464</v>
      </c>
      <c r="G6253" s="57" t="str">
        <f t="shared" si="100"/>
        <v>-</v>
      </c>
      <c r="H6253" s="19" t="s">
        <v>465</v>
      </c>
      <c r="I6253" s="19">
        <v>97500</v>
      </c>
    </row>
    <row r="6254" spans="1:10" x14ac:dyDescent="0.2">
      <c r="A6254" s="1" t="s">
        <v>34</v>
      </c>
      <c r="B6254" s="2" t="s">
        <v>427</v>
      </c>
      <c r="D6254" s="5" t="s">
        <v>464</v>
      </c>
      <c r="G6254" s="57" t="str">
        <f t="shared" si="100"/>
        <v>-</v>
      </c>
      <c r="H6254" s="19">
        <v>97500</v>
      </c>
      <c r="I6254" s="19" t="s">
        <v>465</v>
      </c>
      <c r="J6254" s="5" t="s">
        <v>1241</v>
      </c>
    </row>
    <row r="6255" spans="1:10" x14ac:dyDescent="0.2">
      <c r="A6255" s="1" t="s">
        <v>34</v>
      </c>
      <c r="B6255" s="2" t="s">
        <v>427</v>
      </c>
      <c r="D6255" s="5" t="s">
        <v>464</v>
      </c>
      <c r="G6255" s="57" t="str">
        <f t="shared" si="100"/>
        <v>-</v>
      </c>
      <c r="H6255" s="19">
        <v>97500</v>
      </c>
      <c r="I6255" s="19" t="s">
        <v>465</v>
      </c>
      <c r="J6255" s="5" t="s">
        <v>1241</v>
      </c>
    </row>
    <row r="6256" spans="1:10" x14ac:dyDescent="0.2">
      <c r="A6256" s="1" t="s">
        <v>34</v>
      </c>
      <c r="B6256" s="2" t="s">
        <v>427</v>
      </c>
      <c r="D6256" s="5" t="s">
        <v>464</v>
      </c>
      <c r="G6256" s="57" t="str">
        <f t="shared" si="100"/>
        <v>-</v>
      </c>
      <c r="H6256" s="19">
        <v>97500</v>
      </c>
      <c r="I6256" s="19" t="s">
        <v>465</v>
      </c>
    </row>
    <row r="6257" spans="1:10" ht="25.5" x14ac:dyDescent="0.2">
      <c r="A6257" s="1" t="s">
        <v>4</v>
      </c>
      <c r="B6257" s="2" t="s">
        <v>428</v>
      </c>
      <c r="D6257" s="5" t="s">
        <v>450</v>
      </c>
      <c r="E6257" s="3">
        <v>116000</v>
      </c>
      <c r="F6257" s="3">
        <v>117000</v>
      </c>
      <c r="G6257" s="57">
        <f t="shared" si="100"/>
        <v>8.6206896551724137E-3</v>
      </c>
      <c r="J6257" s="5" t="s">
        <v>2312</v>
      </c>
    </row>
    <row r="6258" spans="1:10" ht="25.5" x14ac:dyDescent="0.2">
      <c r="A6258" s="1" t="s">
        <v>4</v>
      </c>
      <c r="B6258" s="2" t="s">
        <v>428</v>
      </c>
      <c r="D6258" s="5" t="s">
        <v>521</v>
      </c>
      <c r="E6258" s="3">
        <v>111000</v>
      </c>
      <c r="F6258" s="3">
        <v>118000</v>
      </c>
      <c r="G6258" s="57">
        <f t="shared" si="100"/>
        <v>6.3063063063063057E-2</v>
      </c>
      <c r="J6258" s="5" t="s">
        <v>2313</v>
      </c>
    </row>
    <row r="6259" spans="1:10" ht="38.25" x14ac:dyDescent="0.2">
      <c r="A6259" s="1" t="s">
        <v>4</v>
      </c>
      <c r="B6259" s="2" t="s">
        <v>428</v>
      </c>
      <c r="D6259" s="5" t="s">
        <v>522</v>
      </c>
      <c r="E6259" s="3">
        <v>96000</v>
      </c>
      <c r="F6259" s="3">
        <v>104000</v>
      </c>
      <c r="G6259" s="57">
        <f t="shared" si="100"/>
        <v>8.3333333333333329E-2</v>
      </c>
      <c r="J6259" s="5" t="s">
        <v>2314</v>
      </c>
    </row>
    <row r="6260" spans="1:10" x14ac:dyDescent="0.2">
      <c r="A6260" s="1" t="s">
        <v>4</v>
      </c>
      <c r="B6260" s="2" t="s">
        <v>428</v>
      </c>
      <c r="D6260" s="5" t="s">
        <v>464</v>
      </c>
      <c r="E6260" s="3" t="s">
        <v>465</v>
      </c>
      <c r="F6260" s="3">
        <v>107500</v>
      </c>
      <c r="G6260" s="57" t="str">
        <f t="shared" si="100"/>
        <v>-</v>
      </c>
      <c r="J6260" s="5" t="s">
        <v>539</v>
      </c>
    </row>
    <row r="6261" spans="1:10" x14ac:dyDescent="0.2">
      <c r="A6261" s="1" t="s">
        <v>4</v>
      </c>
      <c r="B6261" s="2" t="s">
        <v>428</v>
      </c>
      <c r="D6261" s="5" t="s">
        <v>464</v>
      </c>
      <c r="E6261" s="3" t="s">
        <v>465</v>
      </c>
      <c r="F6261" s="3">
        <v>112500</v>
      </c>
      <c r="G6261" s="57" t="str">
        <f t="shared" si="100"/>
        <v>-</v>
      </c>
      <c r="J6261" s="5" t="s">
        <v>539</v>
      </c>
    </row>
    <row r="6262" spans="1:10" x14ac:dyDescent="0.2">
      <c r="A6262" s="1" t="s">
        <v>4</v>
      </c>
      <c r="B6262" s="2" t="s">
        <v>428</v>
      </c>
      <c r="D6262" s="5" t="s">
        <v>464</v>
      </c>
      <c r="G6262" s="57" t="str">
        <f t="shared" si="100"/>
        <v>-</v>
      </c>
      <c r="H6262" s="19">
        <v>97500</v>
      </c>
      <c r="I6262" s="19" t="s">
        <v>465</v>
      </c>
    </row>
    <row r="6263" spans="1:10" x14ac:dyDescent="0.2">
      <c r="A6263" s="1" t="s">
        <v>4</v>
      </c>
      <c r="B6263" s="2" t="s">
        <v>428</v>
      </c>
      <c r="D6263" s="5" t="s">
        <v>464</v>
      </c>
      <c r="G6263" s="57" t="str">
        <f t="shared" si="100"/>
        <v>-</v>
      </c>
      <c r="H6263" s="19">
        <v>97500</v>
      </c>
      <c r="I6263" s="19" t="s">
        <v>465</v>
      </c>
    </row>
    <row r="6264" spans="1:10" x14ac:dyDescent="0.2">
      <c r="A6264" s="1" t="s">
        <v>4</v>
      </c>
      <c r="B6264" s="2" t="s">
        <v>428</v>
      </c>
      <c r="D6264" s="5" t="s">
        <v>464</v>
      </c>
      <c r="G6264" s="57" t="str">
        <f t="shared" si="100"/>
        <v>-</v>
      </c>
      <c r="H6264" s="19" t="s">
        <v>465</v>
      </c>
      <c r="I6264" s="19">
        <v>97500</v>
      </c>
    </row>
    <row r="6265" spans="1:10" x14ac:dyDescent="0.2">
      <c r="A6265" s="1" t="s">
        <v>4</v>
      </c>
      <c r="B6265" s="2" t="s">
        <v>428</v>
      </c>
      <c r="D6265" s="5" t="s">
        <v>464</v>
      </c>
      <c r="G6265" s="57" t="str">
        <f t="shared" si="100"/>
        <v>-</v>
      </c>
      <c r="H6265" s="19" t="s">
        <v>465</v>
      </c>
      <c r="I6265" s="19">
        <v>97500</v>
      </c>
    </row>
    <row r="6266" spans="1:10" ht="38.25" x14ac:dyDescent="0.2">
      <c r="A6266" s="1" t="s">
        <v>4</v>
      </c>
      <c r="B6266" s="2" t="s">
        <v>429</v>
      </c>
      <c r="C6266" s="5" t="s">
        <v>511</v>
      </c>
      <c r="D6266" s="5" t="s">
        <v>450</v>
      </c>
      <c r="E6266" s="6">
        <v>184727</v>
      </c>
      <c r="F6266" s="6">
        <v>171755</v>
      </c>
      <c r="G6266" s="57">
        <f t="shared" si="100"/>
        <v>-7.0222544619898547E-2</v>
      </c>
      <c r="H6266" s="21"/>
      <c r="I6266" s="21"/>
      <c r="J6266" s="7" t="s">
        <v>2304</v>
      </c>
    </row>
    <row r="6267" spans="1:10" ht="38.25" x14ac:dyDescent="0.2">
      <c r="A6267" s="1" t="s">
        <v>4</v>
      </c>
      <c r="B6267" s="2" t="s">
        <v>429</v>
      </c>
      <c r="C6267" s="5" t="s">
        <v>512</v>
      </c>
      <c r="D6267" s="5" t="s">
        <v>513</v>
      </c>
      <c r="E6267" s="3">
        <v>163293</v>
      </c>
      <c r="F6267" s="3">
        <v>160704</v>
      </c>
      <c r="G6267" s="57">
        <f t="shared" si="100"/>
        <v>-1.585493560654774E-2</v>
      </c>
      <c r="J6267" s="5" t="s">
        <v>2305</v>
      </c>
    </row>
    <row r="6268" spans="1:10" ht="38.25" x14ac:dyDescent="0.2">
      <c r="A6268" s="1" t="s">
        <v>4</v>
      </c>
      <c r="B6268" s="2" t="s">
        <v>429</v>
      </c>
      <c r="D6268" s="5" t="s">
        <v>546</v>
      </c>
      <c r="E6268" s="3">
        <v>121375</v>
      </c>
      <c r="F6268" s="3">
        <v>32932</v>
      </c>
      <c r="G6268" s="57">
        <f t="shared" ref="G6268:G6331" si="101">IF(ISERROR((F6268-E6268)/E6268),"-",(F6268-E6268)/E6268)</f>
        <v>-0.72867559217301747</v>
      </c>
      <c r="J6268" s="5" t="s">
        <v>2306</v>
      </c>
    </row>
    <row r="6269" spans="1:10" ht="25.5" x14ac:dyDescent="0.2">
      <c r="A6269" s="1" t="s">
        <v>4</v>
      </c>
      <c r="B6269" s="2" t="s">
        <v>429</v>
      </c>
      <c r="D6269" s="5" t="s">
        <v>2301</v>
      </c>
      <c r="E6269" s="3">
        <v>117399</v>
      </c>
      <c r="F6269" s="3" t="s">
        <v>465</v>
      </c>
      <c r="G6269" s="57" t="str">
        <f t="shared" si="101"/>
        <v>-</v>
      </c>
      <c r="J6269" s="5" t="s">
        <v>2302</v>
      </c>
    </row>
    <row r="6270" spans="1:10" ht="25.5" x14ac:dyDescent="0.2">
      <c r="A6270" s="1" t="s">
        <v>4</v>
      </c>
      <c r="B6270" s="2" t="s">
        <v>429</v>
      </c>
      <c r="D6270" s="5" t="s">
        <v>514</v>
      </c>
      <c r="E6270" s="3">
        <v>111352</v>
      </c>
      <c r="F6270" s="3">
        <v>106370</v>
      </c>
      <c r="G6270" s="57">
        <f t="shared" si="101"/>
        <v>-4.4741001508729075E-2</v>
      </c>
      <c r="J6270" s="5" t="s">
        <v>2307</v>
      </c>
    </row>
    <row r="6271" spans="1:10" ht="51" x14ac:dyDescent="0.2">
      <c r="A6271" s="1" t="s">
        <v>4</v>
      </c>
      <c r="B6271" s="2" t="s">
        <v>429</v>
      </c>
      <c r="D6271" s="5" t="s">
        <v>515</v>
      </c>
      <c r="E6271" s="3">
        <v>112741</v>
      </c>
      <c r="F6271" s="3">
        <v>141590</v>
      </c>
      <c r="G6271" s="57">
        <f t="shared" si="101"/>
        <v>0.25588738790679522</v>
      </c>
      <c r="J6271" s="5" t="s">
        <v>2308</v>
      </c>
    </row>
    <row r="6272" spans="1:10" ht="63.75" customHeight="1" x14ac:dyDescent="0.2">
      <c r="A6272" s="1" t="s">
        <v>4</v>
      </c>
      <c r="B6272" s="2" t="s">
        <v>429</v>
      </c>
      <c r="D6272" s="5" t="s">
        <v>517</v>
      </c>
      <c r="E6272" s="3">
        <v>104656</v>
      </c>
      <c r="F6272" s="3">
        <v>76452</v>
      </c>
      <c r="G6272" s="57">
        <f t="shared" si="101"/>
        <v>-0.26949243234979359</v>
      </c>
      <c r="J6272" s="5" t="s">
        <v>4570</v>
      </c>
    </row>
    <row r="6273" spans="1:10" ht="38.25" x14ac:dyDescent="0.2">
      <c r="A6273" s="1" t="s">
        <v>4</v>
      </c>
      <c r="B6273" s="2" t="s">
        <v>429</v>
      </c>
      <c r="D6273" s="5" t="s">
        <v>2303</v>
      </c>
      <c r="E6273" s="3">
        <v>103606</v>
      </c>
      <c r="F6273" s="3">
        <v>60713</v>
      </c>
      <c r="G6273" s="57">
        <f t="shared" si="101"/>
        <v>-0.41400111962627645</v>
      </c>
      <c r="J6273" s="5" t="s">
        <v>4571</v>
      </c>
    </row>
    <row r="6274" spans="1:10" ht="42" customHeight="1" x14ac:dyDescent="0.2">
      <c r="A6274" s="1" t="s">
        <v>4</v>
      </c>
      <c r="B6274" s="2" t="s">
        <v>429</v>
      </c>
      <c r="D6274" s="5" t="s">
        <v>516</v>
      </c>
      <c r="E6274" s="3">
        <v>99955</v>
      </c>
      <c r="F6274" s="3">
        <v>101951</v>
      </c>
      <c r="G6274" s="57">
        <f t="shared" si="101"/>
        <v>1.9968986043719675E-2</v>
      </c>
      <c r="J6274" s="5" t="s">
        <v>2309</v>
      </c>
    </row>
    <row r="6275" spans="1:10" ht="55.5" customHeight="1" x14ac:dyDescent="0.2">
      <c r="A6275" s="1" t="s">
        <v>4</v>
      </c>
      <c r="B6275" s="2" t="s">
        <v>429</v>
      </c>
      <c r="D6275" s="5" t="s">
        <v>518</v>
      </c>
      <c r="E6275" s="3">
        <v>101138</v>
      </c>
      <c r="F6275" s="3">
        <v>142179</v>
      </c>
      <c r="G6275" s="57">
        <f t="shared" si="101"/>
        <v>0.40579208606063005</v>
      </c>
      <c r="J6275" s="5" t="s">
        <v>4572</v>
      </c>
    </row>
    <row r="6276" spans="1:10" ht="42" customHeight="1" x14ac:dyDescent="0.2">
      <c r="A6276" s="1" t="s">
        <v>4</v>
      </c>
      <c r="B6276" s="2" t="s">
        <v>429</v>
      </c>
      <c r="D6276" s="5" t="s">
        <v>519</v>
      </c>
      <c r="E6276" s="3">
        <v>90377</v>
      </c>
      <c r="F6276" s="3">
        <v>111448</v>
      </c>
      <c r="G6276" s="57">
        <f t="shared" si="101"/>
        <v>0.23314560120384611</v>
      </c>
      <c r="J6276" s="5" t="s">
        <v>2310</v>
      </c>
    </row>
    <row r="6277" spans="1:10" ht="55.5" customHeight="1" x14ac:dyDescent="0.2">
      <c r="A6277" s="1" t="s">
        <v>4</v>
      </c>
      <c r="B6277" s="2" t="s">
        <v>429</v>
      </c>
      <c r="D6277" s="5" t="s">
        <v>520</v>
      </c>
      <c r="E6277" s="3">
        <v>51018</v>
      </c>
      <c r="F6277" s="3">
        <v>102123</v>
      </c>
      <c r="G6277" s="57">
        <f t="shared" si="101"/>
        <v>1.001705280489239</v>
      </c>
      <c r="J6277" s="5" t="s">
        <v>4573</v>
      </c>
    </row>
    <row r="6278" spans="1:10" ht="41.25" customHeight="1" x14ac:dyDescent="0.2">
      <c r="A6278" s="1" t="s">
        <v>4</v>
      </c>
      <c r="B6278" s="2" t="s">
        <v>429</v>
      </c>
      <c r="D6278" s="5" t="s">
        <v>740</v>
      </c>
      <c r="E6278" s="3">
        <v>100811</v>
      </c>
      <c r="F6278" s="3">
        <v>99485</v>
      </c>
      <c r="G6278" s="57">
        <f t="shared" si="101"/>
        <v>-1.3153326521907331E-2</v>
      </c>
      <c r="J6278" s="5" t="s">
        <v>2311</v>
      </c>
    </row>
    <row r="6279" spans="1:10" x14ac:dyDescent="0.2">
      <c r="A6279" s="1" t="s">
        <v>4</v>
      </c>
      <c r="B6279" s="2" t="s">
        <v>429</v>
      </c>
      <c r="D6279" s="5" t="s">
        <v>464</v>
      </c>
      <c r="E6279" s="3" t="s">
        <v>465</v>
      </c>
      <c r="F6279" s="3">
        <v>117500</v>
      </c>
      <c r="G6279" s="57" t="str">
        <f t="shared" si="101"/>
        <v>-</v>
      </c>
    </row>
    <row r="6280" spans="1:10" x14ac:dyDescent="0.2">
      <c r="A6280" s="1" t="s">
        <v>4</v>
      </c>
      <c r="B6280" s="2" t="s">
        <v>429</v>
      </c>
      <c r="D6280" s="5" t="s">
        <v>464</v>
      </c>
      <c r="E6280" s="3" t="s">
        <v>465</v>
      </c>
      <c r="F6280" s="3">
        <v>117500</v>
      </c>
      <c r="G6280" s="57" t="str">
        <f t="shared" si="101"/>
        <v>-</v>
      </c>
    </row>
    <row r="6281" spans="1:10" x14ac:dyDescent="0.2">
      <c r="A6281" s="1" t="s">
        <v>4</v>
      </c>
      <c r="B6281" s="2" t="s">
        <v>429</v>
      </c>
      <c r="D6281" s="5" t="s">
        <v>464</v>
      </c>
      <c r="E6281" s="3" t="s">
        <v>465</v>
      </c>
      <c r="F6281" s="3">
        <v>132500</v>
      </c>
      <c r="G6281" s="57" t="str">
        <f t="shared" si="101"/>
        <v>-</v>
      </c>
    </row>
    <row r="6282" spans="1:10" x14ac:dyDescent="0.2">
      <c r="A6282" s="1" t="s">
        <v>4</v>
      </c>
      <c r="B6282" s="2" t="s">
        <v>429</v>
      </c>
      <c r="D6282" s="5" t="s">
        <v>464</v>
      </c>
      <c r="E6282" s="3" t="s">
        <v>465</v>
      </c>
      <c r="F6282" s="3">
        <v>142500</v>
      </c>
      <c r="G6282" s="57" t="str">
        <f t="shared" si="101"/>
        <v>-</v>
      </c>
    </row>
    <row r="6283" spans="1:10" x14ac:dyDescent="0.2">
      <c r="A6283" s="1" t="s">
        <v>4</v>
      </c>
      <c r="B6283" s="2" t="s">
        <v>429</v>
      </c>
      <c r="D6283" s="5" t="s">
        <v>464</v>
      </c>
      <c r="E6283" s="3">
        <v>107500</v>
      </c>
      <c r="F6283" s="3" t="s">
        <v>465</v>
      </c>
      <c r="G6283" s="57" t="str">
        <f t="shared" si="101"/>
        <v>-</v>
      </c>
    </row>
    <row r="6284" spans="1:10" x14ac:dyDescent="0.2">
      <c r="A6284" s="1" t="s">
        <v>4</v>
      </c>
      <c r="B6284" s="2" t="s">
        <v>429</v>
      </c>
      <c r="D6284" s="5" t="s">
        <v>464</v>
      </c>
      <c r="E6284" s="3">
        <v>117500</v>
      </c>
      <c r="F6284" s="3" t="s">
        <v>465</v>
      </c>
      <c r="G6284" s="57" t="str">
        <f t="shared" si="101"/>
        <v>-</v>
      </c>
    </row>
    <row r="6285" spans="1:10" x14ac:dyDescent="0.2">
      <c r="A6285" s="1" t="s">
        <v>4</v>
      </c>
      <c r="B6285" s="2" t="s">
        <v>429</v>
      </c>
      <c r="D6285" s="5" t="s">
        <v>464</v>
      </c>
      <c r="E6285" s="3">
        <v>132500</v>
      </c>
      <c r="F6285" s="3" t="s">
        <v>465</v>
      </c>
      <c r="G6285" s="57" t="str">
        <f t="shared" si="101"/>
        <v>-</v>
      </c>
    </row>
    <row r="6286" spans="1:10" x14ac:dyDescent="0.2">
      <c r="A6286" s="1" t="s">
        <v>4</v>
      </c>
      <c r="B6286" s="2" t="s">
        <v>429</v>
      </c>
      <c r="D6286" s="5" t="s">
        <v>464</v>
      </c>
      <c r="E6286" s="3">
        <v>157500</v>
      </c>
      <c r="F6286" s="3" t="s">
        <v>465</v>
      </c>
      <c r="G6286" s="57" t="str">
        <f t="shared" si="101"/>
        <v>-</v>
      </c>
    </row>
    <row r="6287" spans="1:10" x14ac:dyDescent="0.2">
      <c r="A6287" s="1" t="s">
        <v>4</v>
      </c>
      <c r="B6287" s="2" t="s">
        <v>429</v>
      </c>
      <c r="D6287" s="5" t="s">
        <v>464</v>
      </c>
      <c r="G6287" s="57" t="str">
        <f t="shared" si="101"/>
        <v>-</v>
      </c>
      <c r="H6287" s="19">
        <v>92500</v>
      </c>
      <c r="I6287" s="19" t="s">
        <v>465</v>
      </c>
    </row>
    <row r="6288" spans="1:10" x14ac:dyDescent="0.2">
      <c r="A6288" s="1" t="s">
        <v>4</v>
      </c>
      <c r="B6288" s="2" t="s">
        <v>429</v>
      </c>
      <c r="D6288" s="5" t="s">
        <v>464</v>
      </c>
      <c r="G6288" s="57" t="str">
        <f t="shared" si="101"/>
        <v>-</v>
      </c>
      <c r="H6288" s="19" t="s">
        <v>465</v>
      </c>
      <c r="I6288" s="19">
        <v>92500</v>
      </c>
    </row>
    <row r="6289" spans="1:10" x14ac:dyDescent="0.2">
      <c r="A6289" s="1" t="s">
        <v>4</v>
      </c>
      <c r="B6289" s="2" t="s">
        <v>429</v>
      </c>
      <c r="D6289" s="5" t="s">
        <v>464</v>
      </c>
      <c r="G6289" s="57" t="str">
        <f t="shared" si="101"/>
        <v>-</v>
      </c>
      <c r="H6289" s="19" t="s">
        <v>465</v>
      </c>
      <c r="I6289" s="19">
        <v>92500</v>
      </c>
    </row>
    <row r="6290" spans="1:10" x14ac:dyDescent="0.2">
      <c r="A6290" s="1" t="s">
        <v>4</v>
      </c>
      <c r="B6290" s="2" t="s">
        <v>429</v>
      </c>
      <c r="D6290" s="5" t="s">
        <v>464</v>
      </c>
      <c r="G6290" s="57" t="str">
        <f t="shared" si="101"/>
        <v>-</v>
      </c>
      <c r="H6290" s="19">
        <v>97500</v>
      </c>
      <c r="I6290" s="19" t="s">
        <v>465</v>
      </c>
    </row>
    <row r="6291" spans="1:10" x14ac:dyDescent="0.2">
      <c r="A6291" s="1" t="s">
        <v>4</v>
      </c>
      <c r="B6291" s="2" t="s">
        <v>429</v>
      </c>
      <c r="D6291" s="5" t="s">
        <v>464</v>
      </c>
      <c r="G6291" s="57" t="str">
        <f t="shared" si="101"/>
        <v>-</v>
      </c>
      <c r="H6291" s="19">
        <v>97500</v>
      </c>
      <c r="I6291" s="19" t="s">
        <v>465</v>
      </c>
    </row>
    <row r="6292" spans="1:10" ht="25.5" x14ac:dyDescent="0.2">
      <c r="A6292" s="1" t="s">
        <v>6</v>
      </c>
      <c r="B6292" s="2" t="s">
        <v>430</v>
      </c>
      <c r="D6292" s="5" t="s">
        <v>450</v>
      </c>
      <c r="E6292" s="3">
        <v>159188</v>
      </c>
      <c r="F6292" s="3">
        <v>237117</v>
      </c>
      <c r="G6292" s="57">
        <f t="shared" si="101"/>
        <v>0.48954066889464032</v>
      </c>
      <c r="J6292" s="5" t="s">
        <v>4574</v>
      </c>
    </row>
    <row r="6293" spans="1:10" ht="25.5" x14ac:dyDescent="0.2">
      <c r="A6293" s="1" t="s">
        <v>6</v>
      </c>
      <c r="B6293" s="2" t="s">
        <v>430</v>
      </c>
      <c r="D6293" s="5" t="s">
        <v>2293</v>
      </c>
      <c r="E6293" s="3">
        <v>144093</v>
      </c>
      <c r="F6293" s="3" t="s">
        <v>465</v>
      </c>
      <c r="G6293" s="57" t="str">
        <f t="shared" si="101"/>
        <v>-</v>
      </c>
    </row>
    <row r="6294" spans="1:10" ht="25.5" x14ac:dyDescent="0.2">
      <c r="A6294" s="1" t="s">
        <v>6</v>
      </c>
      <c r="B6294" s="2" t="s">
        <v>430</v>
      </c>
      <c r="D6294" s="5" t="s">
        <v>505</v>
      </c>
      <c r="E6294" s="3" t="s">
        <v>465</v>
      </c>
      <c r="F6294" s="3">
        <v>145766</v>
      </c>
      <c r="G6294" s="57" t="str">
        <f t="shared" si="101"/>
        <v>-</v>
      </c>
      <c r="J6294" s="5" t="s">
        <v>2294</v>
      </c>
    </row>
    <row r="6295" spans="1:10" ht="25.5" x14ac:dyDescent="0.2">
      <c r="A6295" s="1" t="s">
        <v>6</v>
      </c>
      <c r="B6295" s="2" t="s">
        <v>430</v>
      </c>
      <c r="D6295" s="5" t="s">
        <v>506</v>
      </c>
      <c r="E6295" s="3">
        <v>134383</v>
      </c>
      <c r="F6295" s="3">
        <v>135265</v>
      </c>
      <c r="G6295" s="57">
        <f t="shared" si="101"/>
        <v>6.5633301831332829E-3</v>
      </c>
      <c r="J6295" s="5" t="s">
        <v>2295</v>
      </c>
    </row>
    <row r="6296" spans="1:10" ht="25.5" x14ac:dyDescent="0.2">
      <c r="A6296" s="1" t="s">
        <v>6</v>
      </c>
      <c r="B6296" s="2" t="s">
        <v>430</v>
      </c>
      <c r="D6296" s="5" t="s">
        <v>507</v>
      </c>
      <c r="E6296" s="3">
        <v>134465</v>
      </c>
      <c r="F6296" s="3">
        <v>134532</v>
      </c>
      <c r="G6296" s="57">
        <f t="shared" si="101"/>
        <v>4.98270925519652E-4</v>
      </c>
      <c r="J6296" s="5" t="s">
        <v>2296</v>
      </c>
    </row>
    <row r="6297" spans="1:10" ht="25.5" x14ac:dyDescent="0.2">
      <c r="A6297" s="1" t="s">
        <v>6</v>
      </c>
      <c r="B6297" s="2" t="s">
        <v>430</v>
      </c>
      <c r="D6297" s="5" t="s">
        <v>508</v>
      </c>
      <c r="E6297" s="3" t="s">
        <v>465</v>
      </c>
      <c r="F6297" s="3">
        <v>134133</v>
      </c>
      <c r="G6297" s="57" t="str">
        <f t="shared" si="101"/>
        <v>-</v>
      </c>
      <c r="J6297" s="5" t="s">
        <v>2297</v>
      </c>
    </row>
    <row r="6298" spans="1:10" ht="25.5" x14ac:dyDescent="0.2">
      <c r="A6298" s="1" t="s">
        <v>6</v>
      </c>
      <c r="B6298" s="2" t="s">
        <v>430</v>
      </c>
      <c r="D6298" s="5" t="s">
        <v>509</v>
      </c>
      <c r="E6298" s="3">
        <v>126966</v>
      </c>
      <c r="F6298" s="3">
        <v>228746</v>
      </c>
      <c r="G6298" s="57">
        <f t="shared" si="101"/>
        <v>0.80163193295842983</v>
      </c>
      <c r="J6298" s="5" t="s">
        <v>2298</v>
      </c>
    </row>
    <row r="6299" spans="1:10" ht="25.5" x14ac:dyDescent="0.2">
      <c r="A6299" s="1" t="s">
        <v>6</v>
      </c>
      <c r="B6299" s="2" t="s">
        <v>430</v>
      </c>
      <c r="D6299" s="5" t="s">
        <v>510</v>
      </c>
      <c r="E6299" s="3">
        <v>122486</v>
      </c>
      <c r="F6299" s="3">
        <v>126370</v>
      </c>
      <c r="G6299" s="57">
        <f t="shared" si="101"/>
        <v>3.1709746419999019E-2</v>
      </c>
      <c r="J6299" s="5" t="s">
        <v>2299</v>
      </c>
    </row>
    <row r="6300" spans="1:10" ht="25.5" x14ac:dyDescent="0.2">
      <c r="A6300" s="1" t="s">
        <v>6</v>
      </c>
      <c r="B6300" s="2" t="s">
        <v>430</v>
      </c>
      <c r="D6300" s="5" t="s">
        <v>1200</v>
      </c>
      <c r="E6300" s="3">
        <v>134534</v>
      </c>
      <c r="F6300" s="3" t="s">
        <v>465</v>
      </c>
      <c r="G6300" s="57" t="str">
        <f t="shared" si="101"/>
        <v>-</v>
      </c>
      <c r="J6300" s="5" t="s">
        <v>2300</v>
      </c>
    </row>
    <row r="6301" spans="1:10" x14ac:dyDescent="0.2">
      <c r="A6301" s="1" t="s">
        <v>6</v>
      </c>
      <c r="B6301" s="2" t="s">
        <v>430</v>
      </c>
      <c r="D6301" s="5" t="s">
        <v>562</v>
      </c>
      <c r="E6301" s="3">
        <v>134213</v>
      </c>
      <c r="F6301" s="3" t="s">
        <v>465</v>
      </c>
      <c r="G6301" s="57" t="str">
        <f t="shared" si="101"/>
        <v>-</v>
      </c>
    </row>
    <row r="6302" spans="1:10" x14ac:dyDescent="0.2">
      <c r="A6302" s="1" t="s">
        <v>6</v>
      </c>
      <c r="B6302" s="2" t="s">
        <v>430</v>
      </c>
      <c r="D6302" s="5" t="s">
        <v>464</v>
      </c>
      <c r="G6302" s="57" t="str">
        <f t="shared" si="101"/>
        <v>-</v>
      </c>
      <c r="H6302" s="19" t="s">
        <v>465</v>
      </c>
      <c r="I6302" s="19">
        <v>97500</v>
      </c>
    </row>
    <row r="6303" spans="1:10" x14ac:dyDescent="0.2">
      <c r="A6303" s="1" t="s">
        <v>6</v>
      </c>
      <c r="B6303" s="2" t="s">
        <v>430</v>
      </c>
      <c r="D6303" s="5" t="s">
        <v>464</v>
      </c>
      <c r="G6303" s="57" t="str">
        <f t="shared" si="101"/>
        <v>-</v>
      </c>
      <c r="H6303" s="19" t="s">
        <v>465</v>
      </c>
      <c r="I6303" s="19">
        <v>97500</v>
      </c>
    </row>
    <row r="6304" spans="1:10" x14ac:dyDescent="0.2">
      <c r="A6304" s="1" t="s">
        <v>6</v>
      </c>
      <c r="B6304" s="2" t="s">
        <v>430</v>
      </c>
      <c r="D6304" s="5" t="s">
        <v>464</v>
      </c>
      <c r="G6304" s="57" t="str">
        <f t="shared" si="101"/>
        <v>-</v>
      </c>
      <c r="H6304" s="19" t="s">
        <v>465</v>
      </c>
      <c r="I6304" s="19">
        <v>97500</v>
      </c>
    </row>
    <row r="6305" spans="1:10" x14ac:dyDescent="0.2">
      <c r="A6305" s="1" t="s">
        <v>6</v>
      </c>
      <c r="B6305" s="2" t="s">
        <v>430</v>
      </c>
      <c r="D6305" s="5" t="s">
        <v>464</v>
      </c>
      <c r="G6305" s="57" t="str">
        <f t="shared" si="101"/>
        <v>-</v>
      </c>
      <c r="H6305" s="19" t="s">
        <v>465</v>
      </c>
      <c r="I6305" s="19">
        <v>92500</v>
      </c>
    </row>
    <row r="6306" spans="1:10" x14ac:dyDescent="0.2">
      <c r="A6306" s="1" t="s">
        <v>6</v>
      </c>
      <c r="B6306" s="2" t="s">
        <v>430</v>
      </c>
      <c r="D6306" s="5" t="s">
        <v>464</v>
      </c>
      <c r="G6306" s="57" t="str">
        <f t="shared" si="101"/>
        <v>-</v>
      </c>
      <c r="H6306" s="19" t="s">
        <v>465</v>
      </c>
      <c r="I6306" s="19">
        <v>92500</v>
      </c>
    </row>
    <row r="6307" spans="1:10" ht="38.25" x14ac:dyDescent="0.2">
      <c r="A6307" s="1" t="s">
        <v>4</v>
      </c>
      <c r="B6307" s="2" t="s">
        <v>431</v>
      </c>
      <c r="D6307" s="5" t="s">
        <v>450</v>
      </c>
      <c r="E6307" s="3">
        <v>130995</v>
      </c>
      <c r="F6307" s="3">
        <v>129605</v>
      </c>
      <c r="G6307" s="57">
        <f t="shared" si="101"/>
        <v>-1.0611092026413221E-2</v>
      </c>
      <c r="J6307" s="5" t="s">
        <v>4575</v>
      </c>
    </row>
    <row r="6308" spans="1:10" ht="38.25" x14ac:dyDescent="0.2">
      <c r="A6308" s="1" t="s">
        <v>4</v>
      </c>
      <c r="B6308" s="2" t="s">
        <v>431</v>
      </c>
      <c r="D6308" s="5" t="s">
        <v>455</v>
      </c>
      <c r="E6308" s="3">
        <v>116491</v>
      </c>
      <c r="F6308" s="3">
        <v>116745</v>
      </c>
      <c r="G6308" s="57">
        <f t="shared" si="101"/>
        <v>2.1804259556532264E-3</v>
      </c>
      <c r="J6308" s="5" t="s">
        <v>4576</v>
      </c>
    </row>
    <row r="6309" spans="1:10" ht="38.25" x14ac:dyDescent="0.2">
      <c r="A6309" s="1" t="s">
        <v>4</v>
      </c>
      <c r="B6309" s="2" t="s">
        <v>431</v>
      </c>
      <c r="D6309" s="5" t="s">
        <v>504</v>
      </c>
      <c r="E6309" s="3">
        <v>103123</v>
      </c>
      <c r="F6309" s="3">
        <v>103322</v>
      </c>
      <c r="G6309" s="57">
        <f t="shared" si="101"/>
        <v>1.9297343948488698E-3</v>
      </c>
      <c r="J6309" s="5" t="s">
        <v>4577</v>
      </c>
    </row>
    <row r="6310" spans="1:10" ht="25.5" x14ac:dyDescent="0.2">
      <c r="A6310" s="1" t="s">
        <v>4</v>
      </c>
      <c r="B6310" s="2" t="s">
        <v>432</v>
      </c>
      <c r="C6310" s="5" t="s">
        <v>489</v>
      </c>
      <c r="D6310" s="5" t="s">
        <v>450</v>
      </c>
      <c r="E6310" s="3">
        <v>181101</v>
      </c>
      <c r="F6310" s="3">
        <v>181281</v>
      </c>
      <c r="G6310" s="57">
        <f t="shared" si="101"/>
        <v>9.9392051948912481E-4</v>
      </c>
      <c r="J6310" s="5" t="s">
        <v>2286</v>
      </c>
    </row>
    <row r="6311" spans="1:10" ht="25.5" x14ac:dyDescent="0.2">
      <c r="A6311" s="1" t="s">
        <v>4</v>
      </c>
      <c r="B6311" s="2" t="s">
        <v>432</v>
      </c>
      <c r="C6311" s="5" t="s">
        <v>490</v>
      </c>
      <c r="D6311" s="5" t="s">
        <v>491</v>
      </c>
      <c r="E6311" s="3">
        <v>137152</v>
      </c>
      <c r="F6311" s="3">
        <v>129643</v>
      </c>
      <c r="G6311" s="57">
        <f t="shared" si="101"/>
        <v>-5.474947503499767E-2</v>
      </c>
      <c r="J6311" s="5" t="s">
        <v>2288</v>
      </c>
    </row>
    <row r="6312" spans="1:10" ht="25.5" x14ac:dyDescent="0.2">
      <c r="A6312" s="1" t="s">
        <v>4</v>
      </c>
      <c r="B6312" s="2" t="s">
        <v>432</v>
      </c>
      <c r="C6312" s="5" t="s">
        <v>492</v>
      </c>
      <c r="D6312" s="5" t="s">
        <v>494</v>
      </c>
      <c r="E6312" s="3">
        <v>137420</v>
      </c>
      <c r="F6312" s="3">
        <v>141019</v>
      </c>
      <c r="G6312" s="57">
        <f t="shared" si="101"/>
        <v>2.6189783146557996E-2</v>
      </c>
      <c r="J6312" s="5" t="s">
        <v>2287</v>
      </c>
    </row>
    <row r="6313" spans="1:10" ht="25.5" x14ac:dyDescent="0.2">
      <c r="A6313" s="1" t="s">
        <v>4</v>
      </c>
      <c r="B6313" s="2" t="s">
        <v>432</v>
      </c>
      <c r="C6313" s="5" t="s">
        <v>493</v>
      </c>
      <c r="D6313" s="5" t="s">
        <v>496</v>
      </c>
      <c r="E6313" s="3">
        <v>127808</v>
      </c>
      <c r="F6313" s="3">
        <v>129341</v>
      </c>
      <c r="G6313" s="57">
        <f t="shared" si="101"/>
        <v>1.1994554331497246E-2</v>
      </c>
      <c r="J6313" s="5" t="s">
        <v>2289</v>
      </c>
    </row>
    <row r="6314" spans="1:10" ht="25.5" x14ac:dyDescent="0.2">
      <c r="A6314" s="1" t="s">
        <v>4</v>
      </c>
      <c r="B6314" s="2" t="s">
        <v>432</v>
      </c>
      <c r="C6314" s="5" t="s">
        <v>497</v>
      </c>
      <c r="D6314" s="5" t="s">
        <v>495</v>
      </c>
      <c r="E6314" s="3">
        <v>127213</v>
      </c>
      <c r="F6314" s="3">
        <v>128446</v>
      </c>
      <c r="G6314" s="57">
        <f t="shared" si="101"/>
        <v>9.692405650365922E-3</v>
      </c>
      <c r="J6314" s="5" t="s">
        <v>2290</v>
      </c>
    </row>
    <row r="6315" spans="1:10" ht="63.75" x14ac:dyDescent="0.2">
      <c r="A6315" s="1" t="s">
        <v>4</v>
      </c>
      <c r="B6315" s="2" t="s">
        <v>432</v>
      </c>
      <c r="C6315" s="5" t="s">
        <v>498</v>
      </c>
      <c r="D6315" s="5" t="s">
        <v>499</v>
      </c>
      <c r="E6315" s="3">
        <v>73440</v>
      </c>
      <c r="F6315" s="3">
        <v>141428</v>
      </c>
      <c r="G6315" s="57">
        <f t="shared" si="101"/>
        <v>0.92576252723311547</v>
      </c>
      <c r="J6315" s="5" t="s">
        <v>2888</v>
      </c>
    </row>
    <row r="6316" spans="1:10" ht="25.5" x14ac:dyDescent="0.2">
      <c r="A6316" s="1" t="s">
        <v>4</v>
      </c>
      <c r="B6316" s="2" t="s">
        <v>432</v>
      </c>
      <c r="C6316" s="5" t="s">
        <v>500</v>
      </c>
      <c r="D6316" s="5" t="s">
        <v>501</v>
      </c>
      <c r="E6316" s="3">
        <v>111184</v>
      </c>
      <c r="F6316" s="3">
        <v>109583</v>
      </c>
      <c r="G6316" s="57">
        <f t="shared" si="101"/>
        <v>-1.4399553892646424E-2</v>
      </c>
      <c r="J6316" s="5" t="s">
        <v>2291</v>
      </c>
    </row>
    <row r="6317" spans="1:10" ht="25.5" x14ac:dyDescent="0.2">
      <c r="A6317" s="1" t="s">
        <v>4</v>
      </c>
      <c r="B6317" s="2" t="s">
        <v>432</v>
      </c>
      <c r="C6317" s="5" t="s">
        <v>502</v>
      </c>
      <c r="D6317" s="5" t="s">
        <v>503</v>
      </c>
      <c r="E6317" s="3">
        <v>118001</v>
      </c>
      <c r="F6317" s="3">
        <v>111367</v>
      </c>
      <c r="G6317" s="57">
        <f t="shared" si="101"/>
        <v>-5.6219862543537766E-2</v>
      </c>
      <c r="J6317" s="5" t="s">
        <v>2292</v>
      </c>
    </row>
    <row r="6318" spans="1:10" x14ac:dyDescent="0.2">
      <c r="A6318" s="1" t="s">
        <v>4</v>
      </c>
      <c r="B6318" s="2" t="s">
        <v>432</v>
      </c>
      <c r="D6318" s="5" t="s">
        <v>464</v>
      </c>
      <c r="E6318" s="3">
        <v>117500</v>
      </c>
      <c r="F6318" s="3" t="s">
        <v>465</v>
      </c>
      <c r="G6318" s="57" t="str">
        <f t="shared" si="101"/>
        <v>-</v>
      </c>
    </row>
    <row r="6319" spans="1:10" ht="63.75" x14ac:dyDescent="0.2">
      <c r="A6319" s="1" t="s">
        <v>39</v>
      </c>
      <c r="B6319" s="2" t="s">
        <v>433</v>
      </c>
      <c r="C6319" s="5" t="s">
        <v>480</v>
      </c>
      <c r="D6319" s="5" t="s">
        <v>450</v>
      </c>
      <c r="E6319" s="3">
        <v>8122</v>
      </c>
      <c r="F6319" s="3">
        <v>180615</v>
      </c>
      <c r="G6319" s="57">
        <f t="shared" si="101"/>
        <v>21.23774932282689</v>
      </c>
      <c r="J6319" s="5" t="s">
        <v>2277</v>
      </c>
    </row>
    <row r="6320" spans="1:10" x14ac:dyDescent="0.2">
      <c r="A6320" s="1" t="s">
        <v>39</v>
      </c>
      <c r="B6320" s="2" t="s">
        <v>433</v>
      </c>
      <c r="C6320" s="5" t="s">
        <v>488</v>
      </c>
      <c r="D6320" s="5" t="s">
        <v>450</v>
      </c>
      <c r="E6320" s="3">
        <v>102695</v>
      </c>
      <c r="F6320" s="3" t="s">
        <v>465</v>
      </c>
      <c r="G6320" s="57" t="str">
        <f t="shared" si="101"/>
        <v>-</v>
      </c>
    </row>
    <row r="6321" spans="1:10" ht="38.25" x14ac:dyDescent="0.2">
      <c r="A6321" s="1" t="s">
        <v>39</v>
      </c>
      <c r="B6321" s="2" t="s">
        <v>433</v>
      </c>
      <c r="D6321" s="5" t="s">
        <v>481</v>
      </c>
      <c r="E6321" s="3">
        <v>135493</v>
      </c>
      <c r="F6321" s="3">
        <v>226521</v>
      </c>
      <c r="G6321" s="57">
        <f t="shared" si="101"/>
        <v>0.6718280649184829</v>
      </c>
      <c r="J6321" s="5" t="s">
        <v>2278</v>
      </c>
    </row>
    <row r="6322" spans="1:10" ht="38.25" x14ac:dyDescent="0.2">
      <c r="A6322" s="1" t="s">
        <v>39</v>
      </c>
      <c r="B6322" s="2" t="s">
        <v>433</v>
      </c>
      <c r="D6322" s="5" t="s">
        <v>482</v>
      </c>
      <c r="E6322" s="3">
        <v>153291</v>
      </c>
      <c r="F6322" s="3">
        <v>201377</v>
      </c>
      <c r="G6322" s="57">
        <f t="shared" si="101"/>
        <v>0.31369095380681189</v>
      </c>
      <c r="J6322" s="5" t="s">
        <v>2279</v>
      </c>
    </row>
    <row r="6323" spans="1:10" ht="25.5" x14ac:dyDescent="0.2">
      <c r="A6323" s="1" t="s">
        <v>39</v>
      </c>
      <c r="B6323" s="2" t="s">
        <v>433</v>
      </c>
      <c r="D6323" s="5" t="s">
        <v>483</v>
      </c>
      <c r="E6323" s="3">
        <v>162764</v>
      </c>
      <c r="F6323" s="3">
        <v>163096</v>
      </c>
      <c r="G6323" s="57">
        <f t="shared" si="101"/>
        <v>2.0397630925757539E-3</v>
      </c>
      <c r="J6323" s="5" t="s">
        <v>2280</v>
      </c>
    </row>
    <row r="6324" spans="1:10" ht="25.5" x14ac:dyDescent="0.2">
      <c r="A6324" s="1" t="s">
        <v>39</v>
      </c>
      <c r="B6324" s="2" t="s">
        <v>433</v>
      </c>
      <c r="D6324" s="5" t="s">
        <v>484</v>
      </c>
      <c r="E6324" s="3">
        <v>133166</v>
      </c>
      <c r="F6324" s="3">
        <v>159040</v>
      </c>
      <c r="G6324" s="57">
        <f t="shared" si="101"/>
        <v>0.19429884505053843</v>
      </c>
      <c r="J6324" s="5" t="s">
        <v>2281</v>
      </c>
    </row>
    <row r="6325" spans="1:10" ht="25.5" x14ac:dyDescent="0.2">
      <c r="A6325" s="1" t="s">
        <v>39</v>
      </c>
      <c r="B6325" s="2" t="s">
        <v>433</v>
      </c>
      <c r="D6325" s="5" t="s">
        <v>485</v>
      </c>
      <c r="E6325" s="3">
        <v>133152</v>
      </c>
      <c r="F6325" s="3">
        <v>136304</v>
      </c>
      <c r="G6325" s="57">
        <f t="shared" si="101"/>
        <v>2.3672194184090362E-2</v>
      </c>
      <c r="J6325" s="5" t="s">
        <v>2282</v>
      </c>
    </row>
    <row r="6326" spans="1:10" ht="25.5" x14ac:dyDescent="0.2">
      <c r="A6326" s="1" t="s">
        <v>39</v>
      </c>
      <c r="B6326" s="2" t="s">
        <v>433</v>
      </c>
      <c r="D6326" s="5" t="s">
        <v>486</v>
      </c>
      <c r="E6326" s="3">
        <v>107002</v>
      </c>
      <c r="F6326" s="3">
        <v>114334</v>
      </c>
      <c r="G6326" s="57">
        <f t="shared" si="101"/>
        <v>6.8522083699370101E-2</v>
      </c>
      <c r="J6326" s="5" t="s">
        <v>2283</v>
      </c>
    </row>
    <row r="6327" spans="1:10" ht="25.5" x14ac:dyDescent="0.2">
      <c r="A6327" s="1" t="s">
        <v>39</v>
      </c>
      <c r="B6327" s="2" t="s">
        <v>433</v>
      </c>
      <c r="D6327" s="5" t="s">
        <v>487</v>
      </c>
      <c r="E6327" s="3">
        <v>107478</v>
      </c>
      <c r="F6327" s="3">
        <v>108216</v>
      </c>
      <c r="G6327" s="57">
        <f t="shared" si="101"/>
        <v>6.8665215206833025E-3</v>
      </c>
      <c r="J6327" s="5" t="s">
        <v>2284</v>
      </c>
    </row>
    <row r="6328" spans="1:10" ht="25.5" x14ac:dyDescent="0.2">
      <c r="A6328" s="1" t="s">
        <v>39</v>
      </c>
      <c r="B6328" s="2" t="s">
        <v>433</v>
      </c>
      <c r="D6328" s="5" t="s">
        <v>451</v>
      </c>
      <c r="E6328" s="3">
        <v>100257</v>
      </c>
      <c r="F6328" s="3">
        <v>103023</v>
      </c>
      <c r="G6328" s="57">
        <f t="shared" si="101"/>
        <v>2.7589096023220325E-2</v>
      </c>
      <c r="J6328" s="5" t="s">
        <v>2285</v>
      </c>
    </row>
    <row r="6329" spans="1:10" x14ac:dyDescent="0.2">
      <c r="A6329" s="1" t="s">
        <v>39</v>
      </c>
      <c r="B6329" s="2" t="s">
        <v>433</v>
      </c>
      <c r="D6329" s="5" t="s">
        <v>464</v>
      </c>
      <c r="E6329" s="3" t="s">
        <v>465</v>
      </c>
      <c r="F6329" s="3">
        <v>157500</v>
      </c>
      <c r="G6329" s="57" t="str">
        <f t="shared" si="101"/>
        <v>-</v>
      </c>
      <c r="J6329" s="5" t="s">
        <v>539</v>
      </c>
    </row>
    <row r="6330" spans="1:10" x14ac:dyDescent="0.2">
      <c r="A6330" s="1" t="s">
        <v>39</v>
      </c>
      <c r="B6330" s="2" t="s">
        <v>433</v>
      </c>
      <c r="D6330" s="7" t="s">
        <v>464</v>
      </c>
      <c r="E6330" s="3" t="s">
        <v>465</v>
      </c>
      <c r="F6330" s="3">
        <v>147500</v>
      </c>
      <c r="G6330" s="57" t="str">
        <f t="shared" si="101"/>
        <v>-</v>
      </c>
      <c r="J6330" s="5" t="s">
        <v>539</v>
      </c>
    </row>
    <row r="6331" spans="1:10" x14ac:dyDescent="0.2">
      <c r="A6331" s="1" t="s">
        <v>39</v>
      </c>
      <c r="B6331" s="2" t="s">
        <v>433</v>
      </c>
      <c r="D6331" s="5" t="s">
        <v>464</v>
      </c>
      <c r="E6331" s="3" t="s">
        <v>465</v>
      </c>
      <c r="F6331" s="3">
        <v>127500</v>
      </c>
      <c r="G6331" s="57" t="str">
        <f t="shared" si="101"/>
        <v>-</v>
      </c>
      <c r="J6331" s="5" t="s">
        <v>539</v>
      </c>
    </row>
    <row r="6332" spans="1:10" x14ac:dyDescent="0.2">
      <c r="A6332" s="1" t="s">
        <v>39</v>
      </c>
      <c r="B6332" s="2" t="s">
        <v>433</v>
      </c>
      <c r="D6332" s="5" t="s">
        <v>464</v>
      </c>
      <c r="E6332" s="3" t="s">
        <v>465</v>
      </c>
      <c r="F6332" s="3">
        <v>122500</v>
      </c>
      <c r="G6332" s="57" t="str">
        <f t="shared" ref="G6332:G6395" si="102">IF(ISERROR((F6332-E6332)/E6332),"-",(F6332-E6332)/E6332)</f>
        <v>-</v>
      </c>
      <c r="J6332" s="5" t="s">
        <v>539</v>
      </c>
    </row>
    <row r="6333" spans="1:10" x14ac:dyDescent="0.2">
      <c r="A6333" s="1" t="s">
        <v>39</v>
      </c>
      <c r="B6333" s="2" t="s">
        <v>433</v>
      </c>
      <c r="D6333" s="5" t="s">
        <v>464</v>
      </c>
      <c r="E6333" s="3" t="s">
        <v>465</v>
      </c>
      <c r="F6333" s="3">
        <v>117500</v>
      </c>
      <c r="G6333" s="57" t="str">
        <f t="shared" si="102"/>
        <v>-</v>
      </c>
      <c r="J6333" s="5" t="s">
        <v>539</v>
      </c>
    </row>
    <row r="6334" spans="1:10" x14ac:dyDescent="0.2">
      <c r="A6334" s="1" t="s">
        <v>39</v>
      </c>
      <c r="B6334" s="2" t="s">
        <v>433</v>
      </c>
      <c r="D6334" s="5" t="s">
        <v>464</v>
      </c>
      <c r="E6334" s="3" t="s">
        <v>465</v>
      </c>
      <c r="F6334" s="3">
        <v>117500</v>
      </c>
      <c r="G6334" s="57" t="str">
        <f t="shared" si="102"/>
        <v>-</v>
      </c>
      <c r="J6334" s="5" t="s">
        <v>539</v>
      </c>
    </row>
    <row r="6335" spans="1:10" x14ac:dyDescent="0.2">
      <c r="A6335" s="1" t="s">
        <v>39</v>
      </c>
      <c r="B6335" s="2" t="s">
        <v>433</v>
      </c>
      <c r="D6335" s="5" t="s">
        <v>464</v>
      </c>
      <c r="E6335" s="3" t="s">
        <v>465</v>
      </c>
      <c r="F6335" s="3">
        <v>107500</v>
      </c>
      <c r="G6335" s="57" t="str">
        <f t="shared" si="102"/>
        <v>-</v>
      </c>
      <c r="J6335" s="5" t="s">
        <v>539</v>
      </c>
    </row>
    <row r="6336" spans="1:10" ht="39" customHeight="1" x14ac:dyDescent="0.2">
      <c r="A6336" s="1" t="s">
        <v>39</v>
      </c>
      <c r="B6336" s="2" t="s">
        <v>434</v>
      </c>
      <c r="D6336" s="5" t="s">
        <v>470</v>
      </c>
      <c r="E6336" s="3">
        <v>8220</v>
      </c>
      <c r="F6336" s="3">
        <v>126988</v>
      </c>
      <c r="G6336" s="57">
        <f t="shared" si="102"/>
        <v>14.448661800486619</v>
      </c>
      <c r="J6336" s="5" t="s">
        <v>4578</v>
      </c>
    </row>
    <row r="6337" spans="1:10" ht="25.5" x14ac:dyDescent="0.2">
      <c r="A6337" s="1" t="s">
        <v>39</v>
      </c>
      <c r="B6337" s="2" t="s">
        <v>434</v>
      </c>
      <c r="D6337" s="5" t="s">
        <v>478</v>
      </c>
      <c r="E6337" s="3">
        <v>91843</v>
      </c>
      <c r="F6337" s="3">
        <v>147798</v>
      </c>
      <c r="G6337" s="57">
        <f t="shared" si="102"/>
        <v>0.60924621364720233</v>
      </c>
      <c r="J6337" s="5" t="s">
        <v>2275</v>
      </c>
    </row>
    <row r="6338" spans="1:10" ht="25.5" x14ac:dyDescent="0.2">
      <c r="A6338" s="1" t="s">
        <v>39</v>
      </c>
      <c r="B6338" s="2" t="s">
        <v>434</v>
      </c>
      <c r="D6338" s="5" t="s">
        <v>479</v>
      </c>
      <c r="E6338" s="3">
        <v>92025</v>
      </c>
      <c r="F6338" s="3">
        <v>238034</v>
      </c>
      <c r="G6338" s="57">
        <f t="shared" si="102"/>
        <v>1.5866232002173322</v>
      </c>
      <c r="J6338" s="5" t="s">
        <v>2276</v>
      </c>
    </row>
    <row r="6339" spans="1:10" x14ac:dyDescent="0.2">
      <c r="A6339" s="1" t="s">
        <v>39</v>
      </c>
      <c r="B6339" s="2" t="s">
        <v>434</v>
      </c>
      <c r="D6339" s="5" t="s">
        <v>464</v>
      </c>
      <c r="E6339" s="3">
        <v>107500</v>
      </c>
      <c r="F6339" s="3" t="s">
        <v>465</v>
      </c>
      <c r="G6339" s="57" t="str">
        <f t="shared" si="102"/>
        <v>-</v>
      </c>
    </row>
    <row r="6340" spans="1:10" x14ac:dyDescent="0.2">
      <c r="A6340" s="1" t="s">
        <v>39</v>
      </c>
      <c r="B6340" s="2" t="s">
        <v>434</v>
      </c>
      <c r="D6340" s="5" t="s">
        <v>464</v>
      </c>
      <c r="E6340" s="3" t="s">
        <v>465</v>
      </c>
      <c r="F6340" s="3">
        <v>107500</v>
      </c>
      <c r="G6340" s="57" t="str">
        <f t="shared" si="102"/>
        <v>-</v>
      </c>
    </row>
    <row r="6341" spans="1:10" x14ac:dyDescent="0.2">
      <c r="A6341" s="1" t="s">
        <v>39</v>
      </c>
      <c r="B6341" s="2" t="s">
        <v>435</v>
      </c>
      <c r="C6341" s="5" t="s">
        <v>474</v>
      </c>
      <c r="D6341" s="5" t="s">
        <v>450</v>
      </c>
      <c r="E6341" s="3">
        <v>216931</v>
      </c>
      <c r="F6341" s="3">
        <v>216999</v>
      </c>
      <c r="G6341" s="57">
        <f t="shared" si="102"/>
        <v>3.1346372809787446E-4</v>
      </c>
      <c r="J6341" s="5" t="s">
        <v>2269</v>
      </c>
    </row>
    <row r="6342" spans="1:10" x14ac:dyDescent="0.2">
      <c r="A6342" s="1" t="s">
        <v>39</v>
      </c>
      <c r="B6342" s="2" t="s">
        <v>435</v>
      </c>
      <c r="D6342" s="5" t="s">
        <v>475</v>
      </c>
      <c r="E6342" s="3">
        <v>146421</v>
      </c>
      <c r="F6342" s="3">
        <v>147291</v>
      </c>
      <c r="G6342" s="57">
        <f t="shared" si="102"/>
        <v>5.9417706476530005E-3</v>
      </c>
      <c r="J6342" s="5" t="s">
        <v>2270</v>
      </c>
    </row>
    <row r="6343" spans="1:10" x14ac:dyDescent="0.2">
      <c r="A6343" s="1" t="s">
        <v>39</v>
      </c>
      <c r="B6343" s="2" t="s">
        <v>435</v>
      </c>
      <c r="D6343" s="5" t="s">
        <v>456</v>
      </c>
      <c r="E6343" s="3">
        <v>136186</v>
      </c>
      <c r="F6343" s="3">
        <v>139966</v>
      </c>
      <c r="G6343" s="57">
        <f t="shared" si="102"/>
        <v>2.775615702054543E-2</v>
      </c>
      <c r="J6343" s="5" t="s">
        <v>2271</v>
      </c>
    </row>
    <row r="6344" spans="1:10" x14ac:dyDescent="0.2">
      <c r="A6344" s="1" t="s">
        <v>39</v>
      </c>
      <c r="B6344" s="2" t="s">
        <v>435</v>
      </c>
      <c r="D6344" s="5" t="s">
        <v>476</v>
      </c>
      <c r="E6344" s="3">
        <v>123973</v>
      </c>
      <c r="F6344" s="3">
        <v>124872</v>
      </c>
      <c r="G6344" s="57">
        <f t="shared" si="102"/>
        <v>7.2515789728408607E-3</v>
      </c>
      <c r="J6344" s="5" t="s">
        <v>2272</v>
      </c>
    </row>
    <row r="6345" spans="1:10" x14ac:dyDescent="0.2">
      <c r="A6345" s="1" t="s">
        <v>39</v>
      </c>
      <c r="B6345" s="2" t="s">
        <v>435</v>
      </c>
      <c r="D6345" s="5" t="s">
        <v>463</v>
      </c>
      <c r="E6345" s="3">
        <v>126229</v>
      </c>
      <c r="F6345" s="3">
        <v>128459</v>
      </c>
      <c r="G6345" s="57">
        <f t="shared" si="102"/>
        <v>1.7666304890318389E-2</v>
      </c>
      <c r="J6345" s="5" t="s">
        <v>2273</v>
      </c>
    </row>
    <row r="6346" spans="1:10" ht="25.5" x14ac:dyDescent="0.2">
      <c r="A6346" s="1" t="s">
        <v>39</v>
      </c>
      <c r="B6346" s="2" t="s">
        <v>435</v>
      </c>
      <c r="D6346" s="5" t="s">
        <v>477</v>
      </c>
      <c r="E6346" s="3">
        <v>127297</v>
      </c>
      <c r="F6346" s="3">
        <v>53239</v>
      </c>
      <c r="G6346" s="57">
        <f t="shared" si="102"/>
        <v>-0.58177333322859137</v>
      </c>
      <c r="J6346" s="5" t="s">
        <v>4580</v>
      </c>
    </row>
    <row r="6347" spans="1:10" x14ac:dyDescent="0.2">
      <c r="A6347" s="1" t="s">
        <v>39</v>
      </c>
      <c r="B6347" s="2" t="s">
        <v>435</v>
      </c>
      <c r="D6347" s="5" t="s">
        <v>2274</v>
      </c>
      <c r="E6347" s="3">
        <v>127024</v>
      </c>
      <c r="F6347" s="3">
        <v>127828</v>
      </c>
      <c r="G6347" s="57">
        <f t="shared" si="102"/>
        <v>6.3295125330646174E-3</v>
      </c>
      <c r="J6347" s="5" t="s">
        <v>4591</v>
      </c>
    </row>
    <row r="6348" spans="1:10" x14ac:dyDescent="0.2">
      <c r="A6348" s="1" t="s">
        <v>39</v>
      </c>
      <c r="B6348" s="2" t="s">
        <v>435</v>
      </c>
      <c r="D6348" s="5" t="s">
        <v>464</v>
      </c>
      <c r="E6348" s="3">
        <v>102500</v>
      </c>
      <c r="F6348" s="3" t="s">
        <v>465</v>
      </c>
      <c r="G6348" s="57" t="str">
        <f t="shared" si="102"/>
        <v>-</v>
      </c>
    </row>
    <row r="6349" spans="1:10" x14ac:dyDescent="0.2">
      <c r="A6349" s="1" t="s">
        <v>39</v>
      </c>
      <c r="B6349" s="2" t="s">
        <v>435</v>
      </c>
      <c r="D6349" s="5" t="s">
        <v>464</v>
      </c>
      <c r="G6349" s="57" t="str">
        <f t="shared" si="102"/>
        <v>-</v>
      </c>
      <c r="H6349" s="19">
        <v>92500</v>
      </c>
      <c r="I6349" s="19" t="s">
        <v>465</v>
      </c>
    </row>
    <row r="6350" spans="1:10" x14ac:dyDescent="0.2">
      <c r="A6350" s="1" t="s">
        <v>39</v>
      </c>
      <c r="B6350" s="2" t="s">
        <v>435</v>
      </c>
      <c r="D6350" s="5" t="s">
        <v>464</v>
      </c>
      <c r="G6350" s="57" t="str">
        <f t="shared" si="102"/>
        <v>-</v>
      </c>
      <c r="H6350" s="19">
        <v>92500</v>
      </c>
      <c r="I6350" s="19" t="s">
        <v>465</v>
      </c>
    </row>
    <row r="6351" spans="1:10" x14ac:dyDescent="0.2">
      <c r="A6351" s="1" t="s">
        <v>39</v>
      </c>
      <c r="B6351" s="2" t="s">
        <v>435</v>
      </c>
      <c r="D6351" s="5" t="s">
        <v>464</v>
      </c>
      <c r="G6351" s="57" t="str">
        <f t="shared" si="102"/>
        <v>-</v>
      </c>
      <c r="H6351" s="19">
        <v>97500</v>
      </c>
      <c r="I6351" s="19" t="s">
        <v>465</v>
      </c>
    </row>
    <row r="6352" spans="1:10" x14ac:dyDescent="0.2">
      <c r="A6352" s="1" t="s">
        <v>39</v>
      </c>
      <c r="B6352" s="2" t="s">
        <v>435</v>
      </c>
      <c r="D6352" s="5" t="s">
        <v>464</v>
      </c>
      <c r="G6352" s="57" t="str">
        <f t="shared" si="102"/>
        <v>-</v>
      </c>
      <c r="H6352" s="19">
        <v>97500</v>
      </c>
      <c r="I6352" s="19" t="s">
        <v>465</v>
      </c>
    </row>
    <row r="6353" spans="1:10" x14ac:dyDescent="0.2">
      <c r="A6353" s="1" t="s">
        <v>39</v>
      </c>
      <c r="B6353" s="2" t="s">
        <v>435</v>
      </c>
      <c r="D6353" s="5" t="s">
        <v>464</v>
      </c>
      <c r="G6353" s="57" t="str">
        <f t="shared" si="102"/>
        <v>-</v>
      </c>
      <c r="H6353" s="19">
        <v>97500</v>
      </c>
      <c r="I6353" s="19" t="s">
        <v>465</v>
      </c>
    </row>
    <row r="6354" spans="1:10" x14ac:dyDescent="0.2">
      <c r="A6354" s="1" t="s">
        <v>39</v>
      </c>
      <c r="B6354" s="2" t="s">
        <v>435</v>
      </c>
      <c r="D6354" s="5" t="s">
        <v>464</v>
      </c>
      <c r="G6354" s="57" t="str">
        <f t="shared" si="102"/>
        <v>-</v>
      </c>
      <c r="H6354" s="19" t="s">
        <v>465</v>
      </c>
      <c r="I6354" s="19">
        <v>92500</v>
      </c>
    </row>
    <row r="6355" spans="1:10" x14ac:dyDescent="0.2">
      <c r="A6355" s="1" t="s">
        <v>39</v>
      </c>
      <c r="B6355" s="2" t="s">
        <v>435</v>
      </c>
      <c r="D6355" s="5" t="s">
        <v>464</v>
      </c>
      <c r="G6355" s="57" t="str">
        <f t="shared" si="102"/>
        <v>-</v>
      </c>
      <c r="H6355" s="19" t="s">
        <v>465</v>
      </c>
      <c r="I6355" s="19">
        <v>97500</v>
      </c>
    </row>
    <row r="6356" spans="1:10" ht="38.25" x14ac:dyDescent="0.2">
      <c r="A6356" s="1" t="s">
        <v>4</v>
      </c>
      <c r="B6356" s="17" t="s">
        <v>4579</v>
      </c>
      <c r="C6356" s="29"/>
      <c r="G6356" s="57" t="str">
        <f t="shared" si="102"/>
        <v>-</v>
      </c>
    </row>
    <row r="6357" spans="1:10" ht="25.5" x14ac:dyDescent="0.2">
      <c r="A6357" s="1" t="s">
        <v>44</v>
      </c>
      <c r="B6357" s="2" t="s">
        <v>436</v>
      </c>
      <c r="D6357" s="5" t="s">
        <v>450</v>
      </c>
      <c r="E6357" s="3">
        <v>133340</v>
      </c>
      <c r="F6357" s="3">
        <v>133736</v>
      </c>
      <c r="G6357" s="57">
        <f t="shared" si="102"/>
        <v>2.9698515074246287E-3</v>
      </c>
      <c r="J6357" s="5" t="s">
        <v>2265</v>
      </c>
    </row>
    <row r="6358" spans="1:10" ht="25.5" x14ac:dyDescent="0.2">
      <c r="A6358" s="1" t="s">
        <v>44</v>
      </c>
      <c r="B6358" s="2" t="s">
        <v>436</v>
      </c>
      <c r="D6358" s="5" t="s">
        <v>471</v>
      </c>
      <c r="E6358" s="3">
        <v>116102</v>
      </c>
      <c r="F6358" s="3">
        <v>115295</v>
      </c>
      <c r="G6358" s="57">
        <f t="shared" si="102"/>
        <v>-6.9507846548724399E-3</v>
      </c>
      <c r="J6358" s="5" t="s">
        <v>2266</v>
      </c>
    </row>
    <row r="6359" spans="1:10" ht="25.5" x14ac:dyDescent="0.2">
      <c r="A6359" s="1" t="s">
        <v>44</v>
      </c>
      <c r="B6359" s="2" t="s">
        <v>436</v>
      </c>
      <c r="D6359" s="5" t="s">
        <v>471</v>
      </c>
      <c r="E6359" s="3">
        <v>116068</v>
      </c>
      <c r="F6359" s="3">
        <v>116434</v>
      </c>
      <c r="G6359" s="57">
        <f t="shared" si="102"/>
        <v>3.1533239135679084E-3</v>
      </c>
      <c r="J6359" s="5" t="s">
        <v>2267</v>
      </c>
    </row>
    <row r="6360" spans="1:10" ht="25.5" x14ac:dyDescent="0.2">
      <c r="A6360" s="1" t="s">
        <v>44</v>
      </c>
      <c r="B6360" s="2" t="s">
        <v>436</v>
      </c>
      <c r="D6360" s="5" t="s">
        <v>471</v>
      </c>
      <c r="E6360" s="3" t="s">
        <v>465</v>
      </c>
      <c r="F6360" s="3">
        <v>116141</v>
      </c>
      <c r="G6360" s="57" t="str">
        <f t="shared" si="102"/>
        <v>-</v>
      </c>
      <c r="J6360" s="5" t="s">
        <v>2268</v>
      </c>
    </row>
    <row r="6361" spans="1:10" ht="25.5" x14ac:dyDescent="0.2">
      <c r="A6361" s="1" t="s">
        <v>44</v>
      </c>
      <c r="B6361" s="2" t="s">
        <v>436</v>
      </c>
      <c r="D6361" s="5" t="s">
        <v>2263</v>
      </c>
      <c r="E6361" s="3">
        <v>100450</v>
      </c>
      <c r="F6361" s="3">
        <v>98332</v>
      </c>
      <c r="G6361" s="57">
        <f t="shared" si="102"/>
        <v>-2.1085116973618714E-2</v>
      </c>
      <c r="J6361" s="5" t="s">
        <v>2264</v>
      </c>
    </row>
    <row r="6362" spans="1:10" x14ac:dyDescent="0.2">
      <c r="A6362" s="1" t="s">
        <v>44</v>
      </c>
      <c r="B6362" s="2" t="s">
        <v>436</v>
      </c>
      <c r="D6362" s="5" t="s">
        <v>464</v>
      </c>
      <c r="E6362" s="3" t="s">
        <v>465</v>
      </c>
      <c r="F6362" s="3">
        <v>117500</v>
      </c>
      <c r="G6362" s="57" t="str">
        <f t="shared" si="102"/>
        <v>-</v>
      </c>
      <c r="J6362" s="5" t="s">
        <v>1241</v>
      </c>
    </row>
    <row r="6363" spans="1:10" x14ac:dyDescent="0.2">
      <c r="A6363" s="1" t="s">
        <v>44</v>
      </c>
      <c r="B6363" s="2" t="s">
        <v>436</v>
      </c>
      <c r="D6363" s="5" t="s">
        <v>464</v>
      </c>
      <c r="E6363" s="3" t="s">
        <v>465</v>
      </c>
      <c r="F6363" s="3">
        <v>127500</v>
      </c>
      <c r="G6363" s="57" t="str">
        <f t="shared" si="102"/>
        <v>-</v>
      </c>
      <c r="J6363" s="5" t="s">
        <v>1241</v>
      </c>
    </row>
    <row r="6364" spans="1:10" ht="25.5" x14ac:dyDescent="0.2">
      <c r="A6364" s="1" t="s">
        <v>39</v>
      </c>
      <c r="B6364" s="2" t="s">
        <v>437</v>
      </c>
      <c r="D6364" s="5" t="s">
        <v>470</v>
      </c>
      <c r="E6364" s="3">
        <v>126501</v>
      </c>
      <c r="F6364" s="3">
        <v>126684</v>
      </c>
      <c r="G6364" s="57">
        <f t="shared" si="102"/>
        <v>1.4466288804041074E-3</v>
      </c>
      <c r="J6364" s="5" t="s">
        <v>2262</v>
      </c>
    </row>
    <row r="6365" spans="1:10" x14ac:dyDescent="0.2">
      <c r="A6365" s="1" t="s">
        <v>39</v>
      </c>
      <c r="B6365" s="2" t="s">
        <v>437</v>
      </c>
      <c r="D6365" s="5" t="s">
        <v>464</v>
      </c>
      <c r="E6365" s="3">
        <v>112500</v>
      </c>
      <c r="F6365" s="3" t="s">
        <v>465</v>
      </c>
      <c r="G6365" s="57" t="str">
        <f t="shared" si="102"/>
        <v>-</v>
      </c>
    </row>
    <row r="6366" spans="1:10" x14ac:dyDescent="0.2">
      <c r="A6366" s="1" t="s">
        <v>39</v>
      </c>
      <c r="B6366" s="2" t="s">
        <v>437</v>
      </c>
      <c r="D6366" s="5" t="s">
        <v>464</v>
      </c>
      <c r="E6366" s="3">
        <v>112500</v>
      </c>
      <c r="F6366" s="3" t="s">
        <v>465</v>
      </c>
      <c r="G6366" s="57" t="str">
        <f t="shared" si="102"/>
        <v>-</v>
      </c>
    </row>
    <row r="6367" spans="1:10" x14ac:dyDescent="0.2">
      <c r="A6367" s="1" t="s">
        <v>39</v>
      </c>
      <c r="B6367" s="2" t="s">
        <v>437</v>
      </c>
      <c r="D6367" s="5" t="s">
        <v>464</v>
      </c>
      <c r="E6367" s="3" t="s">
        <v>465</v>
      </c>
      <c r="F6367" s="3">
        <v>112500</v>
      </c>
      <c r="G6367" s="57" t="str">
        <f t="shared" si="102"/>
        <v>-</v>
      </c>
    </row>
    <row r="6368" spans="1:10" ht="25.5" x14ac:dyDescent="0.2">
      <c r="A6368" s="1" t="s">
        <v>4</v>
      </c>
      <c r="B6368" s="2" t="s">
        <v>438</v>
      </c>
      <c r="C6368" s="5" t="s">
        <v>469</v>
      </c>
      <c r="D6368" s="5" t="s">
        <v>450</v>
      </c>
      <c r="E6368" s="3">
        <v>174204</v>
      </c>
      <c r="F6368" s="3">
        <v>162458</v>
      </c>
      <c r="G6368" s="57">
        <f t="shared" si="102"/>
        <v>-6.7426695139032405E-2</v>
      </c>
      <c r="J6368" s="5" t="s">
        <v>2260</v>
      </c>
    </row>
    <row r="6369" spans="1:10" ht="25.5" x14ac:dyDescent="0.2">
      <c r="A6369" s="1" t="s">
        <v>4</v>
      </c>
      <c r="B6369" s="2" t="s">
        <v>438</v>
      </c>
      <c r="D6369" s="5" t="s">
        <v>468</v>
      </c>
      <c r="E6369" s="3">
        <v>127777</v>
      </c>
      <c r="F6369" s="3">
        <f>110641+160+395+16655</f>
        <v>127851</v>
      </c>
      <c r="G6369" s="57">
        <f t="shared" si="102"/>
        <v>5.791339599458431E-4</v>
      </c>
      <c r="J6369" s="5" t="s">
        <v>2261</v>
      </c>
    </row>
    <row r="6370" spans="1:10" ht="38.25" x14ac:dyDescent="0.2">
      <c r="A6370" s="1" t="s">
        <v>6</v>
      </c>
      <c r="B6370" s="2" t="s">
        <v>440</v>
      </c>
      <c r="C6370" s="5" t="s">
        <v>467</v>
      </c>
      <c r="D6370" s="5" t="s">
        <v>450</v>
      </c>
      <c r="E6370" s="6">
        <v>45256</v>
      </c>
      <c r="F6370" s="3">
        <f>147910+3888</f>
        <v>151798</v>
      </c>
      <c r="G6370" s="57">
        <f t="shared" si="102"/>
        <v>2.354207176948913</v>
      </c>
      <c r="J6370" s="5" t="s">
        <v>4590</v>
      </c>
    </row>
    <row r="6371" spans="1:10" x14ac:dyDescent="0.2">
      <c r="A6371" s="1" t="s">
        <v>6</v>
      </c>
      <c r="B6371" s="2" t="s">
        <v>440</v>
      </c>
      <c r="D6371" s="5" t="s">
        <v>569</v>
      </c>
      <c r="E6371" s="6">
        <v>186888</v>
      </c>
      <c r="F6371" s="3" t="s">
        <v>465</v>
      </c>
      <c r="G6371" s="57" t="str">
        <f t="shared" si="102"/>
        <v>-</v>
      </c>
      <c r="J6371" s="5" t="s">
        <v>2424</v>
      </c>
    </row>
    <row r="6372" spans="1:10" ht="25.5" x14ac:dyDescent="0.2">
      <c r="A6372" s="1" t="s">
        <v>39</v>
      </c>
      <c r="B6372" s="2" t="s">
        <v>439</v>
      </c>
      <c r="D6372" s="5" t="s">
        <v>450</v>
      </c>
      <c r="E6372" s="3">
        <v>123863</v>
      </c>
      <c r="F6372" s="3">
        <v>115497</v>
      </c>
      <c r="G6372" s="57">
        <f t="shared" si="102"/>
        <v>-6.7542365355271555E-2</v>
      </c>
      <c r="J6372" s="5" t="s">
        <v>4589</v>
      </c>
    </row>
    <row r="6373" spans="1:10" ht="38.25" x14ac:dyDescent="0.2">
      <c r="A6373" s="1" t="s">
        <v>39</v>
      </c>
      <c r="B6373" s="2" t="s">
        <v>439</v>
      </c>
      <c r="D6373" s="5" t="s">
        <v>455</v>
      </c>
      <c r="E6373" s="3">
        <v>100974</v>
      </c>
      <c r="F6373" s="3">
        <v>152473</v>
      </c>
      <c r="G6373" s="57">
        <f t="shared" si="102"/>
        <v>0.51002238199932659</v>
      </c>
      <c r="J6373" s="5" t="s">
        <v>4588</v>
      </c>
    </row>
    <row r="6374" spans="1:10" ht="38.25" x14ac:dyDescent="0.2">
      <c r="A6374" s="1" t="s">
        <v>39</v>
      </c>
      <c r="B6374" s="2" t="s">
        <v>439</v>
      </c>
      <c r="D6374" s="5" t="s">
        <v>466</v>
      </c>
      <c r="E6374" s="3">
        <v>77003</v>
      </c>
      <c r="F6374" s="3">
        <v>109898</v>
      </c>
      <c r="G6374" s="57">
        <f t="shared" si="102"/>
        <v>0.42719114839681571</v>
      </c>
      <c r="J6374" s="5" t="s">
        <v>4587</v>
      </c>
    </row>
    <row r="6375" spans="1:10" ht="38.25" customHeight="1" x14ac:dyDescent="0.2">
      <c r="A6375" s="1" t="s">
        <v>39</v>
      </c>
      <c r="B6375" s="2" t="s">
        <v>439</v>
      </c>
      <c r="D6375" s="5" t="s">
        <v>454</v>
      </c>
      <c r="E6375" s="3">
        <v>78327</v>
      </c>
      <c r="F6375" s="3">
        <v>195720</v>
      </c>
      <c r="G6375" s="57">
        <f t="shared" si="102"/>
        <v>1.4987552185070283</v>
      </c>
      <c r="J6375" s="5" t="s">
        <v>4586</v>
      </c>
    </row>
    <row r="6376" spans="1:10" x14ac:dyDescent="0.2">
      <c r="A6376" s="1" t="s">
        <v>39</v>
      </c>
      <c r="B6376" s="2" t="s">
        <v>439</v>
      </c>
      <c r="D6376" s="5" t="s">
        <v>464</v>
      </c>
      <c r="E6376" s="3">
        <v>102500</v>
      </c>
      <c r="F6376" s="3" t="s">
        <v>465</v>
      </c>
      <c r="G6376" s="57" t="str">
        <f t="shared" si="102"/>
        <v>-</v>
      </c>
    </row>
    <row r="6377" spans="1:10" x14ac:dyDescent="0.2">
      <c r="A6377" s="1" t="s">
        <v>39</v>
      </c>
      <c r="B6377" s="2" t="s">
        <v>439</v>
      </c>
      <c r="D6377" s="5" t="s">
        <v>464</v>
      </c>
      <c r="E6377" s="3" t="s">
        <v>465</v>
      </c>
      <c r="F6377" s="3">
        <v>137500</v>
      </c>
      <c r="G6377" s="57" t="str">
        <f t="shared" si="102"/>
        <v>-</v>
      </c>
    </row>
    <row r="6378" spans="1:10" x14ac:dyDescent="0.2">
      <c r="A6378" s="1" t="s">
        <v>39</v>
      </c>
      <c r="B6378" s="2" t="s">
        <v>439</v>
      </c>
      <c r="D6378" s="5" t="s">
        <v>464</v>
      </c>
      <c r="G6378" s="57" t="str">
        <f t="shared" si="102"/>
        <v>-</v>
      </c>
      <c r="H6378" s="19" t="s">
        <v>465</v>
      </c>
      <c r="I6378" s="19">
        <v>97500</v>
      </c>
    </row>
    <row r="6379" spans="1:10" x14ac:dyDescent="0.2">
      <c r="A6379" s="1" t="s">
        <v>39</v>
      </c>
      <c r="B6379" s="2" t="s">
        <v>439</v>
      </c>
      <c r="D6379" s="5" t="s">
        <v>464</v>
      </c>
      <c r="G6379" s="57" t="str">
        <f t="shared" si="102"/>
        <v>-</v>
      </c>
      <c r="H6379" s="19" t="s">
        <v>465</v>
      </c>
      <c r="I6379" s="19">
        <v>97500</v>
      </c>
    </row>
    <row r="6380" spans="1:10" ht="39" customHeight="1" x14ac:dyDescent="0.2">
      <c r="A6380" s="1" t="s">
        <v>28</v>
      </c>
      <c r="B6380" s="2" t="s">
        <v>441</v>
      </c>
      <c r="D6380" s="5" t="s">
        <v>450</v>
      </c>
      <c r="E6380" s="3">
        <v>75000</v>
      </c>
      <c r="F6380" s="3">
        <v>156000</v>
      </c>
      <c r="G6380" s="57">
        <f t="shared" si="102"/>
        <v>1.08</v>
      </c>
      <c r="J6380" s="5" t="s">
        <v>4585</v>
      </c>
    </row>
    <row r="6381" spans="1:10" ht="63.75" customHeight="1" x14ac:dyDescent="0.2">
      <c r="A6381" s="1" t="s">
        <v>28</v>
      </c>
      <c r="B6381" s="2" t="s">
        <v>441</v>
      </c>
      <c r="D6381" s="5" t="s">
        <v>458</v>
      </c>
      <c r="E6381" s="3">
        <v>129000</v>
      </c>
      <c r="F6381" s="3">
        <v>122000</v>
      </c>
      <c r="G6381" s="57">
        <f t="shared" si="102"/>
        <v>-5.4263565891472867E-2</v>
      </c>
      <c r="J6381" s="5" t="s">
        <v>4584</v>
      </c>
    </row>
    <row r="6382" spans="1:10" ht="25.5" x14ac:dyDescent="0.2">
      <c r="A6382" s="1" t="s">
        <v>28</v>
      </c>
      <c r="B6382" s="2" t="s">
        <v>441</v>
      </c>
      <c r="D6382" s="5" t="s">
        <v>459</v>
      </c>
      <c r="E6382" s="3" t="s">
        <v>465</v>
      </c>
      <c r="F6382" s="3">
        <v>121000</v>
      </c>
      <c r="G6382" s="57" t="str">
        <f t="shared" si="102"/>
        <v>-</v>
      </c>
      <c r="J6382" s="5" t="s">
        <v>4583</v>
      </c>
    </row>
    <row r="6383" spans="1:10" ht="25.5" x14ac:dyDescent="0.2">
      <c r="A6383" s="1" t="s">
        <v>28</v>
      </c>
      <c r="B6383" s="2" t="s">
        <v>441</v>
      </c>
      <c r="D6383" s="5" t="s">
        <v>460</v>
      </c>
      <c r="E6383" s="3" t="s">
        <v>465</v>
      </c>
      <c r="F6383" s="3">
        <v>121000</v>
      </c>
      <c r="G6383" s="57" t="str">
        <f t="shared" si="102"/>
        <v>-</v>
      </c>
      <c r="J6383" s="5" t="s">
        <v>4583</v>
      </c>
    </row>
    <row r="6384" spans="1:10" ht="25.5" x14ac:dyDescent="0.2">
      <c r="A6384" s="1" t="s">
        <v>28</v>
      </c>
      <c r="B6384" s="2" t="s">
        <v>441</v>
      </c>
      <c r="D6384" s="5" t="s">
        <v>461</v>
      </c>
      <c r="E6384" s="3" t="s">
        <v>465</v>
      </c>
      <c r="F6384" s="3">
        <v>122000</v>
      </c>
      <c r="G6384" s="57" t="str">
        <f t="shared" si="102"/>
        <v>-</v>
      </c>
      <c r="J6384" s="5" t="s">
        <v>4582</v>
      </c>
    </row>
    <row r="6385" spans="1:10" ht="25.5" x14ac:dyDescent="0.2">
      <c r="A6385" s="1" t="s">
        <v>28</v>
      </c>
      <c r="B6385" s="2" t="s">
        <v>441</v>
      </c>
      <c r="D6385" s="5" t="s">
        <v>4716</v>
      </c>
      <c r="E6385" s="3">
        <v>114000</v>
      </c>
      <c r="F6385" s="3" t="s">
        <v>465</v>
      </c>
      <c r="G6385" s="57" t="str">
        <f t="shared" si="102"/>
        <v>-</v>
      </c>
    </row>
    <row r="6386" spans="1:10" x14ac:dyDescent="0.2">
      <c r="A6386" s="1" t="s">
        <v>28</v>
      </c>
      <c r="B6386" s="2" t="s">
        <v>441</v>
      </c>
      <c r="D6386" s="5" t="s">
        <v>2257</v>
      </c>
      <c r="E6386" s="3">
        <v>252000</v>
      </c>
      <c r="F6386" s="3" t="s">
        <v>465</v>
      </c>
      <c r="G6386" s="57" t="str">
        <f t="shared" si="102"/>
        <v>-</v>
      </c>
      <c r="J6386" s="5" t="s">
        <v>4581</v>
      </c>
    </row>
    <row r="6387" spans="1:10" x14ac:dyDescent="0.2">
      <c r="A6387" s="1" t="s">
        <v>28</v>
      </c>
      <c r="B6387" s="2" t="s">
        <v>441</v>
      </c>
      <c r="D6387" s="5" t="s">
        <v>2258</v>
      </c>
      <c r="E6387" s="3">
        <v>144000</v>
      </c>
      <c r="F6387" s="3" t="s">
        <v>465</v>
      </c>
      <c r="G6387" s="57" t="str">
        <f t="shared" si="102"/>
        <v>-</v>
      </c>
      <c r="J6387" s="5" t="s">
        <v>4581</v>
      </c>
    </row>
    <row r="6388" spans="1:10" x14ac:dyDescent="0.2">
      <c r="A6388" s="1" t="s">
        <v>28</v>
      </c>
      <c r="B6388" s="2" t="s">
        <v>441</v>
      </c>
      <c r="D6388" s="5" t="s">
        <v>463</v>
      </c>
      <c r="E6388" s="3">
        <v>123000</v>
      </c>
      <c r="F6388" s="3" t="s">
        <v>465</v>
      </c>
      <c r="G6388" s="57" t="str">
        <f t="shared" si="102"/>
        <v>-</v>
      </c>
    </row>
    <row r="6389" spans="1:10" x14ac:dyDescent="0.2">
      <c r="A6389" s="1" t="s">
        <v>28</v>
      </c>
      <c r="B6389" s="2" t="s">
        <v>441</v>
      </c>
      <c r="D6389" s="5" t="s">
        <v>464</v>
      </c>
      <c r="E6389" s="3">
        <v>102500</v>
      </c>
      <c r="F6389" s="3" t="s">
        <v>465</v>
      </c>
      <c r="G6389" s="57" t="str">
        <f t="shared" si="102"/>
        <v>-</v>
      </c>
    </row>
    <row r="6390" spans="1:10" x14ac:dyDescent="0.2">
      <c r="A6390" s="1" t="s">
        <v>28</v>
      </c>
      <c r="B6390" s="2" t="s">
        <v>441</v>
      </c>
      <c r="D6390" s="5" t="s">
        <v>464</v>
      </c>
      <c r="E6390" s="3">
        <v>102500</v>
      </c>
      <c r="F6390" s="3" t="s">
        <v>465</v>
      </c>
      <c r="G6390" s="57" t="str">
        <f t="shared" si="102"/>
        <v>-</v>
      </c>
    </row>
    <row r="6391" spans="1:10" x14ac:dyDescent="0.2">
      <c r="A6391" s="1" t="s">
        <v>28</v>
      </c>
      <c r="B6391" s="2" t="s">
        <v>441</v>
      </c>
      <c r="D6391" s="5" t="s">
        <v>464</v>
      </c>
      <c r="E6391" s="3">
        <v>132500</v>
      </c>
      <c r="F6391" s="3" t="s">
        <v>465</v>
      </c>
      <c r="G6391" s="57" t="str">
        <f t="shared" si="102"/>
        <v>-</v>
      </c>
    </row>
    <row r="6392" spans="1:10" x14ac:dyDescent="0.2">
      <c r="A6392" s="1" t="s">
        <v>28</v>
      </c>
      <c r="B6392" s="2" t="s">
        <v>441</v>
      </c>
      <c r="D6392" s="5" t="s">
        <v>464</v>
      </c>
      <c r="E6392" s="3" t="s">
        <v>465</v>
      </c>
      <c r="F6392" s="3">
        <v>102500</v>
      </c>
      <c r="G6392" s="57" t="str">
        <f t="shared" si="102"/>
        <v>-</v>
      </c>
    </row>
    <row r="6393" spans="1:10" x14ac:dyDescent="0.2">
      <c r="A6393" s="1" t="s">
        <v>28</v>
      </c>
      <c r="B6393" s="2" t="s">
        <v>441</v>
      </c>
      <c r="D6393" s="5" t="s">
        <v>464</v>
      </c>
      <c r="E6393" s="3" t="s">
        <v>465</v>
      </c>
      <c r="F6393" s="3">
        <v>102500</v>
      </c>
      <c r="G6393" s="57" t="str">
        <f t="shared" si="102"/>
        <v>-</v>
      </c>
    </row>
    <row r="6394" spans="1:10" x14ac:dyDescent="0.2">
      <c r="A6394" s="1" t="s">
        <v>28</v>
      </c>
      <c r="B6394" s="2" t="s">
        <v>441</v>
      </c>
      <c r="D6394" s="5" t="s">
        <v>464</v>
      </c>
      <c r="E6394" s="3" t="s">
        <v>465</v>
      </c>
      <c r="F6394" s="3">
        <v>102500</v>
      </c>
      <c r="G6394" s="57" t="str">
        <f t="shared" si="102"/>
        <v>-</v>
      </c>
    </row>
    <row r="6395" spans="1:10" x14ac:dyDescent="0.2">
      <c r="A6395" s="1" t="s">
        <v>28</v>
      </c>
      <c r="B6395" s="2" t="s">
        <v>441</v>
      </c>
      <c r="D6395" s="5" t="s">
        <v>464</v>
      </c>
      <c r="E6395" s="3" t="s">
        <v>465</v>
      </c>
      <c r="F6395" s="3">
        <v>102500</v>
      </c>
      <c r="G6395" s="57" t="str">
        <f t="shared" si="102"/>
        <v>-</v>
      </c>
    </row>
    <row r="6396" spans="1:10" x14ac:dyDescent="0.2">
      <c r="A6396" s="1" t="s">
        <v>28</v>
      </c>
      <c r="B6396" s="2" t="s">
        <v>441</v>
      </c>
      <c r="D6396" s="5" t="s">
        <v>464</v>
      </c>
      <c r="E6396" s="3" t="s">
        <v>465</v>
      </c>
      <c r="F6396" s="3">
        <v>132500</v>
      </c>
      <c r="G6396" s="57" t="str">
        <f t="shared" ref="G6396:G6398" si="103">IF(ISERROR((F6396-E6396)/E6396),"-",(F6396-E6396)/E6396)</f>
        <v>-</v>
      </c>
    </row>
    <row r="6397" spans="1:10" x14ac:dyDescent="0.2">
      <c r="A6397" s="1" t="s">
        <v>28</v>
      </c>
      <c r="B6397" s="2" t="s">
        <v>441</v>
      </c>
      <c r="D6397" s="5" t="s">
        <v>464</v>
      </c>
      <c r="G6397" s="57" t="str">
        <f t="shared" si="103"/>
        <v>-</v>
      </c>
      <c r="H6397" s="19">
        <v>92500</v>
      </c>
      <c r="I6397" s="19" t="s">
        <v>465</v>
      </c>
    </row>
    <row r="6398" spans="1:10" x14ac:dyDescent="0.2">
      <c r="A6398" s="1" t="s">
        <v>28</v>
      </c>
      <c r="B6398" s="2" t="s">
        <v>441</v>
      </c>
      <c r="D6398" s="5" t="s">
        <v>464</v>
      </c>
      <c r="G6398" s="57" t="str">
        <f t="shared" si="103"/>
        <v>-</v>
      </c>
      <c r="H6398" s="19">
        <v>97500</v>
      </c>
      <c r="I6398" s="19" t="s">
        <v>465</v>
      </c>
    </row>
    <row r="6399" spans="1:10" s="47" customFormat="1" ht="13.5" thickBot="1" x14ac:dyDescent="0.25">
      <c r="B6399" s="41" t="s">
        <v>4451</v>
      </c>
      <c r="C6399" s="42"/>
      <c r="D6399" s="42"/>
      <c r="E6399" s="43">
        <f>COUNTIF(E3:E6398,"&gt;100000")</f>
        <v>2696</v>
      </c>
      <c r="F6399" s="43">
        <f>COUNTIF(F3:F6398,"&gt;100000")</f>
        <v>3097</v>
      </c>
      <c r="G6399" s="44"/>
      <c r="H6399" s="45">
        <f>COUNTIF(H3:H6398,"&gt;90000")</f>
        <v>885</v>
      </c>
      <c r="I6399" s="45">
        <f>COUNTIF(I3:I6398,"&gt;90000")</f>
        <v>1146</v>
      </c>
      <c r="J6399" s="46"/>
    </row>
    <row r="6400" spans="1:10" x14ac:dyDescent="0.2">
      <c r="B6400" s="26" t="s">
        <v>4452</v>
      </c>
      <c r="C6400" s="40">
        <f>SUM(E6399+H6399)</f>
        <v>3581</v>
      </c>
    </row>
    <row r="6401" spans="2:10" x14ac:dyDescent="0.2">
      <c r="B6401" s="26" t="s">
        <v>4453</v>
      </c>
      <c r="C6401" s="40">
        <f>SUM(F6399+I6399)</f>
        <v>4243</v>
      </c>
      <c r="D6401" s="1"/>
    </row>
    <row r="6402" spans="2:10" x14ac:dyDescent="0.2">
      <c r="B6402" s="26" t="s">
        <v>4729</v>
      </c>
      <c r="C6402" s="40">
        <f>C6401-C6400</f>
        <v>662</v>
      </c>
      <c r="D6402" s="40"/>
      <c r="E6402" s="3">
        <f>COUNTIF(E3:E6398,"&gt;142500")</f>
        <v>772</v>
      </c>
      <c r="F6402" s="3">
        <f>COUNTIF(F3:F6398,"&gt;142500")</f>
        <v>880</v>
      </c>
    </row>
    <row r="6403" spans="2:10" s="23" customFormat="1" x14ac:dyDescent="0.2">
      <c r="B6403" s="26" t="s">
        <v>4717</v>
      </c>
      <c r="C6403" s="48">
        <f>AVERAGE(G3:G6399)</f>
        <v>0.2677812674154928</v>
      </c>
      <c r="D6403" s="24"/>
      <c r="E6403" s="39"/>
      <c r="F6403" s="39"/>
      <c r="G6403" s="25"/>
      <c r="H6403" s="28"/>
      <c r="I6403" s="28"/>
      <c r="J6403" s="24"/>
    </row>
    <row r="6404" spans="2:10" s="23" customFormat="1" x14ac:dyDescent="0.2">
      <c r="B6404" s="26" t="s">
        <v>4718</v>
      </c>
      <c r="C6404" s="48">
        <f>MEDIAN(G3:G6398)</f>
        <v>1.8248621527580888E-2</v>
      </c>
      <c r="D6404" s="24"/>
      <c r="E6404" s="39"/>
      <c r="F6404" s="39"/>
      <c r="G6404" s="25"/>
      <c r="H6404" s="28"/>
      <c r="I6404" s="28"/>
      <c r="J6404" s="24"/>
    </row>
    <row r="6405" spans="2:10" x14ac:dyDescent="0.2">
      <c r="B6405" s="26" t="s">
        <v>4727</v>
      </c>
      <c r="C6405" s="49">
        <f>(C6401-C6400)/C6401</f>
        <v>0.15602168277162384</v>
      </c>
    </row>
    <row r="6406" spans="2:10" x14ac:dyDescent="0.2">
      <c r="B6406" s="26" t="s">
        <v>4728</v>
      </c>
      <c r="C6406" s="50">
        <f>(F6399-E6399)/F6399</f>
        <v>0.12948014207297384</v>
      </c>
    </row>
  </sheetData>
  <autoFilter ref="A2:L6406"/>
  <mergeCells count="2">
    <mergeCell ref="E1:F1"/>
    <mergeCell ref="H1:I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B8" sqref="B8"/>
    </sheetView>
  </sheetViews>
  <sheetFormatPr defaultRowHeight="15" x14ac:dyDescent="0.25"/>
  <cols>
    <col min="1" max="1" width="17.42578125" customWidth="1"/>
    <col min="2" max="2" width="29.7109375" bestFit="1" customWidth="1"/>
    <col min="3" max="3" width="18.28515625" customWidth="1"/>
    <col min="4" max="4" width="43.5703125" bestFit="1" customWidth="1"/>
    <col min="5" max="5" width="11.7109375" customWidth="1"/>
    <col min="6" max="6" width="9.85546875" customWidth="1"/>
    <col min="7" max="7" width="14.85546875" bestFit="1" customWidth="1"/>
    <col min="8" max="9" width="12.7109375" bestFit="1" customWidth="1"/>
    <col min="10" max="10" width="55" customWidth="1"/>
  </cols>
  <sheetData>
    <row r="1" spans="1:12" s="23" customFormat="1" ht="26.25" customHeight="1" x14ac:dyDescent="0.2">
      <c r="B1" s="2"/>
      <c r="C1" s="24"/>
      <c r="D1" s="24"/>
      <c r="E1" s="70" t="s">
        <v>448</v>
      </c>
      <c r="F1" s="70"/>
      <c r="G1" s="25"/>
      <c r="H1" s="71" t="s">
        <v>2259</v>
      </c>
      <c r="I1" s="71"/>
      <c r="J1" s="24"/>
    </row>
    <row r="2" spans="1:12" s="23" customFormat="1" ht="12.75" x14ac:dyDescent="0.2">
      <c r="A2" s="23" t="s">
        <v>442</v>
      </c>
      <c r="B2" s="26" t="s">
        <v>443</v>
      </c>
      <c r="C2" s="24" t="s">
        <v>444</v>
      </c>
      <c r="D2" s="24" t="s">
        <v>445</v>
      </c>
      <c r="E2" s="27" t="s">
        <v>446</v>
      </c>
      <c r="F2" s="27" t="s">
        <v>447</v>
      </c>
      <c r="G2" s="25" t="s">
        <v>449</v>
      </c>
      <c r="H2" s="28" t="s">
        <v>446</v>
      </c>
      <c r="I2" s="28" t="s">
        <v>447</v>
      </c>
      <c r="J2" s="24" t="s">
        <v>4142</v>
      </c>
    </row>
    <row r="3" spans="1:12" s="1" customFormat="1" ht="63.75" x14ac:dyDescent="0.2">
      <c r="A3" s="1" t="s">
        <v>1</v>
      </c>
      <c r="B3" s="2" t="s">
        <v>168</v>
      </c>
      <c r="C3" s="5" t="s">
        <v>1559</v>
      </c>
      <c r="D3" s="5" t="s">
        <v>4641</v>
      </c>
      <c r="E3" s="3">
        <f>145535+22785</f>
        <v>168320</v>
      </c>
      <c r="F3" s="3">
        <f>251555+199073</f>
        <v>450628</v>
      </c>
      <c r="G3" s="57">
        <f t="shared" ref="G3:G22" si="0">IF(ISERROR((F3-E3)/E3),"-",(F3-E3)/E3)</f>
        <v>1.6772100760456274</v>
      </c>
      <c r="H3" s="19"/>
      <c r="I3" s="19"/>
      <c r="J3" s="5" t="s">
        <v>4642</v>
      </c>
    </row>
    <row r="4" spans="1:12" s="1" customFormat="1" ht="38.25" x14ac:dyDescent="0.2">
      <c r="A4" s="1" t="s">
        <v>4</v>
      </c>
      <c r="B4" s="2" t="s">
        <v>210</v>
      </c>
      <c r="C4" s="5" t="s">
        <v>1338</v>
      </c>
      <c r="D4" s="5" t="s">
        <v>450</v>
      </c>
      <c r="E4" s="9">
        <v>299611</v>
      </c>
      <c r="F4" s="9">
        <v>439071</v>
      </c>
      <c r="G4" s="57">
        <f t="shared" si="0"/>
        <v>0.46547022639355695</v>
      </c>
      <c r="H4" s="19"/>
      <c r="I4" s="19"/>
      <c r="J4" s="5" t="s">
        <v>3358</v>
      </c>
    </row>
    <row r="5" spans="1:12" s="1" customFormat="1" ht="38.25" x14ac:dyDescent="0.2">
      <c r="A5" s="1" t="s">
        <v>25</v>
      </c>
      <c r="B5" s="2" t="s">
        <v>174</v>
      </c>
      <c r="C5" s="5" t="s">
        <v>1519</v>
      </c>
      <c r="D5" s="5" t="s">
        <v>450</v>
      </c>
      <c r="E5" s="9">
        <v>236215</v>
      </c>
      <c r="F5" s="9">
        <v>433157</v>
      </c>
      <c r="G5" s="57">
        <f t="shared" si="0"/>
        <v>0.83374044832038607</v>
      </c>
      <c r="H5" s="19"/>
      <c r="I5" s="19"/>
      <c r="J5" s="5" t="s">
        <v>4349</v>
      </c>
    </row>
    <row r="6" spans="1:12" s="1" customFormat="1" ht="63.75" x14ac:dyDescent="0.2">
      <c r="A6" s="1" t="s">
        <v>25</v>
      </c>
      <c r="B6" s="2" t="s">
        <v>405</v>
      </c>
      <c r="C6" s="5" t="s">
        <v>639</v>
      </c>
      <c r="D6" s="5" t="s">
        <v>450</v>
      </c>
      <c r="E6" s="3">
        <v>257243</v>
      </c>
      <c r="F6" s="3">
        <v>432213</v>
      </c>
      <c r="G6" s="57">
        <f t="shared" si="0"/>
        <v>0.68017399890376029</v>
      </c>
      <c r="H6" s="19"/>
      <c r="I6" s="19"/>
      <c r="J6" s="5" t="s">
        <v>4515</v>
      </c>
    </row>
    <row r="7" spans="1:12" s="1" customFormat="1" ht="63.75" x14ac:dyDescent="0.2">
      <c r="A7" s="1" t="s">
        <v>28</v>
      </c>
      <c r="B7" s="2" t="s">
        <v>142</v>
      </c>
      <c r="D7" s="5" t="s">
        <v>854</v>
      </c>
      <c r="E7" s="3">
        <v>162000</v>
      </c>
      <c r="F7" s="3">
        <v>424000</v>
      </c>
      <c r="G7" s="57">
        <f t="shared" si="0"/>
        <v>1.617283950617284</v>
      </c>
      <c r="H7" s="18"/>
      <c r="I7" s="18"/>
      <c r="J7" s="5" t="s">
        <v>4307</v>
      </c>
    </row>
    <row r="8" spans="1:12" s="1" customFormat="1" ht="76.5" x14ac:dyDescent="0.2">
      <c r="A8" s="1" t="s">
        <v>111</v>
      </c>
      <c r="B8" s="2" t="s">
        <v>257</v>
      </c>
      <c r="C8" s="5"/>
      <c r="D8" s="5" t="s">
        <v>4369</v>
      </c>
      <c r="E8" s="3">
        <v>84414</v>
      </c>
      <c r="F8" s="3">
        <v>400917</v>
      </c>
      <c r="G8" s="57">
        <f t="shared" si="0"/>
        <v>3.7494136043784208</v>
      </c>
      <c r="H8" s="19"/>
      <c r="I8" s="19"/>
      <c r="J8" s="5" t="s">
        <v>4668</v>
      </c>
      <c r="K8" s="33"/>
      <c r="L8" s="33"/>
    </row>
    <row r="9" spans="1:12" s="1" customFormat="1" ht="51" x14ac:dyDescent="0.2">
      <c r="A9" s="1" t="s">
        <v>20</v>
      </c>
      <c r="B9" s="2" t="s">
        <v>158</v>
      </c>
      <c r="C9" s="5"/>
      <c r="D9" s="5" t="s">
        <v>1597</v>
      </c>
      <c r="E9" s="3">
        <v>202580</v>
      </c>
      <c r="F9" s="3">
        <v>400616</v>
      </c>
      <c r="G9" s="57">
        <f t="shared" si="0"/>
        <v>0.9775693553164182</v>
      </c>
      <c r="H9" s="19"/>
      <c r="I9" s="19"/>
      <c r="J9" s="5" t="s">
        <v>4327</v>
      </c>
    </row>
    <row r="10" spans="1:12" s="1" customFormat="1" ht="38.25" x14ac:dyDescent="0.2">
      <c r="A10" s="1" t="s">
        <v>4</v>
      </c>
      <c r="B10" s="2" t="s">
        <v>423</v>
      </c>
      <c r="C10" s="5" t="s">
        <v>552</v>
      </c>
      <c r="D10" s="5" t="s">
        <v>450</v>
      </c>
      <c r="E10" s="6">
        <v>266470</v>
      </c>
      <c r="F10" s="3">
        <v>397232</v>
      </c>
      <c r="G10" s="57">
        <f t="shared" si="0"/>
        <v>0.49071940556160171</v>
      </c>
      <c r="H10" s="19"/>
      <c r="I10" s="19"/>
      <c r="J10" s="5" t="s">
        <v>2335</v>
      </c>
    </row>
    <row r="11" spans="1:12" s="1" customFormat="1" ht="25.5" x14ac:dyDescent="0.2">
      <c r="A11" s="1" t="s">
        <v>20</v>
      </c>
      <c r="B11" s="2" t="s">
        <v>245</v>
      </c>
      <c r="C11" s="5"/>
      <c r="D11" s="5" t="s">
        <v>450</v>
      </c>
      <c r="E11" s="3">
        <v>140946</v>
      </c>
      <c r="F11" s="3">
        <v>395091</v>
      </c>
      <c r="G11" s="57">
        <f t="shared" si="0"/>
        <v>1.8031373717593973</v>
      </c>
      <c r="H11" s="19"/>
      <c r="I11" s="19"/>
      <c r="J11" s="5" t="s">
        <v>3154</v>
      </c>
    </row>
    <row r="12" spans="1:12" s="1" customFormat="1" ht="38.25" x14ac:dyDescent="0.2">
      <c r="A12" s="1" t="s">
        <v>25</v>
      </c>
      <c r="B12" s="2" t="s">
        <v>26</v>
      </c>
      <c r="C12" s="1" t="s">
        <v>1697</v>
      </c>
      <c r="D12" s="5" t="s">
        <v>1698</v>
      </c>
      <c r="E12" s="3">
        <v>221247</v>
      </c>
      <c r="F12" s="3">
        <v>388948</v>
      </c>
      <c r="G12" s="57">
        <f t="shared" si="0"/>
        <v>0.75798089917603406</v>
      </c>
      <c r="H12" s="18"/>
      <c r="I12" s="18"/>
      <c r="J12" s="5" t="s">
        <v>4093</v>
      </c>
    </row>
    <row r="13" spans="1:12" s="1" customFormat="1" ht="38.25" x14ac:dyDescent="0.2">
      <c r="A13" s="1" t="s">
        <v>6</v>
      </c>
      <c r="B13" s="12" t="s">
        <v>231</v>
      </c>
      <c r="C13" s="5" t="s">
        <v>1244</v>
      </c>
      <c r="D13" s="5" t="s">
        <v>529</v>
      </c>
      <c r="E13" s="9">
        <f>201795+41191</f>
        <v>242986</v>
      </c>
      <c r="F13" s="9">
        <f>349581+34516</f>
        <v>384097</v>
      </c>
      <c r="G13" s="57">
        <f t="shared" si="0"/>
        <v>0.58073716181179158</v>
      </c>
      <c r="H13" s="19"/>
      <c r="I13" s="19"/>
      <c r="J13" s="5" t="s">
        <v>3218</v>
      </c>
    </row>
    <row r="14" spans="1:12" s="1" customFormat="1" ht="38.25" x14ac:dyDescent="0.2">
      <c r="A14" s="1" t="s">
        <v>1</v>
      </c>
      <c r="B14" s="2" t="s">
        <v>168</v>
      </c>
      <c r="C14" s="5" t="s">
        <v>1576</v>
      </c>
      <c r="D14" s="5" t="s">
        <v>1577</v>
      </c>
      <c r="E14" s="3">
        <f>78880+13616</f>
        <v>92496</v>
      </c>
      <c r="F14" s="3">
        <f>153252+222859</f>
        <v>376111</v>
      </c>
      <c r="G14" s="57">
        <f t="shared" si="0"/>
        <v>3.0662407023006399</v>
      </c>
      <c r="H14" s="19"/>
      <c r="I14" s="19"/>
      <c r="J14" s="5" t="s">
        <v>4343</v>
      </c>
    </row>
    <row r="15" spans="1:12" s="1" customFormat="1" ht="38.25" x14ac:dyDescent="0.2">
      <c r="A15" s="1" t="s">
        <v>1</v>
      </c>
      <c r="B15" s="2" t="s">
        <v>168</v>
      </c>
      <c r="C15" s="5" t="s">
        <v>1567</v>
      </c>
      <c r="D15" s="5" t="s">
        <v>4062</v>
      </c>
      <c r="E15" s="3">
        <f>95457+16167</f>
        <v>111624</v>
      </c>
      <c r="F15" s="3">
        <f>154156+215671</f>
        <v>369827</v>
      </c>
      <c r="G15" s="57">
        <f t="shared" si="0"/>
        <v>2.313149501899233</v>
      </c>
      <c r="H15" s="19"/>
      <c r="I15" s="19"/>
      <c r="J15" s="5" t="s">
        <v>4341</v>
      </c>
    </row>
    <row r="16" spans="1:12" s="1" customFormat="1" ht="25.5" x14ac:dyDescent="0.2">
      <c r="A16" s="1" t="s">
        <v>4</v>
      </c>
      <c r="B16" s="2" t="s">
        <v>56</v>
      </c>
      <c r="D16" s="5" t="s">
        <v>562</v>
      </c>
      <c r="E16" s="3">
        <v>143400</v>
      </c>
      <c r="F16" s="3">
        <v>359500</v>
      </c>
      <c r="G16" s="57">
        <f t="shared" si="0"/>
        <v>1.5069735006973501</v>
      </c>
      <c r="H16" s="18"/>
      <c r="I16" s="18"/>
      <c r="J16" s="5" t="s">
        <v>1855</v>
      </c>
    </row>
    <row r="17" spans="1:10" s="1" customFormat="1" ht="25.5" x14ac:dyDescent="0.2">
      <c r="A17" s="1" t="s">
        <v>4</v>
      </c>
      <c r="B17" s="2" t="s">
        <v>336</v>
      </c>
      <c r="C17" s="5"/>
      <c r="D17" s="5" t="s">
        <v>879</v>
      </c>
      <c r="E17" s="3">
        <v>142350</v>
      </c>
      <c r="F17" s="3">
        <v>352402</v>
      </c>
      <c r="G17" s="57">
        <f t="shared" si="0"/>
        <v>1.4756023884791007</v>
      </c>
      <c r="H17" s="19"/>
      <c r="I17" s="19"/>
      <c r="J17" s="5" t="s">
        <v>4424</v>
      </c>
    </row>
    <row r="18" spans="1:10" s="1" customFormat="1" ht="38.25" x14ac:dyDescent="0.2">
      <c r="A18" s="1" t="s">
        <v>4</v>
      </c>
      <c r="B18" s="2" t="s">
        <v>423</v>
      </c>
      <c r="C18" s="5"/>
      <c r="D18" s="5" t="s">
        <v>567</v>
      </c>
      <c r="E18" s="6">
        <v>128019</v>
      </c>
      <c r="F18" s="3">
        <v>349837</v>
      </c>
      <c r="G18" s="57">
        <f t="shared" si="0"/>
        <v>1.7326959279481953</v>
      </c>
      <c r="H18" s="19"/>
      <c r="I18" s="19"/>
      <c r="J18" s="5" t="s">
        <v>4561</v>
      </c>
    </row>
    <row r="19" spans="1:10" s="1" customFormat="1" ht="38.25" x14ac:dyDescent="0.2">
      <c r="A19" s="1" t="s">
        <v>1</v>
      </c>
      <c r="B19" s="2" t="s">
        <v>168</v>
      </c>
      <c r="C19" s="5" t="s">
        <v>1574</v>
      </c>
      <c r="D19" s="5" t="s">
        <v>1575</v>
      </c>
      <c r="E19" s="3">
        <f>91049+15718</f>
        <v>106767</v>
      </c>
      <c r="F19" s="3">
        <f>176703+172897</f>
        <v>349600</v>
      </c>
      <c r="G19" s="57">
        <f t="shared" si="0"/>
        <v>2.2744199986887335</v>
      </c>
      <c r="H19" s="19"/>
      <c r="I19" s="19"/>
      <c r="J19" s="5" t="s">
        <v>4342</v>
      </c>
    </row>
    <row r="20" spans="1:10" s="1" customFormat="1" ht="25.5" x14ac:dyDescent="0.2">
      <c r="A20" s="1" t="s">
        <v>8</v>
      </c>
      <c r="B20" s="2" t="s">
        <v>268</v>
      </c>
      <c r="C20" s="5" t="s">
        <v>1142</v>
      </c>
      <c r="D20" s="5" t="s">
        <v>450</v>
      </c>
      <c r="E20" s="3">
        <v>128806</v>
      </c>
      <c r="F20" s="3">
        <v>349074</v>
      </c>
      <c r="G20" s="57">
        <f t="shared" si="0"/>
        <v>1.7100756175954537</v>
      </c>
      <c r="H20" s="19"/>
      <c r="I20" s="19"/>
      <c r="J20" s="5" t="s">
        <v>3064</v>
      </c>
    </row>
    <row r="21" spans="1:10" s="1" customFormat="1" ht="38.25" x14ac:dyDescent="0.2">
      <c r="A21" s="1" t="s">
        <v>6</v>
      </c>
      <c r="B21" s="2" t="s">
        <v>237</v>
      </c>
      <c r="C21" s="5"/>
      <c r="D21" s="14" t="s">
        <v>1228</v>
      </c>
      <c r="E21" s="10">
        <f>138233+1170+18777</f>
        <v>158180</v>
      </c>
      <c r="F21" s="10">
        <f>138066+1239+18777+95238+95510</f>
        <v>348830</v>
      </c>
      <c r="G21" s="57">
        <f t="shared" si="0"/>
        <v>1.2052724743962575</v>
      </c>
      <c r="H21" s="19"/>
      <c r="I21" s="19"/>
      <c r="J21" s="5" t="s">
        <v>3189</v>
      </c>
    </row>
    <row r="22" spans="1:10" s="1" customFormat="1" ht="38.25" x14ac:dyDescent="0.2">
      <c r="A22" s="1" t="s">
        <v>34</v>
      </c>
      <c r="B22" s="30" t="s">
        <v>4566</v>
      </c>
      <c r="C22" s="5" t="s">
        <v>541</v>
      </c>
      <c r="D22" s="5" t="s">
        <v>450</v>
      </c>
      <c r="E22" s="3">
        <v>110082</v>
      </c>
      <c r="F22" s="3">
        <v>343849</v>
      </c>
      <c r="G22" s="57">
        <f t="shared" si="0"/>
        <v>2.1235715194128013</v>
      </c>
      <c r="H22" s="19"/>
      <c r="I22" s="19"/>
      <c r="J22" s="5" t="s">
        <v>4714</v>
      </c>
    </row>
  </sheetData>
  <mergeCells count="2">
    <mergeCell ref="E1:F1"/>
    <mergeCell ref="H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activeCell="B3" sqref="B3:J22"/>
    </sheetView>
  </sheetViews>
  <sheetFormatPr defaultRowHeight="15" x14ac:dyDescent="0.25"/>
  <cols>
    <col min="1" max="1" width="17.42578125" customWidth="1"/>
    <col min="2" max="2" width="29.7109375" bestFit="1" customWidth="1"/>
    <col min="3" max="3" width="18.28515625" customWidth="1"/>
    <col min="4" max="4" width="43.5703125" bestFit="1" customWidth="1"/>
    <col min="5" max="5" width="11.7109375" customWidth="1"/>
    <col min="6" max="6" width="9.85546875" customWidth="1"/>
    <col min="7" max="7" width="14.85546875" bestFit="1" customWidth="1"/>
    <col min="8" max="9" width="12.7109375" bestFit="1" customWidth="1"/>
    <col min="10" max="10" width="55" customWidth="1"/>
  </cols>
  <sheetData>
    <row r="1" spans="1:10" s="23" customFormat="1" ht="26.25" customHeight="1" x14ac:dyDescent="0.2">
      <c r="B1" s="2"/>
      <c r="C1" s="24"/>
      <c r="D1" s="24"/>
      <c r="E1" s="70" t="s">
        <v>448</v>
      </c>
      <c r="F1" s="70"/>
      <c r="G1" s="25"/>
      <c r="H1" s="71" t="s">
        <v>2259</v>
      </c>
      <c r="I1" s="71"/>
      <c r="J1" s="24"/>
    </row>
    <row r="2" spans="1:10" s="23" customFormat="1" ht="12.75" x14ac:dyDescent="0.2">
      <c r="A2" s="23" t="s">
        <v>442</v>
      </c>
      <c r="B2" s="26" t="s">
        <v>443</v>
      </c>
      <c r="C2" s="24" t="s">
        <v>444</v>
      </c>
      <c r="D2" s="24" t="s">
        <v>445</v>
      </c>
      <c r="E2" s="27" t="s">
        <v>446</v>
      </c>
      <c r="F2" s="27" t="s">
        <v>447</v>
      </c>
      <c r="G2" s="25" t="s">
        <v>449</v>
      </c>
      <c r="H2" s="28" t="s">
        <v>446</v>
      </c>
      <c r="I2" s="28" t="s">
        <v>447</v>
      </c>
      <c r="J2" s="24" t="s">
        <v>4142</v>
      </c>
    </row>
    <row r="3" spans="1:10" s="13" customFormat="1" ht="63.75" x14ac:dyDescent="0.2">
      <c r="A3" s="13" t="s">
        <v>25</v>
      </c>
      <c r="B3" s="12" t="s">
        <v>181</v>
      </c>
      <c r="C3" s="7" t="s">
        <v>1476</v>
      </c>
      <c r="D3" s="7" t="s">
        <v>450</v>
      </c>
      <c r="E3" s="10">
        <v>270474</v>
      </c>
      <c r="F3" s="10">
        <v>281666</v>
      </c>
      <c r="G3" s="57">
        <f t="shared" ref="G3:G22" si="0">IF(ISERROR((F3-E3)/E3),"-",(F3-E3)/E3)</f>
        <v>4.1379208352743703E-2</v>
      </c>
      <c r="H3" s="21"/>
      <c r="I3" s="21"/>
      <c r="J3" s="7" t="s">
        <v>3540</v>
      </c>
    </row>
    <row r="4" spans="1:10" s="13" customFormat="1" ht="38.25" x14ac:dyDescent="0.2">
      <c r="A4" s="13" t="s">
        <v>20</v>
      </c>
      <c r="B4" s="12" t="s">
        <v>154</v>
      </c>
      <c r="C4" s="13" t="s">
        <v>1615</v>
      </c>
      <c r="D4" s="7" t="s">
        <v>450</v>
      </c>
      <c r="E4" s="6">
        <v>267442</v>
      </c>
      <c r="F4" s="6">
        <v>271060</v>
      </c>
      <c r="G4" s="57">
        <f t="shared" si="0"/>
        <v>1.3528166854869466E-2</v>
      </c>
      <c r="H4" s="20"/>
      <c r="I4" s="20"/>
      <c r="J4" s="7" t="s">
        <v>4321</v>
      </c>
    </row>
    <row r="5" spans="1:10" s="13" customFormat="1" ht="38.25" x14ac:dyDescent="0.2">
      <c r="A5" s="13" t="s">
        <v>25</v>
      </c>
      <c r="B5" s="12" t="s">
        <v>209</v>
      </c>
      <c r="C5" s="7" t="s">
        <v>1357</v>
      </c>
      <c r="D5" s="7" t="s">
        <v>1358</v>
      </c>
      <c r="E5" s="10">
        <v>268423</v>
      </c>
      <c r="F5" s="10">
        <v>268475</v>
      </c>
      <c r="G5" s="57">
        <f t="shared" si="0"/>
        <v>1.9372408474683614E-4</v>
      </c>
      <c r="H5" s="21"/>
      <c r="I5" s="21"/>
      <c r="J5" s="7" t="s">
        <v>3369</v>
      </c>
    </row>
    <row r="6" spans="1:10" s="13" customFormat="1" ht="25.5" x14ac:dyDescent="0.2">
      <c r="A6" s="13" t="s">
        <v>20</v>
      </c>
      <c r="B6" s="12" t="s">
        <v>374</v>
      </c>
      <c r="C6" s="7" t="s">
        <v>745</v>
      </c>
      <c r="D6" s="7" t="s">
        <v>450</v>
      </c>
      <c r="E6" s="6">
        <v>267775</v>
      </c>
      <c r="F6" s="6">
        <v>267775</v>
      </c>
      <c r="G6" s="57">
        <f t="shared" si="0"/>
        <v>0</v>
      </c>
      <c r="H6" s="21"/>
      <c r="I6" s="21"/>
      <c r="J6" s="7" t="s">
        <v>2540</v>
      </c>
    </row>
    <row r="7" spans="1:10" s="13" customFormat="1" ht="25.5" x14ac:dyDescent="0.2">
      <c r="A7" s="13" t="s">
        <v>4</v>
      </c>
      <c r="B7" s="12" t="s">
        <v>63</v>
      </c>
      <c r="C7" s="13" t="s">
        <v>1878</v>
      </c>
      <c r="D7" s="7" t="s">
        <v>450</v>
      </c>
      <c r="E7" s="6">
        <v>258868</v>
      </c>
      <c r="F7" s="6">
        <v>259104</v>
      </c>
      <c r="G7" s="57">
        <f t="shared" si="0"/>
        <v>9.1166154178963792E-4</v>
      </c>
      <c r="H7" s="20"/>
      <c r="I7" s="20"/>
      <c r="J7" s="7" t="s">
        <v>4199</v>
      </c>
    </row>
    <row r="8" spans="1:10" s="13" customFormat="1" ht="38.25" x14ac:dyDescent="0.2">
      <c r="A8" s="13" t="s">
        <v>25</v>
      </c>
      <c r="B8" s="12" t="s">
        <v>37</v>
      </c>
      <c r="C8" s="13" t="s">
        <v>1755</v>
      </c>
      <c r="D8" s="7" t="s">
        <v>450</v>
      </c>
      <c r="E8" s="22">
        <f>206439+35924+8264</f>
        <v>250627</v>
      </c>
      <c r="F8" s="22">
        <f>199248+40957+18577</f>
        <v>258782</v>
      </c>
      <c r="G8" s="57">
        <f t="shared" si="0"/>
        <v>3.2538393708578882E-2</v>
      </c>
      <c r="H8" s="20"/>
      <c r="I8" s="20"/>
      <c r="J8" s="7" t="s">
        <v>4144</v>
      </c>
    </row>
    <row r="9" spans="1:10" s="13" customFormat="1" ht="25.5" x14ac:dyDescent="0.2">
      <c r="A9" s="13" t="s">
        <v>20</v>
      </c>
      <c r="B9" s="12" t="s">
        <v>263</v>
      </c>
      <c r="C9" s="7" t="s">
        <v>1150</v>
      </c>
      <c r="D9" s="7" t="s">
        <v>450</v>
      </c>
      <c r="E9" s="6">
        <v>263700</v>
      </c>
      <c r="F9" s="6">
        <v>256900</v>
      </c>
      <c r="G9" s="57">
        <f t="shared" si="0"/>
        <v>-2.578687902919985E-2</v>
      </c>
      <c r="H9" s="21"/>
      <c r="I9" s="21"/>
      <c r="J9" s="7" t="s">
        <v>3071</v>
      </c>
    </row>
    <row r="10" spans="1:10" s="13" customFormat="1" ht="38.25" x14ac:dyDescent="0.2">
      <c r="A10" s="13" t="s">
        <v>4</v>
      </c>
      <c r="B10" s="12" t="s">
        <v>377</v>
      </c>
      <c r="C10" s="7" t="s">
        <v>727</v>
      </c>
      <c r="D10" s="7" t="s">
        <v>450</v>
      </c>
      <c r="E10" s="6">
        <v>176073</v>
      </c>
      <c r="F10" s="6">
        <v>253133</v>
      </c>
      <c r="G10" s="57">
        <f t="shared" si="0"/>
        <v>0.43765937991628473</v>
      </c>
      <c r="H10" s="21"/>
      <c r="I10" s="21"/>
      <c r="J10" s="7" t="s">
        <v>4473</v>
      </c>
    </row>
    <row r="11" spans="1:10" s="13" customFormat="1" ht="38.25" x14ac:dyDescent="0.2">
      <c r="A11" s="13" t="s">
        <v>111</v>
      </c>
      <c r="B11" s="12" t="s">
        <v>166</v>
      </c>
      <c r="C11" s="7" t="s">
        <v>1578</v>
      </c>
      <c r="D11" s="7" t="s">
        <v>450</v>
      </c>
      <c r="E11" s="6">
        <v>245581</v>
      </c>
      <c r="F11" s="6">
        <v>252838</v>
      </c>
      <c r="G11" s="57">
        <f t="shared" si="0"/>
        <v>2.9550331662465745E-2</v>
      </c>
      <c r="H11" s="21"/>
      <c r="I11" s="21"/>
      <c r="J11" s="7" t="s">
        <v>4051</v>
      </c>
    </row>
    <row r="12" spans="1:10" s="13" customFormat="1" ht="25.5" x14ac:dyDescent="0.2">
      <c r="A12" s="13" t="s">
        <v>25</v>
      </c>
      <c r="B12" s="12" t="s">
        <v>26</v>
      </c>
      <c r="C12" s="13" t="s">
        <v>1696</v>
      </c>
      <c r="D12" s="7" t="s">
        <v>450</v>
      </c>
      <c r="E12" s="6">
        <v>249210</v>
      </c>
      <c r="F12" s="6">
        <v>250818</v>
      </c>
      <c r="G12" s="57">
        <f t="shared" si="0"/>
        <v>6.4523895509811004E-3</v>
      </c>
      <c r="H12" s="20"/>
      <c r="I12" s="20"/>
      <c r="J12" s="7" t="s">
        <v>3662</v>
      </c>
    </row>
    <row r="13" spans="1:10" s="13" customFormat="1" ht="25.5" x14ac:dyDescent="0.2">
      <c r="A13" s="13" t="s">
        <v>20</v>
      </c>
      <c r="B13" s="12" t="s">
        <v>194</v>
      </c>
      <c r="C13" s="7" t="s">
        <v>1424</v>
      </c>
      <c r="D13" s="7" t="s">
        <v>450</v>
      </c>
      <c r="E13" s="10">
        <v>251190</v>
      </c>
      <c r="F13" s="10">
        <v>250118</v>
      </c>
      <c r="G13" s="57">
        <f t="shared" si="0"/>
        <v>-4.2676858155181333E-3</v>
      </c>
      <c r="H13" s="21"/>
      <c r="I13" s="21"/>
      <c r="J13" s="7" t="s">
        <v>3468</v>
      </c>
    </row>
    <row r="14" spans="1:10" s="13" customFormat="1" ht="25.5" x14ac:dyDescent="0.2">
      <c r="A14" s="13" t="s">
        <v>25</v>
      </c>
      <c r="B14" s="12" t="s">
        <v>107</v>
      </c>
      <c r="C14" s="13" t="s">
        <v>2187</v>
      </c>
      <c r="D14" s="7" t="s">
        <v>450</v>
      </c>
      <c r="E14" s="6">
        <v>246810</v>
      </c>
      <c r="F14" s="6">
        <v>248362</v>
      </c>
      <c r="G14" s="57">
        <f t="shared" si="0"/>
        <v>6.2882379158056808E-3</v>
      </c>
      <c r="H14" s="20"/>
      <c r="I14" s="20"/>
      <c r="J14" s="7" t="s">
        <v>3861</v>
      </c>
    </row>
    <row r="15" spans="1:10" s="13" customFormat="1" ht="25.5" x14ac:dyDescent="0.2">
      <c r="A15" s="13" t="s">
        <v>4</v>
      </c>
      <c r="B15" s="12" t="s">
        <v>182</v>
      </c>
      <c r="C15" s="7" t="s">
        <v>1467</v>
      </c>
      <c r="D15" s="7" t="s">
        <v>450</v>
      </c>
      <c r="E15" s="10">
        <v>246648</v>
      </c>
      <c r="F15" s="10">
        <v>246980</v>
      </c>
      <c r="G15" s="57">
        <f t="shared" si="0"/>
        <v>1.3460478090233856E-3</v>
      </c>
      <c r="H15" s="21"/>
      <c r="I15" s="21"/>
      <c r="J15" s="7" t="s">
        <v>3529</v>
      </c>
    </row>
    <row r="16" spans="1:10" s="13" customFormat="1" ht="25.5" x14ac:dyDescent="0.2">
      <c r="A16" s="13" t="s">
        <v>25</v>
      </c>
      <c r="B16" s="12" t="s">
        <v>217</v>
      </c>
      <c r="C16" s="7" t="s">
        <v>1300</v>
      </c>
      <c r="D16" s="7" t="s">
        <v>450</v>
      </c>
      <c r="E16" s="6">
        <v>269836</v>
      </c>
      <c r="F16" s="6">
        <v>246939</v>
      </c>
      <c r="G16" s="57">
        <f t="shared" si="0"/>
        <v>-8.4855245408322094E-2</v>
      </c>
      <c r="H16" s="21"/>
      <c r="I16" s="21"/>
      <c r="J16" s="7" t="s">
        <v>3294</v>
      </c>
    </row>
    <row r="17" spans="1:10" s="13" customFormat="1" ht="25.5" x14ac:dyDescent="0.2">
      <c r="A17" s="13" t="s">
        <v>25</v>
      </c>
      <c r="B17" s="12" t="s">
        <v>184</v>
      </c>
      <c r="C17" s="7" t="s">
        <v>1462</v>
      </c>
      <c r="D17" s="7" t="s">
        <v>764</v>
      </c>
      <c r="E17" s="10">
        <v>282670</v>
      </c>
      <c r="F17" s="10">
        <v>245800</v>
      </c>
      <c r="G17" s="57">
        <f t="shared" si="0"/>
        <v>-0.13043478260869565</v>
      </c>
      <c r="H17" s="21"/>
      <c r="I17" s="21"/>
      <c r="J17" s="7" t="s">
        <v>2232</v>
      </c>
    </row>
    <row r="18" spans="1:10" s="13" customFormat="1" ht="51" x14ac:dyDescent="0.2">
      <c r="A18" s="13" t="s">
        <v>34</v>
      </c>
      <c r="B18" s="12" t="s">
        <v>101</v>
      </c>
      <c r="C18" s="13" t="s">
        <v>2210</v>
      </c>
      <c r="D18" s="7" t="s">
        <v>450</v>
      </c>
      <c r="E18" s="6">
        <v>238800</v>
      </c>
      <c r="F18" s="6">
        <v>245342</v>
      </c>
      <c r="G18" s="57">
        <f t="shared" si="0"/>
        <v>2.739530988274707E-2</v>
      </c>
      <c r="H18" s="20"/>
      <c r="I18" s="20"/>
      <c r="J18" s="7" t="s">
        <v>4238</v>
      </c>
    </row>
    <row r="19" spans="1:10" s="13" customFormat="1" ht="25.5" x14ac:dyDescent="0.2">
      <c r="A19" s="13" t="s">
        <v>111</v>
      </c>
      <c r="B19" s="12" t="s">
        <v>128</v>
      </c>
      <c r="C19" s="13" t="s">
        <v>2101</v>
      </c>
      <c r="D19" s="7" t="s">
        <v>450</v>
      </c>
      <c r="E19" s="6">
        <v>242485</v>
      </c>
      <c r="F19" s="6">
        <v>243728</v>
      </c>
      <c r="G19" s="57">
        <f t="shared" si="0"/>
        <v>5.1260902736251727E-3</v>
      </c>
      <c r="H19" s="20"/>
      <c r="I19" s="20"/>
      <c r="J19" s="7" t="s">
        <v>3941</v>
      </c>
    </row>
    <row r="20" spans="1:10" s="13" customFormat="1" ht="25.5" x14ac:dyDescent="0.2">
      <c r="A20" s="13" t="s">
        <v>6</v>
      </c>
      <c r="B20" s="12" t="s">
        <v>426</v>
      </c>
      <c r="C20" s="7" t="s">
        <v>527</v>
      </c>
      <c r="D20" s="7" t="s">
        <v>450</v>
      </c>
      <c r="E20" s="6">
        <v>228876</v>
      </c>
      <c r="F20" s="6">
        <v>238258</v>
      </c>
      <c r="G20" s="57">
        <f t="shared" si="0"/>
        <v>4.0991628654817452E-2</v>
      </c>
      <c r="H20" s="21"/>
      <c r="I20" s="21"/>
      <c r="J20" s="7" t="s">
        <v>4715</v>
      </c>
    </row>
    <row r="21" spans="1:10" s="13" customFormat="1" ht="12.75" x14ac:dyDescent="0.2">
      <c r="A21" s="13" t="s">
        <v>25</v>
      </c>
      <c r="B21" s="12" t="s">
        <v>70</v>
      </c>
      <c r="C21" s="13" t="s">
        <v>3782</v>
      </c>
      <c r="D21" s="7" t="s">
        <v>450</v>
      </c>
      <c r="E21" s="20">
        <f>211442+29998</f>
        <v>241440</v>
      </c>
      <c r="F21" s="20">
        <f>204961+31908</f>
        <v>236869</v>
      </c>
      <c r="G21" s="57">
        <f t="shared" si="0"/>
        <v>-1.8932239893969516E-2</v>
      </c>
      <c r="H21" s="20"/>
      <c r="I21" s="20"/>
      <c r="J21" s="7" t="s">
        <v>1912</v>
      </c>
    </row>
    <row r="22" spans="1:10" s="13" customFormat="1" ht="25.5" x14ac:dyDescent="0.2">
      <c r="A22" s="13" t="s">
        <v>25</v>
      </c>
      <c r="B22" s="12" t="s">
        <v>184</v>
      </c>
      <c r="C22" s="7" t="s">
        <v>1463</v>
      </c>
      <c r="D22" s="7" t="s">
        <v>450</v>
      </c>
      <c r="E22" s="10">
        <v>19355</v>
      </c>
      <c r="F22" s="10">
        <v>236263</v>
      </c>
      <c r="G22" s="57">
        <f t="shared" si="0"/>
        <v>11.20681994316714</v>
      </c>
      <c r="H22" s="21"/>
      <c r="I22" s="21"/>
      <c r="J22" s="7" t="s">
        <v>2233</v>
      </c>
    </row>
  </sheetData>
  <mergeCells count="2">
    <mergeCell ref="E1:F1"/>
    <mergeCell ref="H1:I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3"/>
  <sheetViews>
    <sheetView topLeftCell="A82" workbookViewId="0">
      <selection activeCell="A27" sqref="A27"/>
    </sheetView>
  </sheetViews>
  <sheetFormatPr defaultRowHeight="15" x14ac:dyDescent="0.25"/>
  <cols>
    <col min="1" max="1" width="34.5703125" customWidth="1"/>
  </cols>
  <sheetData>
    <row r="1" spans="1:2" x14ac:dyDescent="0.25">
      <c r="A1" t="s">
        <v>443</v>
      </c>
      <c r="B1" t="s">
        <v>4726</v>
      </c>
    </row>
    <row r="2" spans="1:2" x14ac:dyDescent="0.25">
      <c r="A2" s="51" t="s">
        <v>26</v>
      </c>
      <c r="B2" s="52">
        <v>47</v>
      </c>
    </row>
    <row r="3" spans="1:2" x14ac:dyDescent="0.25">
      <c r="A3" s="53" t="s">
        <v>182</v>
      </c>
      <c r="B3" s="54">
        <v>38</v>
      </c>
    </row>
    <row r="4" spans="1:2" x14ac:dyDescent="0.25">
      <c r="A4" s="53" t="s">
        <v>285</v>
      </c>
      <c r="B4" s="54">
        <v>38</v>
      </c>
    </row>
    <row r="5" spans="1:2" x14ac:dyDescent="0.25">
      <c r="A5" s="53" t="s">
        <v>154</v>
      </c>
      <c r="B5" s="54">
        <v>36</v>
      </c>
    </row>
    <row r="6" spans="1:2" x14ac:dyDescent="0.25">
      <c r="A6" s="53" t="s">
        <v>210</v>
      </c>
      <c r="B6" s="54">
        <v>34</v>
      </c>
    </row>
    <row r="7" spans="1:2" x14ac:dyDescent="0.25">
      <c r="A7" s="53" t="s">
        <v>407</v>
      </c>
      <c r="B7" s="54">
        <v>34</v>
      </c>
    </row>
    <row r="8" spans="1:2" x14ac:dyDescent="0.25">
      <c r="A8" s="53" t="s">
        <v>398</v>
      </c>
      <c r="B8" s="54">
        <v>32</v>
      </c>
    </row>
    <row r="9" spans="1:2" x14ac:dyDescent="0.25">
      <c r="A9" s="53" t="s">
        <v>406</v>
      </c>
      <c r="B9" s="54">
        <v>32</v>
      </c>
    </row>
    <row r="10" spans="1:2" x14ac:dyDescent="0.25">
      <c r="A10" s="53" t="s">
        <v>231</v>
      </c>
      <c r="B10" s="54">
        <v>28</v>
      </c>
    </row>
    <row r="11" spans="1:2" x14ac:dyDescent="0.25">
      <c r="A11" s="53" t="s">
        <v>237</v>
      </c>
      <c r="B11" s="54">
        <v>28</v>
      </c>
    </row>
    <row r="12" spans="1:2" x14ac:dyDescent="0.25">
      <c r="A12" s="53" t="s">
        <v>217</v>
      </c>
      <c r="B12" s="54">
        <v>27</v>
      </c>
    </row>
    <row r="13" spans="1:2" x14ac:dyDescent="0.25">
      <c r="A13" s="53" t="s">
        <v>243</v>
      </c>
      <c r="B13" s="54">
        <v>26</v>
      </c>
    </row>
    <row r="14" spans="1:2" x14ac:dyDescent="0.25">
      <c r="A14" s="53" t="s">
        <v>259</v>
      </c>
      <c r="B14" s="54">
        <v>26</v>
      </c>
    </row>
    <row r="15" spans="1:2" x14ac:dyDescent="0.25">
      <c r="A15" s="53" t="s">
        <v>409</v>
      </c>
      <c r="B15" s="54">
        <v>26</v>
      </c>
    </row>
    <row r="16" spans="1:2" x14ac:dyDescent="0.25">
      <c r="A16" s="53" t="s">
        <v>70</v>
      </c>
      <c r="B16" s="54">
        <v>25</v>
      </c>
    </row>
    <row r="17" spans="1:2" x14ac:dyDescent="0.25">
      <c r="A17" s="53" t="s">
        <v>168</v>
      </c>
      <c r="B17" s="54">
        <v>25</v>
      </c>
    </row>
    <row r="18" spans="1:2" x14ac:dyDescent="0.25">
      <c r="A18" s="53" t="s">
        <v>175</v>
      </c>
      <c r="B18" s="54">
        <v>25</v>
      </c>
    </row>
    <row r="19" spans="1:2" x14ac:dyDescent="0.25">
      <c r="A19" s="53" t="s">
        <v>364</v>
      </c>
      <c r="B19" s="54">
        <v>25</v>
      </c>
    </row>
    <row r="20" spans="1:2" x14ac:dyDescent="0.25">
      <c r="A20" s="53" t="s">
        <v>368</v>
      </c>
      <c r="B20" s="54">
        <v>25</v>
      </c>
    </row>
    <row r="21" spans="1:2" x14ac:dyDescent="0.25">
      <c r="A21" s="55" t="s">
        <v>53</v>
      </c>
      <c r="B21" s="56">
        <v>24</v>
      </c>
    </row>
    <row r="22" spans="1:2" x14ac:dyDescent="0.25">
      <c r="A22" t="s">
        <v>282</v>
      </c>
      <c r="B22">
        <v>24</v>
      </c>
    </row>
    <row r="23" spans="1:2" x14ac:dyDescent="0.25">
      <c r="A23" t="s">
        <v>208</v>
      </c>
      <c r="B23">
        <v>23</v>
      </c>
    </row>
    <row r="24" spans="1:2" x14ac:dyDescent="0.25">
      <c r="A24" t="s">
        <v>86</v>
      </c>
      <c r="B24">
        <v>22</v>
      </c>
    </row>
    <row r="25" spans="1:2" x14ac:dyDescent="0.25">
      <c r="A25" t="s">
        <v>181</v>
      </c>
      <c r="B25">
        <v>22</v>
      </c>
    </row>
    <row r="26" spans="1:2" x14ac:dyDescent="0.25">
      <c r="A26" t="s">
        <v>263</v>
      </c>
      <c r="B26">
        <v>22</v>
      </c>
    </row>
    <row r="27" spans="1:2" x14ac:dyDescent="0.25">
      <c r="A27" t="s">
        <v>370</v>
      </c>
      <c r="B27">
        <v>22</v>
      </c>
    </row>
    <row r="28" spans="1:2" x14ac:dyDescent="0.25">
      <c r="A28" t="s">
        <v>424</v>
      </c>
      <c r="B28">
        <v>22</v>
      </c>
    </row>
    <row r="29" spans="1:2" x14ac:dyDescent="0.25">
      <c r="A29" t="s">
        <v>107</v>
      </c>
      <c r="B29">
        <v>21</v>
      </c>
    </row>
    <row r="30" spans="1:2" x14ac:dyDescent="0.25">
      <c r="A30" t="s">
        <v>115</v>
      </c>
      <c r="B30">
        <v>21</v>
      </c>
    </row>
    <row r="31" spans="1:2" x14ac:dyDescent="0.25">
      <c r="A31" t="s">
        <v>128</v>
      </c>
      <c r="B31">
        <v>21</v>
      </c>
    </row>
    <row r="32" spans="1:2" x14ac:dyDescent="0.25">
      <c r="A32" t="s">
        <v>197</v>
      </c>
      <c r="B32">
        <v>21</v>
      </c>
    </row>
    <row r="33" spans="1:2" x14ac:dyDescent="0.25">
      <c r="A33" t="s">
        <v>292</v>
      </c>
      <c r="B33">
        <v>21</v>
      </c>
    </row>
    <row r="34" spans="1:2" x14ac:dyDescent="0.25">
      <c r="A34" t="s">
        <v>423</v>
      </c>
      <c r="B34">
        <v>21</v>
      </c>
    </row>
    <row r="35" spans="1:2" x14ac:dyDescent="0.25">
      <c r="A35" t="s">
        <v>427</v>
      </c>
      <c r="B35">
        <v>21</v>
      </c>
    </row>
    <row r="36" spans="1:2" x14ac:dyDescent="0.25">
      <c r="A36" t="s">
        <v>288</v>
      </c>
      <c r="B36">
        <v>20</v>
      </c>
    </row>
    <row r="37" spans="1:2" x14ac:dyDescent="0.25">
      <c r="A37" t="s">
        <v>48</v>
      </c>
      <c r="B37">
        <v>19</v>
      </c>
    </row>
    <row r="38" spans="1:2" x14ac:dyDescent="0.25">
      <c r="A38" t="s">
        <v>73</v>
      </c>
      <c r="B38">
        <v>19</v>
      </c>
    </row>
    <row r="39" spans="1:2" x14ac:dyDescent="0.25">
      <c r="A39" t="s">
        <v>178</v>
      </c>
      <c r="B39">
        <v>19</v>
      </c>
    </row>
    <row r="40" spans="1:2" x14ac:dyDescent="0.25">
      <c r="A40" t="s">
        <v>223</v>
      </c>
      <c r="B40">
        <v>19</v>
      </c>
    </row>
    <row r="41" spans="1:2" x14ac:dyDescent="0.25">
      <c r="A41" t="s">
        <v>336</v>
      </c>
      <c r="B41">
        <v>19</v>
      </c>
    </row>
    <row r="42" spans="1:2" x14ac:dyDescent="0.25">
      <c r="A42" t="s">
        <v>144</v>
      </c>
      <c r="B42">
        <v>18</v>
      </c>
    </row>
    <row r="43" spans="1:2" x14ac:dyDescent="0.25">
      <c r="A43" t="s">
        <v>174</v>
      </c>
      <c r="B43">
        <v>18</v>
      </c>
    </row>
    <row r="44" spans="1:2" x14ac:dyDescent="0.25">
      <c r="A44" t="s">
        <v>222</v>
      </c>
      <c r="B44">
        <v>18</v>
      </c>
    </row>
    <row r="45" spans="1:2" x14ac:dyDescent="0.25">
      <c r="A45" t="s">
        <v>335</v>
      </c>
      <c r="B45">
        <v>18</v>
      </c>
    </row>
    <row r="46" spans="1:2" x14ac:dyDescent="0.25">
      <c r="A46" t="s">
        <v>377</v>
      </c>
      <c r="B46">
        <v>18</v>
      </c>
    </row>
    <row r="47" spans="1:2" x14ac:dyDescent="0.25">
      <c r="A47" t="s">
        <v>50</v>
      </c>
      <c r="B47">
        <v>17</v>
      </c>
    </row>
    <row r="48" spans="1:2" x14ac:dyDescent="0.25">
      <c r="A48" t="s">
        <v>194</v>
      </c>
      <c r="B48">
        <v>17</v>
      </c>
    </row>
    <row r="49" spans="1:2" x14ac:dyDescent="0.25">
      <c r="A49" t="s">
        <v>216</v>
      </c>
      <c r="B49">
        <v>17</v>
      </c>
    </row>
    <row r="50" spans="1:2" x14ac:dyDescent="0.25">
      <c r="A50" t="s">
        <v>308</v>
      </c>
      <c r="B50">
        <v>17</v>
      </c>
    </row>
    <row r="51" spans="1:2" x14ac:dyDescent="0.25">
      <c r="A51" t="s">
        <v>309</v>
      </c>
      <c r="B51">
        <v>17</v>
      </c>
    </row>
    <row r="52" spans="1:2" x14ac:dyDescent="0.25">
      <c r="A52" t="s">
        <v>405</v>
      </c>
      <c r="B52">
        <v>17</v>
      </c>
    </row>
    <row r="53" spans="1:2" x14ac:dyDescent="0.25">
      <c r="A53" t="s">
        <v>41</v>
      </c>
      <c r="B53">
        <v>16</v>
      </c>
    </row>
    <row r="54" spans="1:2" x14ac:dyDescent="0.25">
      <c r="A54" t="s">
        <v>120</v>
      </c>
      <c r="B54">
        <v>16</v>
      </c>
    </row>
    <row r="55" spans="1:2" x14ac:dyDescent="0.25">
      <c r="A55" t="s">
        <v>125</v>
      </c>
      <c r="B55">
        <v>16</v>
      </c>
    </row>
    <row r="56" spans="1:2" x14ac:dyDescent="0.25">
      <c r="A56" t="s">
        <v>166</v>
      </c>
      <c r="B56">
        <v>16</v>
      </c>
    </row>
    <row r="57" spans="1:2" x14ac:dyDescent="0.25">
      <c r="A57" t="s">
        <v>229</v>
      </c>
      <c r="B57">
        <v>16</v>
      </c>
    </row>
    <row r="58" spans="1:2" x14ac:dyDescent="0.25">
      <c r="A58" t="s">
        <v>433</v>
      </c>
      <c r="B58">
        <v>16</v>
      </c>
    </row>
    <row r="59" spans="1:2" x14ac:dyDescent="0.25">
      <c r="A59" t="s">
        <v>46</v>
      </c>
      <c r="B59">
        <v>15</v>
      </c>
    </row>
    <row r="60" spans="1:2" x14ac:dyDescent="0.25">
      <c r="A60" t="s">
        <v>85</v>
      </c>
      <c r="B60">
        <v>15</v>
      </c>
    </row>
    <row r="61" spans="1:2" x14ac:dyDescent="0.25">
      <c r="A61" t="s">
        <v>119</v>
      </c>
      <c r="B61">
        <v>15</v>
      </c>
    </row>
    <row r="62" spans="1:2" x14ac:dyDescent="0.25">
      <c r="A62" t="s">
        <v>129</v>
      </c>
      <c r="B62">
        <v>15</v>
      </c>
    </row>
    <row r="63" spans="1:2" x14ac:dyDescent="0.25">
      <c r="A63" t="s">
        <v>187</v>
      </c>
      <c r="B63">
        <v>15</v>
      </c>
    </row>
    <row r="64" spans="1:2" x14ac:dyDescent="0.25">
      <c r="A64" t="s">
        <v>209</v>
      </c>
      <c r="B64">
        <v>15</v>
      </c>
    </row>
    <row r="65" spans="1:2" x14ac:dyDescent="0.25">
      <c r="A65" t="s">
        <v>93</v>
      </c>
      <c r="B65">
        <v>14</v>
      </c>
    </row>
    <row r="66" spans="1:2" x14ac:dyDescent="0.25">
      <c r="A66" t="s">
        <v>200</v>
      </c>
      <c r="B66">
        <v>14</v>
      </c>
    </row>
    <row r="67" spans="1:2" x14ac:dyDescent="0.25">
      <c r="A67" t="s">
        <v>221</v>
      </c>
      <c r="B67">
        <v>14</v>
      </c>
    </row>
    <row r="68" spans="1:2" x14ac:dyDescent="0.25">
      <c r="A68" t="s">
        <v>249</v>
      </c>
      <c r="B68">
        <v>14</v>
      </c>
    </row>
    <row r="69" spans="1:2" x14ac:dyDescent="0.25">
      <c r="A69" t="s">
        <v>325</v>
      </c>
      <c r="B69">
        <v>14</v>
      </c>
    </row>
    <row r="70" spans="1:2" x14ac:dyDescent="0.25">
      <c r="A70" t="s">
        <v>332</v>
      </c>
      <c r="B70">
        <v>14</v>
      </c>
    </row>
    <row r="71" spans="1:2" x14ac:dyDescent="0.25">
      <c r="A71" t="s">
        <v>38</v>
      </c>
      <c r="B71">
        <v>13</v>
      </c>
    </row>
    <row r="72" spans="1:2" x14ac:dyDescent="0.25">
      <c r="A72" t="s">
        <v>103</v>
      </c>
      <c r="B72">
        <v>13</v>
      </c>
    </row>
    <row r="73" spans="1:2" x14ac:dyDescent="0.25">
      <c r="A73" t="s">
        <v>179</v>
      </c>
      <c r="B73">
        <v>13</v>
      </c>
    </row>
    <row r="74" spans="1:2" x14ac:dyDescent="0.25">
      <c r="A74" t="s">
        <v>239</v>
      </c>
      <c r="B74">
        <v>13</v>
      </c>
    </row>
    <row r="75" spans="1:2" x14ac:dyDescent="0.25">
      <c r="A75" t="s">
        <v>311</v>
      </c>
      <c r="B75">
        <v>13</v>
      </c>
    </row>
    <row r="76" spans="1:2" x14ac:dyDescent="0.25">
      <c r="A76" t="s">
        <v>358</v>
      </c>
      <c r="B76">
        <v>13</v>
      </c>
    </row>
    <row r="77" spans="1:2" x14ac:dyDescent="0.25">
      <c r="A77" t="s">
        <v>379</v>
      </c>
      <c r="B77">
        <v>13</v>
      </c>
    </row>
    <row r="78" spans="1:2" x14ac:dyDescent="0.25">
      <c r="A78" t="s">
        <v>420</v>
      </c>
      <c r="B78">
        <v>13</v>
      </c>
    </row>
    <row r="79" spans="1:2" x14ac:dyDescent="0.25">
      <c r="A79" t="s">
        <v>69</v>
      </c>
      <c r="B79">
        <v>12</v>
      </c>
    </row>
    <row r="80" spans="1:2" x14ac:dyDescent="0.25">
      <c r="A80" t="s">
        <v>92</v>
      </c>
      <c r="B80">
        <v>12</v>
      </c>
    </row>
    <row r="81" spans="1:2" x14ac:dyDescent="0.25">
      <c r="A81" t="s">
        <v>213</v>
      </c>
      <c r="B81">
        <v>12</v>
      </c>
    </row>
    <row r="82" spans="1:2" x14ac:dyDescent="0.25">
      <c r="A82" t="s">
        <v>218</v>
      </c>
      <c r="B82">
        <v>12</v>
      </c>
    </row>
    <row r="83" spans="1:2" x14ac:dyDescent="0.25">
      <c r="A83" t="s">
        <v>225</v>
      </c>
      <c r="B83">
        <v>12</v>
      </c>
    </row>
    <row r="84" spans="1:2" x14ac:dyDescent="0.25">
      <c r="A84" t="s">
        <v>247</v>
      </c>
      <c r="B84">
        <v>12</v>
      </c>
    </row>
    <row r="85" spans="1:2" x14ac:dyDescent="0.25">
      <c r="A85" t="s">
        <v>273</v>
      </c>
      <c r="B85">
        <v>12</v>
      </c>
    </row>
    <row r="86" spans="1:2" x14ac:dyDescent="0.25">
      <c r="A86" t="s">
        <v>355</v>
      </c>
      <c r="B86">
        <v>12</v>
      </c>
    </row>
    <row r="87" spans="1:2" x14ac:dyDescent="0.25">
      <c r="A87" t="s">
        <v>356</v>
      </c>
      <c r="B87">
        <v>12</v>
      </c>
    </row>
    <row r="88" spans="1:2" x14ac:dyDescent="0.25">
      <c r="A88" t="s">
        <v>415</v>
      </c>
      <c r="B88">
        <v>12</v>
      </c>
    </row>
    <row r="89" spans="1:2" x14ac:dyDescent="0.25">
      <c r="A89" t="s">
        <v>429</v>
      </c>
      <c r="B89">
        <v>12</v>
      </c>
    </row>
    <row r="90" spans="1:2" x14ac:dyDescent="0.25">
      <c r="A90" t="s">
        <v>35</v>
      </c>
      <c r="B90">
        <v>11</v>
      </c>
    </row>
    <row r="91" spans="1:2" x14ac:dyDescent="0.25">
      <c r="A91" t="s">
        <v>79</v>
      </c>
      <c r="B91">
        <v>11</v>
      </c>
    </row>
    <row r="92" spans="1:2" x14ac:dyDescent="0.25">
      <c r="A92" t="s">
        <v>101</v>
      </c>
      <c r="B92">
        <v>11</v>
      </c>
    </row>
    <row r="93" spans="1:2" x14ac:dyDescent="0.25">
      <c r="A93" t="s">
        <v>260</v>
      </c>
      <c r="B93">
        <v>11</v>
      </c>
    </row>
    <row r="94" spans="1:2" x14ac:dyDescent="0.25">
      <c r="A94" t="s">
        <v>296</v>
      </c>
      <c r="B94">
        <v>11</v>
      </c>
    </row>
    <row r="95" spans="1:2" x14ac:dyDescent="0.25">
      <c r="A95" t="s">
        <v>324</v>
      </c>
      <c r="B95">
        <v>11</v>
      </c>
    </row>
    <row r="96" spans="1:2" x14ac:dyDescent="0.25">
      <c r="A96" t="s">
        <v>329</v>
      </c>
      <c r="B96">
        <v>11</v>
      </c>
    </row>
    <row r="97" spans="1:2" x14ac:dyDescent="0.25">
      <c r="A97" t="s">
        <v>388</v>
      </c>
      <c r="B97">
        <v>11</v>
      </c>
    </row>
    <row r="98" spans="1:2" x14ac:dyDescent="0.25">
      <c r="A98" t="s">
        <v>9</v>
      </c>
      <c r="B98">
        <v>10</v>
      </c>
    </row>
    <row r="99" spans="1:2" x14ac:dyDescent="0.25">
      <c r="A99" t="s">
        <v>24</v>
      </c>
      <c r="B99">
        <v>10</v>
      </c>
    </row>
    <row r="100" spans="1:2" x14ac:dyDescent="0.25">
      <c r="A100" t="s">
        <v>59</v>
      </c>
      <c r="B100">
        <v>10</v>
      </c>
    </row>
    <row r="101" spans="1:2" x14ac:dyDescent="0.25">
      <c r="A101" t="s">
        <v>75</v>
      </c>
      <c r="B101">
        <v>10</v>
      </c>
    </row>
    <row r="102" spans="1:2" x14ac:dyDescent="0.25">
      <c r="A102" t="s">
        <v>116</v>
      </c>
      <c r="B102">
        <v>10</v>
      </c>
    </row>
    <row r="103" spans="1:2" x14ac:dyDescent="0.25">
      <c r="A103" t="s">
        <v>184</v>
      </c>
      <c r="B103">
        <v>10</v>
      </c>
    </row>
    <row r="104" spans="1:2" x14ac:dyDescent="0.25">
      <c r="A104" t="s">
        <v>192</v>
      </c>
      <c r="B104">
        <v>10</v>
      </c>
    </row>
    <row r="105" spans="1:2" x14ac:dyDescent="0.25">
      <c r="A105" t="s">
        <v>206</v>
      </c>
      <c r="B105">
        <v>10</v>
      </c>
    </row>
    <row r="106" spans="1:2" x14ac:dyDescent="0.25">
      <c r="A106" t="s">
        <v>276</v>
      </c>
      <c r="B106">
        <v>10</v>
      </c>
    </row>
    <row r="107" spans="1:2" x14ac:dyDescent="0.25">
      <c r="A107" t="s">
        <v>281</v>
      </c>
      <c r="B107">
        <v>10</v>
      </c>
    </row>
    <row r="108" spans="1:2" x14ac:dyDescent="0.25">
      <c r="A108" t="s">
        <v>299</v>
      </c>
      <c r="B108">
        <v>10</v>
      </c>
    </row>
    <row r="109" spans="1:2" x14ac:dyDescent="0.25">
      <c r="A109" t="s">
        <v>360</v>
      </c>
      <c r="B109">
        <v>10</v>
      </c>
    </row>
    <row r="110" spans="1:2" x14ac:dyDescent="0.25">
      <c r="A110" t="s">
        <v>374</v>
      </c>
      <c r="B110">
        <v>10</v>
      </c>
    </row>
    <row r="111" spans="1:2" x14ac:dyDescent="0.25">
      <c r="A111" t="s">
        <v>382</v>
      </c>
      <c r="B111">
        <v>10</v>
      </c>
    </row>
    <row r="112" spans="1:2" x14ac:dyDescent="0.25">
      <c r="A112" t="s">
        <v>403</v>
      </c>
      <c r="B112">
        <v>10</v>
      </c>
    </row>
    <row r="113" spans="1:2" x14ac:dyDescent="0.25">
      <c r="A113" t="s">
        <v>441</v>
      </c>
      <c r="B113">
        <v>10</v>
      </c>
    </row>
    <row r="114" spans="1:2" x14ac:dyDescent="0.25">
      <c r="A114" t="s">
        <v>67</v>
      </c>
      <c r="B114">
        <v>9</v>
      </c>
    </row>
    <row r="115" spans="1:2" x14ac:dyDescent="0.25">
      <c r="A115" t="s">
        <v>108</v>
      </c>
      <c r="B115">
        <v>9</v>
      </c>
    </row>
    <row r="116" spans="1:2" x14ac:dyDescent="0.25">
      <c r="A116" t="s">
        <v>124</v>
      </c>
      <c r="B116">
        <v>9</v>
      </c>
    </row>
    <row r="117" spans="1:2" x14ac:dyDescent="0.25">
      <c r="A117" t="s">
        <v>126</v>
      </c>
      <c r="B117">
        <v>9</v>
      </c>
    </row>
    <row r="118" spans="1:2" x14ac:dyDescent="0.25">
      <c r="A118" t="s">
        <v>142</v>
      </c>
      <c r="B118">
        <v>9</v>
      </c>
    </row>
    <row r="119" spans="1:2" x14ac:dyDescent="0.25">
      <c r="A119" t="s">
        <v>160</v>
      </c>
      <c r="B119">
        <v>9</v>
      </c>
    </row>
    <row r="120" spans="1:2" x14ac:dyDescent="0.25">
      <c r="A120" t="s">
        <v>257</v>
      </c>
      <c r="B120">
        <v>9</v>
      </c>
    </row>
    <row r="121" spans="1:2" x14ac:dyDescent="0.25">
      <c r="A121" t="s">
        <v>272</v>
      </c>
      <c r="B121">
        <v>9</v>
      </c>
    </row>
    <row r="122" spans="1:2" x14ac:dyDescent="0.25">
      <c r="A122" t="s">
        <v>280</v>
      </c>
      <c r="B122">
        <v>9</v>
      </c>
    </row>
    <row r="123" spans="1:2" x14ac:dyDescent="0.25">
      <c r="A123" t="s">
        <v>297</v>
      </c>
      <c r="B123">
        <v>9</v>
      </c>
    </row>
    <row r="124" spans="1:2" x14ac:dyDescent="0.25">
      <c r="A124" t="s">
        <v>303</v>
      </c>
      <c r="B124">
        <v>9</v>
      </c>
    </row>
    <row r="125" spans="1:2" x14ac:dyDescent="0.25">
      <c r="A125" t="s">
        <v>304</v>
      </c>
      <c r="B125">
        <v>9</v>
      </c>
    </row>
    <row r="126" spans="1:2" x14ac:dyDescent="0.25">
      <c r="A126" t="s">
        <v>343</v>
      </c>
      <c r="B126">
        <v>9</v>
      </c>
    </row>
    <row r="127" spans="1:2" x14ac:dyDescent="0.25">
      <c r="A127" t="s">
        <v>362</v>
      </c>
      <c r="B127">
        <v>9</v>
      </c>
    </row>
    <row r="128" spans="1:2" x14ac:dyDescent="0.25">
      <c r="A128" t="s">
        <v>376</v>
      </c>
      <c r="B128">
        <v>9</v>
      </c>
    </row>
    <row r="129" spans="1:2" x14ac:dyDescent="0.25">
      <c r="A129" t="s">
        <v>381</v>
      </c>
      <c r="B129">
        <v>9</v>
      </c>
    </row>
    <row r="130" spans="1:2" x14ac:dyDescent="0.25">
      <c r="A130" t="s">
        <v>426</v>
      </c>
      <c r="B130">
        <v>9</v>
      </c>
    </row>
    <row r="131" spans="1:2" x14ac:dyDescent="0.25">
      <c r="A131" t="s">
        <v>42</v>
      </c>
      <c r="B131">
        <v>8</v>
      </c>
    </row>
    <row r="132" spans="1:2" x14ac:dyDescent="0.25">
      <c r="A132" t="s">
        <v>55</v>
      </c>
      <c r="B132">
        <v>8</v>
      </c>
    </row>
    <row r="133" spans="1:2" x14ac:dyDescent="0.25">
      <c r="A133" t="s">
        <v>56</v>
      </c>
      <c r="B133">
        <v>8</v>
      </c>
    </row>
    <row r="134" spans="1:2" x14ac:dyDescent="0.25">
      <c r="A134" t="s">
        <v>81</v>
      </c>
      <c r="B134">
        <v>8</v>
      </c>
    </row>
    <row r="135" spans="1:2" x14ac:dyDescent="0.25">
      <c r="A135" t="s">
        <v>82</v>
      </c>
      <c r="B135">
        <v>8</v>
      </c>
    </row>
    <row r="136" spans="1:2" x14ac:dyDescent="0.25">
      <c r="A136" t="s">
        <v>88</v>
      </c>
      <c r="B136">
        <v>8</v>
      </c>
    </row>
    <row r="137" spans="1:2" x14ac:dyDescent="0.25">
      <c r="A137" t="s">
        <v>121</v>
      </c>
      <c r="B137">
        <v>8</v>
      </c>
    </row>
    <row r="138" spans="1:2" x14ac:dyDescent="0.25">
      <c r="A138" t="s">
        <v>133</v>
      </c>
      <c r="B138">
        <v>8</v>
      </c>
    </row>
    <row r="139" spans="1:2" x14ac:dyDescent="0.25">
      <c r="A139" t="s">
        <v>141</v>
      </c>
      <c r="B139">
        <v>8</v>
      </c>
    </row>
    <row r="140" spans="1:2" x14ac:dyDescent="0.25">
      <c r="A140" t="s">
        <v>150</v>
      </c>
      <c r="B140">
        <v>8</v>
      </c>
    </row>
    <row r="141" spans="1:2" x14ac:dyDescent="0.25">
      <c r="A141" t="s">
        <v>156</v>
      </c>
      <c r="B141">
        <v>8</v>
      </c>
    </row>
    <row r="142" spans="1:2" x14ac:dyDescent="0.25">
      <c r="A142" t="s">
        <v>161</v>
      </c>
      <c r="B142">
        <v>8</v>
      </c>
    </row>
    <row r="143" spans="1:2" x14ac:dyDescent="0.25">
      <c r="A143" t="s">
        <v>170</v>
      </c>
      <c r="B143">
        <v>8</v>
      </c>
    </row>
    <row r="144" spans="1:2" x14ac:dyDescent="0.25">
      <c r="A144" t="s">
        <v>214</v>
      </c>
      <c r="B144">
        <v>8</v>
      </c>
    </row>
    <row r="145" spans="1:2" x14ac:dyDescent="0.25">
      <c r="A145" t="s">
        <v>269</v>
      </c>
      <c r="B145">
        <v>8</v>
      </c>
    </row>
    <row r="146" spans="1:2" x14ac:dyDescent="0.25">
      <c r="A146" t="s">
        <v>279</v>
      </c>
      <c r="B146">
        <v>8</v>
      </c>
    </row>
    <row r="147" spans="1:2" x14ac:dyDescent="0.25">
      <c r="A147" t="s">
        <v>305</v>
      </c>
      <c r="B147">
        <v>8</v>
      </c>
    </row>
    <row r="148" spans="1:2" x14ac:dyDescent="0.25">
      <c r="A148" t="s">
        <v>327</v>
      </c>
      <c r="B148">
        <v>8</v>
      </c>
    </row>
    <row r="149" spans="1:2" x14ac:dyDescent="0.25">
      <c r="A149" t="s">
        <v>337</v>
      </c>
      <c r="B149">
        <v>8</v>
      </c>
    </row>
    <row r="150" spans="1:2" x14ac:dyDescent="0.25">
      <c r="A150" t="s">
        <v>338</v>
      </c>
      <c r="B150">
        <v>8</v>
      </c>
    </row>
    <row r="151" spans="1:2" x14ac:dyDescent="0.25">
      <c r="A151" t="s">
        <v>348</v>
      </c>
      <c r="B151">
        <v>8</v>
      </c>
    </row>
    <row r="152" spans="1:2" x14ac:dyDescent="0.25">
      <c r="A152" t="s">
        <v>357</v>
      </c>
      <c r="B152">
        <v>8</v>
      </c>
    </row>
    <row r="153" spans="1:2" x14ac:dyDescent="0.25">
      <c r="A153" t="s">
        <v>383</v>
      </c>
      <c r="B153">
        <v>8</v>
      </c>
    </row>
    <row r="154" spans="1:2" x14ac:dyDescent="0.25">
      <c r="A154" t="s">
        <v>394</v>
      </c>
      <c r="B154">
        <v>8</v>
      </c>
    </row>
    <row r="155" spans="1:2" x14ac:dyDescent="0.25">
      <c r="A155" t="s">
        <v>404</v>
      </c>
      <c r="B155">
        <v>8</v>
      </c>
    </row>
    <row r="156" spans="1:2" x14ac:dyDescent="0.25">
      <c r="A156" t="s">
        <v>432</v>
      </c>
      <c r="B156">
        <v>8</v>
      </c>
    </row>
    <row r="157" spans="1:2" x14ac:dyDescent="0.25">
      <c r="A157" t="s">
        <v>0</v>
      </c>
      <c r="B157">
        <v>7</v>
      </c>
    </row>
    <row r="158" spans="1:2" x14ac:dyDescent="0.25">
      <c r="A158" t="s">
        <v>27</v>
      </c>
      <c r="B158">
        <v>7</v>
      </c>
    </row>
    <row r="159" spans="1:2" x14ac:dyDescent="0.25">
      <c r="A159" t="s">
        <v>30</v>
      </c>
      <c r="B159">
        <v>7</v>
      </c>
    </row>
    <row r="160" spans="1:2" x14ac:dyDescent="0.25">
      <c r="A160" t="s">
        <v>33</v>
      </c>
      <c r="B160">
        <v>7</v>
      </c>
    </row>
    <row r="161" spans="1:2" x14ac:dyDescent="0.25">
      <c r="A161" t="s">
        <v>37</v>
      </c>
      <c r="B161">
        <v>7</v>
      </c>
    </row>
    <row r="162" spans="1:2" x14ac:dyDescent="0.25">
      <c r="A162" t="s">
        <v>49</v>
      </c>
      <c r="B162">
        <v>7</v>
      </c>
    </row>
    <row r="163" spans="1:2" x14ac:dyDescent="0.25">
      <c r="A163" t="s">
        <v>63</v>
      </c>
      <c r="B163">
        <v>7</v>
      </c>
    </row>
    <row r="164" spans="1:2" x14ac:dyDescent="0.25">
      <c r="A164" t="s">
        <v>65</v>
      </c>
      <c r="B164">
        <v>7</v>
      </c>
    </row>
    <row r="165" spans="1:2" x14ac:dyDescent="0.25">
      <c r="A165" t="s">
        <v>112</v>
      </c>
      <c r="B165">
        <v>7</v>
      </c>
    </row>
    <row r="166" spans="1:2" x14ac:dyDescent="0.25">
      <c r="A166" t="s">
        <v>114</v>
      </c>
      <c r="B166">
        <v>7</v>
      </c>
    </row>
    <row r="167" spans="1:2" x14ac:dyDescent="0.25">
      <c r="A167" t="s">
        <v>135</v>
      </c>
      <c r="B167">
        <v>7</v>
      </c>
    </row>
    <row r="168" spans="1:2" x14ac:dyDescent="0.25">
      <c r="A168" t="s">
        <v>196</v>
      </c>
      <c r="B168">
        <v>7</v>
      </c>
    </row>
    <row r="169" spans="1:2" x14ac:dyDescent="0.25">
      <c r="A169" t="s">
        <v>203</v>
      </c>
      <c r="B169">
        <v>7</v>
      </c>
    </row>
    <row r="170" spans="1:2" x14ac:dyDescent="0.25">
      <c r="A170" t="s">
        <v>284</v>
      </c>
      <c r="B170">
        <v>7</v>
      </c>
    </row>
    <row r="171" spans="1:2" x14ac:dyDescent="0.25">
      <c r="A171" t="s">
        <v>313</v>
      </c>
      <c r="B171">
        <v>7</v>
      </c>
    </row>
    <row r="172" spans="1:2" x14ac:dyDescent="0.25">
      <c r="A172" t="s">
        <v>317</v>
      </c>
      <c r="B172">
        <v>7</v>
      </c>
    </row>
    <row r="173" spans="1:2" x14ac:dyDescent="0.25">
      <c r="A173" t="s">
        <v>2429</v>
      </c>
      <c r="B173">
        <v>7</v>
      </c>
    </row>
    <row r="174" spans="1:2" x14ac:dyDescent="0.25">
      <c r="A174" t="s">
        <v>430</v>
      </c>
      <c r="B174">
        <v>7</v>
      </c>
    </row>
    <row r="175" spans="1:2" x14ac:dyDescent="0.25">
      <c r="A175" t="s">
        <v>57</v>
      </c>
      <c r="B175">
        <v>6</v>
      </c>
    </row>
    <row r="176" spans="1:2" x14ac:dyDescent="0.25">
      <c r="A176" t="s">
        <v>109</v>
      </c>
      <c r="B176">
        <v>6</v>
      </c>
    </row>
    <row r="177" spans="1:2" x14ac:dyDescent="0.25">
      <c r="A177" t="s">
        <v>110</v>
      </c>
      <c r="B177">
        <v>6</v>
      </c>
    </row>
    <row r="178" spans="1:2" x14ac:dyDescent="0.25">
      <c r="A178" t="s">
        <v>158</v>
      </c>
      <c r="B178">
        <v>6</v>
      </c>
    </row>
    <row r="179" spans="1:2" x14ac:dyDescent="0.25">
      <c r="A179" t="s">
        <v>189</v>
      </c>
      <c r="B179">
        <v>6</v>
      </c>
    </row>
    <row r="180" spans="1:2" x14ac:dyDescent="0.25">
      <c r="A180" t="s">
        <v>191</v>
      </c>
      <c r="B180">
        <v>6</v>
      </c>
    </row>
    <row r="181" spans="1:2" x14ac:dyDescent="0.25">
      <c r="A181" t="s">
        <v>201</v>
      </c>
      <c r="B181">
        <v>6</v>
      </c>
    </row>
    <row r="182" spans="1:2" x14ac:dyDescent="0.25">
      <c r="A182" t="s">
        <v>215</v>
      </c>
      <c r="B182">
        <v>6</v>
      </c>
    </row>
    <row r="183" spans="1:2" x14ac:dyDescent="0.25">
      <c r="A183" t="s">
        <v>248</v>
      </c>
      <c r="B183">
        <v>6</v>
      </c>
    </row>
    <row r="184" spans="1:2" x14ac:dyDescent="0.25">
      <c r="A184" t="s">
        <v>283</v>
      </c>
      <c r="B184">
        <v>6</v>
      </c>
    </row>
    <row r="185" spans="1:2" x14ac:dyDescent="0.25">
      <c r="A185" t="s">
        <v>293</v>
      </c>
      <c r="B185">
        <v>6</v>
      </c>
    </row>
    <row r="186" spans="1:2" x14ac:dyDescent="0.25">
      <c r="A186" t="s">
        <v>298</v>
      </c>
      <c r="B186">
        <v>6</v>
      </c>
    </row>
    <row r="187" spans="1:2" x14ac:dyDescent="0.25">
      <c r="A187" t="s">
        <v>307</v>
      </c>
      <c r="B187">
        <v>6</v>
      </c>
    </row>
    <row r="188" spans="1:2" x14ac:dyDescent="0.25">
      <c r="A188" t="s">
        <v>342</v>
      </c>
      <c r="B188">
        <v>6</v>
      </c>
    </row>
    <row r="189" spans="1:2" x14ac:dyDescent="0.25">
      <c r="A189" t="s">
        <v>369</v>
      </c>
      <c r="B189">
        <v>6</v>
      </c>
    </row>
    <row r="190" spans="1:2" x14ac:dyDescent="0.25">
      <c r="A190" t="s">
        <v>435</v>
      </c>
      <c r="B190">
        <v>6</v>
      </c>
    </row>
    <row r="191" spans="1:2" x14ac:dyDescent="0.25">
      <c r="A191" t="s">
        <v>436</v>
      </c>
      <c r="B191">
        <v>6</v>
      </c>
    </row>
    <row r="192" spans="1:2" x14ac:dyDescent="0.25">
      <c r="A192" t="s">
        <v>2</v>
      </c>
      <c r="B192">
        <v>5</v>
      </c>
    </row>
    <row r="193" spans="1:2" x14ac:dyDescent="0.25">
      <c r="A193" t="s">
        <v>43</v>
      </c>
      <c r="B193">
        <v>5</v>
      </c>
    </row>
    <row r="194" spans="1:2" x14ac:dyDescent="0.25">
      <c r="A194" t="s">
        <v>66</v>
      </c>
      <c r="B194">
        <v>5</v>
      </c>
    </row>
    <row r="195" spans="1:2" x14ac:dyDescent="0.25">
      <c r="A195" t="s">
        <v>80</v>
      </c>
      <c r="B195">
        <v>5</v>
      </c>
    </row>
    <row r="196" spans="1:2" x14ac:dyDescent="0.25">
      <c r="A196" t="s">
        <v>130</v>
      </c>
      <c r="B196">
        <v>5</v>
      </c>
    </row>
    <row r="197" spans="1:2" x14ac:dyDescent="0.25">
      <c r="A197" t="s">
        <v>139</v>
      </c>
      <c r="B197">
        <v>5</v>
      </c>
    </row>
    <row r="198" spans="1:2" x14ac:dyDescent="0.25">
      <c r="A198" t="s">
        <v>172</v>
      </c>
      <c r="B198">
        <v>5</v>
      </c>
    </row>
    <row r="199" spans="1:2" x14ac:dyDescent="0.25">
      <c r="A199" t="s">
        <v>176</v>
      </c>
      <c r="B199">
        <v>5</v>
      </c>
    </row>
    <row r="200" spans="1:2" x14ac:dyDescent="0.25">
      <c r="A200" t="s">
        <v>193</v>
      </c>
      <c r="B200">
        <v>5</v>
      </c>
    </row>
    <row r="201" spans="1:2" x14ac:dyDescent="0.25">
      <c r="A201" t="s">
        <v>212</v>
      </c>
      <c r="B201">
        <v>5</v>
      </c>
    </row>
    <row r="202" spans="1:2" x14ac:dyDescent="0.25">
      <c r="A202" t="s">
        <v>219</v>
      </c>
      <c r="B202">
        <v>5</v>
      </c>
    </row>
    <row r="203" spans="1:2" x14ac:dyDescent="0.25">
      <c r="A203" t="s">
        <v>228</v>
      </c>
      <c r="B203">
        <v>5</v>
      </c>
    </row>
    <row r="204" spans="1:2" x14ac:dyDescent="0.25">
      <c r="A204" t="s">
        <v>232</v>
      </c>
      <c r="B204">
        <v>5</v>
      </c>
    </row>
    <row r="205" spans="1:2" x14ac:dyDescent="0.25">
      <c r="A205" t="s">
        <v>250</v>
      </c>
      <c r="B205">
        <v>5</v>
      </c>
    </row>
    <row r="206" spans="1:2" x14ac:dyDescent="0.25">
      <c r="A206" t="s">
        <v>251</v>
      </c>
      <c r="B206">
        <v>5</v>
      </c>
    </row>
    <row r="207" spans="1:2" x14ac:dyDescent="0.25">
      <c r="A207" t="s">
        <v>254</v>
      </c>
      <c r="B207">
        <v>5</v>
      </c>
    </row>
    <row r="208" spans="1:2" x14ac:dyDescent="0.25">
      <c r="A208" t="s">
        <v>274</v>
      </c>
      <c r="B208">
        <v>5</v>
      </c>
    </row>
    <row r="209" spans="1:2" x14ac:dyDescent="0.25">
      <c r="A209" t="s">
        <v>275</v>
      </c>
      <c r="B209">
        <v>5</v>
      </c>
    </row>
    <row r="210" spans="1:2" x14ac:dyDescent="0.25">
      <c r="A210" t="s">
        <v>290</v>
      </c>
      <c r="B210">
        <v>5</v>
      </c>
    </row>
    <row r="211" spans="1:2" x14ac:dyDescent="0.25">
      <c r="A211" t="s">
        <v>300</v>
      </c>
      <c r="B211">
        <v>5</v>
      </c>
    </row>
    <row r="212" spans="1:2" x14ac:dyDescent="0.25">
      <c r="A212" t="s">
        <v>319</v>
      </c>
      <c r="B212">
        <v>5</v>
      </c>
    </row>
    <row r="213" spans="1:2" x14ac:dyDescent="0.25">
      <c r="A213" t="s">
        <v>350</v>
      </c>
      <c r="B213">
        <v>5</v>
      </c>
    </row>
    <row r="214" spans="1:2" x14ac:dyDescent="0.25">
      <c r="A214" t="s">
        <v>395</v>
      </c>
      <c r="B214">
        <v>5</v>
      </c>
    </row>
    <row r="215" spans="1:2" x14ac:dyDescent="0.25">
      <c r="A215" t="s">
        <v>396</v>
      </c>
      <c r="B215">
        <v>5</v>
      </c>
    </row>
    <row r="216" spans="1:2" x14ac:dyDescent="0.25">
      <c r="A216" t="s">
        <v>397</v>
      </c>
      <c r="B216">
        <v>5</v>
      </c>
    </row>
    <row r="217" spans="1:2" x14ac:dyDescent="0.25">
      <c r="A217" t="s">
        <v>399</v>
      </c>
      <c r="B217">
        <v>5</v>
      </c>
    </row>
    <row r="218" spans="1:2" x14ac:dyDescent="0.25">
      <c r="A218" t="s">
        <v>417</v>
      </c>
      <c r="B218">
        <v>5</v>
      </c>
    </row>
    <row r="219" spans="1:2" x14ac:dyDescent="0.25">
      <c r="A219" t="s">
        <v>428</v>
      </c>
      <c r="B219">
        <v>5</v>
      </c>
    </row>
    <row r="220" spans="1:2" x14ac:dyDescent="0.25">
      <c r="A220" t="s">
        <v>439</v>
      </c>
      <c r="B220">
        <v>5</v>
      </c>
    </row>
    <row r="221" spans="1:2" x14ac:dyDescent="0.25">
      <c r="A221" t="s">
        <v>13</v>
      </c>
      <c r="B221">
        <v>4</v>
      </c>
    </row>
    <row r="222" spans="1:2" x14ac:dyDescent="0.25">
      <c r="A222" t="s">
        <v>15</v>
      </c>
      <c r="B222">
        <v>4</v>
      </c>
    </row>
    <row r="223" spans="1:2" x14ac:dyDescent="0.25">
      <c r="A223" t="s">
        <v>32</v>
      </c>
      <c r="B223">
        <v>4</v>
      </c>
    </row>
    <row r="224" spans="1:2" x14ac:dyDescent="0.25">
      <c r="A224" t="s">
        <v>51</v>
      </c>
      <c r="B224">
        <v>4</v>
      </c>
    </row>
    <row r="225" spans="1:2" x14ac:dyDescent="0.25">
      <c r="A225" t="s">
        <v>68</v>
      </c>
      <c r="B225">
        <v>4</v>
      </c>
    </row>
    <row r="226" spans="1:2" x14ac:dyDescent="0.25">
      <c r="A226" t="s">
        <v>77</v>
      </c>
      <c r="B226">
        <v>4</v>
      </c>
    </row>
    <row r="227" spans="1:2" x14ac:dyDescent="0.25">
      <c r="A227" t="s">
        <v>83</v>
      </c>
      <c r="B227">
        <v>4</v>
      </c>
    </row>
    <row r="228" spans="1:2" x14ac:dyDescent="0.25">
      <c r="A228" t="s">
        <v>90</v>
      </c>
      <c r="B228">
        <v>4</v>
      </c>
    </row>
    <row r="229" spans="1:2" x14ac:dyDescent="0.25">
      <c r="A229" t="s">
        <v>91</v>
      </c>
      <c r="B229">
        <v>4</v>
      </c>
    </row>
    <row r="230" spans="1:2" x14ac:dyDescent="0.25">
      <c r="A230" t="s">
        <v>95</v>
      </c>
      <c r="B230">
        <v>4</v>
      </c>
    </row>
    <row r="231" spans="1:2" x14ac:dyDescent="0.25">
      <c r="A231" t="s">
        <v>97</v>
      </c>
      <c r="B231">
        <v>4</v>
      </c>
    </row>
    <row r="232" spans="1:2" x14ac:dyDescent="0.25">
      <c r="A232" t="s">
        <v>100</v>
      </c>
      <c r="B232">
        <v>4</v>
      </c>
    </row>
    <row r="233" spans="1:2" x14ac:dyDescent="0.25">
      <c r="A233" t="s">
        <v>106</v>
      </c>
      <c r="B233">
        <v>4</v>
      </c>
    </row>
    <row r="234" spans="1:2" x14ac:dyDescent="0.25">
      <c r="A234" t="s">
        <v>137</v>
      </c>
      <c r="B234">
        <v>4</v>
      </c>
    </row>
    <row r="235" spans="1:2" x14ac:dyDescent="0.25">
      <c r="A235" t="s">
        <v>177</v>
      </c>
      <c r="B235">
        <v>4</v>
      </c>
    </row>
    <row r="236" spans="1:2" x14ac:dyDescent="0.25">
      <c r="A236" t="s">
        <v>186</v>
      </c>
      <c r="B236">
        <v>4</v>
      </c>
    </row>
    <row r="237" spans="1:2" x14ac:dyDescent="0.25">
      <c r="A237" t="s">
        <v>199</v>
      </c>
      <c r="B237">
        <v>4</v>
      </c>
    </row>
    <row r="238" spans="1:2" x14ac:dyDescent="0.25">
      <c r="A238" t="s">
        <v>211</v>
      </c>
      <c r="B238">
        <v>4</v>
      </c>
    </row>
    <row r="239" spans="1:2" x14ac:dyDescent="0.25">
      <c r="A239" t="s">
        <v>258</v>
      </c>
      <c r="B239">
        <v>4</v>
      </c>
    </row>
    <row r="240" spans="1:2" x14ac:dyDescent="0.25">
      <c r="A240" t="s">
        <v>270</v>
      </c>
      <c r="B240">
        <v>4</v>
      </c>
    </row>
    <row r="241" spans="1:2" x14ac:dyDescent="0.25">
      <c r="A241" t="s">
        <v>291</v>
      </c>
      <c r="B241">
        <v>4</v>
      </c>
    </row>
    <row r="242" spans="1:2" x14ac:dyDescent="0.25">
      <c r="A242" t="s">
        <v>295</v>
      </c>
      <c r="B242">
        <v>4</v>
      </c>
    </row>
    <row r="243" spans="1:2" x14ac:dyDescent="0.25">
      <c r="A243" t="s">
        <v>322</v>
      </c>
      <c r="B243">
        <v>4</v>
      </c>
    </row>
    <row r="244" spans="1:2" x14ac:dyDescent="0.25">
      <c r="A244" t="s">
        <v>345</v>
      </c>
      <c r="B244">
        <v>4</v>
      </c>
    </row>
    <row r="245" spans="1:2" x14ac:dyDescent="0.25">
      <c r="A245" t="s">
        <v>367</v>
      </c>
      <c r="B245">
        <v>4</v>
      </c>
    </row>
    <row r="246" spans="1:2" x14ac:dyDescent="0.25">
      <c r="A246" t="s">
        <v>392</v>
      </c>
      <c r="B246">
        <v>4</v>
      </c>
    </row>
    <row r="247" spans="1:2" x14ac:dyDescent="0.25">
      <c r="A247" t="s">
        <v>400</v>
      </c>
      <c r="B247">
        <v>4</v>
      </c>
    </row>
    <row r="248" spans="1:2" x14ac:dyDescent="0.25">
      <c r="A248" t="s">
        <v>411</v>
      </c>
      <c r="B248">
        <v>4</v>
      </c>
    </row>
    <row r="249" spans="1:2" x14ac:dyDescent="0.25">
      <c r="A249" t="s">
        <v>421</v>
      </c>
      <c r="B249">
        <v>4</v>
      </c>
    </row>
    <row r="250" spans="1:2" x14ac:dyDescent="0.25">
      <c r="A250" t="s">
        <v>434</v>
      </c>
      <c r="B250">
        <v>4</v>
      </c>
    </row>
    <row r="251" spans="1:2" x14ac:dyDescent="0.25">
      <c r="A251" t="s">
        <v>3</v>
      </c>
      <c r="B251">
        <v>3</v>
      </c>
    </row>
    <row r="252" spans="1:2" x14ac:dyDescent="0.25">
      <c r="A252" t="s">
        <v>17</v>
      </c>
      <c r="B252">
        <v>3</v>
      </c>
    </row>
    <row r="253" spans="1:2" x14ac:dyDescent="0.25">
      <c r="A253" t="s">
        <v>31</v>
      </c>
      <c r="B253">
        <v>3</v>
      </c>
    </row>
    <row r="254" spans="1:2" x14ac:dyDescent="0.25">
      <c r="A254" t="s">
        <v>113</v>
      </c>
      <c r="B254">
        <v>3</v>
      </c>
    </row>
    <row r="255" spans="1:2" x14ac:dyDescent="0.25">
      <c r="A255" t="s">
        <v>131</v>
      </c>
      <c r="B255">
        <v>3</v>
      </c>
    </row>
    <row r="256" spans="1:2" x14ac:dyDescent="0.25">
      <c r="A256" t="s">
        <v>132</v>
      </c>
      <c r="B256">
        <v>3</v>
      </c>
    </row>
    <row r="257" spans="1:2" x14ac:dyDescent="0.25">
      <c r="A257" t="s">
        <v>138</v>
      </c>
      <c r="B257">
        <v>3</v>
      </c>
    </row>
    <row r="258" spans="1:2" x14ac:dyDescent="0.25">
      <c r="A258" t="s">
        <v>145</v>
      </c>
      <c r="B258">
        <v>3</v>
      </c>
    </row>
    <row r="259" spans="1:2" x14ac:dyDescent="0.25">
      <c r="A259" t="s">
        <v>148</v>
      </c>
      <c r="B259">
        <v>3</v>
      </c>
    </row>
    <row r="260" spans="1:2" x14ac:dyDescent="0.25">
      <c r="A260" t="s">
        <v>149</v>
      </c>
      <c r="B260">
        <v>3</v>
      </c>
    </row>
    <row r="261" spans="1:2" x14ac:dyDescent="0.25">
      <c r="A261" t="s">
        <v>185</v>
      </c>
      <c r="B261">
        <v>3</v>
      </c>
    </row>
    <row r="262" spans="1:2" x14ac:dyDescent="0.25">
      <c r="A262" t="s">
        <v>195</v>
      </c>
      <c r="B262">
        <v>3</v>
      </c>
    </row>
    <row r="263" spans="1:2" x14ac:dyDescent="0.25">
      <c r="A263" t="s">
        <v>198</v>
      </c>
      <c r="B263">
        <v>3</v>
      </c>
    </row>
    <row r="264" spans="1:2" x14ac:dyDescent="0.25">
      <c r="A264" t="s">
        <v>224</v>
      </c>
      <c r="B264">
        <v>3</v>
      </c>
    </row>
    <row r="265" spans="1:2" x14ac:dyDescent="0.25">
      <c r="A265" t="s">
        <v>234</v>
      </c>
      <c r="B265">
        <v>3</v>
      </c>
    </row>
    <row r="266" spans="1:2" x14ac:dyDescent="0.25">
      <c r="A266" t="s">
        <v>241</v>
      </c>
      <c r="B266">
        <v>3</v>
      </c>
    </row>
    <row r="267" spans="1:2" x14ac:dyDescent="0.25">
      <c r="A267" t="s">
        <v>242</v>
      </c>
      <c r="B267">
        <v>3</v>
      </c>
    </row>
    <row r="268" spans="1:2" x14ac:dyDescent="0.25">
      <c r="A268" t="s">
        <v>255</v>
      </c>
      <c r="B268">
        <v>3</v>
      </c>
    </row>
    <row r="269" spans="1:2" x14ac:dyDescent="0.25">
      <c r="A269" t="s">
        <v>256</v>
      </c>
      <c r="B269">
        <v>3</v>
      </c>
    </row>
    <row r="270" spans="1:2" x14ac:dyDescent="0.25">
      <c r="A270" t="s">
        <v>264</v>
      </c>
      <c r="B270">
        <v>3</v>
      </c>
    </row>
    <row r="271" spans="1:2" x14ac:dyDescent="0.25">
      <c r="A271" t="s">
        <v>286</v>
      </c>
      <c r="B271">
        <v>3</v>
      </c>
    </row>
    <row r="272" spans="1:2" x14ac:dyDescent="0.25">
      <c r="A272" t="s">
        <v>301</v>
      </c>
      <c r="B272">
        <v>3</v>
      </c>
    </row>
    <row r="273" spans="1:2" x14ac:dyDescent="0.25">
      <c r="A273" t="s">
        <v>318</v>
      </c>
      <c r="B273">
        <v>3</v>
      </c>
    </row>
    <row r="274" spans="1:2" x14ac:dyDescent="0.25">
      <c r="A274" t="s">
        <v>326</v>
      </c>
      <c r="B274">
        <v>3</v>
      </c>
    </row>
    <row r="275" spans="1:2" x14ac:dyDescent="0.25">
      <c r="A275" t="s">
        <v>331</v>
      </c>
      <c r="B275">
        <v>3</v>
      </c>
    </row>
    <row r="276" spans="1:2" x14ac:dyDescent="0.25">
      <c r="A276" t="s">
        <v>339</v>
      </c>
      <c r="B276">
        <v>3</v>
      </c>
    </row>
    <row r="277" spans="1:2" x14ac:dyDescent="0.25">
      <c r="A277" t="s">
        <v>340</v>
      </c>
      <c r="B277">
        <v>3</v>
      </c>
    </row>
    <row r="278" spans="1:2" x14ac:dyDescent="0.25">
      <c r="A278" t="s">
        <v>341</v>
      </c>
      <c r="B278">
        <v>3</v>
      </c>
    </row>
    <row r="279" spans="1:2" x14ac:dyDescent="0.25">
      <c r="A279" t="s">
        <v>346</v>
      </c>
      <c r="B279">
        <v>3</v>
      </c>
    </row>
    <row r="280" spans="1:2" x14ac:dyDescent="0.25">
      <c r="A280" t="s">
        <v>352</v>
      </c>
      <c r="B280">
        <v>3</v>
      </c>
    </row>
    <row r="281" spans="1:2" x14ac:dyDescent="0.25">
      <c r="A281" t="s">
        <v>372</v>
      </c>
      <c r="B281">
        <v>3</v>
      </c>
    </row>
    <row r="282" spans="1:2" x14ac:dyDescent="0.25">
      <c r="A282" t="s">
        <v>378</v>
      </c>
      <c r="B282">
        <v>3</v>
      </c>
    </row>
    <row r="283" spans="1:2" x14ac:dyDescent="0.25">
      <c r="A283" t="s">
        <v>384</v>
      </c>
      <c r="B283">
        <v>3</v>
      </c>
    </row>
    <row r="284" spans="1:2" x14ac:dyDescent="0.25">
      <c r="A284" t="s">
        <v>385</v>
      </c>
      <c r="B284">
        <v>3</v>
      </c>
    </row>
    <row r="285" spans="1:2" x14ac:dyDescent="0.25">
      <c r="A285" t="s">
        <v>393</v>
      </c>
      <c r="B285">
        <v>3</v>
      </c>
    </row>
    <row r="286" spans="1:2" x14ac:dyDescent="0.25">
      <c r="A286" t="s">
        <v>410</v>
      </c>
      <c r="B286">
        <v>3</v>
      </c>
    </row>
    <row r="287" spans="1:2" x14ac:dyDescent="0.25">
      <c r="A287" t="s">
        <v>412</v>
      </c>
      <c r="B287">
        <v>3</v>
      </c>
    </row>
    <row r="288" spans="1:2" x14ac:dyDescent="0.25">
      <c r="A288" t="s">
        <v>414</v>
      </c>
      <c r="B288">
        <v>3</v>
      </c>
    </row>
    <row r="289" spans="1:2" x14ac:dyDescent="0.25">
      <c r="A289" t="s">
        <v>431</v>
      </c>
      <c r="B289">
        <v>3</v>
      </c>
    </row>
    <row r="290" spans="1:2" x14ac:dyDescent="0.25">
      <c r="A290" t="s">
        <v>18</v>
      </c>
      <c r="B290">
        <v>2</v>
      </c>
    </row>
    <row r="291" spans="1:2" x14ac:dyDescent="0.25">
      <c r="A291" t="s">
        <v>19</v>
      </c>
      <c r="B291">
        <v>2</v>
      </c>
    </row>
    <row r="292" spans="1:2" x14ac:dyDescent="0.25">
      <c r="A292" t="s">
        <v>40</v>
      </c>
      <c r="B292">
        <v>2</v>
      </c>
    </row>
    <row r="293" spans="1:2" x14ac:dyDescent="0.25">
      <c r="A293" t="s">
        <v>54</v>
      </c>
      <c r="B293">
        <v>2</v>
      </c>
    </row>
    <row r="294" spans="1:2" x14ac:dyDescent="0.25">
      <c r="A294" t="s">
        <v>61</v>
      </c>
      <c r="B294">
        <v>2</v>
      </c>
    </row>
    <row r="295" spans="1:2" x14ac:dyDescent="0.25">
      <c r="A295" t="s">
        <v>62</v>
      </c>
      <c r="B295">
        <v>2</v>
      </c>
    </row>
    <row r="296" spans="1:2" x14ac:dyDescent="0.25">
      <c r="A296" t="s">
        <v>74</v>
      </c>
      <c r="B296">
        <v>2</v>
      </c>
    </row>
    <row r="297" spans="1:2" x14ac:dyDescent="0.25">
      <c r="A297" t="s">
        <v>87</v>
      </c>
      <c r="B297">
        <v>2</v>
      </c>
    </row>
    <row r="298" spans="1:2" x14ac:dyDescent="0.25">
      <c r="A298" t="s">
        <v>117</v>
      </c>
      <c r="B298">
        <v>2</v>
      </c>
    </row>
    <row r="299" spans="1:2" x14ac:dyDescent="0.25">
      <c r="A299" t="s">
        <v>140</v>
      </c>
      <c r="B299">
        <v>2</v>
      </c>
    </row>
    <row r="300" spans="1:2" x14ac:dyDescent="0.25">
      <c r="A300" t="s">
        <v>143</v>
      </c>
      <c r="B300">
        <v>2</v>
      </c>
    </row>
    <row r="301" spans="1:2" x14ac:dyDescent="0.25">
      <c r="A301" t="s">
        <v>151</v>
      </c>
      <c r="B301">
        <v>2</v>
      </c>
    </row>
    <row r="302" spans="1:2" x14ac:dyDescent="0.25">
      <c r="A302" t="s">
        <v>152</v>
      </c>
      <c r="B302">
        <v>2</v>
      </c>
    </row>
    <row r="303" spans="1:2" x14ac:dyDescent="0.25">
      <c r="A303" t="s">
        <v>157</v>
      </c>
      <c r="B303">
        <v>2</v>
      </c>
    </row>
    <row r="304" spans="1:2" x14ac:dyDescent="0.25">
      <c r="A304" t="s">
        <v>163</v>
      </c>
      <c r="B304">
        <v>2</v>
      </c>
    </row>
    <row r="305" spans="1:2" x14ac:dyDescent="0.25">
      <c r="A305" t="s">
        <v>167</v>
      </c>
      <c r="B305">
        <v>2</v>
      </c>
    </row>
    <row r="306" spans="1:2" x14ac:dyDescent="0.25">
      <c r="A306" t="s">
        <v>169</v>
      </c>
      <c r="B306">
        <v>2</v>
      </c>
    </row>
    <row r="307" spans="1:2" x14ac:dyDescent="0.25">
      <c r="A307" t="s">
        <v>171</v>
      </c>
      <c r="B307">
        <v>2</v>
      </c>
    </row>
    <row r="308" spans="1:2" x14ac:dyDescent="0.25">
      <c r="A308" t="s">
        <v>173</v>
      </c>
      <c r="B308">
        <v>2</v>
      </c>
    </row>
    <row r="309" spans="1:2" x14ac:dyDescent="0.25">
      <c r="A309" t="s">
        <v>180</v>
      </c>
      <c r="B309">
        <v>2</v>
      </c>
    </row>
    <row r="310" spans="1:2" x14ac:dyDescent="0.25">
      <c r="A310" t="s">
        <v>202</v>
      </c>
      <c r="B310">
        <v>2</v>
      </c>
    </row>
    <row r="311" spans="1:2" x14ac:dyDescent="0.25">
      <c r="A311" t="s">
        <v>245</v>
      </c>
      <c r="B311">
        <v>2</v>
      </c>
    </row>
    <row r="312" spans="1:2" x14ac:dyDescent="0.25">
      <c r="A312" t="s">
        <v>252</v>
      </c>
      <c r="B312">
        <v>2</v>
      </c>
    </row>
    <row r="313" spans="1:2" x14ac:dyDescent="0.25">
      <c r="A313" t="s">
        <v>265</v>
      </c>
      <c r="B313">
        <v>2</v>
      </c>
    </row>
    <row r="314" spans="1:2" x14ac:dyDescent="0.25">
      <c r="A314" t="s">
        <v>278</v>
      </c>
      <c r="B314">
        <v>2</v>
      </c>
    </row>
    <row r="315" spans="1:2" x14ac:dyDescent="0.25">
      <c r="A315" t="s">
        <v>294</v>
      </c>
      <c r="B315">
        <v>2</v>
      </c>
    </row>
    <row r="316" spans="1:2" x14ac:dyDescent="0.25">
      <c r="A316" t="s">
        <v>310</v>
      </c>
      <c r="B316">
        <v>2</v>
      </c>
    </row>
    <row r="317" spans="1:2" x14ac:dyDescent="0.25">
      <c r="A317" t="s">
        <v>312</v>
      </c>
      <c r="B317">
        <v>2</v>
      </c>
    </row>
    <row r="318" spans="1:2" x14ac:dyDescent="0.25">
      <c r="A318" t="s">
        <v>314</v>
      </c>
      <c r="B318">
        <v>2</v>
      </c>
    </row>
    <row r="319" spans="1:2" x14ac:dyDescent="0.25">
      <c r="A319" t="s">
        <v>323</v>
      </c>
      <c r="B319">
        <v>2</v>
      </c>
    </row>
    <row r="320" spans="1:2" x14ac:dyDescent="0.25">
      <c r="A320" t="s">
        <v>333</v>
      </c>
      <c r="B320">
        <v>2</v>
      </c>
    </row>
    <row r="321" spans="1:2" x14ac:dyDescent="0.25">
      <c r="A321" t="s">
        <v>347</v>
      </c>
      <c r="B321">
        <v>2</v>
      </c>
    </row>
    <row r="322" spans="1:2" x14ac:dyDescent="0.25">
      <c r="A322" t="s">
        <v>353</v>
      </c>
      <c r="B322">
        <v>2</v>
      </c>
    </row>
    <row r="323" spans="1:2" x14ac:dyDescent="0.25">
      <c r="A323" t="s">
        <v>359</v>
      </c>
      <c r="B323">
        <v>2</v>
      </c>
    </row>
    <row r="324" spans="1:2" x14ac:dyDescent="0.25">
      <c r="A324" t="s">
        <v>363</v>
      </c>
      <c r="B324">
        <v>2</v>
      </c>
    </row>
    <row r="325" spans="1:2" x14ac:dyDescent="0.25">
      <c r="A325" t="s">
        <v>365</v>
      </c>
      <c r="B325">
        <v>2</v>
      </c>
    </row>
    <row r="326" spans="1:2" x14ac:dyDescent="0.25">
      <c r="A326" t="s">
        <v>366</v>
      </c>
      <c r="B326">
        <v>2</v>
      </c>
    </row>
    <row r="327" spans="1:2" x14ac:dyDescent="0.25">
      <c r="A327" t="s">
        <v>380</v>
      </c>
      <c r="B327">
        <v>2</v>
      </c>
    </row>
    <row r="328" spans="1:2" x14ac:dyDescent="0.25">
      <c r="A328" t="s">
        <v>386</v>
      </c>
      <c r="B328">
        <v>2</v>
      </c>
    </row>
    <row r="329" spans="1:2" x14ac:dyDescent="0.25">
      <c r="A329" t="s">
        <v>389</v>
      </c>
      <c r="B329">
        <v>2</v>
      </c>
    </row>
    <row r="330" spans="1:2" x14ac:dyDescent="0.25">
      <c r="A330" t="s">
        <v>390</v>
      </c>
      <c r="B330">
        <v>2</v>
      </c>
    </row>
    <row r="331" spans="1:2" x14ac:dyDescent="0.25">
      <c r="A331" t="s">
        <v>416</v>
      </c>
      <c r="B331">
        <v>2</v>
      </c>
    </row>
    <row r="332" spans="1:2" x14ac:dyDescent="0.25">
      <c r="A332" t="s">
        <v>418</v>
      </c>
      <c r="B332">
        <v>2</v>
      </c>
    </row>
    <row r="333" spans="1:2" x14ac:dyDescent="0.25">
      <c r="A333" t="s">
        <v>437</v>
      </c>
      <c r="B333">
        <v>2</v>
      </c>
    </row>
    <row r="334" spans="1:2" x14ac:dyDescent="0.25">
      <c r="A334" t="s">
        <v>438</v>
      </c>
      <c r="B334">
        <v>2</v>
      </c>
    </row>
    <row r="335" spans="1:2" x14ac:dyDescent="0.25">
      <c r="A335" t="s">
        <v>5</v>
      </c>
      <c r="B335">
        <v>1</v>
      </c>
    </row>
    <row r="336" spans="1:2" x14ac:dyDescent="0.25">
      <c r="A336" t="s">
        <v>7</v>
      </c>
      <c r="B336">
        <v>1</v>
      </c>
    </row>
    <row r="337" spans="1:2" x14ac:dyDescent="0.25">
      <c r="A337" t="s">
        <v>16</v>
      </c>
      <c r="B337">
        <v>1</v>
      </c>
    </row>
    <row r="338" spans="1:2" x14ac:dyDescent="0.25">
      <c r="A338" t="s">
        <v>29</v>
      </c>
      <c r="B338">
        <v>1</v>
      </c>
    </row>
    <row r="339" spans="1:2" x14ac:dyDescent="0.25">
      <c r="A339" t="s">
        <v>36</v>
      </c>
      <c r="B339">
        <v>1</v>
      </c>
    </row>
    <row r="340" spans="1:2" x14ac:dyDescent="0.25">
      <c r="A340" t="s">
        <v>45</v>
      </c>
      <c r="B340">
        <v>1</v>
      </c>
    </row>
    <row r="341" spans="1:2" x14ac:dyDescent="0.25">
      <c r="A341" t="s">
        <v>47</v>
      </c>
      <c r="B341">
        <v>1</v>
      </c>
    </row>
    <row r="342" spans="1:2" x14ac:dyDescent="0.25">
      <c r="A342" t="s">
        <v>52</v>
      </c>
      <c r="B342">
        <v>1</v>
      </c>
    </row>
    <row r="343" spans="1:2" x14ac:dyDescent="0.25">
      <c r="A343" t="s">
        <v>58</v>
      </c>
      <c r="B343">
        <v>1</v>
      </c>
    </row>
    <row r="344" spans="1:2" x14ac:dyDescent="0.25">
      <c r="A344" t="s">
        <v>4720</v>
      </c>
      <c r="B344">
        <v>1</v>
      </c>
    </row>
    <row r="345" spans="1:2" x14ac:dyDescent="0.25">
      <c r="A345" t="s">
        <v>64</v>
      </c>
      <c r="B345">
        <v>1</v>
      </c>
    </row>
    <row r="346" spans="1:2" x14ac:dyDescent="0.25">
      <c r="A346" t="s">
        <v>71</v>
      </c>
      <c r="B346">
        <v>1</v>
      </c>
    </row>
    <row r="347" spans="1:2" x14ac:dyDescent="0.25">
      <c r="A347" t="s">
        <v>72</v>
      </c>
      <c r="B347">
        <v>1</v>
      </c>
    </row>
    <row r="348" spans="1:2" x14ac:dyDescent="0.25">
      <c r="A348" t="s">
        <v>84</v>
      </c>
      <c r="B348">
        <v>1</v>
      </c>
    </row>
    <row r="349" spans="1:2" x14ac:dyDescent="0.25">
      <c r="A349" t="s">
        <v>89</v>
      </c>
      <c r="B349">
        <v>1</v>
      </c>
    </row>
    <row r="350" spans="1:2" x14ac:dyDescent="0.25">
      <c r="A350" t="s">
        <v>94</v>
      </c>
      <c r="B350">
        <v>1</v>
      </c>
    </row>
    <row r="351" spans="1:2" x14ac:dyDescent="0.25">
      <c r="A351" t="s">
        <v>105</v>
      </c>
      <c r="B351">
        <v>1</v>
      </c>
    </row>
    <row r="352" spans="1:2" x14ac:dyDescent="0.25">
      <c r="A352" t="s">
        <v>122</v>
      </c>
      <c r="B352">
        <v>1</v>
      </c>
    </row>
    <row r="353" spans="1:2" x14ac:dyDescent="0.25">
      <c r="A353" t="s">
        <v>136</v>
      </c>
      <c r="B353">
        <v>1</v>
      </c>
    </row>
    <row r="354" spans="1:2" x14ac:dyDescent="0.25">
      <c r="A354" t="s">
        <v>146</v>
      </c>
      <c r="B354">
        <v>1</v>
      </c>
    </row>
    <row r="355" spans="1:2" x14ac:dyDescent="0.25">
      <c r="A355" t="s">
        <v>147</v>
      </c>
      <c r="B355">
        <v>1</v>
      </c>
    </row>
    <row r="356" spans="1:2" x14ac:dyDescent="0.25">
      <c r="A356" t="s">
        <v>153</v>
      </c>
      <c r="B356">
        <v>1</v>
      </c>
    </row>
    <row r="357" spans="1:2" x14ac:dyDescent="0.25">
      <c r="A357" t="s">
        <v>155</v>
      </c>
      <c r="B357">
        <v>1</v>
      </c>
    </row>
    <row r="358" spans="1:2" x14ac:dyDescent="0.25">
      <c r="A358" t="s">
        <v>162</v>
      </c>
      <c r="B358">
        <v>1</v>
      </c>
    </row>
    <row r="359" spans="1:2" x14ac:dyDescent="0.25">
      <c r="A359" t="s">
        <v>164</v>
      </c>
      <c r="B359">
        <v>1</v>
      </c>
    </row>
    <row r="360" spans="1:2" x14ac:dyDescent="0.25">
      <c r="A360" t="s">
        <v>183</v>
      </c>
      <c r="B360">
        <v>1</v>
      </c>
    </row>
    <row r="361" spans="1:2" x14ac:dyDescent="0.25">
      <c r="A361" t="s">
        <v>188</v>
      </c>
      <c r="B361">
        <v>1</v>
      </c>
    </row>
    <row r="362" spans="1:2" x14ac:dyDescent="0.25">
      <c r="A362" t="s">
        <v>190</v>
      </c>
      <c r="B362">
        <v>1</v>
      </c>
    </row>
    <row r="363" spans="1:2" x14ac:dyDescent="0.25">
      <c r="A363" t="s">
        <v>3463</v>
      </c>
      <c r="B363">
        <v>1</v>
      </c>
    </row>
    <row r="364" spans="1:2" x14ac:dyDescent="0.25">
      <c r="A364" t="s">
        <v>4721</v>
      </c>
      <c r="B364">
        <v>1</v>
      </c>
    </row>
    <row r="365" spans="1:2" x14ac:dyDescent="0.25">
      <c r="A365" t="s">
        <v>204</v>
      </c>
      <c r="B365">
        <v>1</v>
      </c>
    </row>
    <row r="366" spans="1:2" x14ac:dyDescent="0.25">
      <c r="A366" t="s">
        <v>207</v>
      </c>
      <c r="B366">
        <v>1</v>
      </c>
    </row>
    <row r="367" spans="1:2" x14ac:dyDescent="0.25">
      <c r="A367" t="s">
        <v>226</v>
      </c>
      <c r="B367">
        <v>1</v>
      </c>
    </row>
    <row r="368" spans="1:2" x14ac:dyDescent="0.25">
      <c r="A368" t="s">
        <v>235</v>
      </c>
      <c r="B368">
        <v>1</v>
      </c>
    </row>
    <row r="369" spans="1:2" x14ac:dyDescent="0.25">
      <c r="A369" t="s">
        <v>236</v>
      </c>
      <c r="B369">
        <v>1</v>
      </c>
    </row>
    <row r="370" spans="1:2" x14ac:dyDescent="0.25">
      <c r="A370" t="s">
        <v>238</v>
      </c>
      <c r="B370">
        <v>1</v>
      </c>
    </row>
    <row r="371" spans="1:2" x14ac:dyDescent="0.25">
      <c r="A371" t="s">
        <v>240</v>
      </c>
      <c r="B371">
        <v>1</v>
      </c>
    </row>
    <row r="372" spans="1:2" x14ac:dyDescent="0.25">
      <c r="A372" t="s">
        <v>244</v>
      </c>
      <c r="B372">
        <v>1</v>
      </c>
    </row>
    <row r="373" spans="1:2" x14ac:dyDescent="0.25">
      <c r="A373" t="s">
        <v>246</v>
      </c>
      <c r="B373">
        <v>1</v>
      </c>
    </row>
    <row r="374" spans="1:2" x14ac:dyDescent="0.25">
      <c r="A374" t="s">
        <v>266</v>
      </c>
      <c r="B374">
        <v>1</v>
      </c>
    </row>
    <row r="375" spans="1:2" x14ac:dyDescent="0.25">
      <c r="A375" t="s">
        <v>268</v>
      </c>
      <c r="B375">
        <v>1</v>
      </c>
    </row>
    <row r="376" spans="1:2" x14ac:dyDescent="0.25">
      <c r="A376" t="s">
        <v>271</v>
      </c>
      <c r="B376">
        <v>1</v>
      </c>
    </row>
    <row r="377" spans="1:2" x14ac:dyDescent="0.25">
      <c r="A377" t="s">
        <v>277</v>
      </c>
      <c r="B377">
        <v>1</v>
      </c>
    </row>
    <row r="378" spans="1:2" x14ac:dyDescent="0.25">
      <c r="A378" t="s">
        <v>287</v>
      </c>
      <c r="B378">
        <v>1</v>
      </c>
    </row>
    <row r="379" spans="1:2" x14ac:dyDescent="0.25">
      <c r="A379" t="s">
        <v>306</v>
      </c>
      <c r="B379">
        <v>1</v>
      </c>
    </row>
    <row r="380" spans="1:2" x14ac:dyDescent="0.25">
      <c r="A380" t="s">
        <v>4722</v>
      </c>
      <c r="B380">
        <v>1</v>
      </c>
    </row>
    <row r="381" spans="1:2" x14ac:dyDescent="0.25">
      <c r="A381" t="s">
        <v>315</v>
      </c>
      <c r="B381">
        <v>1</v>
      </c>
    </row>
    <row r="382" spans="1:2" x14ac:dyDescent="0.25">
      <c r="A382" t="s">
        <v>316</v>
      </c>
      <c r="B382">
        <v>1</v>
      </c>
    </row>
    <row r="383" spans="1:2" x14ac:dyDescent="0.25">
      <c r="A383" t="s">
        <v>320</v>
      </c>
      <c r="B383">
        <v>1</v>
      </c>
    </row>
    <row r="384" spans="1:2" x14ac:dyDescent="0.25">
      <c r="A384" t="s">
        <v>321</v>
      </c>
      <c r="B384">
        <v>1</v>
      </c>
    </row>
    <row r="385" spans="1:2" x14ac:dyDescent="0.25">
      <c r="A385" t="s">
        <v>328</v>
      </c>
      <c r="B385">
        <v>1</v>
      </c>
    </row>
    <row r="386" spans="1:2" x14ac:dyDescent="0.25">
      <c r="A386" t="s">
        <v>330</v>
      </c>
      <c r="B386">
        <v>1</v>
      </c>
    </row>
    <row r="387" spans="1:2" x14ac:dyDescent="0.25">
      <c r="A387" t="s">
        <v>349</v>
      </c>
      <c r="B387">
        <v>1</v>
      </c>
    </row>
    <row r="388" spans="1:2" x14ac:dyDescent="0.25">
      <c r="A388" t="s">
        <v>351</v>
      </c>
      <c r="B388">
        <v>1</v>
      </c>
    </row>
    <row r="389" spans="1:2" x14ac:dyDescent="0.25">
      <c r="A389" t="s">
        <v>4723</v>
      </c>
      <c r="B389">
        <v>1</v>
      </c>
    </row>
    <row r="390" spans="1:2" x14ac:dyDescent="0.25">
      <c r="A390" t="s">
        <v>354</v>
      </c>
      <c r="B390">
        <v>1</v>
      </c>
    </row>
    <row r="391" spans="1:2" x14ac:dyDescent="0.25">
      <c r="A391" t="s">
        <v>361</v>
      </c>
      <c r="B391">
        <v>1</v>
      </c>
    </row>
    <row r="392" spans="1:2" x14ac:dyDescent="0.25">
      <c r="A392" t="s">
        <v>4724</v>
      </c>
      <c r="B392">
        <v>1</v>
      </c>
    </row>
    <row r="393" spans="1:2" x14ac:dyDescent="0.25">
      <c r="A393" t="s">
        <v>373</v>
      </c>
      <c r="B393">
        <v>1</v>
      </c>
    </row>
    <row r="394" spans="1:2" x14ac:dyDescent="0.25">
      <c r="A394" t="s">
        <v>375</v>
      </c>
      <c r="B394">
        <v>1</v>
      </c>
    </row>
    <row r="395" spans="1:2" x14ac:dyDescent="0.25">
      <c r="A395" t="s">
        <v>387</v>
      </c>
      <c r="B395">
        <v>1</v>
      </c>
    </row>
    <row r="396" spans="1:2" x14ac:dyDescent="0.25">
      <c r="A396" t="s">
        <v>391</v>
      </c>
      <c r="B396">
        <v>1</v>
      </c>
    </row>
    <row r="397" spans="1:2" x14ac:dyDescent="0.25">
      <c r="A397" t="s">
        <v>401</v>
      </c>
      <c r="B397">
        <v>1</v>
      </c>
    </row>
    <row r="398" spans="1:2" x14ac:dyDescent="0.25">
      <c r="A398" t="s">
        <v>408</v>
      </c>
      <c r="B398">
        <v>1</v>
      </c>
    </row>
    <row r="399" spans="1:2" x14ac:dyDescent="0.25">
      <c r="A399" t="s">
        <v>413</v>
      </c>
      <c r="B399">
        <v>1</v>
      </c>
    </row>
    <row r="400" spans="1:2" x14ac:dyDescent="0.25">
      <c r="A400" t="s">
        <v>419</v>
      </c>
      <c r="B400">
        <v>1</v>
      </c>
    </row>
    <row r="401" spans="1:2" x14ac:dyDescent="0.25">
      <c r="A401" t="s">
        <v>425</v>
      </c>
      <c r="B401">
        <v>1</v>
      </c>
    </row>
    <row r="402" spans="1:2" x14ac:dyDescent="0.25">
      <c r="A402" t="s">
        <v>4725</v>
      </c>
      <c r="B402">
        <v>1</v>
      </c>
    </row>
    <row r="403" spans="1:2" x14ac:dyDescent="0.25">
      <c r="A403" t="s">
        <v>440</v>
      </c>
      <c r="B403">
        <v>1</v>
      </c>
    </row>
  </sheetData>
  <autoFilter ref="A1:B1">
    <sortState ref="A2:B403">
      <sortCondition descending="1" ref="B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6"/>
  <sheetViews>
    <sheetView zoomScale="90" zoomScaleNormal="90" workbookViewId="0">
      <pane ySplit="2" topLeftCell="A1984" activePane="bottomLeft" state="frozen"/>
      <selection pane="bottomLeft" activeCell="A1104" sqref="A1104:J2013"/>
    </sheetView>
  </sheetViews>
  <sheetFormatPr defaultRowHeight="12.75" x14ac:dyDescent="0.2"/>
  <cols>
    <col min="1" max="1" width="17.42578125" style="1" customWidth="1"/>
    <col min="2" max="2" width="29.7109375" style="2" bestFit="1" customWidth="1"/>
    <col min="3" max="3" width="18.28515625" style="5" customWidth="1"/>
    <col min="4" max="4" width="43.5703125" style="5" bestFit="1" customWidth="1"/>
    <col min="5" max="5" width="11.7109375" style="3" customWidth="1"/>
    <col min="6" max="6" width="9.85546875" style="3" customWidth="1"/>
    <col min="7" max="7" width="14.85546875" style="4" bestFit="1" customWidth="1"/>
    <col min="8" max="9" width="12.7109375" style="19" bestFit="1" customWidth="1"/>
    <col min="10" max="10" width="55" style="5" customWidth="1"/>
    <col min="11" max="16384" width="9.140625" style="1"/>
  </cols>
  <sheetData>
    <row r="1" spans="1:12" s="23" customFormat="1" ht="12.75" customHeight="1" x14ac:dyDescent="0.2">
      <c r="B1" s="2"/>
      <c r="C1" s="24"/>
      <c r="D1" s="24"/>
      <c r="E1" s="70" t="s">
        <v>448</v>
      </c>
      <c r="F1" s="70"/>
      <c r="G1" s="60"/>
      <c r="H1" s="71" t="s">
        <v>2259</v>
      </c>
      <c r="I1" s="71"/>
      <c r="J1" s="24"/>
    </row>
    <row r="2" spans="1:12" s="23" customFormat="1" x14ac:dyDescent="0.2">
      <c r="A2" s="23" t="s">
        <v>442</v>
      </c>
      <c r="B2" s="26" t="s">
        <v>443</v>
      </c>
      <c r="C2" s="24" t="s">
        <v>444</v>
      </c>
      <c r="D2" s="24" t="s">
        <v>445</v>
      </c>
      <c r="E2" s="27" t="s">
        <v>446</v>
      </c>
      <c r="F2" s="27" t="s">
        <v>447</v>
      </c>
      <c r="G2" s="60" t="s">
        <v>449</v>
      </c>
      <c r="H2" s="61" t="s">
        <v>446</v>
      </c>
      <c r="I2" s="61" t="s">
        <v>447</v>
      </c>
      <c r="J2" s="24" t="s">
        <v>4142</v>
      </c>
    </row>
    <row r="3" spans="1:12" s="13" customFormat="1" x14ac:dyDescent="0.2">
      <c r="A3" s="1" t="s">
        <v>20</v>
      </c>
      <c r="B3" s="13" t="s">
        <v>109</v>
      </c>
      <c r="D3" s="7" t="s">
        <v>3884</v>
      </c>
      <c r="E3" s="6">
        <v>109785</v>
      </c>
      <c r="F3" s="6" t="s">
        <v>3885</v>
      </c>
      <c r="G3" s="57" t="s">
        <v>465</v>
      </c>
      <c r="H3" s="21"/>
      <c r="I3" s="21"/>
      <c r="J3" s="7"/>
    </row>
    <row r="4" spans="1:12" x14ac:dyDescent="0.2">
      <c r="A4" s="1" t="s">
        <v>1</v>
      </c>
      <c r="B4" s="2" t="s">
        <v>0</v>
      </c>
      <c r="C4" s="1"/>
      <c r="D4" s="5" t="s">
        <v>464</v>
      </c>
      <c r="E4" s="3">
        <v>152500</v>
      </c>
      <c r="F4" s="3" t="s">
        <v>465</v>
      </c>
      <c r="G4" s="57" t="s">
        <v>465</v>
      </c>
    </row>
    <row r="5" spans="1:12" ht="25.5" x14ac:dyDescent="0.2">
      <c r="A5" s="13" t="s">
        <v>4</v>
      </c>
      <c r="B5" s="17" t="s">
        <v>3</v>
      </c>
      <c r="C5" s="5" t="s">
        <v>453</v>
      </c>
      <c r="D5" s="5" t="s">
        <v>4181</v>
      </c>
      <c r="E5" s="3">
        <v>158137</v>
      </c>
      <c r="F5" s="3" t="s">
        <v>465</v>
      </c>
      <c r="G5" s="57" t="s">
        <v>465</v>
      </c>
      <c r="J5" s="5" t="s">
        <v>4079</v>
      </c>
      <c r="K5" s="13"/>
      <c r="L5" s="13"/>
    </row>
    <row r="6" spans="1:12" x14ac:dyDescent="0.2">
      <c r="A6" s="1" t="s">
        <v>1</v>
      </c>
      <c r="B6" s="2" t="s">
        <v>13</v>
      </c>
      <c r="C6" s="1"/>
      <c r="D6" s="5" t="s">
        <v>464</v>
      </c>
      <c r="E6" s="3">
        <v>112500</v>
      </c>
      <c r="F6" s="3" t="s">
        <v>465</v>
      </c>
      <c r="G6" s="57" t="s">
        <v>465</v>
      </c>
    </row>
    <row r="7" spans="1:12" s="13" customFormat="1" x14ac:dyDescent="0.2">
      <c r="A7" s="1" t="s">
        <v>1</v>
      </c>
      <c r="B7" s="2" t="s">
        <v>13</v>
      </c>
      <c r="C7" s="1"/>
      <c r="D7" s="5" t="s">
        <v>464</v>
      </c>
      <c r="E7" s="3">
        <v>152500</v>
      </c>
      <c r="F7" s="3" t="s">
        <v>465</v>
      </c>
      <c r="G7" s="57" t="s">
        <v>465</v>
      </c>
      <c r="H7" s="19"/>
      <c r="I7" s="19"/>
      <c r="J7" s="5"/>
      <c r="K7" s="1"/>
      <c r="L7" s="1"/>
    </row>
    <row r="8" spans="1:12" x14ac:dyDescent="0.2">
      <c r="A8" s="1" t="s">
        <v>1</v>
      </c>
      <c r="B8" s="2" t="s">
        <v>13</v>
      </c>
      <c r="C8" s="1"/>
      <c r="D8" s="5" t="s">
        <v>464</v>
      </c>
      <c r="E8" s="3">
        <v>212500</v>
      </c>
      <c r="F8" s="3" t="s">
        <v>465</v>
      </c>
      <c r="G8" s="57" t="s">
        <v>465</v>
      </c>
    </row>
    <row r="9" spans="1:12" s="13" customFormat="1" x14ac:dyDescent="0.2">
      <c r="A9" s="13" t="s">
        <v>8</v>
      </c>
      <c r="B9" s="12" t="s">
        <v>16</v>
      </c>
      <c r="D9" s="7" t="s">
        <v>4087</v>
      </c>
      <c r="E9" s="6">
        <v>133825</v>
      </c>
      <c r="F9" s="6" t="s">
        <v>465</v>
      </c>
      <c r="G9" s="57" t="s">
        <v>465</v>
      </c>
      <c r="H9" s="21"/>
      <c r="I9" s="21"/>
      <c r="J9" s="7" t="s">
        <v>4088</v>
      </c>
    </row>
    <row r="10" spans="1:12" x14ac:dyDescent="0.2">
      <c r="A10" s="1" t="s">
        <v>4</v>
      </c>
      <c r="B10" s="2" t="s">
        <v>18</v>
      </c>
      <c r="C10" s="1"/>
      <c r="D10" s="5" t="s">
        <v>666</v>
      </c>
      <c r="E10" s="3">
        <v>118000</v>
      </c>
      <c r="F10" s="3" t="s">
        <v>465</v>
      </c>
      <c r="G10" s="57" t="s">
        <v>465</v>
      </c>
    </row>
    <row r="11" spans="1:12" ht="25.5" x14ac:dyDescent="0.2">
      <c r="A11" s="1" t="s">
        <v>25</v>
      </c>
      <c r="B11" s="2" t="s">
        <v>24</v>
      </c>
      <c r="C11" s="13"/>
      <c r="D11" s="7" t="s">
        <v>1376</v>
      </c>
      <c r="E11" s="6">
        <v>155863</v>
      </c>
      <c r="F11" s="6" t="s">
        <v>465</v>
      </c>
      <c r="G11" s="57" t="s">
        <v>465</v>
      </c>
      <c r="H11" s="21"/>
      <c r="I11" s="21"/>
      <c r="J11" s="7" t="s">
        <v>4090</v>
      </c>
    </row>
    <row r="12" spans="1:12" x14ac:dyDescent="0.2">
      <c r="A12" s="1" t="s">
        <v>25</v>
      </c>
      <c r="B12" s="12" t="s">
        <v>24</v>
      </c>
      <c r="C12" s="13"/>
      <c r="D12" s="7" t="s">
        <v>464</v>
      </c>
      <c r="E12" s="6">
        <v>107500</v>
      </c>
      <c r="F12" s="6" t="s">
        <v>465</v>
      </c>
      <c r="G12" s="57" t="s">
        <v>465</v>
      </c>
      <c r="H12" s="21"/>
      <c r="I12" s="21"/>
      <c r="J12" s="7"/>
      <c r="K12" s="13"/>
      <c r="L12" s="13"/>
    </row>
    <row r="13" spans="1:12" x14ac:dyDescent="0.2">
      <c r="A13" s="1" t="s">
        <v>25</v>
      </c>
      <c r="B13" s="12" t="s">
        <v>24</v>
      </c>
      <c r="C13" s="13"/>
      <c r="D13" s="7" t="s">
        <v>464</v>
      </c>
      <c r="E13" s="6">
        <v>107500</v>
      </c>
      <c r="F13" s="6" t="s">
        <v>465</v>
      </c>
      <c r="G13" s="57" t="s">
        <v>465</v>
      </c>
      <c r="H13" s="21"/>
      <c r="I13" s="21"/>
      <c r="J13" s="7"/>
      <c r="K13" s="13"/>
      <c r="L13" s="13"/>
    </row>
    <row r="14" spans="1:12" x14ac:dyDescent="0.2">
      <c r="A14" s="1" t="s">
        <v>25</v>
      </c>
      <c r="B14" s="12" t="s">
        <v>24</v>
      </c>
      <c r="C14" s="13"/>
      <c r="D14" s="7" t="s">
        <v>464</v>
      </c>
      <c r="E14" s="6">
        <v>107500</v>
      </c>
      <c r="F14" s="6" t="s">
        <v>465</v>
      </c>
      <c r="G14" s="57" t="s">
        <v>465</v>
      </c>
      <c r="H14" s="21"/>
      <c r="I14" s="21"/>
      <c r="J14" s="7"/>
      <c r="K14" s="13"/>
      <c r="L14" s="13"/>
    </row>
    <row r="15" spans="1:12" x14ac:dyDescent="0.2">
      <c r="A15" s="1" t="s">
        <v>25</v>
      </c>
      <c r="B15" s="12" t="s">
        <v>24</v>
      </c>
      <c r="C15" s="13"/>
      <c r="D15" s="7" t="s">
        <v>464</v>
      </c>
      <c r="E15" s="6">
        <v>112500</v>
      </c>
      <c r="F15" s="6" t="s">
        <v>465</v>
      </c>
      <c r="G15" s="57" t="s">
        <v>465</v>
      </c>
      <c r="H15" s="21"/>
      <c r="I15" s="21"/>
      <c r="J15" s="7"/>
      <c r="K15" s="13"/>
      <c r="L15" s="13"/>
    </row>
    <row r="16" spans="1:12" s="13" customFormat="1" x14ac:dyDescent="0.2">
      <c r="A16" s="1" t="s">
        <v>25</v>
      </c>
      <c r="B16" s="12" t="s">
        <v>24</v>
      </c>
      <c r="D16" s="7" t="s">
        <v>464</v>
      </c>
      <c r="E16" s="6">
        <v>117500</v>
      </c>
      <c r="F16" s="6" t="s">
        <v>465</v>
      </c>
      <c r="G16" s="57" t="s">
        <v>465</v>
      </c>
      <c r="H16" s="21"/>
      <c r="I16" s="21"/>
      <c r="J16" s="7"/>
    </row>
    <row r="17" spans="1:12" x14ac:dyDescent="0.2">
      <c r="A17" s="1" t="s">
        <v>25</v>
      </c>
      <c r="B17" s="12" t="s">
        <v>26</v>
      </c>
      <c r="C17" s="13"/>
      <c r="D17" s="7" t="s">
        <v>3684</v>
      </c>
      <c r="E17" s="6">
        <v>164290</v>
      </c>
      <c r="F17" s="6" t="s">
        <v>465</v>
      </c>
      <c r="G17" s="57" t="s">
        <v>465</v>
      </c>
      <c r="H17" s="21"/>
      <c r="I17" s="21"/>
      <c r="J17" s="7"/>
      <c r="K17" s="13"/>
      <c r="L17" s="13"/>
    </row>
    <row r="18" spans="1:12" s="13" customFormat="1" x14ac:dyDescent="0.2">
      <c r="A18" s="1" t="s">
        <v>25</v>
      </c>
      <c r="B18" s="12" t="s">
        <v>26</v>
      </c>
      <c r="D18" s="7" t="s">
        <v>3685</v>
      </c>
      <c r="E18" s="6">
        <v>133304</v>
      </c>
      <c r="F18" s="6" t="s">
        <v>465</v>
      </c>
      <c r="G18" s="57" t="s">
        <v>465</v>
      </c>
      <c r="H18" s="21"/>
      <c r="I18" s="21"/>
      <c r="J18" s="7"/>
    </row>
    <row r="19" spans="1:12" s="13" customFormat="1" x14ac:dyDescent="0.2">
      <c r="A19" s="1" t="s">
        <v>25</v>
      </c>
      <c r="B19" s="12" t="s">
        <v>26</v>
      </c>
      <c r="D19" s="7" t="s">
        <v>507</v>
      </c>
      <c r="E19" s="6">
        <v>123375</v>
      </c>
      <c r="F19" s="6" t="s">
        <v>465</v>
      </c>
      <c r="G19" s="57" t="s">
        <v>465</v>
      </c>
      <c r="H19" s="21"/>
      <c r="I19" s="21"/>
      <c r="J19" s="7"/>
    </row>
    <row r="20" spans="1:12" s="13" customFormat="1" x14ac:dyDescent="0.2">
      <c r="A20" s="1" t="s">
        <v>25</v>
      </c>
      <c r="B20" s="12" t="s">
        <v>26</v>
      </c>
      <c r="D20" s="7" t="s">
        <v>4600</v>
      </c>
      <c r="E20" s="6">
        <v>124354</v>
      </c>
      <c r="F20" s="6" t="s">
        <v>465</v>
      </c>
      <c r="G20" s="57" t="s">
        <v>465</v>
      </c>
      <c r="H20" s="21"/>
      <c r="I20" s="21"/>
      <c r="J20" s="7"/>
    </row>
    <row r="21" spans="1:12" s="13" customFormat="1" x14ac:dyDescent="0.2">
      <c r="A21" s="1" t="s">
        <v>25</v>
      </c>
      <c r="B21" s="12" t="s">
        <v>26</v>
      </c>
      <c r="D21" s="7" t="s">
        <v>3686</v>
      </c>
      <c r="E21" s="6">
        <v>123448</v>
      </c>
      <c r="F21" s="6" t="s">
        <v>465</v>
      </c>
      <c r="G21" s="57" t="s">
        <v>465</v>
      </c>
      <c r="H21" s="21"/>
      <c r="I21" s="21"/>
      <c r="J21" s="7"/>
    </row>
    <row r="22" spans="1:12" s="13" customFormat="1" x14ac:dyDescent="0.2">
      <c r="A22" s="1" t="s">
        <v>25</v>
      </c>
      <c r="B22" s="12" t="s">
        <v>26</v>
      </c>
      <c r="D22" s="7" t="s">
        <v>3687</v>
      </c>
      <c r="E22" s="6">
        <v>120548</v>
      </c>
      <c r="F22" s="6" t="s">
        <v>465</v>
      </c>
      <c r="G22" s="57" t="s">
        <v>465</v>
      </c>
      <c r="H22" s="21"/>
      <c r="I22" s="21"/>
      <c r="J22" s="7"/>
    </row>
    <row r="23" spans="1:12" x14ac:dyDescent="0.2">
      <c r="A23" s="1" t="s">
        <v>25</v>
      </c>
      <c r="B23" s="12" t="s">
        <v>26</v>
      </c>
      <c r="C23" s="13"/>
      <c r="D23" s="7" t="s">
        <v>3688</v>
      </c>
      <c r="E23" s="6">
        <v>116659</v>
      </c>
      <c r="F23" s="6" t="s">
        <v>465</v>
      </c>
      <c r="G23" s="57" t="s">
        <v>465</v>
      </c>
      <c r="H23" s="21"/>
      <c r="I23" s="21"/>
      <c r="J23" s="7"/>
      <c r="K23" s="13"/>
      <c r="L23" s="13"/>
    </row>
    <row r="24" spans="1:12" ht="25.5" x14ac:dyDescent="0.2">
      <c r="A24" s="1" t="s">
        <v>25</v>
      </c>
      <c r="B24" s="12" t="s">
        <v>26</v>
      </c>
      <c r="C24" s="13"/>
      <c r="D24" s="7" t="s">
        <v>4107</v>
      </c>
      <c r="E24" s="6">
        <v>115622</v>
      </c>
      <c r="F24" s="6" t="s">
        <v>465</v>
      </c>
      <c r="G24" s="57" t="s">
        <v>465</v>
      </c>
      <c r="H24" s="21"/>
      <c r="I24" s="21"/>
      <c r="J24" s="7"/>
      <c r="K24" s="13"/>
      <c r="L24" s="13"/>
    </row>
    <row r="25" spans="1:12" s="13" customFormat="1" x14ac:dyDescent="0.2">
      <c r="A25" s="1" t="s">
        <v>25</v>
      </c>
      <c r="B25" s="12" t="s">
        <v>26</v>
      </c>
      <c r="D25" s="7" t="s">
        <v>4108</v>
      </c>
      <c r="E25" s="6">
        <v>105367</v>
      </c>
      <c r="F25" s="6" t="s">
        <v>465</v>
      </c>
      <c r="G25" s="57" t="s">
        <v>465</v>
      </c>
      <c r="H25" s="21"/>
      <c r="I25" s="21"/>
      <c r="J25" s="7"/>
    </row>
    <row r="26" spans="1:12" x14ac:dyDescent="0.2">
      <c r="A26" s="1" t="s">
        <v>25</v>
      </c>
      <c r="B26" s="12" t="s">
        <v>26</v>
      </c>
      <c r="C26" s="13"/>
      <c r="D26" s="7" t="s">
        <v>3689</v>
      </c>
      <c r="E26" s="6">
        <v>104833</v>
      </c>
      <c r="F26" s="6" t="s">
        <v>465</v>
      </c>
      <c r="G26" s="57" t="s">
        <v>465</v>
      </c>
      <c r="H26" s="21"/>
      <c r="I26" s="21"/>
      <c r="J26" s="7"/>
      <c r="K26" s="13"/>
      <c r="L26" s="13"/>
    </row>
    <row r="27" spans="1:12" s="13" customFormat="1" x14ac:dyDescent="0.2">
      <c r="A27" s="1" t="s">
        <v>25</v>
      </c>
      <c r="B27" s="12" t="s">
        <v>26</v>
      </c>
      <c r="D27" s="7" t="s">
        <v>3690</v>
      </c>
      <c r="E27" s="6">
        <v>104982</v>
      </c>
      <c r="F27" s="6" t="s">
        <v>465</v>
      </c>
      <c r="G27" s="57" t="s">
        <v>465</v>
      </c>
      <c r="H27" s="21"/>
      <c r="I27" s="21"/>
      <c r="J27" s="7"/>
    </row>
    <row r="28" spans="1:12" s="13" customFormat="1" x14ac:dyDescent="0.2">
      <c r="A28" s="1" t="s">
        <v>25</v>
      </c>
      <c r="B28" s="12" t="s">
        <v>26</v>
      </c>
      <c r="D28" s="7" t="s">
        <v>3693</v>
      </c>
      <c r="E28" s="6">
        <v>103061</v>
      </c>
      <c r="F28" s="6" t="s">
        <v>465</v>
      </c>
      <c r="G28" s="57" t="s">
        <v>465</v>
      </c>
      <c r="H28" s="21"/>
      <c r="I28" s="21"/>
      <c r="J28" s="7"/>
    </row>
    <row r="29" spans="1:12" s="13" customFormat="1" x14ac:dyDescent="0.2">
      <c r="A29" s="1" t="s">
        <v>25</v>
      </c>
      <c r="B29" s="12" t="s">
        <v>26</v>
      </c>
      <c r="D29" s="7" t="s">
        <v>1717</v>
      </c>
      <c r="E29" s="6">
        <v>101148</v>
      </c>
      <c r="F29" s="6" t="s">
        <v>465</v>
      </c>
      <c r="G29" s="57" t="s">
        <v>465</v>
      </c>
      <c r="H29" s="21"/>
      <c r="I29" s="21"/>
      <c r="J29" s="7"/>
    </row>
    <row r="30" spans="1:12" s="13" customFormat="1" x14ac:dyDescent="0.2">
      <c r="A30" s="1" t="s">
        <v>25</v>
      </c>
      <c r="B30" s="12" t="s">
        <v>26</v>
      </c>
      <c r="D30" s="7" t="s">
        <v>1450</v>
      </c>
      <c r="E30" s="6">
        <v>100641</v>
      </c>
      <c r="F30" s="6" t="s">
        <v>465</v>
      </c>
      <c r="G30" s="57" t="s">
        <v>465</v>
      </c>
      <c r="H30" s="21"/>
      <c r="I30" s="21"/>
      <c r="J30" s="7"/>
    </row>
    <row r="31" spans="1:12" s="13" customFormat="1" x14ac:dyDescent="0.2">
      <c r="A31" s="1" t="s">
        <v>25</v>
      </c>
      <c r="B31" s="12" t="s">
        <v>26</v>
      </c>
      <c r="D31" s="7" t="s">
        <v>3694</v>
      </c>
      <c r="E31" s="6">
        <v>132348</v>
      </c>
      <c r="F31" s="6" t="s">
        <v>465</v>
      </c>
      <c r="G31" s="57" t="s">
        <v>465</v>
      </c>
      <c r="H31" s="21"/>
      <c r="I31" s="21"/>
      <c r="J31" s="7"/>
    </row>
    <row r="32" spans="1:12" s="13" customFormat="1" x14ac:dyDescent="0.2">
      <c r="A32" s="1" t="s">
        <v>25</v>
      </c>
      <c r="B32" s="2" t="s">
        <v>26</v>
      </c>
      <c r="C32" s="1"/>
      <c r="D32" s="5" t="s">
        <v>464</v>
      </c>
      <c r="E32" s="3">
        <v>102500</v>
      </c>
      <c r="F32" s="58" t="s">
        <v>465</v>
      </c>
      <c r="G32" s="57" t="s">
        <v>465</v>
      </c>
      <c r="H32" s="19"/>
      <c r="I32" s="19"/>
      <c r="J32" s="1"/>
      <c r="K32" s="1"/>
      <c r="L32" s="1"/>
    </row>
    <row r="33" spans="1:12" s="13" customFormat="1" x14ac:dyDescent="0.2">
      <c r="A33" s="1" t="s">
        <v>25</v>
      </c>
      <c r="B33" s="2" t="s">
        <v>26</v>
      </c>
      <c r="C33" s="1"/>
      <c r="D33" s="5" t="s">
        <v>464</v>
      </c>
      <c r="E33" s="3">
        <v>102500</v>
      </c>
      <c r="F33" s="58" t="s">
        <v>465</v>
      </c>
      <c r="G33" s="57" t="s">
        <v>465</v>
      </c>
      <c r="H33" s="19"/>
      <c r="I33" s="19"/>
      <c r="J33" s="1"/>
      <c r="K33" s="1"/>
      <c r="L33" s="1"/>
    </row>
    <row r="34" spans="1:12" x14ac:dyDescent="0.2">
      <c r="A34" s="1" t="s">
        <v>25</v>
      </c>
      <c r="B34" s="2" t="s">
        <v>26</v>
      </c>
      <c r="C34" s="1"/>
      <c r="D34" s="5" t="s">
        <v>464</v>
      </c>
      <c r="E34" s="3">
        <v>107500</v>
      </c>
      <c r="F34" s="58" t="s">
        <v>465</v>
      </c>
      <c r="G34" s="57" t="s">
        <v>465</v>
      </c>
      <c r="J34" s="1"/>
    </row>
    <row r="35" spans="1:12" x14ac:dyDescent="0.2">
      <c r="A35" s="1" t="s">
        <v>25</v>
      </c>
      <c r="B35" s="2" t="s">
        <v>26</v>
      </c>
      <c r="C35" s="1"/>
      <c r="D35" s="5" t="s">
        <v>464</v>
      </c>
      <c r="E35" s="3">
        <v>107500</v>
      </c>
      <c r="F35" s="58" t="s">
        <v>465</v>
      </c>
      <c r="G35" s="57" t="s">
        <v>465</v>
      </c>
      <c r="J35" s="1"/>
    </row>
    <row r="36" spans="1:12" x14ac:dyDescent="0.2">
      <c r="A36" s="1" t="s">
        <v>25</v>
      </c>
      <c r="B36" s="2" t="s">
        <v>26</v>
      </c>
      <c r="C36" s="1"/>
      <c r="D36" s="5" t="s">
        <v>464</v>
      </c>
      <c r="E36" s="3">
        <v>107500</v>
      </c>
      <c r="F36" s="58" t="s">
        <v>465</v>
      </c>
      <c r="G36" s="57" t="s">
        <v>465</v>
      </c>
      <c r="J36" s="1"/>
    </row>
    <row r="37" spans="1:12" x14ac:dyDescent="0.2">
      <c r="A37" s="1" t="s">
        <v>25</v>
      </c>
      <c r="B37" s="2" t="s">
        <v>26</v>
      </c>
      <c r="C37" s="1"/>
      <c r="D37" s="5" t="s">
        <v>464</v>
      </c>
      <c r="E37" s="3">
        <v>117500</v>
      </c>
      <c r="F37" s="58" t="s">
        <v>465</v>
      </c>
      <c r="G37" s="57" t="s">
        <v>465</v>
      </c>
      <c r="J37" s="1"/>
    </row>
    <row r="38" spans="1:12" x14ac:dyDescent="0.2">
      <c r="A38" s="1" t="s">
        <v>25</v>
      </c>
      <c r="B38" s="2" t="s">
        <v>26</v>
      </c>
      <c r="C38" s="1"/>
      <c r="D38" s="5" t="s">
        <v>464</v>
      </c>
      <c r="E38" s="3">
        <v>117500</v>
      </c>
      <c r="F38" s="58" t="s">
        <v>465</v>
      </c>
      <c r="G38" s="57" t="s">
        <v>465</v>
      </c>
      <c r="J38" s="1"/>
    </row>
    <row r="39" spans="1:12" x14ac:dyDescent="0.2">
      <c r="A39" s="1" t="s">
        <v>25</v>
      </c>
      <c r="B39" s="2" t="s">
        <v>26</v>
      </c>
      <c r="C39" s="1"/>
      <c r="D39" s="5" t="s">
        <v>464</v>
      </c>
      <c r="E39" s="3">
        <v>117500</v>
      </c>
      <c r="F39" s="58" t="s">
        <v>465</v>
      </c>
      <c r="G39" s="57" t="s">
        <v>465</v>
      </c>
      <c r="J39" s="1"/>
    </row>
    <row r="40" spans="1:12" x14ac:dyDescent="0.2">
      <c r="A40" s="1" t="s">
        <v>25</v>
      </c>
      <c r="B40" s="2" t="s">
        <v>26</v>
      </c>
      <c r="C40" s="1"/>
      <c r="D40" s="5" t="s">
        <v>464</v>
      </c>
      <c r="E40" s="3">
        <v>117500</v>
      </c>
      <c r="F40" s="58" t="s">
        <v>465</v>
      </c>
      <c r="G40" s="57" t="s">
        <v>465</v>
      </c>
      <c r="J40" s="1"/>
    </row>
    <row r="41" spans="1:12" x14ac:dyDescent="0.2">
      <c r="A41" s="1" t="s">
        <v>25</v>
      </c>
      <c r="B41" s="2" t="s">
        <v>26</v>
      </c>
      <c r="C41" s="1"/>
      <c r="D41" s="5" t="s">
        <v>464</v>
      </c>
      <c r="E41" s="3">
        <v>117500</v>
      </c>
      <c r="F41" s="58" t="s">
        <v>465</v>
      </c>
      <c r="G41" s="57" t="s">
        <v>465</v>
      </c>
      <c r="J41" s="1"/>
    </row>
    <row r="42" spans="1:12" x14ac:dyDescent="0.2">
      <c r="A42" s="1" t="s">
        <v>25</v>
      </c>
      <c r="B42" s="2" t="s">
        <v>26</v>
      </c>
      <c r="C42" s="1"/>
      <c r="D42" s="5" t="s">
        <v>464</v>
      </c>
      <c r="E42" s="3">
        <v>117500</v>
      </c>
      <c r="F42" s="58" t="s">
        <v>465</v>
      </c>
      <c r="G42" s="57" t="s">
        <v>465</v>
      </c>
      <c r="J42" s="1"/>
    </row>
    <row r="43" spans="1:12" x14ac:dyDescent="0.2">
      <c r="A43" s="1" t="s">
        <v>25</v>
      </c>
      <c r="B43" s="2" t="s">
        <v>26</v>
      </c>
      <c r="C43" s="1"/>
      <c r="D43" s="5" t="s">
        <v>464</v>
      </c>
      <c r="E43" s="3">
        <v>122500</v>
      </c>
      <c r="F43" s="58" t="s">
        <v>465</v>
      </c>
      <c r="G43" s="57" t="s">
        <v>465</v>
      </c>
      <c r="J43" s="1"/>
    </row>
    <row r="44" spans="1:12" x14ac:dyDescent="0.2">
      <c r="A44" s="1" t="s">
        <v>25</v>
      </c>
      <c r="B44" s="2" t="s">
        <v>26</v>
      </c>
      <c r="C44" s="1"/>
      <c r="D44" s="5" t="s">
        <v>464</v>
      </c>
      <c r="E44" s="3">
        <v>122500</v>
      </c>
      <c r="F44" s="58" t="s">
        <v>465</v>
      </c>
      <c r="G44" s="57" t="s">
        <v>465</v>
      </c>
      <c r="J44" s="1"/>
    </row>
    <row r="45" spans="1:12" x14ac:dyDescent="0.2">
      <c r="A45" s="1" t="s">
        <v>25</v>
      </c>
      <c r="B45" s="2" t="s">
        <v>26</v>
      </c>
      <c r="C45" s="1"/>
      <c r="D45" s="5" t="s">
        <v>464</v>
      </c>
      <c r="E45" s="3">
        <v>122500</v>
      </c>
      <c r="F45" s="58" t="s">
        <v>465</v>
      </c>
      <c r="G45" s="57" t="s">
        <v>465</v>
      </c>
      <c r="J45" s="1"/>
    </row>
    <row r="46" spans="1:12" x14ac:dyDescent="0.2">
      <c r="A46" s="1" t="s">
        <v>25</v>
      </c>
      <c r="B46" s="2" t="s">
        <v>26</v>
      </c>
      <c r="C46" s="1"/>
      <c r="D46" s="5" t="s">
        <v>464</v>
      </c>
      <c r="E46" s="3">
        <v>122500</v>
      </c>
      <c r="F46" s="58" t="s">
        <v>465</v>
      </c>
      <c r="G46" s="57" t="s">
        <v>465</v>
      </c>
      <c r="J46" s="1"/>
    </row>
    <row r="47" spans="1:12" x14ac:dyDescent="0.2">
      <c r="A47" s="1" t="s">
        <v>25</v>
      </c>
      <c r="B47" s="2" t="s">
        <v>26</v>
      </c>
      <c r="C47" s="1"/>
      <c r="D47" s="5" t="s">
        <v>464</v>
      </c>
      <c r="E47" s="3">
        <v>137500</v>
      </c>
      <c r="F47" s="58" t="s">
        <v>465</v>
      </c>
      <c r="G47" s="57" t="s">
        <v>465</v>
      </c>
      <c r="J47" s="1"/>
    </row>
    <row r="48" spans="1:12" x14ac:dyDescent="0.2">
      <c r="A48" s="1" t="s">
        <v>25</v>
      </c>
      <c r="B48" s="2" t="s">
        <v>26</v>
      </c>
      <c r="C48" s="1"/>
      <c r="D48" s="5" t="s">
        <v>464</v>
      </c>
      <c r="E48" s="3">
        <v>147500</v>
      </c>
      <c r="F48" s="58" t="s">
        <v>465</v>
      </c>
      <c r="G48" s="57" t="s">
        <v>465</v>
      </c>
      <c r="J48" s="1"/>
    </row>
    <row r="49" spans="1:12" x14ac:dyDescent="0.2">
      <c r="A49" s="1" t="s">
        <v>25</v>
      </c>
      <c r="B49" s="2" t="s">
        <v>26</v>
      </c>
      <c r="C49" s="1"/>
      <c r="D49" s="5" t="s">
        <v>464</v>
      </c>
      <c r="E49" s="3">
        <v>147500</v>
      </c>
      <c r="F49" s="58" t="s">
        <v>465</v>
      </c>
      <c r="G49" s="57" t="s">
        <v>465</v>
      </c>
      <c r="J49" s="1"/>
    </row>
    <row r="50" spans="1:12" x14ac:dyDescent="0.2">
      <c r="A50" s="1" t="s">
        <v>25</v>
      </c>
      <c r="B50" s="2" t="s">
        <v>26</v>
      </c>
      <c r="C50" s="1"/>
      <c r="D50" s="5" t="s">
        <v>464</v>
      </c>
      <c r="E50" s="3" t="s">
        <v>935</v>
      </c>
      <c r="F50" s="58" t="s">
        <v>465</v>
      </c>
      <c r="G50" s="57" t="s">
        <v>465</v>
      </c>
    </row>
    <row r="51" spans="1:12" x14ac:dyDescent="0.2">
      <c r="A51" s="1" t="s">
        <v>25</v>
      </c>
      <c r="B51" s="2" t="s">
        <v>26</v>
      </c>
      <c r="C51" s="1"/>
      <c r="D51" s="5" t="s">
        <v>464</v>
      </c>
      <c r="E51" s="3" t="s">
        <v>935</v>
      </c>
      <c r="F51" s="58" t="s">
        <v>465</v>
      </c>
      <c r="G51" s="57" t="s">
        <v>465</v>
      </c>
    </row>
    <row r="52" spans="1:12" x14ac:dyDescent="0.2">
      <c r="A52" s="1" t="s">
        <v>25</v>
      </c>
      <c r="B52" s="2" t="s">
        <v>26</v>
      </c>
      <c r="C52" s="1"/>
      <c r="D52" s="5" t="s">
        <v>464</v>
      </c>
      <c r="E52" s="3" t="s">
        <v>935</v>
      </c>
      <c r="F52" s="58" t="s">
        <v>465</v>
      </c>
      <c r="G52" s="57" t="s">
        <v>465</v>
      </c>
    </row>
    <row r="53" spans="1:12" x14ac:dyDescent="0.2">
      <c r="A53" s="1" t="s">
        <v>25</v>
      </c>
      <c r="B53" s="2" t="s">
        <v>26</v>
      </c>
      <c r="C53" s="1"/>
      <c r="D53" s="5" t="s">
        <v>464</v>
      </c>
      <c r="E53" s="3" t="s">
        <v>935</v>
      </c>
      <c r="F53" s="58" t="s">
        <v>465</v>
      </c>
      <c r="G53" s="57" t="s">
        <v>465</v>
      </c>
    </row>
    <row r="54" spans="1:12" s="13" customFormat="1" x14ac:dyDescent="0.2">
      <c r="A54" s="1" t="s">
        <v>25</v>
      </c>
      <c r="B54" s="2" t="s">
        <v>26</v>
      </c>
      <c r="C54" s="1"/>
      <c r="D54" s="5" t="s">
        <v>464</v>
      </c>
      <c r="E54" s="3" t="s">
        <v>935</v>
      </c>
      <c r="F54" s="58" t="s">
        <v>465</v>
      </c>
      <c r="G54" s="57" t="s">
        <v>465</v>
      </c>
      <c r="H54" s="19"/>
      <c r="I54" s="19"/>
      <c r="J54" s="5"/>
      <c r="K54" s="1"/>
      <c r="L54" s="1"/>
    </row>
    <row r="55" spans="1:12" s="13" customFormat="1" ht="25.5" x14ac:dyDescent="0.2">
      <c r="A55" s="1" t="s">
        <v>4</v>
      </c>
      <c r="B55" s="2" t="s">
        <v>31</v>
      </c>
      <c r="D55" s="7" t="s">
        <v>4127</v>
      </c>
      <c r="E55" s="6">
        <v>113273</v>
      </c>
      <c r="F55" s="6" t="s">
        <v>465</v>
      </c>
      <c r="G55" s="57" t="s">
        <v>465</v>
      </c>
      <c r="H55" s="21"/>
      <c r="I55" s="21"/>
      <c r="J55" s="7" t="s">
        <v>4128</v>
      </c>
    </row>
    <row r="56" spans="1:12" s="13" customFormat="1" x14ac:dyDescent="0.2">
      <c r="A56" s="13" t="s">
        <v>34</v>
      </c>
      <c r="B56" s="2" t="s">
        <v>33</v>
      </c>
      <c r="C56" s="1"/>
      <c r="D56" s="5" t="s">
        <v>464</v>
      </c>
      <c r="E56" s="3">
        <v>132500</v>
      </c>
      <c r="F56" s="3" t="s">
        <v>465</v>
      </c>
      <c r="G56" s="57" t="s">
        <v>465</v>
      </c>
      <c r="H56" s="19"/>
      <c r="I56" s="19"/>
      <c r="J56" s="5"/>
      <c r="K56" s="1"/>
      <c r="L56" s="1"/>
    </row>
    <row r="57" spans="1:12" x14ac:dyDescent="0.2">
      <c r="A57" s="1" t="s">
        <v>20</v>
      </c>
      <c r="B57" s="2" t="s">
        <v>35</v>
      </c>
      <c r="C57" s="1"/>
      <c r="D57" s="5" t="s">
        <v>464</v>
      </c>
      <c r="E57" s="3">
        <v>122500</v>
      </c>
      <c r="F57" s="3" t="s">
        <v>465</v>
      </c>
      <c r="G57" s="57" t="s">
        <v>465</v>
      </c>
      <c r="J57" s="1"/>
    </row>
    <row r="58" spans="1:12" x14ac:dyDescent="0.2">
      <c r="A58" s="1" t="s">
        <v>20</v>
      </c>
      <c r="B58" s="2" t="s">
        <v>35</v>
      </c>
      <c r="C58" s="1"/>
      <c r="D58" s="5" t="s">
        <v>464</v>
      </c>
      <c r="E58" s="3">
        <v>127500</v>
      </c>
      <c r="F58" s="3" t="s">
        <v>465</v>
      </c>
      <c r="G58" s="57" t="s">
        <v>465</v>
      </c>
      <c r="J58" s="1"/>
    </row>
    <row r="59" spans="1:12" x14ac:dyDescent="0.2">
      <c r="A59" s="1" t="s">
        <v>20</v>
      </c>
      <c r="B59" s="2" t="s">
        <v>35</v>
      </c>
      <c r="C59" s="1"/>
      <c r="D59" s="5" t="s">
        <v>464</v>
      </c>
      <c r="E59" s="3">
        <v>132500</v>
      </c>
      <c r="F59" s="3" t="s">
        <v>465</v>
      </c>
      <c r="G59" s="57" t="s">
        <v>465</v>
      </c>
      <c r="J59" s="1"/>
    </row>
    <row r="60" spans="1:12" x14ac:dyDescent="0.2">
      <c r="A60" s="1" t="s">
        <v>20</v>
      </c>
      <c r="B60" s="2" t="s">
        <v>35</v>
      </c>
      <c r="C60" s="1"/>
      <c r="D60" s="5" t="s">
        <v>464</v>
      </c>
      <c r="E60" s="3">
        <v>137500</v>
      </c>
      <c r="F60" s="3" t="s">
        <v>465</v>
      </c>
      <c r="G60" s="57" t="s">
        <v>465</v>
      </c>
      <c r="J60" s="1"/>
    </row>
    <row r="61" spans="1:12" x14ac:dyDescent="0.2">
      <c r="A61" s="1" t="s">
        <v>20</v>
      </c>
      <c r="B61" s="2" t="s">
        <v>35</v>
      </c>
      <c r="C61" s="1"/>
      <c r="D61" s="5" t="s">
        <v>464</v>
      </c>
      <c r="E61" s="3">
        <v>217500</v>
      </c>
      <c r="F61" s="3" t="s">
        <v>465</v>
      </c>
      <c r="G61" s="57" t="s">
        <v>465</v>
      </c>
      <c r="J61" s="1"/>
    </row>
    <row r="62" spans="1:12" s="13" customFormat="1" x14ac:dyDescent="0.2">
      <c r="A62" s="1" t="s">
        <v>20</v>
      </c>
      <c r="B62" s="2" t="s">
        <v>35</v>
      </c>
      <c r="C62" s="1"/>
      <c r="D62" s="5" t="s">
        <v>464</v>
      </c>
      <c r="E62" s="3">
        <v>245000</v>
      </c>
      <c r="F62" s="3" t="s">
        <v>465</v>
      </c>
      <c r="G62" s="57" t="s">
        <v>465</v>
      </c>
      <c r="H62" s="19"/>
      <c r="I62" s="19"/>
      <c r="J62" s="1"/>
      <c r="K62" s="1"/>
      <c r="L62" s="1"/>
    </row>
    <row r="63" spans="1:12" x14ac:dyDescent="0.2">
      <c r="A63" s="1" t="s">
        <v>20</v>
      </c>
      <c r="B63" s="2" t="s">
        <v>35</v>
      </c>
      <c r="C63" s="1"/>
      <c r="D63" s="5" t="s">
        <v>464</v>
      </c>
      <c r="E63" s="3">
        <v>407500</v>
      </c>
      <c r="F63" s="3" t="s">
        <v>465</v>
      </c>
      <c r="G63" s="57" t="s">
        <v>465</v>
      </c>
      <c r="J63" s="1"/>
    </row>
    <row r="64" spans="1:12" x14ac:dyDescent="0.2">
      <c r="A64" s="1" t="s">
        <v>11</v>
      </c>
      <c r="B64" s="12" t="s">
        <v>36</v>
      </c>
      <c r="C64" s="1"/>
      <c r="D64" s="5" t="s">
        <v>464</v>
      </c>
      <c r="E64" s="3">
        <v>115000</v>
      </c>
      <c r="F64" s="3" t="s">
        <v>465</v>
      </c>
      <c r="G64" s="57" t="s">
        <v>465</v>
      </c>
    </row>
    <row r="65" spans="1:12" x14ac:dyDescent="0.2">
      <c r="A65" s="1" t="s">
        <v>39</v>
      </c>
      <c r="B65" s="2" t="s">
        <v>38</v>
      </c>
      <c r="C65" s="1"/>
      <c r="D65" s="5" t="s">
        <v>464</v>
      </c>
      <c r="E65" s="3">
        <v>102500</v>
      </c>
      <c r="F65" s="3" t="s">
        <v>465</v>
      </c>
      <c r="G65" s="57" t="s">
        <v>465</v>
      </c>
    </row>
    <row r="66" spans="1:12" x14ac:dyDescent="0.2">
      <c r="A66" s="1" t="s">
        <v>39</v>
      </c>
      <c r="B66" s="2" t="s">
        <v>38</v>
      </c>
      <c r="C66" s="1"/>
      <c r="D66" s="5" t="s">
        <v>464</v>
      </c>
      <c r="E66" s="3">
        <v>102500</v>
      </c>
      <c r="F66" s="3" t="s">
        <v>465</v>
      </c>
      <c r="G66" s="57" t="s">
        <v>465</v>
      </c>
    </row>
    <row r="67" spans="1:12" x14ac:dyDescent="0.2">
      <c r="A67" s="1" t="s">
        <v>39</v>
      </c>
      <c r="B67" s="2" t="s">
        <v>38</v>
      </c>
      <c r="C67" s="1"/>
      <c r="D67" s="5" t="s">
        <v>464</v>
      </c>
      <c r="E67" s="3">
        <v>102500</v>
      </c>
      <c r="F67" s="3" t="s">
        <v>465</v>
      </c>
      <c r="G67" s="57" t="s">
        <v>465</v>
      </c>
    </row>
    <row r="68" spans="1:12" x14ac:dyDescent="0.2">
      <c r="A68" s="1" t="s">
        <v>39</v>
      </c>
      <c r="B68" s="2" t="s">
        <v>38</v>
      </c>
      <c r="C68" s="1"/>
      <c r="D68" s="5" t="s">
        <v>464</v>
      </c>
      <c r="E68" s="3">
        <v>107500</v>
      </c>
      <c r="F68" s="3" t="s">
        <v>465</v>
      </c>
      <c r="G68" s="57" t="s">
        <v>465</v>
      </c>
    </row>
    <row r="69" spans="1:12" x14ac:dyDescent="0.2">
      <c r="A69" s="1" t="s">
        <v>39</v>
      </c>
      <c r="B69" s="2" t="s">
        <v>38</v>
      </c>
      <c r="C69" s="1"/>
      <c r="D69" s="5" t="s">
        <v>464</v>
      </c>
      <c r="E69" s="3">
        <v>117500</v>
      </c>
      <c r="F69" s="3" t="s">
        <v>465</v>
      </c>
      <c r="G69" s="57" t="s">
        <v>465</v>
      </c>
    </row>
    <row r="70" spans="1:12" x14ac:dyDescent="0.2">
      <c r="A70" s="1" t="s">
        <v>6</v>
      </c>
      <c r="B70" s="2" t="s">
        <v>41</v>
      </c>
      <c r="C70" s="1"/>
      <c r="D70" s="5" t="s">
        <v>1772</v>
      </c>
      <c r="E70" s="6">
        <v>145000</v>
      </c>
      <c r="F70" s="6" t="s">
        <v>465</v>
      </c>
      <c r="G70" s="57" t="s">
        <v>465</v>
      </c>
    </row>
    <row r="71" spans="1:12" x14ac:dyDescent="0.2">
      <c r="A71" s="1" t="s">
        <v>6</v>
      </c>
      <c r="B71" s="2" t="s">
        <v>41</v>
      </c>
      <c r="C71" s="1"/>
      <c r="D71" s="5" t="s">
        <v>1774</v>
      </c>
      <c r="E71" s="6">
        <v>140000</v>
      </c>
      <c r="F71" s="6" t="s">
        <v>465</v>
      </c>
      <c r="G71" s="57" t="s">
        <v>465</v>
      </c>
    </row>
    <row r="72" spans="1:12" s="13" customFormat="1" x14ac:dyDescent="0.2">
      <c r="A72" s="1" t="s">
        <v>6</v>
      </c>
      <c r="B72" s="2" t="s">
        <v>41</v>
      </c>
      <c r="C72" s="1"/>
      <c r="D72" s="5" t="s">
        <v>464</v>
      </c>
      <c r="E72" s="3">
        <v>112500</v>
      </c>
      <c r="F72" s="3" t="s">
        <v>465</v>
      </c>
      <c r="G72" s="57" t="s">
        <v>465</v>
      </c>
      <c r="H72" s="19"/>
      <c r="I72" s="19"/>
      <c r="J72" s="5" t="s">
        <v>3718</v>
      </c>
      <c r="K72" s="1"/>
      <c r="L72" s="1"/>
    </row>
    <row r="73" spans="1:12" x14ac:dyDescent="0.2">
      <c r="A73" s="1" t="s">
        <v>6</v>
      </c>
      <c r="B73" s="2" t="s">
        <v>41</v>
      </c>
      <c r="C73" s="1"/>
      <c r="D73" s="5" t="s">
        <v>464</v>
      </c>
      <c r="E73" s="3">
        <v>142500</v>
      </c>
      <c r="F73" s="3" t="s">
        <v>465</v>
      </c>
      <c r="G73" s="57" t="s">
        <v>465</v>
      </c>
      <c r="J73" s="5" t="s">
        <v>3718</v>
      </c>
    </row>
    <row r="74" spans="1:12" s="13" customFormat="1" x14ac:dyDescent="0.2">
      <c r="A74" s="1" t="s">
        <v>6</v>
      </c>
      <c r="B74" s="12" t="s">
        <v>42</v>
      </c>
      <c r="D74" s="7" t="s">
        <v>3721</v>
      </c>
      <c r="E74" s="6">
        <v>338447</v>
      </c>
      <c r="F74" s="6" t="s">
        <v>465</v>
      </c>
      <c r="G74" s="57" t="s">
        <v>465</v>
      </c>
      <c r="H74" s="21"/>
      <c r="I74" s="21"/>
      <c r="J74" s="7" t="s">
        <v>3661</v>
      </c>
    </row>
    <row r="75" spans="1:12" s="13" customFormat="1" x14ac:dyDescent="0.2">
      <c r="A75" s="1" t="s">
        <v>6</v>
      </c>
      <c r="B75" s="12" t="s">
        <v>42</v>
      </c>
      <c r="D75" s="7" t="s">
        <v>3722</v>
      </c>
      <c r="E75" s="6">
        <v>135862</v>
      </c>
      <c r="F75" s="6" t="s">
        <v>465</v>
      </c>
      <c r="G75" s="57" t="s">
        <v>465</v>
      </c>
      <c r="H75" s="21"/>
      <c r="I75" s="21"/>
      <c r="J75" s="7"/>
    </row>
    <row r="76" spans="1:12" s="13" customFormat="1" x14ac:dyDescent="0.2">
      <c r="A76" s="1" t="s">
        <v>6</v>
      </c>
      <c r="B76" s="12" t="s">
        <v>42</v>
      </c>
      <c r="D76" s="7" t="s">
        <v>3723</v>
      </c>
      <c r="E76" s="6">
        <v>311864</v>
      </c>
      <c r="F76" s="6" t="s">
        <v>465</v>
      </c>
      <c r="G76" s="57" t="s">
        <v>465</v>
      </c>
      <c r="H76" s="21"/>
      <c r="I76" s="21"/>
      <c r="J76" s="7" t="s">
        <v>3661</v>
      </c>
    </row>
    <row r="77" spans="1:12" s="13" customFormat="1" x14ac:dyDescent="0.2">
      <c r="A77" s="1" t="s">
        <v>6</v>
      </c>
      <c r="B77" s="12" t="s">
        <v>42</v>
      </c>
      <c r="D77" s="7" t="s">
        <v>3724</v>
      </c>
      <c r="E77" s="6">
        <v>120636</v>
      </c>
      <c r="F77" s="6" t="s">
        <v>465</v>
      </c>
      <c r="G77" s="57" t="s">
        <v>465</v>
      </c>
      <c r="H77" s="21"/>
      <c r="I77" s="21"/>
      <c r="J77" s="7" t="s">
        <v>3661</v>
      </c>
    </row>
    <row r="78" spans="1:12" s="13" customFormat="1" x14ac:dyDescent="0.2">
      <c r="A78" s="1" t="s">
        <v>6</v>
      </c>
      <c r="B78" s="12" t="s">
        <v>42</v>
      </c>
      <c r="D78" s="7" t="s">
        <v>3725</v>
      </c>
      <c r="E78" s="6">
        <v>130021</v>
      </c>
      <c r="F78" s="6" t="s">
        <v>465</v>
      </c>
      <c r="G78" s="57" t="s">
        <v>465</v>
      </c>
      <c r="H78" s="21"/>
      <c r="I78" s="21"/>
      <c r="J78" s="7"/>
    </row>
    <row r="79" spans="1:12" s="13" customFormat="1" x14ac:dyDescent="0.2">
      <c r="A79" s="1" t="s">
        <v>6</v>
      </c>
      <c r="B79" s="2" t="s">
        <v>42</v>
      </c>
      <c r="C79" s="1"/>
      <c r="D79" s="5" t="s">
        <v>464</v>
      </c>
      <c r="E79" s="3">
        <v>107500</v>
      </c>
      <c r="F79" s="3" t="s">
        <v>465</v>
      </c>
      <c r="G79" s="57" t="s">
        <v>465</v>
      </c>
      <c r="H79" s="19"/>
      <c r="I79" s="19"/>
      <c r="J79" s="5" t="s">
        <v>3718</v>
      </c>
      <c r="K79" s="1"/>
      <c r="L79" s="1"/>
    </row>
    <row r="80" spans="1:12" s="13" customFormat="1" x14ac:dyDescent="0.2">
      <c r="A80" s="1" t="s">
        <v>6</v>
      </c>
      <c r="B80" s="2" t="s">
        <v>42</v>
      </c>
      <c r="C80" s="1"/>
      <c r="D80" s="5" t="s">
        <v>464</v>
      </c>
      <c r="E80" s="3">
        <v>127500</v>
      </c>
      <c r="F80" s="3" t="s">
        <v>465</v>
      </c>
      <c r="G80" s="57" t="s">
        <v>465</v>
      </c>
      <c r="H80" s="19"/>
      <c r="I80" s="19"/>
      <c r="J80" s="5" t="s">
        <v>3718</v>
      </c>
      <c r="K80" s="1"/>
      <c r="L80" s="1"/>
    </row>
    <row r="81" spans="1:12" s="13" customFormat="1" x14ac:dyDescent="0.2">
      <c r="A81" s="1" t="s">
        <v>6</v>
      </c>
      <c r="B81" s="2" t="s">
        <v>42</v>
      </c>
      <c r="C81" s="1"/>
      <c r="D81" s="5" t="s">
        <v>464</v>
      </c>
      <c r="E81" s="3">
        <v>152500</v>
      </c>
      <c r="F81" s="3" t="s">
        <v>465</v>
      </c>
      <c r="G81" s="57" t="s">
        <v>465</v>
      </c>
      <c r="H81" s="19"/>
      <c r="I81" s="19"/>
      <c r="J81" s="5" t="s">
        <v>3718</v>
      </c>
      <c r="K81" s="1"/>
      <c r="L81" s="1"/>
    </row>
    <row r="82" spans="1:12" s="13" customFormat="1" x14ac:dyDescent="0.2">
      <c r="A82" s="1" t="s">
        <v>44</v>
      </c>
      <c r="B82" s="12" t="s">
        <v>43</v>
      </c>
      <c r="D82" s="7" t="s">
        <v>3728</v>
      </c>
      <c r="E82" s="6">
        <v>197057</v>
      </c>
      <c r="F82" s="6" t="s">
        <v>465</v>
      </c>
      <c r="G82" s="57" t="s">
        <v>465</v>
      </c>
      <c r="H82" s="21"/>
      <c r="I82" s="21"/>
      <c r="J82" s="7" t="s">
        <v>3729</v>
      </c>
    </row>
    <row r="83" spans="1:12" s="13" customFormat="1" x14ac:dyDescent="0.2">
      <c r="A83" s="1" t="s">
        <v>44</v>
      </c>
      <c r="B83" s="12" t="s">
        <v>43</v>
      </c>
      <c r="D83" s="7" t="s">
        <v>3730</v>
      </c>
      <c r="E83" s="6">
        <v>100663</v>
      </c>
      <c r="F83" s="6" t="s">
        <v>465</v>
      </c>
      <c r="G83" s="57" t="s">
        <v>465</v>
      </c>
      <c r="H83" s="21"/>
      <c r="I83" s="21"/>
      <c r="J83" s="7"/>
    </row>
    <row r="84" spans="1:12" s="13" customFormat="1" x14ac:dyDescent="0.2">
      <c r="A84" s="1" t="s">
        <v>44</v>
      </c>
      <c r="B84" s="12" t="s">
        <v>43</v>
      </c>
      <c r="D84" s="7" t="s">
        <v>3660</v>
      </c>
      <c r="E84" s="6">
        <v>100780</v>
      </c>
      <c r="F84" s="6" t="s">
        <v>465</v>
      </c>
      <c r="G84" s="57" t="s">
        <v>465</v>
      </c>
      <c r="H84" s="21"/>
      <c r="I84" s="21"/>
      <c r="J84" s="7"/>
    </row>
    <row r="85" spans="1:12" s="13" customFormat="1" x14ac:dyDescent="0.2">
      <c r="A85" s="1" t="s">
        <v>6</v>
      </c>
      <c r="B85" s="2" t="s">
        <v>46</v>
      </c>
      <c r="C85" s="1"/>
      <c r="D85" s="5" t="s">
        <v>464</v>
      </c>
      <c r="E85" s="3">
        <v>107500</v>
      </c>
      <c r="F85" s="3" t="s">
        <v>465</v>
      </c>
      <c r="G85" s="57" t="s">
        <v>465</v>
      </c>
      <c r="H85" s="19"/>
      <c r="I85" s="19"/>
      <c r="J85" s="5"/>
      <c r="K85" s="1"/>
      <c r="L85" s="1"/>
    </row>
    <row r="86" spans="1:12" s="13" customFormat="1" x14ac:dyDescent="0.2">
      <c r="A86" s="1" t="s">
        <v>6</v>
      </c>
      <c r="B86" s="2" t="s">
        <v>46</v>
      </c>
      <c r="C86" s="1"/>
      <c r="D86" s="5" t="s">
        <v>464</v>
      </c>
      <c r="E86" s="3">
        <v>107500</v>
      </c>
      <c r="F86" s="3" t="s">
        <v>465</v>
      </c>
      <c r="G86" s="57" t="s">
        <v>465</v>
      </c>
      <c r="H86" s="19"/>
      <c r="I86" s="19"/>
      <c r="J86" s="5"/>
      <c r="K86" s="1"/>
      <c r="L86" s="1"/>
    </row>
    <row r="87" spans="1:12" s="13" customFormat="1" x14ac:dyDescent="0.2">
      <c r="A87" s="1" t="s">
        <v>6</v>
      </c>
      <c r="B87" s="2" t="s">
        <v>46</v>
      </c>
      <c r="C87" s="1"/>
      <c r="D87" s="5" t="s">
        <v>464</v>
      </c>
      <c r="E87" s="3">
        <v>127500</v>
      </c>
      <c r="F87" s="3" t="s">
        <v>465</v>
      </c>
      <c r="G87" s="57" t="s">
        <v>465</v>
      </c>
      <c r="H87" s="19"/>
      <c r="I87" s="19"/>
      <c r="J87" s="5"/>
      <c r="K87" s="1"/>
      <c r="L87" s="1"/>
    </row>
    <row r="88" spans="1:12" s="13" customFormat="1" x14ac:dyDescent="0.2">
      <c r="A88" s="1" t="s">
        <v>6</v>
      </c>
      <c r="B88" s="2" t="s">
        <v>46</v>
      </c>
      <c r="C88" s="1"/>
      <c r="D88" s="5" t="s">
        <v>464</v>
      </c>
      <c r="E88" s="3">
        <v>127500</v>
      </c>
      <c r="F88" s="3" t="s">
        <v>465</v>
      </c>
      <c r="G88" s="57" t="s">
        <v>465</v>
      </c>
      <c r="H88" s="19"/>
      <c r="I88" s="19"/>
      <c r="J88" s="5"/>
      <c r="K88" s="1"/>
      <c r="L88" s="1"/>
    </row>
    <row r="89" spans="1:12" s="13" customFormat="1" x14ac:dyDescent="0.2">
      <c r="A89" s="1" t="s">
        <v>6</v>
      </c>
      <c r="B89" s="2" t="s">
        <v>46</v>
      </c>
      <c r="C89" s="1"/>
      <c r="D89" s="5" t="s">
        <v>464</v>
      </c>
      <c r="E89" s="3">
        <v>127500</v>
      </c>
      <c r="F89" s="3" t="s">
        <v>465</v>
      </c>
      <c r="G89" s="57" t="s">
        <v>465</v>
      </c>
      <c r="H89" s="19"/>
      <c r="I89" s="19"/>
      <c r="J89" s="5"/>
      <c r="K89" s="1"/>
      <c r="L89" s="1"/>
    </row>
    <row r="90" spans="1:12" x14ac:dyDescent="0.2">
      <c r="A90" s="1" t="s">
        <v>6</v>
      </c>
      <c r="B90" s="2" t="s">
        <v>46</v>
      </c>
      <c r="C90" s="1"/>
      <c r="D90" s="5" t="s">
        <v>464</v>
      </c>
      <c r="E90" s="3">
        <v>132500</v>
      </c>
      <c r="F90" s="3" t="s">
        <v>465</v>
      </c>
      <c r="G90" s="57" t="s">
        <v>465</v>
      </c>
    </row>
    <row r="91" spans="1:12" x14ac:dyDescent="0.2">
      <c r="A91" s="1" t="s">
        <v>6</v>
      </c>
      <c r="B91" s="2" t="s">
        <v>46</v>
      </c>
      <c r="C91" s="1"/>
      <c r="D91" s="5" t="s">
        <v>464</v>
      </c>
      <c r="E91" s="3">
        <v>167500</v>
      </c>
      <c r="F91" s="3" t="s">
        <v>465</v>
      </c>
      <c r="G91" s="57" t="s">
        <v>465</v>
      </c>
    </row>
    <row r="92" spans="1:12" x14ac:dyDescent="0.2">
      <c r="A92" s="1" t="s">
        <v>8</v>
      </c>
      <c r="B92" s="2" t="s">
        <v>47</v>
      </c>
      <c r="C92" s="1"/>
      <c r="D92" s="5" t="s">
        <v>504</v>
      </c>
      <c r="E92" s="3">
        <v>101751</v>
      </c>
      <c r="F92" s="3" t="s">
        <v>465</v>
      </c>
      <c r="G92" s="57" t="s">
        <v>465</v>
      </c>
    </row>
    <row r="93" spans="1:12" ht="25.5" x14ac:dyDescent="0.2">
      <c r="A93" s="13" t="s">
        <v>34</v>
      </c>
      <c r="B93" s="12" t="s">
        <v>48</v>
      </c>
      <c r="C93" s="13"/>
      <c r="D93" s="7" t="s">
        <v>3733</v>
      </c>
      <c r="E93" s="6">
        <v>265842</v>
      </c>
      <c r="F93" s="6" t="s">
        <v>465</v>
      </c>
      <c r="G93" s="57" t="s">
        <v>465</v>
      </c>
      <c r="H93" s="21"/>
      <c r="I93" s="21"/>
      <c r="J93" s="7" t="s">
        <v>4154</v>
      </c>
      <c r="K93" s="13"/>
      <c r="L93" s="13"/>
    </row>
    <row r="94" spans="1:12" s="13" customFormat="1" x14ac:dyDescent="0.2">
      <c r="A94" s="13" t="s">
        <v>34</v>
      </c>
      <c r="B94" s="12" t="s">
        <v>48</v>
      </c>
      <c r="D94" s="7" t="s">
        <v>464</v>
      </c>
      <c r="E94" s="6">
        <v>102500</v>
      </c>
      <c r="F94" s="6" t="s">
        <v>465</v>
      </c>
      <c r="G94" s="57" t="s">
        <v>465</v>
      </c>
      <c r="H94" s="21"/>
      <c r="I94" s="21"/>
      <c r="J94" s="7"/>
    </row>
    <row r="95" spans="1:12" x14ac:dyDescent="0.2">
      <c r="A95" s="13" t="s">
        <v>34</v>
      </c>
      <c r="B95" s="12" t="s">
        <v>48</v>
      </c>
      <c r="C95" s="13"/>
      <c r="D95" s="7" t="s">
        <v>464</v>
      </c>
      <c r="E95" s="6">
        <v>107500</v>
      </c>
      <c r="F95" s="6" t="s">
        <v>465</v>
      </c>
      <c r="G95" s="57" t="s">
        <v>465</v>
      </c>
      <c r="H95" s="21"/>
      <c r="I95" s="21"/>
      <c r="J95" s="7"/>
      <c r="K95" s="13"/>
      <c r="L95" s="13"/>
    </row>
    <row r="96" spans="1:12" ht="25.5" x14ac:dyDescent="0.2">
      <c r="A96" s="1" t="s">
        <v>4</v>
      </c>
      <c r="B96" s="12" t="s">
        <v>49</v>
      </c>
      <c r="C96" s="13"/>
      <c r="D96" s="7" t="s">
        <v>3745</v>
      </c>
      <c r="E96" s="6">
        <v>112900</v>
      </c>
      <c r="F96" s="6" t="s">
        <v>465</v>
      </c>
      <c r="G96" s="57" t="s">
        <v>465</v>
      </c>
      <c r="H96" s="21"/>
      <c r="I96" s="21"/>
      <c r="J96" s="7" t="s">
        <v>3746</v>
      </c>
      <c r="K96" s="13"/>
      <c r="L96" s="13"/>
    </row>
    <row r="97" spans="1:12" x14ac:dyDescent="0.2">
      <c r="A97" s="1" t="s">
        <v>28</v>
      </c>
      <c r="B97" s="2" t="s">
        <v>50</v>
      </c>
      <c r="C97" s="1"/>
      <c r="D97" s="5" t="s">
        <v>1823</v>
      </c>
      <c r="E97" s="6">
        <v>164483</v>
      </c>
      <c r="F97" s="3" t="s">
        <v>465</v>
      </c>
      <c r="G97" s="57" t="s">
        <v>465</v>
      </c>
      <c r="J97" s="1"/>
    </row>
    <row r="98" spans="1:12" x14ac:dyDescent="0.2">
      <c r="A98" s="1" t="s">
        <v>28</v>
      </c>
      <c r="B98" s="12" t="s">
        <v>50</v>
      </c>
      <c r="C98" s="13"/>
      <c r="D98" s="7" t="s">
        <v>3755</v>
      </c>
      <c r="E98" s="6">
        <v>174101</v>
      </c>
      <c r="F98" s="6" t="s">
        <v>465</v>
      </c>
      <c r="G98" s="57" t="s">
        <v>465</v>
      </c>
      <c r="H98" s="21"/>
      <c r="I98" s="21"/>
      <c r="J98" s="7" t="s">
        <v>465</v>
      </c>
      <c r="K98" s="13"/>
      <c r="L98" s="13"/>
    </row>
    <row r="99" spans="1:12" x14ac:dyDescent="0.2">
      <c r="A99" s="1" t="s">
        <v>28</v>
      </c>
      <c r="B99" s="12" t="s">
        <v>50</v>
      </c>
      <c r="C99" s="13"/>
      <c r="D99" s="7" t="s">
        <v>3756</v>
      </c>
      <c r="E99" s="6">
        <v>134300</v>
      </c>
      <c r="F99" s="6" t="s">
        <v>465</v>
      </c>
      <c r="G99" s="57" t="s">
        <v>465</v>
      </c>
      <c r="H99" s="21"/>
      <c r="I99" s="21"/>
      <c r="J99" s="7" t="s">
        <v>465</v>
      </c>
      <c r="K99" s="13"/>
      <c r="L99" s="13"/>
    </row>
    <row r="100" spans="1:12" x14ac:dyDescent="0.2">
      <c r="A100" s="1" t="s">
        <v>28</v>
      </c>
      <c r="B100" s="2" t="s">
        <v>50</v>
      </c>
      <c r="C100" s="1"/>
      <c r="D100" s="5" t="s">
        <v>464</v>
      </c>
      <c r="E100" s="3">
        <v>102500</v>
      </c>
      <c r="F100" s="58" t="s">
        <v>465</v>
      </c>
      <c r="G100" s="57" t="s">
        <v>465</v>
      </c>
      <c r="J100" s="1"/>
    </row>
    <row r="101" spans="1:12" x14ac:dyDescent="0.2">
      <c r="A101" s="1" t="s">
        <v>28</v>
      </c>
      <c r="B101" s="2" t="s">
        <v>50</v>
      </c>
      <c r="C101" s="1"/>
      <c r="D101" s="5" t="s">
        <v>464</v>
      </c>
      <c r="E101" s="3">
        <v>102500</v>
      </c>
      <c r="F101" s="58" t="s">
        <v>465</v>
      </c>
      <c r="G101" s="57" t="s">
        <v>465</v>
      </c>
    </row>
    <row r="102" spans="1:12" x14ac:dyDescent="0.2">
      <c r="A102" s="1" t="s">
        <v>28</v>
      </c>
      <c r="B102" s="2" t="s">
        <v>50</v>
      </c>
      <c r="C102" s="1"/>
      <c r="D102" s="5" t="s">
        <v>464</v>
      </c>
      <c r="E102" s="3">
        <v>107500</v>
      </c>
      <c r="F102" s="58" t="s">
        <v>465</v>
      </c>
      <c r="G102" s="57" t="s">
        <v>465</v>
      </c>
    </row>
    <row r="103" spans="1:12" s="13" customFormat="1" x14ac:dyDescent="0.2">
      <c r="A103" s="1" t="s">
        <v>28</v>
      </c>
      <c r="B103" s="2" t="s">
        <v>50</v>
      </c>
      <c r="C103" s="1"/>
      <c r="D103" s="5" t="s">
        <v>464</v>
      </c>
      <c r="E103" s="3">
        <v>107500</v>
      </c>
      <c r="F103" s="58" t="s">
        <v>465</v>
      </c>
      <c r="G103" s="57" t="s">
        <v>465</v>
      </c>
      <c r="H103" s="19"/>
      <c r="I103" s="19"/>
      <c r="J103" s="5"/>
      <c r="K103" s="1"/>
      <c r="L103" s="1"/>
    </row>
    <row r="104" spans="1:12" x14ac:dyDescent="0.2">
      <c r="A104" s="1" t="s">
        <v>28</v>
      </c>
      <c r="B104" s="2" t="s">
        <v>50</v>
      </c>
      <c r="C104" s="1"/>
      <c r="D104" s="5" t="s">
        <v>464</v>
      </c>
      <c r="E104" s="3">
        <v>122500</v>
      </c>
      <c r="F104" s="58" t="s">
        <v>465</v>
      </c>
      <c r="G104" s="57" t="s">
        <v>465</v>
      </c>
    </row>
    <row r="105" spans="1:12" x14ac:dyDescent="0.2">
      <c r="A105" s="1" t="s">
        <v>28</v>
      </c>
      <c r="B105" s="2" t="s">
        <v>50</v>
      </c>
      <c r="C105" s="1"/>
      <c r="D105" s="5" t="s">
        <v>464</v>
      </c>
      <c r="E105" s="3">
        <v>122500</v>
      </c>
      <c r="F105" s="58" t="s">
        <v>465</v>
      </c>
      <c r="G105" s="57" t="s">
        <v>465</v>
      </c>
    </row>
    <row r="106" spans="1:12" x14ac:dyDescent="0.2">
      <c r="A106" s="1" t="s">
        <v>28</v>
      </c>
      <c r="B106" s="2" t="s">
        <v>50</v>
      </c>
      <c r="C106" s="1"/>
      <c r="D106" s="5" t="s">
        <v>464</v>
      </c>
      <c r="E106" s="3">
        <v>147500</v>
      </c>
      <c r="F106" s="58" t="s">
        <v>465</v>
      </c>
      <c r="G106" s="57" t="s">
        <v>465</v>
      </c>
    </row>
    <row r="107" spans="1:12" x14ac:dyDescent="0.2">
      <c r="A107" s="1" t="s">
        <v>20</v>
      </c>
      <c r="B107" s="12" t="s">
        <v>51</v>
      </c>
      <c r="C107" s="13"/>
      <c r="D107" s="7" t="s">
        <v>468</v>
      </c>
      <c r="E107" s="6">
        <v>104000</v>
      </c>
      <c r="F107" s="6" t="s">
        <v>465</v>
      </c>
      <c r="G107" s="57" t="s">
        <v>465</v>
      </c>
      <c r="H107" s="21"/>
      <c r="I107" s="21"/>
      <c r="J107" s="7"/>
      <c r="K107" s="13"/>
      <c r="L107" s="13"/>
    </row>
    <row r="108" spans="1:12" x14ac:dyDescent="0.2">
      <c r="A108" s="1" t="s">
        <v>20</v>
      </c>
      <c r="B108" s="12" t="s">
        <v>51</v>
      </c>
      <c r="C108" s="13"/>
      <c r="D108" s="7" t="s">
        <v>468</v>
      </c>
      <c r="E108" s="6">
        <v>108000</v>
      </c>
      <c r="F108" s="6" t="s">
        <v>465</v>
      </c>
      <c r="G108" s="57" t="s">
        <v>465</v>
      </c>
      <c r="H108" s="21"/>
      <c r="I108" s="21"/>
      <c r="J108" s="7"/>
      <c r="K108" s="13"/>
      <c r="L108" s="13"/>
    </row>
    <row r="109" spans="1:12" x14ac:dyDescent="0.2">
      <c r="A109" s="1" t="s">
        <v>20</v>
      </c>
      <c r="B109" s="12" t="s">
        <v>51</v>
      </c>
      <c r="C109" s="13"/>
      <c r="D109" s="7" t="s">
        <v>635</v>
      </c>
      <c r="E109" s="6">
        <v>107000</v>
      </c>
      <c r="F109" s="6" t="s">
        <v>465</v>
      </c>
      <c r="G109" s="57" t="s">
        <v>465</v>
      </c>
      <c r="H109" s="21"/>
      <c r="I109" s="21"/>
      <c r="J109" s="7" t="s">
        <v>4164</v>
      </c>
      <c r="K109" s="13"/>
      <c r="L109" s="13"/>
    </row>
    <row r="110" spans="1:12" x14ac:dyDescent="0.2">
      <c r="A110" s="1" t="s">
        <v>20</v>
      </c>
      <c r="B110" s="2" t="s">
        <v>51</v>
      </c>
      <c r="C110" s="1"/>
      <c r="D110" s="5" t="s">
        <v>464</v>
      </c>
      <c r="E110" s="3">
        <v>107500</v>
      </c>
      <c r="F110" s="3" t="s">
        <v>465</v>
      </c>
      <c r="G110" s="57" t="s">
        <v>465</v>
      </c>
      <c r="J110" s="5" t="s">
        <v>539</v>
      </c>
    </row>
    <row r="111" spans="1:12" x14ac:dyDescent="0.2">
      <c r="A111" s="1" t="s">
        <v>25</v>
      </c>
      <c r="B111" s="2" t="s">
        <v>53</v>
      </c>
      <c r="C111" s="1"/>
      <c r="D111" s="5" t="s">
        <v>3758</v>
      </c>
      <c r="E111" s="3">
        <v>105301</v>
      </c>
      <c r="F111" s="3" t="s">
        <v>465</v>
      </c>
      <c r="G111" s="57" t="s">
        <v>465</v>
      </c>
      <c r="J111" s="5" t="s">
        <v>3759</v>
      </c>
    </row>
    <row r="112" spans="1:12" x14ac:dyDescent="0.2">
      <c r="A112" s="1" t="s">
        <v>25</v>
      </c>
      <c r="B112" s="2" t="s">
        <v>53</v>
      </c>
      <c r="C112" s="1"/>
      <c r="D112" s="5" t="s">
        <v>464</v>
      </c>
      <c r="E112" s="3">
        <v>102500</v>
      </c>
      <c r="F112" s="3" t="s">
        <v>465</v>
      </c>
      <c r="G112" s="57" t="s">
        <v>465</v>
      </c>
      <c r="J112" s="1"/>
    </row>
    <row r="113" spans="1:12" x14ac:dyDescent="0.2">
      <c r="A113" s="1" t="s">
        <v>25</v>
      </c>
      <c r="B113" s="2" t="s">
        <v>53</v>
      </c>
      <c r="C113" s="1"/>
      <c r="D113" s="5" t="s">
        <v>464</v>
      </c>
      <c r="E113" s="3">
        <v>102500</v>
      </c>
      <c r="F113" s="3" t="s">
        <v>465</v>
      </c>
      <c r="G113" s="57" t="s">
        <v>465</v>
      </c>
      <c r="J113" s="1"/>
    </row>
    <row r="114" spans="1:12" x14ac:dyDescent="0.2">
      <c r="A114" s="1" t="s">
        <v>25</v>
      </c>
      <c r="B114" s="2" t="s">
        <v>53</v>
      </c>
      <c r="C114" s="1"/>
      <c r="D114" s="5" t="s">
        <v>464</v>
      </c>
      <c r="E114" s="3">
        <v>102500</v>
      </c>
      <c r="F114" s="3" t="s">
        <v>465</v>
      </c>
      <c r="G114" s="57" t="s">
        <v>465</v>
      </c>
      <c r="J114" s="1"/>
    </row>
    <row r="115" spans="1:12" x14ac:dyDescent="0.2">
      <c r="A115" s="1" t="s">
        <v>25</v>
      </c>
      <c r="B115" s="2" t="s">
        <v>53</v>
      </c>
      <c r="C115" s="1"/>
      <c r="D115" s="5" t="s">
        <v>464</v>
      </c>
      <c r="E115" s="3">
        <v>102500</v>
      </c>
      <c r="F115" s="3" t="s">
        <v>465</v>
      </c>
      <c r="G115" s="57" t="s">
        <v>465</v>
      </c>
      <c r="J115" s="1"/>
    </row>
    <row r="116" spans="1:12" x14ac:dyDescent="0.2">
      <c r="A116" s="1" t="s">
        <v>25</v>
      </c>
      <c r="B116" s="2" t="s">
        <v>53</v>
      </c>
      <c r="C116" s="1"/>
      <c r="D116" s="5" t="s">
        <v>464</v>
      </c>
      <c r="E116" s="3">
        <v>102500</v>
      </c>
      <c r="F116" s="3" t="s">
        <v>465</v>
      </c>
      <c r="G116" s="57" t="s">
        <v>465</v>
      </c>
      <c r="J116" s="1"/>
    </row>
    <row r="117" spans="1:12" x14ac:dyDescent="0.2">
      <c r="A117" s="1" t="s">
        <v>25</v>
      </c>
      <c r="B117" s="2" t="s">
        <v>53</v>
      </c>
      <c r="C117" s="1"/>
      <c r="D117" s="5" t="s">
        <v>464</v>
      </c>
      <c r="E117" s="3">
        <v>107500</v>
      </c>
      <c r="F117" s="3" t="s">
        <v>465</v>
      </c>
      <c r="G117" s="57" t="s">
        <v>465</v>
      </c>
      <c r="J117" s="1"/>
    </row>
    <row r="118" spans="1:12" x14ac:dyDescent="0.2">
      <c r="A118" s="1" t="s">
        <v>25</v>
      </c>
      <c r="B118" s="2" t="s">
        <v>53</v>
      </c>
      <c r="C118" s="1"/>
      <c r="D118" s="5" t="s">
        <v>464</v>
      </c>
      <c r="E118" s="3">
        <v>107500</v>
      </c>
      <c r="F118" s="3" t="s">
        <v>465</v>
      </c>
      <c r="G118" s="57" t="s">
        <v>465</v>
      </c>
      <c r="J118" s="1"/>
    </row>
    <row r="119" spans="1:12" x14ac:dyDescent="0.2">
      <c r="A119" s="1" t="s">
        <v>25</v>
      </c>
      <c r="B119" s="2" t="s">
        <v>53</v>
      </c>
      <c r="C119" s="1"/>
      <c r="D119" s="5" t="s">
        <v>464</v>
      </c>
      <c r="E119" s="3">
        <v>107500</v>
      </c>
      <c r="F119" s="3" t="s">
        <v>465</v>
      </c>
      <c r="G119" s="57" t="s">
        <v>465</v>
      </c>
      <c r="J119" s="1"/>
    </row>
    <row r="120" spans="1:12" x14ac:dyDescent="0.2">
      <c r="A120" s="1" t="s">
        <v>25</v>
      </c>
      <c r="B120" s="2" t="s">
        <v>53</v>
      </c>
      <c r="C120" s="1"/>
      <c r="D120" s="5" t="s">
        <v>464</v>
      </c>
      <c r="E120" s="3">
        <v>107500</v>
      </c>
      <c r="F120" s="3" t="s">
        <v>465</v>
      </c>
      <c r="G120" s="57" t="s">
        <v>465</v>
      </c>
      <c r="J120" s="1"/>
    </row>
    <row r="121" spans="1:12" x14ac:dyDescent="0.2">
      <c r="A121" s="1" t="s">
        <v>25</v>
      </c>
      <c r="B121" s="2" t="s">
        <v>53</v>
      </c>
      <c r="C121" s="1"/>
      <c r="D121" s="5" t="s">
        <v>464</v>
      </c>
      <c r="E121" s="3">
        <v>107500</v>
      </c>
      <c r="F121" s="3" t="s">
        <v>465</v>
      </c>
      <c r="G121" s="57" t="s">
        <v>465</v>
      </c>
      <c r="J121" s="1"/>
    </row>
    <row r="122" spans="1:12" x14ac:dyDescent="0.2">
      <c r="A122" s="1" t="s">
        <v>25</v>
      </c>
      <c r="B122" s="2" t="s">
        <v>53</v>
      </c>
      <c r="C122" s="1"/>
      <c r="D122" s="5" t="s">
        <v>464</v>
      </c>
      <c r="E122" s="3">
        <v>107500</v>
      </c>
      <c r="F122" s="3" t="s">
        <v>465</v>
      </c>
      <c r="G122" s="57" t="s">
        <v>465</v>
      </c>
      <c r="J122" s="1"/>
    </row>
    <row r="123" spans="1:12" s="13" customFormat="1" x14ac:dyDescent="0.2">
      <c r="A123" s="1" t="s">
        <v>25</v>
      </c>
      <c r="B123" s="2" t="s">
        <v>53</v>
      </c>
      <c r="C123" s="1"/>
      <c r="D123" s="5" t="s">
        <v>464</v>
      </c>
      <c r="E123" s="3">
        <v>192500</v>
      </c>
      <c r="F123" s="3" t="s">
        <v>465</v>
      </c>
      <c r="G123" s="57" t="s">
        <v>465</v>
      </c>
      <c r="H123" s="19"/>
      <c r="I123" s="19"/>
      <c r="J123" s="5"/>
      <c r="K123" s="1"/>
      <c r="L123" s="1"/>
    </row>
    <row r="124" spans="1:12" s="13" customFormat="1" x14ac:dyDescent="0.2">
      <c r="A124" s="1" t="s">
        <v>44</v>
      </c>
      <c r="B124" s="2" t="s">
        <v>55</v>
      </c>
      <c r="C124" s="1"/>
      <c r="D124" s="5" t="s">
        <v>464</v>
      </c>
      <c r="E124" s="3">
        <v>102500</v>
      </c>
      <c r="F124" s="3" t="s">
        <v>465</v>
      </c>
      <c r="G124" s="57" t="s">
        <v>465</v>
      </c>
      <c r="H124" s="19"/>
      <c r="I124" s="19"/>
      <c r="J124" s="5"/>
      <c r="K124" s="1"/>
      <c r="L124" s="1"/>
    </row>
    <row r="125" spans="1:12" s="13" customFormat="1" x14ac:dyDescent="0.2">
      <c r="A125" s="1" t="s">
        <v>44</v>
      </c>
      <c r="B125" s="2" t="s">
        <v>55</v>
      </c>
      <c r="C125" s="1"/>
      <c r="D125" s="5" t="s">
        <v>464</v>
      </c>
      <c r="E125" s="3">
        <v>102500</v>
      </c>
      <c r="F125" s="3" t="s">
        <v>465</v>
      </c>
      <c r="G125" s="57" t="s">
        <v>465</v>
      </c>
      <c r="H125" s="19"/>
      <c r="I125" s="19"/>
      <c r="J125" s="5"/>
      <c r="K125" s="1"/>
      <c r="L125" s="1"/>
    </row>
    <row r="126" spans="1:12" s="13" customFormat="1" x14ac:dyDescent="0.2">
      <c r="A126" s="1" t="s">
        <v>4</v>
      </c>
      <c r="B126" s="2" t="s">
        <v>56</v>
      </c>
      <c r="C126" s="1"/>
      <c r="D126" s="5" t="s">
        <v>790</v>
      </c>
      <c r="E126" s="3">
        <v>128500</v>
      </c>
      <c r="F126" s="3" t="s">
        <v>465</v>
      </c>
      <c r="G126" s="57" t="s">
        <v>465</v>
      </c>
      <c r="H126" s="19"/>
      <c r="I126" s="19"/>
      <c r="J126" s="5" t="s">
        <v>3761</v>
      </c>
      <c r="K126" s="1"/>
      <c r="L126" s="1"/>
    </row>
    <row r="127" spans="1:12" s="13" customFormat="1" x14ac:dyDescent="0.2">
      <c r="A127" s="1" t="s">
        <v>4</v>
      </c>
      <c r="B127" s="2" t="s">
        <v>56</v>
      </c>
      <c r="C127" s="1"/>
      <c r="D127" s="5" t="s">
        <v>464</v>
      </c>
      <c r="E127" s="3">
        <v>102500</v>
      </c>
      <c r="F127" s="3" t="s">
        <v>465</v>
      </c>
      <c r="G127" s="57" t="s">
        <v>465</v>
      </c>
      <c r="H127" s="19"/>
      <c r="I127" s="19"/>
      <c r="J127" s="5"/>
      <c r="K127" s="1"/>
      <c r="L127" s="1"/>
    </row>
    <row r="128" spans="1:12" s="13" customFormat="1" x14ac:dyDescent="0.2">
      <c r="A128" s="1" t="s">
        <v>4</v>
      </c>
      <c r="B128" s="2" t="s">
        <v>56</v>
      </c>
      <c r="C128" s="1"/>
      <c r="D128" s="5" t="s">
        <v>464</v>
      </c>
      <c r="E128" s="3">
        <v>107500</v>
      </c>
      <c r="F128" s="3" t="s">
        <v>465</v>
      </c>
      <c r="G128" s="57" t="s">
        <v>465</v>
      </c>
      <c r="H128" s="19"/>
      <c r="I128" s="19"/>
      <c r="J128" s="5"/>
      <c r="K128" s="1"/>
      <c r="L128" s="1"/>
    </row>
    <row r="129" spans="1:12" s="13" customFormat="1" x14ac:dyDescent="0.2">
      <c r="A129" s="1" t="s">
        <v>4</v>
      </c>
      <c r="B129" s="2" t="s">
        <v>56</v>
      </c>
      <c r="C129" s="1"/>
      <c r="D129" s="5" t="s">
        <v>464</v>
      </c>
      <c r="E129" s="3">
        <v>107500</v>
      </c>
      <c r="F129" s="3" t="s">
        <v>465</v>
      </c>
      <c r="G129" s="57" t="s">
        <v>465</v>
      </c>
      <c r="H129" s="19"/>
      <c r="I129" s="19"/>
      <c r="J129" s="5"/>
      <c r="K129" s="1"/>
      <c r="L129" s="1"/>
    </row>
    <row r="130" spans="1:12" s="13" customFormat="1" x14ac:dyDescent="0.2">
      <c r="A130" s="1" t="s">
        <v>4</v>
      </c>
      <c r="B130" s="2" t="s">
        <v>56</v>
      </c>
      <c r="C130" s="1"/>
      <c r="D130" s="5" t="s">
        <v>464</v>
      </c>
      <c r="E130" s="3">
        <v>107500</v>
      </c>
      <c r="F130" s="3" t="s">
        <v>465</v>
      </c>
      <c r="G130" s="57" t="s">
        <v>465</v>
      </c>
      <c r="H130" s="19"/>
      <c r="I130" s="19"/>
      <c r="J130" s="5"/>
      <c r="K130" s="1"/>
      <c r="L130" s="1"/>
    </row>
    <row r="131" spans="1:12" s="13" customFormat="1" x14ac:dyDescent="0.2">
      <c r="A131" s="1" t="s">
        <v>4</v>
      </c>
      <c r="B131" s="2" t="s">
        <v>56</v>
      </c>
      <c r="C131" s="1"/>
      <c r="D131" s="5" t="s">
        <v>464</v>
      </c>
      <c r="E131" s="3">
        <v>112500</v>
      </c>
      <c r="F131" s="3" t="s">
        <v>465</v>
      </c>
      <c r="G131" s="57" t="s">
        <v>465</v>
      </c>
      <c r="H131" s="19"/>
      <c r="I131" s="19"/>
      <c r="J131" s="5"/>
      <c r="K131" s="1"/>
      <c r="L131" s="1"/>
    </row>
    <row r="132" spans="1:12" s="13" customFormat="1" x14ac:dyDescent="0.2">
      <c r="A132" s="1" t="s">
        <v>34</v>
      </c>
      <c r="B132" s="2" t="s">
        <v>57</v>
      </c>
      <c r="C132" s="1"/>
      <c r="D132" s="5" t="s">
        <v>464</v>
      </c>
      <c r="E132" s="3">
        <v>102500</v>
      </c>
      <c r="F132" s="3" t="s">
        <v>465</v>
      </c>
      <c r="G132" s="57" t="s">
        <v>465</v>
      </c>
      <c r="H132" s="19"/>
      <c r="I132" s="19"/>
      <c r="J132" s="5"/>
      <c r="K132" s="1"/>
      <c r="L132" s="1"/>
    </row>
    <row r="133" spans="1:12" s="13" customFormat="1" x14ac:dyDescent="0.2">
      <c r="A133" s="1" t="s">
        <v>34</v>
      </c>
      <c r="B133" s="2" t="s">
        <v>57</v>
      </c>
      <c r="C133" s="1"/>
      <c r="D133" s="5" t="s">
        <v>464</v>
      </c>
      <c r="E133" s="3">
        <v>102500</v>
      </c>
      <c r="F133" s="3" t="s">
        <v>465</v>
      </c>
      <c r="G133" s="57" t="s">
        <v>465</v>
      </c>
      <c r="H133" s="19"/>
      <c r="I133" s="19"/>
      <c r="J133" s="5"/>
      <c r="K133" s="1"/>
      <c r="L133" s="1"/>
    </row>
    <row r="134" spans="1:12" s="13" customFormat="1" x14ac:dyDescent="0.2">
      <c r="A134" s="1" t="s">
        <v>34</v>
      </c>
      <c r="B134" s="2" t="s">
        <v>57</v>
      </c>
      <c r="C134" s="1"/>
      <c r="D134" s="5" t="s">
        <v>464</v>
      </c>
      <c r="E134" s="3">
        <v>102500</v>
      </c>
      <c r="F134" s="3" t="s">
        <v>465</v>
      </c>
      <c r="G134" s="57" t="s">
        <v>465</v>
      </c>
      <c r="H134" s="19"/>
      <c r="I134" s="19"/>
      <c r="J134" s="5"/>
      <c r="K134" s="1"/>
      <c r="L134" s="1"/>
    </row>
    <row r="135" spans="1:12" s="13" customFormat="1" x14ac:dyDescent="0.2">
      <c r="A135" s="1" t="s">
        <v>34</v>
      </c>
      <c r="B135" s="2" t="s">
        <v>57</v>
      </c>
      <c r="C135" s="1"/>
      <c r="D135" s="5" t="s">
        <v>464</v>
      </c>
      <c r="E135" s="3">
        <v>122500</v>
      </c>
      <c r="F135" s="3" t="s">
        <v>465</v>
      </c>
      <c r="G135" s="57" t="s">
        <v>465</v>
      </c>
      <c r="H135" s="19"/>
      <c r="I135" s="19"/>
      <c r="J135" s="5"/>
      <c r="K135" s="1"/>
      <c r="L135" s="1"/>
    </row>
    <row r="136" spans="1:12" s="13" customFormat="1" x14ac:dyDescent="0.2">
      <c r="A136" s="1" t="s">
        <v>25</v>
      </c>
      <c r="B136" s="2" t="s">
        <v>59</v>
      </c>
      <c r="C136" s="1"/>
      <c r="D136" s="5" t="s">
        <v>464</v>
      </c>
      <c r="E136" s="3">
        <v>102500</v>
      </c>
      <c r="F136" s="3" t="s">
        <v>465</v>
      </c>
      <c r="G136" s="57" t="s">
        <v>465</v>
      </c>
      <c r="H136" s="19"/>
      <c r="I136" s="19"/>
      <c r="J136" s="5"/>
      <c r="K136" s="1"/>
      <c r="L136" s="1"/>
    </row>
    <row r="137" spans="1:12" s="13" customFormat="1" x14ac:dyDescent="0.2">
      <c r="A137" s="1" t="s">
        <v>25</v>
      </c>
      <c r="B137" s="2" t="s">
        <v>59</v>
      </c>
      <c r="C137" s="1"/>
      <c r="D137" s="5" t="s">
        <v>464</v>
      </c>
      <c r="E137" s="3">
        <v>102500</v>
      </c>
      <c r="F137" s="3" t="s">
        <v>465</v>
      </c>
      <c r="G137" s="57" t="s">
        <v>465</v>
      </c>
      <c r="H137" s="19"/>
      <c r="I137" s="19"/>
      <c r="J137" s="5"/>
      <c r="K137" s="1"/>
      <c r="L137" s="1"/>
    </row>
    <row r="138" spans="1:12" s="13" customFormat="1" x14ac:dyDescent="0.2">
      <c r="A138" s="1" t="s">
        <v>25</v>
      </c>
      <c r="B138" s="2" t="s">
        <v>59</v>
      </c>
      <c r="C138" s="1"/>
      <c r="D138" s="5" t="s">
        <v>464</v>
      </c>
      <c r="E138" s="3">
        <v>107500</v>
      </c>
      <c r="F138" s="3" t="s">
        <v>465</v>
      </c>
      <c r="G138" s="57" t="s">
        <v>465</v>
      </c>
      <c r="H138" s="19"/>
      <c r="I138" s="19"/>
      <c r="J138" s="5"/>
      <c r="K138" s="1"/>
      <c r="L138" s="1"/>
    </row>
    <row r="139" spans="1:12" s="13" customFormat="1" x14ac:dyDescent="0.2">
      <c r="A139" s="1" t="s">
        <v>25</v>
      </c>
      <c r="B139" s="2" t="s">
        <v>59</v>
      </c>
      <c r="C139" s="1"/>
      <c r="D139" s="5" t="s">
        <v>464</v>
      </c>
      <c r="E139" s="3">
        <v>107500</v>
      </c>
      <c r="F139" s="3" t="s">
        <v>465</v>
      </c>
      <c r="G139" s="57" t="s">
        <v>465</v>
      </c>
      <c r="H139" s="19"/>
      <c r="I139" s="19"/>
      <c r="J139" s="5"/>
      <c r="K139" s="1"/>
      <c r="L139" s="1"/>
    </row>
    <row r="140" spans="1:12" x14ac:dyDescent="0.2">
      <c r="A140" s="1" t="s">
        <v>25</v>
      </c>
      <c r="B140" s="2" t="s">
        <v>59</v>
      </c>
      <c r="C140" s="1"/>
      <c r="D140" s="5" t="s">
        <v>464</v>
      </c>
      <c r="E140" s="3">
        <v>122500</v>
      </c>
      <c r="F140" s="3" t="s">
        <v>465</v>
      </c>
      <c r="G140" s="57" t="s">
        <v>465</v>
      </c>
    </row>
    <row r="141" spans="1:12" x14ac:dyDescent="0.2">
      <c r="A141" s="1" t="s">
        <v>39</v>
      </c>
      <c r="B141" s="12" t="s">
        <v>60</v>
      </c>
      <c r="C141" s="13"/>
      <c r="D141" s="7" t="s">
        <v>4191</v>
      </c>
      <c r="E141" s="6">
        <v>100205</v>
      </c>
      <c r="F141" s="6" t="s">
        <v>465</v>
      </c>
      <c r="G141" s="57" t="s">
        <v>465</v>
      </c>
      <c r="H141" s="21"/>
      <c r="I141" s="21"/>
      <c r="J141" s="7" t="s">
        <v>3765</v>
      </c>
      <c r="K141" s="13"/>
      <c r="L141" s="13"/>
    </row>
    <row r="142" spans="1:12" ht="25.5" x14ac:dyDescent="0.2">
      <c r="A142" s="13" t="s">
        <v>4</v>
      </c>
      <c r="B142" s="12" t="s">
        <v>63</v>
      </c>
      <c r="C142" s="13"/>
      <c r="D142" s="7" t="s">
        <v>3776</v>
      </c>
      <c r="E142" s="6">
        <v>171461</v>
      </c>
      <c r="F142" s="6" t="s">
        <v>465</v>
      </c>
      <c r="G142" s="57" t="s">
        <v>465</v>
      </c>
      <c r="H142" s="21"/>
      <c r="I142" s="21"/>
      <c r="J142" s="7"/>
      <c r="K142" s="13"/>
      <c r="L142" s="13"/>
    </row>
    <row r="143" spans="1:12" x14ac:dyDescent="0.2">
      <c r="A143" s="1" t="s">
        <v>6</v>
      </c>
      <c r="B143" s="2" t="s">
        <v>65</v>
      </c>
      <c r="C143" s="1"/>
      <c r="D143" s="5" t="s">
        <v>464</v>
      </c>
      <c r="E143" s="3">
        <v>112500</v>
      </c>
      <c r="F143" s="3" t="s">
        <v>465</v>
      </c>
      <c r="G143" s="57" t="s">
        <v>465</v>
      </c>
    </row>
    <row r="144" spans="1:12" x14ac:dyDescent="0.2">
      <c r="A144" s="1" t="s">
        <v>28</v>
      </c>
      <c r="B144" s="2" t="s">
        <v>67</v>
      </c>
      <c r="C144" s="1"/>
      <c r="D144" s="5" t="s">
        <v>3779</v>
      </c>
      <c r="E144" s="3">
        <v>246000</v>
      </c>
      <c r="F144" s="3" t="s">
        <v>465</v>
      </c>
      <c r="G144" s="57" t="s">
        <v>465</v>
      </c>
      <c r="J144" s="5" t="s">
        <v>3780</v>
      </c>
    </row>
    <row r="145" spans="1:12" x14ac:dyDescent="0.2">
      <c r="A145" s="1" t="s">
        <v>28</v>
      </c>
      <c r="B145" s="2" t="s">
        <v>67</v>
      </c>
      <c r="C145" s="1"/>
      <c r="D145" s="5" t="s">
        <v>464</v>
      </c>
      <c r="E145" s="3">
        <v>102500</v>
      </c>
      <c r="F145" s="3" t="s">
        <v>465</v>
      </c>
      <c r="G145" s="57" t="s">
        <v>465</v>
      </c>
    </row>
    <row r="146" spans="1:12" x14ac:dyDescent="0.2">
      <c r="A146" s="1" t="s">
        <v>28</v>
      </c>
      <c r="B146" s="2" t="s">
        <v>67</v>
      </c>
      <c r="C146" s="1"/>
      <c r="D146" s="5" t="s">
        <v>464</v>
      </c>
      <c r="E146" s="3">
        <v>112500</v>
      </c>
      <c r="F146" s="3" t="s">
        <v>465</v>
      </c>
      <c r="G146" s="57" t="s">
        <v>465</v>
      </c>
    </row>
    <row r="147" spans="1:12" x14ac:dyDescent="0.2">
      <c r="A147" s="1" t="s">
        <v>28</v>
      </c>
      <c r="B147" s="2" t="s">
        <v>67</v>
      </c>
      <c r="C147" s="1"/>
      <c r="D147" s="5" t="s">
        <v>464</v>
      </c>
      <c r="E147" s="3">
        <v>127500</v>
      </c>
      <c r="F147" s="3" t="s">
        <v>465</v>
      </c>
      <c r="G147" s="57" t="s">
        <v>465</v>
      </c>
    </row>
    <row r="148" spans="1:12" x14ac:dyDescent="0.2">
      <c r="A148" s="1" t="s">
        <v>28</v>
      </c>
      <c r="B148" s="2" t="s">
        <v>67</v>
      </c>
      <c r="C148" s="1"/>
      <c r="D148" s="5" t="s">
        <v>464</v>
      </c>
      <c r="E148" s="3">
        <v>127500</v>
      </c>
      <c r="F148" s="3" t="s">
        <v>465</v>
      </c>
      <c r="G148" s="57" t="s">
        <v>465</v>
      </c>
    </row>
    <row r="149" spans="1:12" x14ac:dyDescent="0.2">
      <c r="A149" s="1" t="s">
        <v>28</v>
      </c>
      <c r="B149" s="2" t="s">
        <v>67</v>
      </c>
      <c r="C149" s="1"/>
      <c r="D149" s="5" t="s">
        <v>464</v>
      </c>
      <c r="E149" s="3">
        <v>132500</v>
      </c>
      <c r="F149" s="3" t="s">
        <v>465</v>
      </c>
      <c r="G149" s="57" t="s">
        <v>465</v>
      </c>
    </row>
    <row r="150" spans="1:12" x14ac:dyDescent="0.2">
      <c r="A150" s="1" t="s">
        <v>28</v>
      </c>
      <c r="B150" s="2" t="s">
        <v>67</v>
      </c>
      <c r="C150" s="1"/>
      <c r="D150" s="5" t="s">
        <v>464</v>
      </c>
      <c r="E150" s="3">
        <v>132500</v>
      </c>
      <c r="F150" s="3" t="s">
        <v>465</v>
      </c>
      <c r="G150" s="57" t="s">
        <v>465</v>
      </c>
    </row>
    <row r="151" spans="1:12" x14ac:dyDescent="0.2">
      <c r="A151" s="1" t="s">
        <v>28</v>
      </c>
      <c r="B151" s="2" t="s">
        <v>67</v>
      </c>
      <c r="C151" s="1"/>
      <c r="D151" s="5" t="s">
        <v>464</v>
      </c>
      <c r="E151" s="3">
        <v>162500</v>
      </c>
      <c r="F151" s="3" t="s">
        <v>465</v>
      </c>
      <c r="G151" s="57" t="s">
        <v>465</v>
      </c>
    </row>
    <row r="152" spans="1:12" x14ac:dyDescent="0.2">
      <c r="A152" s="1" t="s">
        <v>28</v>
      </c>
      <c r="B152" s="2" t="s">
        <v>67</v>
      </c>
      <c r="C152" s="1"/>
      <c r="D152" s="5" t="s">
        <v>464</v>
      </c>
      <c r="E152" s="3">
        <v>172500</v>
      </c>
      <c r="F152" s="3" t="s">
        <v>465</v>
      </c>
      <c r="G152" s="57" t="s">
        <v>465</v>
      </c>
    </row>
    <row r="153" spans="1:12" x14ac:dyDescent="0.2">
      <c r="A153" s="1" t="s">
        <v>28</v>
      </c>
      <c r="B153" s="2" t="s">
        <v>67</v>
      </c>
      <c r="C153" s="1"/>
      <c r="D153" s="5" t="s">
        <v>464</v>
      </c>
      <c r="E153" s="3">
        <v>212500</v>
      </c>
      <c r="F153" s="3" t="s">
        <v>465</v>
      </c>
      <c r="G153" s="57" t="s">
        <v>465</v>
      </c>
    </row>
    <row r="154" spans="1:12" x14ac:dyDescent="0.2">
      <c r="A154" s="1" t="s">
        <v>20</v>
      </c>
      <c r="B154" s="2" t="s">
        <v>69</v>
      </c>
      <c r="C154" s="1"/>
      <c r="D154" s="5" t="s">
        <v>1910</v>
      </c>
      <c r="E154" s="3">
        <v>399063</v>
      </c>
      <c r="F154" s="3" t="s">
        <v>465</v>
      </c>
      <c r="G154" s="57" t="s">
        <v>465</v>
      </c>
      <c r="J154" s="5" t="s">
        <v>3661</v>
      </c>
    </row>
    <row r="155" spans="1:12" x14ac:dyDescent="0.2">
      <c r="A155" s="1" t="s">
        <v>20</v>
      </c>
      <c r="B155" s="2" t="s">
        <v>69</v>
      </c>
      <c r="C155" s="1"/>
      <c r="D155" s="5" t="s">
        <v>464</v>
      </c>
      <c r="E155" s="3">
        <v>102500</v>
      </c>
      <c r="F155" s="3" t="s">
        <v>465</v>
      </c>
      <c r="G155" s="57" t="s">
        <v>465</v>
      </c>
      <c r="J155" s="5" t="s">
        <v>3718</v>
      </c>
    </row>
    <row r="156" spans="1:12" x14ac:dyDescent="0.2">
      <c r="A156" s="1" t="s">
        <v>20</v>
      </c>
      <c r="B156" s="2" t="s">
        <v>69</v>
      </c>
      <c r="C156" s="1"/>
      <c r="D156" s="5" t="s">
        <v>464</v>
      </c>
      <c r="E156" s="3">
        <v>107500</v>
      </c>
      <c r="F156" s="3" t="s">
        <v>465</v>
      </c>
      <c r="G156" s="57" t="s">
        <v>465</v>
      </c>
      <c r="J156" s="5" t="s">
        <v>3718</v>
      </c>
    </row>
    <row r="157" spans="1:12" ht="25.5" x14ac:dyDescent="0.2">
      <c r="A157" s="1" t="s">
        <v>25</v>
      </c>
      <c r="B157" s="12" t="s">
        <v>70</v>
      </c>
      <c r="C157" s="13"/>
      <c r="D157" s="7" t="s">
        <v>3786</v>
      </c>
      <c r="E157" s="21">
        <v>169637</v>
      </c>
      <c r="F157" s="21" t="s">
        <v>465</v>
      </c>
      <c r="G157" s="57" t="s">
        <v>465</v>
      </c>
      <c r="H157" s="21"/>
      <c r="I157" s="21"/>
      <c r="J157" s="7"/>
      <c r="K157" s="13"/>
      <c r="L157" s="13"/>
    </row>
    <row r="158" spans="1:12" x14ac:dyDescent="0.2">
      <c r="A158" s="1" t="s">
        <v>25</v>
      </c>
      <c r="B158" s="2" t="s">
        <v>70</v>
      </c>
      <c r="C158" s="1"/>
      <c r="D158" s="5" t="s">
        <v>464</v>
      </c>
      <c r="E158" s="19">
        <v>102500</v>
      </c>
      <c r="F158" s="19" t="s">
        <v>465</v>
      </c>
      <c r="G158" s="57" t="s">
        <v>465</v>
      </c>
    </row>
    <row r="159" spans="1:12" x14ac:dyDescent="0.2">
      <c r="A159" s="1" t="s">
        <v>25</v>
      </c>
      <c r="B159" s="2" t="s">
        <v>70</v>
      </c>
      <c r="C159" s="1"/>
      <c r="D159" s="5" t="s">
        <v>464</v>
      </c>
      <c r="E159" s="19">
        <v>132500</v>
      </c>
      <c r="F159" s="19" t="s">
        <v>465</v>
      </c>
      <c r="G159" s="57" t="s">
        <v>465</v>
      </c>
    </row>
    <row r="160" spans="1:12" x14ac:dyDescent="0.2">
      <c r="A160" s="1" t="s">
        <v>25</v>
      </c>
      <c r="B160" s="2" t="s">
        <v>70</v>
      </c>
      <c r="C160" s="1"/>
      <c r="D160" s="5" t="s">
        <v>464</v>
      </c>
      <c r="E160" s="19">
        <v>142500</v>
      </c>
      <c r="F160" s="19" t="s">
        <v>465</v>
      </c>
      <c r="G160" s="57" t="s">
        <v>465</v>
      </c>
    </row>
    <row r="161" spans="1:10" x14ac:dyDescent="0.2">
      <c r="A161" s="1" t="s">
        <v>25</v>
      </c>
      <c r="B161" s="2" t="s">
        <v>70</v>
      </c>
      <c r="C161" s="1"/>
      <c r="D161" s="5" t="s">
        <v>464</v>
      </c>
      <c r="E161" s="19">
        <v>152500</v>
      </c>
      <c r="F161" s="19" t="s">
        <v>465</v>
      </c>
      <c r="G161" s="57" t="s">
        <v>465</v>
      </c>
    </row>
    <row r="162" spans="1:10" x14ac:dyDescent="0.2">
      <c r="A162" s="1" t="s">
        <v>25</v>
      </c>
      <c r="B162" s="2" t="s">
        <v>70</v>
      </c>
      <c r="C162" s="1"/>
      <c r="D162" s="5" t="s">
        <v>464</v>
      </c>
      <c r="E162" s="19">
        <v>162500</v>
      </c>
      <c r="F162" s="19" t="s">
        <v>465</v>
      </c>
      <c r="G162" s="57" t="s">
        <v>465</v>
      </c>
    </row>
    <row r="163" spans="1:10" x14ac:dyDescent="0.2">
      <c r="A163" s="1" t="s">
        <v>39</v>
      </c>
      <c r="B163" s="2" t="s">
        <v>71</v>
      </c>
      <c r="C163" s="1"/>
      <c r="D163" s="5" t="s">
        <v>455</v>
      </c>
      <c r="E163" s="3">
        <v>113931</v>
      </c>
      <c r="F163" s="3" t="s">
        <v>465</v>
      </c>
      <c r="G163" s="57" t="s">
        <v>465</v>
      </c>
    </row>
    <row r="164" spans="1:10" x14ac:dyDescent="0.2">
      <c r="A164" s="1" t="s">
        <v>44</v>
      </c>
      <c r="B164" s="2" t="s">
        <v>73</v>
      </c>
      <c r="C164" s="1" t="s">
        <v>3801</v>
      </c>
      <c r="D164" s="5" t="s">
        <v>3802</v>
      </c>
      <c r="E164" s="3">
        <v>163404</v>
      </c>
      <c r="F164" s="3" t="s">
        <v>465</v>
      </c>
      <c r="G164" s="57" t="s">
        <v>465</v>
      </c>
      <c r="J164" s="5" t="s">
        <v>3803</v>
      </c>
    </row>
    <row r="165" spans="1:10" x14ac:dyDescent="0.2">
      <c r="A165" s="1" t="s">
        <v>44</v>
      </c>
      <c r="B165" s="2" t="s">
        <v>73</v>
      </c>
      <c r="C165" s="1"/>
      <c r="D165" s="5" t="s">
        <v>3804</v>
      </c>
      <c r="E165" s="3">
        <v>129576</v>
      </c>
      <c r="F165" s="3" t="s">
        <v>465</v>
      </c>
      <c r="G165" s="57" t="s">
        <v>465</v>
      </c>
    </row>
    <row r="166" spans="1:10" ht="25.5" x14ac:dyDescent="0.2">
      <c r="A166" s="1" t="s">
        <v>44</v>
      </c>
      <c r="B166" s="2" t="s">
        <v>73</v>
      </c>
      <c r="C166" s="1"/>
      <c r="D166" s="5" t="s">
        <v>3805</v>
      </c>
      <c r="E166" s="3">
        <v>120687</v>
      </c>
      <c r="F166" s="3" t="s">
        <v>465</v>
      </c>
      <c r="G166" s="57" t="s">
        <v>465</v>
      </c>
    </row>
    <row r="167" spans="1:10" ht="25.5" x14ac:dyDescent="0.2">
      <c r="A167" s="1" t="s">
        <v>44</v>
      </c>
      <c r="B167" s="2" t="s">
        <v>73</v>
      </c>
      <c r="C167" s="1"/>
      <c r="D167" s="5" t="s">
        <v>3806</v>
      </c>
      <c r="E167" s="3">
        <v>113041</v>
      </c>
      <c r="F167" s="3" t="s">
        <v>465</v>
      </c>
      <c r="G167" s="57" t="s">
        <v>465</v>
      </c>
      <c r="J167" s="1"/>
    </row>
    <row r="168" spans="1:10" x14ac:dyDescent="0.2">
      <c r="A168" s="1" t="s">
        <v>44</v>
      </c>
      <c r="B168" s="2" t="s">
        <v>73</v>
      </c>
      <c r="C168" s="1"/>
      <c r="D168" s="5" t="s">
        <v>3807</v>
      </c>
      <c r="E168" s="3">
        <v>101629</v>
      </c>
      <c r="F168" s="3" t="s">
        <v>465</v>
      </c>
      <c r="G168" s="57" t="s">
        <v>465</v>
      </c>
      <c r="J168" s="1"/>
    </row>
    <row r="169" spans="1:10" x14ac:dyDescent="0.2">
      <c r="A169" s="1" t="s">
        <v>44</v>
      </c>
      <c r="B169" s="2" t="s">
        <v>75</v>
      </c>
      <c r="C169" s="1"/>
      <c r="D169" s="5" t="s">
        <v>464</v>
      </c>
      <c r="E169" s="3">
        <v>102500</v>
      </c>
      <c r="F169" s="3" t="s">
        <v>465</v>
      </c>
      <c r="G169" s="57" t="s">
        <v>465</v>
      </c>
    </row>
    <row r="170" spans="1:10" x14ac:dyDescent="0.2">
      <c r="A170" s="1" t="s">
        <v>44</v>
      </c>
      <c r="B170" s="2" t="s">
        <v>75</v>
      </c>
      <c r="C170" s="1"/>
      <c r="D170" s="5" t="s">
        <v>464</v>
      </c>
      <c r="E170" s="3">
        <v>102500</v>
      </c>
      <c r="F170" s="3" t="s">
        <v>465</v>
      </c>
      <c r="G170" s="57" t="s">
        <v>465</v>
      </c>
    </row>
    <row r="171" spans="1:10" x14ac:dyDescent="0.2">
      <c r="A171" s="1" t="s">
        <v>20</v>
      </c>
      <c r="B171" s="2" t="s">
        <v>79</v>
      </c>
      <c r="C171" s="1" t="s">
        <v>3813</v>
      </c>
      <c r="D171" s="5" t="s">
        <v>505</v>
      </c>
      <c r="E171" s="3">
        <v>368788</v>
      </c>
      <c r="F171" s="3" t="s">
        <v>465</v>
      </c>
      <c r="G171" s="57" t="s">
        <v>465</v>
      </c>
      <c r="J171" s="5" t="s">
        <v>3814</v>
      </c>
    </row>
    <row r="172" spans="1:10" x14ac:dyDescent="0.2">
      <c r="A172" s="1" t="s">
        <v>20</v>
      </c>
      <c r="B172" s="2" t="s">
        <v>79</v>
      </c>
      <c r="C172" s="1"/>
      <c r="D172" s="5" t="s">
        <v>464</v>
      </c>
      <c r="E172" s="3">
        <v>122500</v>
      </c>
      <c r="F172" s="3" t="s">
        <v>465</v>
      </c>
      <c r="G172" s="57" t="s">
        <v>465</v>
      </c>
    </row>
    <row r="173" spans="1:10" x14ac:dyDescent="0.2">
      <c r="A173" s="1" t="s">
        <v>20</v>
      </c>
      <c r="B173" s="2" t="s">
        <v>79</v>
      </c>
      <c r="C173" s="1"/>
      <c r="D173" s="5" t="s">
        <v>464</v>
      </c>
      <c r="E173" s="3">
        <v>127500</v>
      </c>
      <c r="F173" s="3" t="s">
        <v>465</v>
      </c>
      <c r="G173" s="57" t="s">
        <v>465</v>
      </c>
    </row>
    <row r="174" spans="1:10" x14ac:dyDescent="0.2">
      <c r="A174" s="1" t="s">
        <v>20</v>
      </c>
      <c r="B174" s="2" t="s">
        <v>79</v>
      </c>
      <c r="C174" s="1"/>
      <c r="D174" s="5" t="s">
        <v>464</v>
      </c>
      <c r="E174" s="3">
        <v>127500</v>
      </c>
      <c r="F174" s="3" t="s">
        <v>465</v>
      </c>
      <c r="G174" s="57" t="s">
        <v>465</v>
      </c>
    </row>
    <row r="175" spans="1:10" x14ac:dyDescent="0.2">
      <c r="A175" s="1" t="s">
        <v>20</v>
      </c>
      <c r="B175" s="2" t="s">
        <v>79</v>
      </c>
      <c r="C175" s="1"/>
      <c r="D175" s="5" t="s">
        <v>464</v>
      </c>
      <c r="E175" s="3">
        <v>142500</v>
      </c>
      <c r="F175" s="3" t="s">
        <v>465</v>
      </c>
      <c r="G175" s="57" t="s">
        <v>465</v>
      </c>
    </row>
    <row r="176" spans="1:10" x14ac:dyDescent="0.2">
      <c r="A176" s="1" t="s">
        <v>44</v>
      </c>
      <c r="B176" s="2" t="s">
        <v>80</v>
      </c>
      <c r="C176" s="1"/>
      <c r="D176" s="5" t="s">
        <v>464</v>
      </c>
      <c r="E176" s="3">
        <v>107500</v>
      </c>
      <c r="F176" s="3" t="s">
        <v>465</v>
      </c>
      <c r="G176" s="57" t="s">
        <v>465</v>
      </c>
    </row>
    <row r="177" spans="1:12" x14ac:dyDescent="0.2">
      <c r="A177" s="1" t="s">
        <v>8</v>
      </c>
      <c r="B177" s="2" t="s">
        <v>81</v>
      </c>
      <c r="C177" s="1"/>
      <c r="D177" s="5" t="s">
        <v>464</v>
      </c>
      <c r="E177" s="3">
        <v>112500</v>
      </c>
      <c r="F177" s="3" t="s">
        <v>465</v>
      </c>
      <c r="G177" s="57" t="s">
        <v>465</v>
      </c>
    </row>
    <row r="178" spans="1:12" x14ac:dyDescent="0.2">
      <c r="A178" s="1" t="s">
        <v>8</v>
      </c>
      <c r="B178" s="2" t="s">
        <v>81</v>
      </c>
      <c r="C178" s="1"/>
      <c r="D178" s="5" t="s">
        <v>464</v>
      </c>
      <c r="E178" s="3">
        <v>112500</v>
      </c>
      <c r="F178" s="3" t="s">
        <v>465</v>
      </c>
      <c r="G178" s="57" t="s">
        <v>465</v>
      </c>
    </row>
    <row r="179" spans="1:12" x14ac:dyDescent="0.2">
      <c r="A179" s="1" t="s">
        <v>8</v>
      </c>
      <c r="B179" s="2" t="s">
        <v>81</v>
      </c>
      <c r="C179" s="1"/>
      <c r="D179" s="5" t="s">
        <v>464</v>
      </c>
      <c r="E179" s="3">
        <v>117500</v>
      </c>
      <c r="F179" s="3" t="s">
        <v>465</v>
      </c>
      <c r="G179" s="57" t="s">
        <v>465</v>
      </c>
    </row>
    <row r="180" spans="1:12" x14ac:dyDescent="0.2">
      <c r="A180" s="13" t="s">
        <v>4</v>
      </c>
      <c r="B180" s="12" t="s">
        <v>84</v>
      </c>
      <c r="C180" s="1"/>
      <c r="D180" s="5" t="s">
        <v>464</v>
      </c>
      <c r="E180" s="3">
        <v>112500</v>
      </c>
      <c r="F180" s="3" t="s">
        <v>465</v>
      </c>
      <c r="G180" s="57" t="s">
        <v>465</v>
      </c>
      <c r="J180" s="5" t="s">
        <v>2255</v>
      </c>
    </row>
    <row r="181" spans="1:12" x14ac:dyDescent="0.2">
      <c r="A181" s="13" t="s">
        <v>4</v>
      </c>
      <c r="B181" s="12" t="s">
        <v>84</v>
      </c>
      <c r="C181" s="1"/>
      <c r="D181" s="5" t="s">
        <v>464</v>
      </c>
      <c r="E181" s="3">
        <v>112500</v>
      </c>
      <c r="F181" s="3" t="s">
        <v>465</v>
      </c>
      <c r="G181" s="57" t="s">
        <v>465</v>
      </c>
    </row>
    <row r="182" spans="1:12" x14ac:dyDescent="0.2">
      <c r="A182" s="13" t="s">
        <v>4</v>
      </c>
      <c r="B182" s="12" t="s">
        <v>84</v>
      </c>
      <c r="C182" s="1"/>
      <c r="D182" s="5" t="s">
        <v>464</v>
      </c>
      <c r="E182" s="3">
        <v>127500</v>
      </c>
      <c r="F182" s="3" t="s">
        <v>465</v>
      </c>
      <c r="G182" s="57" t="s">
        <v>465</v>
      </c>
    </row>
    <row r="183" spans="1:12" x14ac:dyDescent="0.2">
      <c r="A183" s="1" t="s">
        <v>6</v>
      </c>
      <c r="B183" s="12" t="s">
        <v>85</v>
      </c>
      <c r="C183" s="13"/>
      <c r="D183" s="7" t="s">
        <v>3825</v>
      </c>
      <c r="E183" s="6">
        <v>109554</v>
      </c>
      <c r="F183" s="6" t="s">
        <v>465</v>
      </c>
      <c r="G183" s="57" t="s">
        <v>465</v>
      </c>
      <c r="H183" s="21"/>
      <c r="I183" s="21"/>
      <c r="J183" s="7"/>
      <c r="K183" s="13"/>
      <c r="L183" s="13"/>
    </row>
    <row r="184" spans="1:12" x14ac:dyDescent="0.2">
      <c r="A184" s="1" t="s">
        <v>6</v>
      </c>
      <c r="B184" s="12" t="s">
        <v>85</v>
      </c>
      <c r="C184" s="13"/>
      <c r="D184" s="7" t="s">
        <v>3826</v>
      </c>
      <c r="E184" s="6">
        <v>110274</v>
      </c>
      <c r="F184" s="6" t="s">
        <v>465</v>
      </c>
      <c r="G184" s="57" t="s">
        <v>465</v>
      </c>
      <c r="H184" s="21"/>
      <c r="I184" s="21"/>
      <c r="J184" s="7"/>
      <c r="K184" s="13"/>
      <c r="L184" s="13"/>
    </row>
    <row r="185" spans="1:12" x14ac:dyDescent="0.2">
      <c r="A185" s="1" t="s">
        <v>6</v>
      </c>
      <c r="B185" s="2" t="s">
        <v>85</v>
      </c>
      <c r="C185" s="1"/>
      <c r="D185" s="5" t="s">
        <v>464</v>
      </c>
      <c r="E185" s="3">
        <v>102500</v>
      </c>
      <c r="F185" s="3" t="s">
        <v>465</v>
      </c>
      <c r="G185" s="57" t="s">
        <v>465</v>
      </c>
      <c r="J185" s="1"/>
    </row>
    <row r="186" spans="1:12" x14ac:dyDescent="0.2">
      <c r="A186" s="1" t="s">
        <v>6</v>
      </c>
      <c r="B186" s="2" t="s">
        <v>85</v>
      </c>
      <c r="C186" s="1"/>
      <c r="D186" s="5" t="s">
        <v>464</v>
      </c>
      <c r="E186" s="3">
        <v>102500</v>
      </c>
      <c r="F186" s="3" t="s">
        <v>465</v>
      </c>
      <c r="G186" s="57" t="s">
        <v>465</v>
      </c>
      <c r="J186" s="1"/>
    </row>
    <row r="187" spans="1:12" x14ac:dyDescent="0.2">
      <c r="A187" s="1" t="s">
        <v>6</v>
      </c>
      <c r="B187" s="2" t="s">
        <v>85</v>
      </c>
      <c r="C187" s="1"/>
      <c r="D187" s="5" t="s">
        <v>464</v>
      </c>
      <c r="E187" s="3">
        <v>107500</v>
      </c>
      <c r="F187" s="3" t="s">
        <v>465</v>
      </c>
      <c r="G187" s="57" t="s">
        <v>465</v>
      </c>
      <c r="J187" s="1"/>
    </row>
    <row r="188" spans="1:12" x14ac:dyDescent="0.2">
      <c r="A188" s="1" t="s">
        <v>6</v>
      </c>
      <c r="B188" s="2" t="s">
        <v>85</v>
      </c>
      <c r="C188" s="1"/>
      <c r="D188" s="5" t="s">
        <v>464</v>
      </c>
      <c r="E188" s="3">
        <v>107500</v>
      </c>
      <c r="F188" s="3" t="s">
        <v>465</v>
      </c>
      <c r="G188" s="57" t="s">
        <v>465</v>
      </c>
      <c r="J188" s="1"/>
    </row>
    <row r="189" spans="1:12" x14ac:dyDescent="0.2">
      <c r="A189" s="1" t="s">
        <v>6</v>
      </c>
      <c r="B189" s="2" t="s">
        <v>85</v>
      </c>
      <c r="C189" s="1"/>
      <c r="D189" s="5" t="s">
        <v>464</v>
      </c>
      <c r="E189" s="3">
        <v>107500</v>
      </c>
      <c r="F189" s="3" t="s">
        <v>465</v>
      </c>
      <c r="G189" s="57" t="s">
        <v>465</v>
      </c>
    </row>
    <row r="190" spans="1:12" x14ac:dyDescent="0.2">
      <c r="A190" s="1" t="s">
        <v>6</v>
      </c>
      <c r="B190" s="2" t="s">
        <v>85</v>
      </c>
      <c r="C190" s="1"/>
      <c r="D190" s="5" t="s">
        <v>464</v>
      </c>
      <c r="E190" s="3">
        <v>112500</v>
      </c>
      <c r="F190" s="3" t="s">
        <v>465</v>
      </c>
      <c r="G190" s="57" t="s">
        <v>465</v>
      </c>
    </row>
    <row r="191" spans="1:12" x14ac:dyDescent="0.2">
      <c r="A191" s="1" t="s">
        <v>6</v>
      </c>
      <c r="B191" s="2" t="s">
        <v>85</v>
      </c>
      <c r="C191" s="1"/>
      <c r="D191" s="5" t="s">
        <v>464</v>
      </c>
      <c r="E191" s="3">
        <v>142500</v>
      </c>
      <c r="F191" s="3" t="s">
        <v>465</v>
      </c>
      <c r="G191" s="57" t="s">
        <v>465</v>
      </c>
    </row>
    <row r="192" spans="1:12" x14ac:dyDescent="0.2">
      <c r="A192" s="1" t="s">
        <v>6</v>
      </c>
      <c r="B192" s="12" t="s">
        <v>86</v>
      </c>
      <c r="C192" s="13"/>
      <c r="D192" s="7" t="s">
        <v>3829</v>
      </c>
      <c r="E192" s="6">
        <v>108670</v>
      </c>
      <c r="F192" s="6" t="s">
        <v>465</v>
      </c>
      <c r="G192" s="57" t="s">
        <v>465</v>
      </c>
      <c r="H192" s="21"/>
      <c r="I192" s="21"/>
      <c r="J192" s="7" t="s">
        <v>4227</v>
      </c>
      <c r="K192" s="13"/>
      <c r="L192" s="13"/>
    </row>
    <row r="193" spans="1:12" x14ac:dyDescent="0.2">
      <c r="A193" s="1" t="s">
        <v>6</v>
      </c>
      <c r="B193" s="12" t="s">
        <v>86</v>
      </c>
      <c r="C193" s="13"/>
      <c r="D193" s="7" t="s">
        <v>476</v>
      </c>
      <c r="E193" s="6">
        <v>134253</v>
      </c>
      <c r="F193" s="6" t="s">
        <v>465</v>
      </c>
      <c r="G193" s="57" t="s">
        <v>465</v>
      </c>
      <c r="H193" s="21"/>
      <c r="I193" s="21"/>
      <c r="J193" s="7"/>
      <c r="K193" s="13"/>
      <c r="L193" s="13"/>
    </row>
    <row r="194" spans="1:12" x14ac:dyDescent="0.2">
      <c r="A194" s="1" t="s">
        <v>6</v>
      </c>
      <c r="B194" s="12" t="s">
        <v>86</v>
      </c>
      <c r="C194" s="13"/>
      <c r="D194" s="7" t="s">
        <v>3830</v>
      </c>
      <c r="E194" s="6">
        <v>117896</v>
      </c>
      <c r="F194" s="6" t="s">
        <v>465</v>
      </c>
      <c r="G194" s="57" t="s">
        <v>465</v>
      </c>
      <c r="H194" s="21"/>
      <c r="I194" s="21"/>
      <c r="J194" s="7" t="s">
        <v>3729</v>
      </c>
      <c r="K194" s="13"/>
      <c r="L194" s="13"/>
    </row>
    <row r="195" spans="1:12" x14ac:dyDescent="0.2">
      <c r="A195" s="1" t="s">
        <v>6</v>
      </c>
      <c r="B195" s="2" t="s">
        <v>86</v>
      </c>
      <c r="C195" s="1"/>
      <c r="D195" s="5" t="s">
        <v>464</v>
      </c>
      <c r="E195" s="3">
        <v>102500</v>
      </c>
      <c r="F195" s="3" t="s">
        <v>465</v>
      </c>
      <c r="G195" s="57" t="s">
        <v>465</v>
      </c>
      <c r="J195" s="1"/>
    </row>
    <row r="196" spans="1:12" x14ac:dyDescent="0.2">
      <c r="A196" s="1" t="s">
        <v>6</v>
      </c>
      <c r="B196" s="2" t="s">
        <v>86</v>
      </c>
      <c r="C196" s="1"/>
      <c r="D196" s="5" t="s">
        <v>464</v>
      </c>
      <c r="E196" s="3">
        <v>102500</v>
      </c>
      <c r="F196" s="3" t="s">
        <v>465</v>
      </c>
      <c r="G196" s="57" t="s">
        <v>465</v>
      </c>
      <c r="J196" s="1"/>
    </row>
    <row r="197" spans="1:12" x14ac:dyDescent="0.2">
      <c r="A197" s="1" t="s">
        <v>6</v>
      </c>
      <c r="B197" s="2" t="s">
        <v>86</v>
      </c>
      <c r="C197" s="1"/>
      <c r="D197" s="5" t="s">
        <v>464</v>
      </c>
      <c r="E197" s="3">
        <v>107500</v>
      </c>
      <c r="F197" s="3" t="s">
        <v>465</v>
      </c>
      <c r="G197" s="57" t="s">
        <v>465</v>
      </c>
      <c r="J197" s="1"/>
    </row>
    <row r="198" spans="1:12" x14ac:dyDescent="0.2">
      <c r="A198" s="1" t="s">
        <v>6</v>
      </c>
      <c r="B198" s="2" t="s">
        <v>86</v>
      </c>
      <c r="C198" s="1"/>
      <c r="D198" s="5" t="s">
        <v>464</v>
      </c>
      <c r="E198" s="3">
        <v>112500</v>
      </c>
      <c r="F198" s="3" t="s">
        <v>465</v>
      </c>
      <c r="G198" s="57" t="s">
        <v>465</v>
      </c>
    </row>
    <row r="199" spans="1:12" x14ac:dyDescent="0.2">
      <c r="A199" s="1" t="s">
        <v>6</v>
      </c>
      <c r="B199" s="2" t="s">
        <v>86</v>
      </c>
      <c r="C199" s="1"/>
      <c r="D199" s="5" t="s">
        <v>464</v>
      </c>
      <c r="E199" s="3">
        <v>132500</v>
      </c>
      <c r="F199" s="3" t="s">
        <v>465</v>
      </c>
      <c r="G199" s="57" t="s">
        <v>465</v>
      </c>
    </row>
    <row r="200" spans="1:12" x14ac:dyDescent="0.2">
      <c r="A200" s="1" t="s">
        <v>6</v>
      </c>
      <c r="B200" s="12" t="s">
        <v>90</v>
      </c>
      <c r="C200" s="13"/>
      <c r="D200" s="7" t="s">
        <v>3831</v>
      </c>
      <c r="E200" s="6">
        <v>121450</v>
      </c>
      <c r="F200" s="6" t="s">
        <v>465</v>
      </c>
      <c r="G200" s="57" t="s">
        <v>465</v>
      </c>
      <c r="H200" s="21"/>
      <c r="I200" s="21"/>
      <c r="J200" s="7"/>
      <c r="K200" s="13"/>
      <c r="L200" s="13"/>
    </row>
    <row r="201" spans="1:12" x14ac:dyDescent="0.2">
      <c r="A201" s="1" t="s">
        <v>6</v>
      </c>
      <c r="B201" s="12" t="s">
        <v>90</v>
      </c>
      <c r="C201" s="13"/>
      <c r="D201" s="7" t="s">
        <v>3832</v>
      </c>
      <c r="E201" s="6">
        <v>103330</v>
      </c>
      <c r="F201" s="6" t="s">
        <v>465</v>
      </c>
      <c r="G201" s="57" t="s">
        <v>465</v>
      </c>
      <c r="H201" s="21"/>
      <c r="I201" s="21"/>
      <c r="J201" s="7"/>
      <c r="K201" s="13"/>
      <c r="L201" s="13"/>
    </row>
    <row r="202" spans="1:12" ht="25.5" x14ac:dyDescent="0.2">
      <c r="A202" s="1" t="s">
        <v>6</v>
      </c>
      <c r="B202" s="12" t="s">
        <v>90</v>
      </c>
      <c r="C202" s="13"/>
      <c r="D202" s="7" t="s">
        <v>3833</v>
      </c>
      <c r="E202" s="6">
        <v>103938</v>
      </c>
      <c r="F202" s="6" t="s">
        <v>465</v>
      </c>
      <c r="G202" s="57" t="s">
        <v>465</v>
      </c>
      <c r="H202" s="21"/>
      <c r="I202" s="21"/>
      <c r="J202" s="7"/>
      <c r="K202" s="13"/>
      <c r="L202" s="13"/>
    </row>
    <row r="203" spans="1:12" x14ac:dyDescent="0.2">
      <c r="A203" s="13" t="s">
        <v>1</v>
      </c>
      <c r="B203" s="12" t="s">
        <v>92</v>
      </c>
      <c r="C203" s="1"/>
      <c r="D203" s="5" t="s">
        <v>464</v>
      </c>
      <c r="E203" s="3">
        <v>102500</v>
      </c>
      <c r="F203" s="3" t="s">
        <v>465</v>
      </c>
      <c r="G203" s="57" t="s">
        <v>465</v>
      </c>
      <c r="J203" s="16"/>
    </row>
    <row r="204" spans="1:12" x14ac:dyDescent="0.2">
      <c r="A204" s="13" t="s">
        <v>1</v>
      </c>
      <c r="B204" s="12" t="s">
        <v>92</v>
      </c>
      <c r="C204" s="1"/>
      <c r="D204" s="5" t="s">
        <v>464</v>
      </c>
      <c r="E204" s="3">
        <v>107500</v>
      </c>
      <c r="F204" s="3" t="s">
        <v>465</v>
      </c>
      <c r="G204" s="57" t="s">
        <v>465</v>
      </c>
      <c r="J204" s="16"/>
    </row>
    <row r="205" spans="1:12" s="13" customFormat="1" x14ac:dyDescent="0.2">
      <c r="A205" s="1" t="s">
        <v>25</v>
      </c>
      <c r="B205" s="12" t="s">
        <v>93</v>
      </c>
      <c r="D205" s="7" t="s">
        <v>3839</v>
      </c>
      <c r="E205" s="6">
        <v>114000</v>
      </c>
      <c r="F205" s="6" t="s">
        <v>465</v>
      </c>
      <c r="G205" s="57" t="s">
        <v>465</v>
      </c>
      <c r="H205" s="21"/>
      <c r="I205" s="21"/>
      <c r="J205" s="7" t="s">
        <v>4234</v>
      </c>
    </row>
    <row r="206" spans="1:12" s="13" customFormat="1" x14ac:dyDescent="0.2">
      <c r="A206" s="1" t="s">
        <v>25</v>
      </c>
      <c r="B206" s="2" t="s">
        <v>93</v>
      </c>
      <c r="C206" s="1"/>
      <c r="D206" s="5" t="s">
        <v>464</v>
      </c>
      <c r="E206" s="3">
        <v>117500</v>
      </c>
      <c r="F206" s="3" t="s">
        <v>465</v>
      </c>
      <c r="G206" s="57" t="s">
        <v>465</v>
      </c>
      <c r="H206" s="19"/>
      <c r="I206" s="19"/>
      <c r="J206" s="5"/>
      <c r="K206" s="1"/>
      <c r="L206" s="1"/>
    </row>
    <row r="207" spans="1:12" x14ac:dyDescent="0.2">
      <c r="A207" s="1" t="s">
        <v>25</v>
      </c>
      <c r="B207" s="2" t="s">
        <v>93</v>
      </c>
      <c r="C207" s="1"/>
      <c r="D207" s="5" t="s">
        <v>464</v>
      </c>
      <c r="E207" s="3">
        <v>122500</v>
      </c>
      <c r="F207" s="3" t="s">
        <v>465</v>
      </c>
      <c r="G207" s="57" t="s">
        <v>465</v>
      </c>
    </row>
    <row r="208" spans="1:12" x14ac:dyDescent="0.2">
      <c r="A208" s="1" t="s">
        <v>25</v>
      </c>
      <c r="B208" s="2" t="s">
        <v>93</v>
      </c>
      <c r="C208" s="1"/>
      <c r="D208" s="5" t="s">
        <v>464</v>
      </c>
      <c r="E208" s="3">
        <v>127500</v>
      </c>
      <c r="F208" s="3" t="s">
        <v>465</v>
      </c>
      <c r="G208" s="57" t="s">
        <v>465</v>
      </c>
    </row>
    <row r="209" spans="1:12" s="13" customFormat="1" x14ac:dyDescent="0.2">
      <c r="A209" s="1" t="s">
        <v>25</v>
      </c>
      <c r="B209" s="2" t="s">
        <v>93</v>
      </c>
      <c r="C209" s="1"/>
      <c r="D209" s="5" t="s">
        <v>464</v>
      </c>
      <c r="E209" s="3">
        <v>137500</v>
      </c>
      <c r="F209" s="3" t="s">
        <v>465</v>
      </c>
      <c r="G209" s="57" t="s">
        <v>465</v>
      </c>
      <c r="H209" s="19"/>
      <c r="I209" s="19"/>
      <c r="J209" s="5"/>
      <c r="K209" s="1"/>
      <c r="L209" s="1"/>
    </row>
    <row r="210" spans="1:12" s="13" customFormat="1" x14ac:dyDescent="0.2">
      <c r="A210" s="1" t="s">
        <v>25</v>
      </c>
      <c r="B210" s="2" t="s">
        <v>93</v>
      </c>
      <c r="C210" s="1"/>
      <c r="D210" s="5" t="s">
        <v>464</v>
      </c>
      <c r="E210" s="3">
        <v>152500</v>
      </c>
      <c r="F210" s="3" t="s">
        <v>465</v>
      </c>
      <c r="G210" s="57" t="s">
        <v>465</v>
      </c>
      <c r="H210" s="19"/>
      <c r="I210" s="19"/>
      <c r="J210" s="5"/>
      <c r="K210" s="1"/>
      <c r="L210" s="1"/>
    </row>
    <row r="211" spans="1:12" s="13" customFormat="1" x14ac:dyDescent="0.2">
      <c r="A211" s="1" t="s">
        <v>25</v>
      </c>
      <c r="B211" s="2" t="s">
        <v>93</v>
      </c>
      <c r="C211" s="1"/>
      <c r="D211" s="5" t="s">
        <v>464</v>
      </c>
      <c r="E211" s="3">
        <v>182500</v>
      </c>
      <c r="F211" s="3" t="s">
        <v>465</v>
      </c>
      <c r="G211" s="57" t="s">
        <v>465</v>
      </c>
      <c r="H211" s="19"/>
      <c r="I211" s="19"/>
      <c r="J211" s="5"/>
      <c r="K211" s="1"/>
      <c r="L211" s="1"/>
    </row>
    <row r="212" spans="1:12" s="13" customFormat="1" x14ac:dyDescent="0.2">
      <c r="A212" s="1" t="s">
        <v>34</v>
      </c>
      <c r="B212" s="12" t="s">
        <v>101</v>
      </c>
      <c r="D212" s="7" t="s">
        <v>464</v>
      </c>
      <c r="E212" s="6">
        <v>102500</v>
      </c>
      <c r="F212" s="6" t="s">
        <v>465</v>
      </c>
      <c r="G212" s="57" t="s">
        <v>465</v>
      </c>
      <c r="H212" s="21"/>
      <c r="I212" s="21"/>
      <c r="J212" s="7"/>
    </row>
    <row r="213" spans="1:12" s="13" customFormat="1" x14ac:dyDescent="0.2">
      <c r="A213" s="1" t="s">
        <v>34</v>
      </c>
      <c r="B213" s="12" t="s">
        <v>101</v>
      </c>
      <c r="D213" s="7" t="s">
        <v>464</v>
      </c>
      <c r="E213" s="6">
        <v>102500</v>
      </c>
      <c r="F213" s="6" t="s">
        <v>465</v>
      </c>
      <c r="G213" s="57" t="s">
        <v>465</v>
      </c>
      <c r="H213" s="21"/>
      <c r="I213" s="21"/>
      <c r="J213" s="7"/>
    </row>
    <row r="214" spans="1:12" x14ac:dyDescent="0.2">
      <c r="A214" s="1" t="s">
        <v>34</v>
      </c>
      <c r="B214" s="12" t="s">
        <v>101</v>
      </c>
      <c r="C214" s="13"/>
      <c r="D214" s="7" t="s">
        <v>464</v>
      </c>
      <c r="E214" s="6">
        <v>102500</v>
      </c>
      <c r="F214" s="6" t="s">
        <v>465</v>
      </c>
      <c r="G214" s="57" t="s">
        <v>465</v>
      </c>
      <c r="H214" s="21"/>
      <c r="I214" s="21"/>
      <c r="J214" s="7"/>
      <c r="K214" s="13"/>
      <c r="L214" s="13"/>
    </row>
    <row r="215" spans="1:12" x14ac:dyDescent="0.2">
      <c r="A215" s="1" t="s">
        <v>34</v>
      </c>
      <c r="B215" s="12" t="s">
        <v>101</v>
      </c>
      <c r="C215" s="13"/>
      <c r="D215" s="7" t="s">
        <v>464</v>
      </c>
      <c r="E215" s="6">
        <v>102500</v>
      </c>
      <c r="F215" s="6" t="s">
        <v>465</v>
      </c>
      <c r="G215" s="57" t="s">
        <v>465</v>
      </c>
      <c r="H215" s="21"/>
      <c r="I215" s="21"/>
      <c r="J215" s="7"/>
      <c r="K215" s="13"/>
      <c r="L215" s="13"/>
    </row>
    <row r="216" spans="1:12" x14ac:dyDescent="0.2">
      <c r="A216" s="1" t="s">
        <v>34</v>
      </c>
      <c r="B216" s="12" t="s">
        <v>101</v>
      </c>
      <c r="C216" s="13"/>
      <c r="D216" s="7" t="s">
        <v>464</v>
      </c>
      <c r="E216" s="6">
        <v>102500</v>
      </c>
      <c r="F216" s="6" t="s">
        <v>465</v>
      </c>
      <c r="G216" s="57" t="s">
        <v>465</v>
      </c>
      <c r="H216" s="21"/>
      <c r="I216" s="21"/>
      <c r="J216" s="7"/>
      <c r="K216" s="13"/>
      <c r="L216" s="13"/>
    </row>
    <row r="217" spans="1:12" x14ac:dyDescent="0.2">
      <c r="A217" s="1" t="s">
        <v>34</v>
      </c>
      <c r="B217" s="12" t="s">
        <v>101</v>
      </c>
      <c r="C217" s="13"/>
      <c r="D217" s="7" t="s">
        <v>464</v>
      </c>
      <c r="E217" s="6">
        <v>112500</v>
      </c>
      <c r="F217" s="6" t="s">
        <v>465</v>
      </c>
      <c r="G217" s="57" t="s">
        <v>465</v>
      </c>
      <c r="H217" s="21"/>
      <c r="I217" s="21"/>
      <c r="J217" s="7"/>
      <c r="K217" s="13"/>
      <c r="L217" s="13"/>
    </row>
    <row r="218" spans="1:12" s="13" customFormat="1" x14ac:dyDescent="0.2">
      <c r="A218" s="1" t="s">
        <v>34</v>
      </c>
      <c r="B218" s="12" t="s">
        <v>101</v>
      </c>
      <c r="D218" s="7" t="s">
        <v>464</v>
      </c>
      <c r="E218" s="6">
        <v>117500</v>
      </c>
      <c r="F218" s="6" t="s">
        <v>465</v>
      </c>
      <c r="G218" s="57" t="s">
        <v>465</v>
      </c>
      <c r="H218" s="21"/>
      <c r="I218" s="21"/>
      <c r="J218" s="7"/>
    </row>
    <row r="219" spans="1:12" x14ac:dyDescent="0.2">
      <c r="A219" s="1" t="s">
        <v>34</v>
      </c>
      <c r="B219" s="12" t="s">
        <v>101</v>
      </c>
      <c r="C219" s="13"/>
      <c r="D219" s="7" t="s">
        <v>464</v>
      </c>
      <c r="E219" s="6">
        <v>117500</v>
      </c>
      <c r="F219" s="6" t="s">
        <v>465</v>
      </c>
      <c r="G219" s="57" t="s">
        <v>465</v>
      </c>
      <c r="H219" s="21"/>
      <c r="I219" s="21"/>
      <c r="J219" s="7"/>
      <c r="K219" s="13"/>
      <c r="L219" s="13"/>
    </row>
    <row r="220" spans="1:12" x14ac:dyDescent="0.2">
      <c r="A220" s="1" t="s">
        <v>34</v>
      </c>
      <c r="B220" s="12" t="s">
        <v>101</v>
      </c>
      <c r="C220" s="13"/>
      <c r="D220" s="7" t="s">
        <v>464</v>
      </c>
      <c r="E220" s="6">
        <v>117500</v>
      </c>
      <c r="F220" s="6" t="s">
        <v>465</v>
      </c>
      <c r="G220" s="57" t="s">
        <v>465</v>
      </c>
      <c r="H220" s="21"/>
      <c r="I220" s="21"/>
      <c r="J220" s="7"/>
      <c r="K220" s="13"/>
      <c r="L220" s="13"/>
    </row>
    <row r="221" spans="1:12" x14ac:dyDescent="0.2">
      <c r="A221" s="1" t="s">
        <v>34</v>
      </c>
      <c r="B221" s="12" t="s">
        <v>101</v>
      </c>
      <c r="C221" s="13"/>
      <c r="D221" s="7" t="s">
        <v>464</v>
      </c>
      <c r="E221" s="6">
        <v>122500</v>
      </c>
      <c r="F221" s="6" t="s">
        <v>465</v>
      </c>
      <c r="G221" s="57" t="s">
        <v>465</v>
      </c>
      <c r="H221" s="21"/>
      <c r="I221" s="21"/>
      <c r="J221" s="7"/>
      <c r="K221" s="13"/>
      <c r="L221" s="13"/>
    </row>
    <row r="222" spans="1:12" x14ac:dyDescent="0.2">
      <c r="A222" s="1" t="s">
        <v>34</v>
      </c>
      <c r="B222" s="12" t="s">
        <v>101</v>
      </c>
      <c r="C222" s="13"/>
      <c r="D222" s="7" t="s">
        <v>464</v>
      </c>
      <c r="E222" s="6">
        <v>122500</v>
      </c>
      <c r="F222" s="6" t="s">
        <v>465</v>
      </c>
      <c r="G222" s="57" t="s">
        <v>465</v>
      </c>
      <c r="H222" s="21"/>
      <c r="I222" s="21"/>
      <c r="J222" s="7"/>
      <c r="K222" s="13"/>
      <c r="L222" s="13"/>
    </row>
    <row r="223" spans="1:12" s="13" customFormat="1" x14ac:dyDescent="0.2">
      <c r="A223" s="1" t="s">
        <v>34</v>
      </c>
      <c r="B223" s="12" t="s">
        <v>101</v>
      </c>
      <c r="D223" s="7" t="s">
        <v>464</v>
      </c>
      <c r="E223" s="6">
        <v>122500</v>
      </c>
      <c r="F223" s="6" t="s">
        <v>465</v>
      </c>
      <c r="G223" s="57" t="s">
        <v>465</v>
      </c>
      <c r="H223" s="21"/>
      <c r="I223" s="21"/>
      <c r="J223" s="7"/>
    </row>
    <row r="224" spans="1:12" s="13" customFormat="1" x14ac:dyDescent="0.2">
      <c r="A224" s="1" t="s">
        <v>34</v>
      </c>
      <c r="B224" s="12" t="s">
        <v>101</v>
      </c>
      <c r="D224" s="7" t="s">
        <v>464</v>
      </c>
      <c r="E224" s="6">
        <v>122500</v>
      </c>
      <c r="F224" s="6" t="s">
        <v>465</v>
      </c>
      <c r="G224" s="57" t="s">
        <v>465</v>
      </c>
      <c r="H224" s="21"/>
      <c r="I224" s="21"/>
      <c r="J224" s="7"/>
    </row>
    <row r="225" spans="1:12" s="13" customFormat="1" x14ac:dyDescent="0.2">
      <c r="A225" s="1" t="s">
        <v>34</v>
      </c>
      <c r="B225" s="12" t="s">
        <v>101</v>
      </c>
      <c r="D225" s="7" t="s">
        <v>464</v>
      </c>
      <c r="E225" s="6">
        <v>122500</v>
      </c>
      <c r="F225" s="6" t="s">
        <v>465</v>
      </c>
      <c r="G225" s="57" t="s">
        <v>465</v>
      </c>
      <c r="H225" s="21"/>
      <c r="I225" s="21"/>
      <c r="J225" s="7"/>
    </row>
    <row r="226" spans="1:12" s="13" customFormat="1" x14ac:dyDescent="0.2">
      <c r="A226" s="1" t="s">
        <v>34</v>
      </c>
      <c r="B226" s="12" t="s">
        <v>101</v>
      </c>
      <c r="D226" s="7" t="s">
        <v>464</v>
      </c>
      <c r="E226" s="6">
        <v>122500</v>
      </c>
      <c r="F226" s="6" t="s">
        <v>465</v>
      </c>
      <c r="G226" s="57" t="s">
        <v>465</v>
      </c>
      <c r="H226" s="21"/>
      <c r="I226" s="21"/>
      <c r="J226" s="7"/>
    </row>
    <row r="227" spans="1:12" s="13" customFormat="1" x14ac:dyDescent="0.2">
      <c r="A227" s="1" t="s">
        <v>34</v>
      </c>
      <c r="B227" s="12" t="s">
        <v>101</v>
      </c>
      <c r="D227" s="7" t="s">
        <v>464</v>
      </c>
      <c r="E227" s="6">
        <v>127500</v>
      </c>
      <c r="F227" s="6" t="s">
        <v>465</v>
      </c>
      <c r="G227" s="57" t="s">
        <v>465</v>
      </c>
      <c r="H227" s="21"/>
      <c r="I227" s="21"/>
      <c r="J227" s="7"/>
    </row>
    <row r="228" spans="1:12" s="13" customFormat="1" x14ac:dyDescent="0.2">
      <c r="A228" s="1" t="s">
        <v>34</v>
      </c>
      <c r="B228" s="12" t="s">
        <v>101</v>
      </c>
      <c r="D228" s="7" t="s">
        <v>464</v>
      </c>
      <c r="E228" s="6">
        <v>127500</v>
      </c>
      <c r="F228" s="6" t="s">
        <v>465</v>
      </c>
      <c r="G228" s="57" t="s">
        <v>465</v>
      </c>
      <c r="H228" s="21"/>
      <c r="I228" s="21"/>
      <c r="J228" s="7"/>
    </row>
    <row r="229" spans="1:12" s="13" customFormat="1" x14ac:dyDescent="0.2">
      <c r="A229" s="1" t="s">
        <v>34</v>
      </c>
      <c r="B229" s="12" t="s">
        <v>101</v>
      </c>
      <c r="D229" s="7" t="s">
        <v>464</v>
      </c>
      <c r="E229" s="6">
        <v>127500</v>
      </c>
      <c r="F229" s="6" t="s">
        <v>465</v>
      </c>
      <c r="G229" s="57" t="s">
        <v>465</v>
      </c>
      <c r="H229" s="21"/>
      <c r="I229" s="21"/>
      <c r="J229" s="7"/>
    </row>
    <row r="230" spans="1:12" x14ac:dyDescent="0.2">
      <c r="A230" s="1" t="s">
        <v>34</v>
      </c>
      <c r="B230" s="12" t="s">
        <v>101</v>
      </c>
      <c r="C230" s="13"/>
      <c r="D230" s="7" t="s">
        <v>464</v>
      </c>
      <c r="E230" s="6">
        <v>127500</v>
      </c>
      <c r="F230" s="6" t="s">
        <v>465</v>
      </c>
      <c r="G230" s="57" t="s">
        <v>465</v>
      </c>
      <c r="H230" s="21"/>
      <c r="I230" s="21"/>
      <c r="J230" s="7"/>
      <c r="K230" s="13"/>
      <c r="L230" s="13"/>
    </row>
    <row r="231" spans="1:12" x14ac:dyDescent="0.2">
      <c r="A231" s="1" t="s">
        <v>34</v>
      </c>
      <c r="B231" s="12" t="s">
        <v>101</v>
      </c>
      <c r="C231" s="13"/>
      <c r="D231" s="7" t="s">
        <v>464</v>
      </c>
      <c r="E231" s="6">
        <v>137500</v>
      </c>
      <c r="F231" s="6" t="s">
        <v>465</v>
      </c>
      <c r="G231" s="57" t="s">
        <v>465</v>
      </c>
      <c r="H231" s="21"/>
      <c r="I231" s="21"/>
      <c r="J231" s="7"/>
      <c r="K231" s="13"/>
      <c r="L231" s="13"/>
    </row>
    <row r="232" spans="1:12" x14ac:dyDescent="0.2">
      <c r="A232" s="1" t="s">
        <v>34</v>
      </c>
      <c r="B232" s="12" t="s">
        <v>101</v>
      </c>
      <c r="C232" s="13"/>
      <c r="D232" s="7" t="s">
        <v>464</v>
      </c>
      <c r="E232" s="6">
        <v>137500</v>
      </c>
      <c r="F232" s="6" t="s">
        <v>465</v>
      </c>
      <c r="G232" s="57" t="s">
        <v>465</v>
      </c>
      <c r="H232" s="21"/>
      <c r="I232" s="21"/>
      <c r="J232" s="7"/>
      <c r="K232" s="13"/>
      <c r="L232" s="13"/>
    </row>
    <row r="233" spans="1:12" x14ac:dyDescent="0.2">
      <c r="A233" s="1" t="s">
        <v>34</v>
      </c>
      <c r="B233" s="12" t="s">
        <v>101</v>
      </c>
      <c r="C233" s="13"/>
      <c r="D233" s="7" t="s">
        <v>464</v>
      </c>
      <c r="E233" s="6">
        <v>142500</v>
      </c>
      <c r="F233" s="6" t="s">
        <v>465</v>
      </c>
      <c r="G233" s="57" t="s">
        <v>465</v>
      </c>
      <c r="H233" s="21"/>
      <c r="I233" s="21"/>
      <c r="J233" s="7"/>
      <c r="K233" s="13"/>
      <c r="L233" s="13"/>
    </row>
    <row r="234" spans="1:12" x14ac:dyDescent="0.2">
      <c r="A234" s="1" t="s">
        <v>34</v>
      </c>
      <c r="B234" s="12" t="s">
        <v>101</v>
      </c>
      <c r="C234" s="13"/>
      <c r="D234" s="7" t="s">
        <v>464</v>
      </c>
      <c r="E234" s="6">
        <v>147500</v>
      </c>
      <c r="F234" s="6" t="s">
        <v>465</v>
      </c>
      <c r="G234" s="57" t="s">
        <v>465</v>
      </c>
      <c r="H234" s="21"/>
      <c r="I234" s="21"/>
      <c r="J234" s="7"/>
      <c r="K234" s="13"/>
      <c r="L234" s="13"/>
    </row>
    <row r="235" spans="1:12" x14ac:dyDescent="0.2">
      <c r="A235" s="1" t="s">
        <v>34</v>
      </c>
      <c r="B235" s="12" t="s">
        <v>101</v>
      </c>
      <c r="C235" s="13"/>
      <c r="D235" s="7" t="s">
        <v>464</v>
      </c>
      <c r="E235" s="6">
        <v>157500</v>
      </c>
      <c r="F235" s="6" t="s">
        <v>465</v>
      </c>
      <c r="G235" s="57" t="s">
        <v>465</v>
      </c>
      <c r="H235" s="21"/>
      <c r="I235" s="21"/>
      <c r="J235" s="7"/>
      <c r="K235" s="13"/>
      <c r="L235" s="13"/>
    </row>
    <row r="236" spans="1:12" x14ac:dyDescent="0.2">
      <c r="A236" s="1" t="s">
        <v>34</v>
      </c>
      <c r="B236" s="12" t="s">
        <v>101</v>
      </c>
      <c r="C236" s="13"/>
      <c r="D236" s="7" t="s">
        <v>464</v>
      </c>
      <c r="E236" s="6">
        <v>187500</v>
      </c>
      <c r="F236" s="6" t="s">
        <v>465</v>
      </c>
      <c r="G236" s="57" t="s">
        <v>465</v>
      </c>
      <c r="H236" s="21"/>
      <c r="I236" s="21"/>
      <c r="J236" s="7"/>
      <c r="K236" s="13"/>
      <c r="L236" s="13"/>
    </row>
    <row r="237" spans="1:12" x14ac:dyDescent="0.2">
      <c r="A237" s="1" t="s">
        <v>39</v>
      </c>
      <c r="B237" s="12" t="s">
        <v>103</v>
      </c>
      <c r="C237" s="13"/>
      <c r="D237" s="7" t="s">
        <v>3856</v>
      </c>
      <c r="E237" s="6">
        <v>131346</v>
      </c>
      <c r="F237" s="6" t="s">
        <v>465</v>
      </c>
      <c r="G237" s="57" t="s">
        <v>465</v>
      </c>
      <c r="H237" s="21"/>
      <c r="I237" s="21"/>
      <c r="J237" s="7" t="s">
        <v>2356</v>
      </c>
      <c r="K237" s="13"/>
      <c r="L237" s="13"/>
    </row>
    <row r="238" spans="1:12" x14ac:dyDescent="0.2">
      <c r="A238" s="1" t="s">
        <v>39</v>
      </c>
      <c r="B238" s="2" t="s">
        <v>103</v>
      </c>
      <c r="C238" s="1"/>
      <c r="D238" s="5" t="s">
        <v>464</v>
      </c>
      <c r="E238" s="3">
        <v>102500</v>
      </c>
      <c r="F238" s="3" t="s">
        <v>465</v>
      </c>
      <c r="G238" s="57" t="s">
        <v>465</v>
      </c>
    </row>
    <row r="239" spans="1:12" x14ac:dyDescent="0.2">
      <c r="A239" s="1" t="s">
        <v>39</v>
      </c>
      <c r="B239" s="2" t="s">
        <v>103</v>
      </c>
      <c r="C239" s="1"/>
      <c r="D239" s="5" t="s">
        <v>464</v>
      </c>
      <c r="E239" s="3">
        <v>102500</v>
      </c>
      <c r="F239" s="3" t="s">
        <v>465</v>
      </c>
      <c r="G239" s="57" t="s">
        <v>465</v>
      </c>
    </row>
    <row r="240" spans="1:12" x14ac:dyDescent="0.2">
      <c r="A240" s="1" t="s">
        <v>39</v>
      </c>
      <c r="B240" s="2" t="s">
        <v>103</v>
      </c>
      <c r="C240" s="1"/>
      <c r="D240" s="5" t="s">
        <v>464</v>
      </c>
      <c r="E240" s="3">
        <v>102500</v>
      </c>
      <c r="F240" s="3" t="s">
        <v>465</v>
      </c>
      <c r="G240" s="57" t="s">
        <v>465</v>
      </c>
    </row>
    <row r="241" spans="1:12" x14ac:dyDescent="0.2">
      <c r="A241" s="1" t="s">
        <v>39</v>
      </c>
      <c r="B241" s="2" t="s">
        <v>103</v>
      </c>
      <c r="C241" s="1"/>
      <c r="D241" s="5" t="s">
        <v>464</v>
      </c>
      <c r="E241" s="3">
        <v>112500</v>
      </c>
      <c r="F241" s="3" t="s">
        <v>465</v>
      </c>
      <c r="G241" s="57" t="s">
        <v>465</v>
      </c>
    </row>
    <row r="242" spans="1:12" x14ac:dyDescent="0.2">
      <c r="A242" s="1" t="s">
        <v>39</v>
      </c>
      <c r="B242" s="2" t="s">
        <v>103</v>
      </c>
      <c r="C242" s="1"/>
      <c r="D242" s="5" t="s">
        <v>464</v>
      </c>
      <c r="E242" s="3">
        <v>117500</v>
      </c>
      <c r="F242" s="3" t="s">
        <v>465</v>
      </c>
      <c r="G242" s="57" t="s">
        <v>465</v>
      </c>
    </row>
    <row r="243" spans="1:12" x14ac:dyDescent="0.2">
      <c r="A243" s="1" t="s">
        <v>39</v>
      </c>
      <c r="B243" s="2" t="s">
        <v>103</v>
      </c>
      <c r="C243" s="1"/>
      <c r="D243" s="5" t="s">
        <v>464</v>
      </c>
      <c r="E243" s="3">
        <v>117500</v>
      </c>
      <c r="F243" s="3" t="s">
        <v>465</v>
      </c>
      <c r="G243" s="57" t="s">
        <v>465</v>
      </c>
    </row>
    <row r="244" spans="1:12" x14ac:dyDescent="0.2">
      <c r="A244" s="1" t="s">
        <v>39</v>
      </c>
      <c r="B244" s="2" t="s">
        <v>103</v>
      </c>
      <c r="C244" s="1"/>
      <c r="D244" s="5" t="s">
        <v>464</v>
      </c>
      <c r="E244" s="3">
        <v>122500</v>
      </c>
      <c r="F244" s="3" t="s">
        <v>465</v>
      </c>
      <c r="G244" s="57" t="s">
        <v>465</v>
      </c>
    </row>
    <row r="245" spans="1:12" x14ac:dyDescent="0.2">
      <c r="A245" s="1" t="s">
        <v>39</v>
      </c>
      <c r="B245" s="2" t="s">
        <v>103</v>
      </c>
      <c r="C245" s="1"/>
      <c r="D245" s="5" t="s">
        <v>464</v>
      </c>
      <c r="E245" s="3">
        <v>167500</v>
      </c>
      <c r="F245" s="3" t="s">
        <v>465</v>
      </c>
      <c r="G245" s="57" t="s">
        <v>465</v>
      </c>
    </row>
    <row r="246" spans="1:12" x14ac:dyDescent="0.2">
      <c r="A246" s="1" t="s">
        <v>25</v>
      </c>
      <c r="B246" s="2" t="s">
        <v>107</v>
      </c>
      <c r="C246" s="1"/>
      <c r="D246" s="5" t="s">
        <v>464</v>
      </c>
      <c r="E246" s="3">
        <v>102500</v>
      </c>
      <c r="F246" s="3" t="s">
        <v>465</v>
      </c>
      <c r="G246" s="57" t="s">
        <v>465</v>
      </c>
      <c r="J246" s="1"/>
    </row>
    <row r="247" spans="1:12" x14ac:dyDescent="0.2">
      <c r="A247" s="1" t="s">
        <v>25</v>
      </c>
      <c r="B247" s="2" t="s">
        <v>107</v>
      </c>
      <c r="C247" s="1"/>
      <c r="D247" s="5" t="s">
        <v>464</v>
      </c>
      <c r="E247" s="3">
        <v>102500</v>
      </c>
      <c r="F247" s="3" t="s">
        <v>465</v>
      </c>
      <c r="G247" s="57" t="s">
        <v>465</v>
      </c>
      <c r="J247" s="1"/>
    </row>
    <row r="248" spans="1:12" x14ac:dyDescent="0.2">
      <c r="A248" s="1" t="s">
        <v>25</v>
      </c>
      <c r="B248" s="2" t="s">
        <v>107</v>
      </c>
      <c r="C248" s="1"/>
      <c r="D248" s="5" t="s">
        <v>464</v>
      </c>
      <c r="E248" s="3">
        <v>102500</v>
      </c>
      <c r="F248" s="3" t="s">
        <v>465</v>
      </c>
      <c r="G248" s="57" t="s">
        <v>465</v>
      </c>
      <c r="J248" s="1"/>
    </row>
    <row r="249" spans="1:12" x14ac:dyDescent="0.2">
      <c r="A249" s="1" t="s">
        <v>25</v>
      </c>
      <c r="B249" s="2" t="s">
        <v>107</v>
      </c>
      <c r="C249" s="1"/>
      <c r="D249" s="5" t="s">
        <v>464</v>
      </c>
      <c r="E249" s="3">
        <v>102500</v>
      </c>
      <c r="F249" s="3" t="s">
        <v>465</v>
      </c>
      <c r="G249" s="57" t="s">
        <v>465</v>
      </c>
      <c r="J249" s="1"/>
    </row>
    <row r="250" spans="1:12" x14ac:dyDescent="0.2">
      <c r="A250" s="1" t="s">
        <v>25</v>
      </c>
      <c r="B250" s="2" t="s">
        <v>107</v>
      </c>
      <c r="C250" s="1"/>
      <c r="D250" s="5" t="s">
        <v>464</v>
      </c>
      <c r="E250" s="3">
        <v>102500</v>
      </c>
      <c r="F250" s="3" t="s">
        <v>465</v>
      </c>
      <c r="G250" s="57" t="s">
        <v>465</v>
      </c>
      <c r="J250" s="1"/>
    </row>
    <row r="251" spans="1:12" x14ac:dyDescent="0.2">
      <c r="A251" s="1" t="s">
        <v>25</v>
      </c>
      <c r="B251" s="2" t="s">
        <v>107</v>
      </c>
      <c r="C251" s="1"/>
      <c r="D251" s="5" t="s">
        <v>464</v>
      </c>
      <c r="E251" s="3">
        <v>112500</v>
      </c>
      <c r="F251" s="3" t="s">
        <v>465</v>
      </c>
      <c r="G251" s="57" t="s">
        <v>465</v>
      </c>
    </row>
    <row r="252" spans="1:12" x14ac:dyDescent="0.2">
      <c r="A252" s="1" t="s">
        <v>6</v>
      </c>
      <c r="B252" s="12" t="s">
        <v>108</v>
      </c>
      <c r="C252" s="13" t="s">
        <v>3873</v>
      </c>
      <c r="D252" s="7" t="s">
        <v>450</v>
      </c>
      <c r="E252" s="6">
        <v>464113</v>
      </c>
      <c r="F252" s="6" t="s">
        <v>465</v>
      </c>
      <c r="G252" s="57" t="s">
        <v>465</v>
      </c>
      <c r="H252" s="21"/>
      <c r="I252" s="21"/>
      <c r="J252" s="7" t="s">
        <v>3874</v>
      </c>
      <c r="K252" s="13"/>
      <c r="L252" s="13"/>
    </row>
    <row r="253" spans="1:12" x14ac:dyDescent="0.2">
      <c r="A253" s="1" t="s">
        <v>6</v>
      </c>
      <c r="B253" s="2" t="s">
        <v>108</v>
      </c>
      <c r="C253" s="1"/>
      <c r="D253" s="5" t="s">
        <v>464</v>
      </c>
      <c r="E253" s="3">
        <v>102500</v>
      </c>
      <c r="F253" s="3" t="s">
        <v>465</v>
      </c>
      <c r="G253" s="57" t="s">
        <v>465</v>
      </c>
    </row>
    <row r="254" spans="1:12" x14ac:dyDescent="0.2">
      <c r="A254" s="1" t="s">
        <v>6</v>
      </c>
      <c r="B254" s="1" t="s">
        <v>108</v>
      </c>
      <c r="C254" s="1"/>
      <c r="D254" s="5" t="s">
        <v>464</v>
      </c>
      <c r="E254" s="3">
        <v>102500</v>
      </c>
      <c r="F254" s="3" t="s">
        <v>465</v>
      </c>
      <c r="G254" s="57" t="s">
        <v>465</v>
      </c>
    </row>
    <row r="255" spans="1:12" x14ac:dyDescent="0.2">
      <c r="A255" s="1" t="s">
        <v>20</v>
      </c>
      <c r="B255" s="12" t="s">
        <v>109</v>
      </c>
      <c r="C255" s="13"/>
      <c r="D255" s="7" t="s">
        <v>3883</v>
      </c>
      <c r="E255" s="6">
        <v>138009</v>
      </c>
      <c r="F255" s="6" t="s">
        <v>465</v>
      </c>
      <c r="G255" s="57" t="s">
        <v>465</v>
      </c>
      <c r="H255" s="21"/>
      <c r="I255" s="21"/>
      <c r="J255" s="7"/>
      <c r="K255" s="13"/>
      <c r="L255" s="13"/>
    </row>
    <row r="256" spans="1:12" x14ac:dyDescent="0.2">
      <c r="A256" s="13" t="s">
        <v>111</v>
      </c>
      <c r="B256" s="12" t="s">
        <v>110</v>
      </c>
      <c r="C256" s="13"/>
      <c r="D256" s="7" t="s">
        <v>464</v>
      </c>
      <c r="E256" s="6">
        <v>127500</v>
      </c>
      <c r="F256" s="6" t="s">
        <v>465</v>
      </c>
      <c r="G256" s="57" t="s">
        <v>465</v>
      </c>
      <c r="H256" s="21"/>
      <c r="I256" s="21"/>
      <c r="J256" s="7"/>
      <c r="K256" s="13"/>
      <c r="L256" s="13"/>
    </row>
    <row r="257" spans="1:10" x14ac:dyDescent="0.2">
      <c r="A257" s="1" t="s">
        <v>4</v>
      </c>
      <c r="B257" s="2" t="s">
        <v>112</v>
      </c>
      <c r="C257" s="1"/>
      <c r="D257" s="5" t="s">
        <v>464</v>
      </c>
      <c r="E257" s="3">
        <v>107500</v>
      </c>
      <c r="F257" s="3" t="s">
        <v>465</v>
      </c>
      <c r="G257" s="57" t="s">
        <v>465</v>
      </c>
    </row>
    <row r="258" spans="1:10" x14ac:dyDescent="0.2">
      <c r="A258" s="1" t="s">
        <v>4</v>
      </c>
      <c r="B258" s="2" t="s">
        <v>112</v>
      </c>
      <c r="C258" s="1"/>
      <c r="D258" s="5" t="s">
        <v>464</v>
      </c>
      <c r="E258" s="3">
        <v>122500</v>
      </c>
      <c r="F258" s="3" t="s">
        <v>465</v>
      </c>
      <c r="G258" s="57" t="s">
        <v>465</v>
      </c>
    </row>
    <row r="259" spans="1:10" x14ac:dyDescent="0.2">
      <c r="A259" s="1" t="s">
        <v>8</v>
      </c>
      <c r="B259" s="2" t="s">
        <v>113</v>
      </c>
      <c r="C259" s="1"/>
      <c r="D259" s="5" t="s">
        <v>529</v>
      </c>
      <c r="E259" s="3">
        <v>111237</v>
      </c>
      <c r="F259" s="3" t="s">
        <v>465</v>
      </c>
      <c r="G259" s="57" t="s">
        <v>465</v>
      </c>
    </row>
    <row r="260" spans="1:10" x14ac:dyDescent="0.2">
      <c r="A260" s="1" t="s">
        <v>8</v>
      </c>
      <c r="B260" s="2" t="s">
        <v>113</v>
      </c>
      <c r="C260" s="1"/>
      <c r="D260" s="5" t="s">
        <v>529</v>
      </c>
      <c r="E260" s="3">
        <v>108391</v>
      </c>
      <c r="F260" s="3" t="s">
        <v>465</v>
      </c>
      <c r="G260" s="57" t="s">
        <v>465</v>
      </c>
    </row>
    <row r="261" spans="1:10" x14ac:dyDescent="0.2">
      <c r="A261" s="1" t="s">
        <v>8</v>
      </c>
      <c r="B261" s="2" t="s">
        <v>113</v>
      </c>
      <c r="C261" s="1"/>
      <c r="D261" s="5" t="s">
        <v>464</v>
      </c>
      <c r="E261" s="3">
        <v>112500</v>
      </c>
      <c r="F261" s="3" t="s">
        <v>465</v>
      </c>
      <c r="G261" s="57" t="s">
        <v>465</v>
      </c>
      <c r="J261" s="5" t="s">
        <v>539</v>
      </c>
    </row>
    <row r="262" spans="1:10" ht="25.5" x14ac:dyDescent="0.2">
      <c r="A262" s="1" t="s">
        <v>44</v>
      </c>
      <c r="B262" s="2" t="s">
        <v>114</v>
      </c>
      <c r="C262" s="1"/>
      <c r="D262" s="5" t="s">
        <v>3894</v>
      </c>
      <c r="E262" s="3">
        <v>139335</v>
      </c>
      <c r="F262" s="3" t="s">
        <v>465</v>
      </c>
      <c r="G262" s="57" t="s">
        <v>465</v>
      </c>
      <c r="J262" s="5" t="s">
        <v>4266</v>
      </c>
    </row>
    <row r="263" spans="1:10" x14ac:dyDescent="0.2">
      <c r="A263" s="1" t="s">
        <v>44</v>
      </c>
      <c r="B263" s="2" t="s">
        <v>114</v>
      </c>
      <c r="C263" s="1"/>
      <c r="D263" s="5" t="s">
        <v>464</v>
      </c>
      <c r="E263" s="3">
        <v>102500</v>
      </c>
      <c r="F263" s="3" t="s">
        <v>465</v>
      </c>
      <c r="G263" s="57" t="s">
        <v>465</v>
      </c>
    </row>
    <row r="264" spans="1:10" x14ac:dyDescent="0.2">
      <c r="A264" s="1" t="s">
        <v>44</v>
      </c>
      <c r="B264" s="2" t="s">
        <v>114</v>
      </c>
      <c r="C264" s="1"/>
      <c r="D264" s="5" t="s">
        <v>464</v>
      </c>
      <c r="E264" s="3">
        <v>122500</v>
      </c>
      <c r="F264" s="3" t="s">
        <v>465</v>
      </c>
      <c r="G264" s="57" t="s">
        <v>465</v>
      </c>
    </row>
    <row r="265" spans="1:10" x14ac:dyDescent="0.2">
      <c r="A265" s="1" t="s">
        <v>44</v>
      </c>
      <c r="B265" s="2" t="s">
        <v>114</v>
      </c>
      <c r="C265" s="1"/>
      <c r="D265" s="5" t="s">
        <v>464</v>
      </c>
      <c r="E265" s="3">
        <v>132500</v>
      </c>
      <c r="F265" s="3" t="s">
        <v>465</v>
      </c>
      <c r="G265" s="57" t="s">
        <v>465</v>
      </c>
    </row>
    <row r="266" spans="1:10" x14ac:dyDescent="0.2">
      <c r="A266" s="1" t="s">
        <v>8</v>
      </c>
      <c r="B266" s="2" t="s">
        <v>115</v>
      </c>
      <c r="C266" s="1"/>
      <c r="D266" s="5" t="s">
        <v>464</v>
      </c>
      <c r="E266" s="3">
        <v>107500</v>
      </c>
      <c r="F266" s="3" t="s">
        <v>465</v>
      </c>
      <c r="G266" s="57" t="s">
        <v>465</v>
      </c>
    </row>
    <row r="267" spans="1:10" x14ac:dyDescent="0.2">
      <c r="A267" s="1" t="s">
        <v>8</v>
      </c>
      <c r="B267" s="2" t="s">
        <v>115</v>
      </c>
      <c r="C267" s="1"/>
      <c r="D267" s="5" t="s">
        <v>464</v>
      </c>
      <c r="E267" s="3">
        <v>112500</v>
      </c>
      <c r="F267" s="3" t="s">
        <v>465</v>
      </c>
      <c r="G267" s="57" t="s">
        <v>465</v>
      </c>
    </row>
    <row r="268" spans="1:10" x14ac:dyDescent="0.2">
      <c r="A268" s="1" t="s">
        <v>8</v>
      </c>
      <c r="B268" s="2" t="s">
        <v>115</v>
      </c>
      <c r="C268" s="1"/>
      <c r="D268" s="5" t="s">
        <v>464</v>
      </c>
      <c r="E268" s="3">
        <v>117500</v>
      </c>
      <c r="F268" s="3" t="s">
        <v>465</v>
      </c>
      <c r="G268" s="57" t="s">
        <v>465</v>
      </c>
    </row>
    <row r="269" spans="1:10" ht="25.5" x14ac:dyDescent="0.2">
      <c r="A269" s="1" t="s">
        <v>8</v>
      </c>
      <c r="B269" s="2" t="s">
        <v>116</v>
      </c>
      <c r="C269" s="1"/>
      <c r="D269" s="5" t="s">
        <v>507</v>
      </c>
      <c r="E269" s="3">
        <v>106458</v>
      </c>
      <c r="F269" s="3" t="s">
        <v>465</v>
      </c>
      <c r="G269" s="57" t="s">
        <v>465</v>
      </c>
      <c r="J269" s="5" t="s">
        <v>4278</v>
      </c>
    </row>
    <row r="270" spans="1:10" x14ac:dyDescent="0.2">
      <c r="A270" s="1" t="s">
        <v>11</v>
      </c>
      <c r="B270" s="2" t="s">
        <v>118</v>
      </c>
      <c r="C270" s="1"/>
      <c r="D270" s="5" t="s">
        <v>464</v>
      </c>
      <c r="E270" s="3">
        <v>95000</v>
      </c>
      <c r="F270" s="3" t="s">
        <v>465</v>
      </c>
      <c r="G270" s="57" t="s">
        <v>465</v>
      </c>
    </row>
    <row r="271" spans="1:10" x14ac:dyDescent="0.2">
      <c r="A271" s="1" t="s">
        <v>34</v>
      </c>
      <c r="B271" s="2" t="s">
        <v>119</v>
      </c>
      <c r="C271" s="1"/>
      <c r="D271" s="5" t="s">
        <v>464</v>
      </c>
      <c r="E271" s="3">
        <v>92500</v>
      </c>
      <c r="F271" s="3" t="s">
        <v>465</v>
      </c>
      <c r="G271" s="57" t="s">
        <v>465</v>
      </c>
    </row>
    <row r="272" spans="1:10" x14ac:dyDescent="0.2">
      <c r="A272" s="1" t="s">
        <v>34</v>
      </c>
      <c r="B272" s="2" t="s">
        <v>119</v>
      </c>
      <c r="C272" s="1"/>
      <c r="D272" s="5" t="s">
        <v>464</v>
      </c>
      <c r="E272" s="3">
        <v>97500</v>
      </c>
      <c r="F272" s="3" t="s">
        <v>465</v>
      </c>
      <c r="G272" s="57" t="s">
        <v>465</v>
      </c>
    </row>
    <row r="273" spans="1:12" x14ac:dyDescent="0.2">
      <c r="A273" s="1" t="s">
        <v>34</v>
      </c>
      <c r="B273" s="2" t="s">
        <v>119</v>
      </c>
      <c r="C273" s="1"/>
      <c r="D273" s="5" t="s">
        <v>464</v>
      </c>
      <c r="E273" s="3">
        <v>97500</v>
      </c>
      <c r="F273" s="3" t="s">
        <v>465</v>
      </c>
      <c r="G273" s="57" t="s">
        <v>465</v>
      </c>
    </row>
    <row r="274" spans="1:12" x14ac:dyDescent="0.2">
      <c r="A274" s="1" t="s">
        <v>34</v>
      </c>
      <c r="B274" s="2" t="s">
        <v>119</v>
      </c>
      <c r="C274" s="1"/>
      <c r="D274" s="5" t="s">
        <v>464</v>
      </c>
      <c r="E274" s="3">
        <v>102500</v>
      </c>
      <c r="F274" s="3" t="s">
        <v>465</v>
      </c>
      <c r="G274" s="57" t="s">
        <v>465</v>
      </c>
    </row>
    <row r="275" spans="1:12" x14ac:dyDescent="0.2">
      <c r="A275" s="1" t="s">
        <v>34</v>
      </c>
      <c r="B275" s="2" t="s">
        <v>119</v>
      </c>
      <c r="C275" s="1"/>
      <c r="D275" s="5" t="s">
        <v>464</v>
      </c>
      <c r="E275" s="3">
        <v>107500</v>
      </c>
      <c r="F275" s="3" t="s">
        <v>465</v>
      </c>
      <c r="G275" s="57" t="s">
        <v>465</v>
      </c>
    </row>
    <row r="276" spans="1:12" x14ac:dyDescent="0.2">
      <c r="A276" s="1" t="s">
        <v>34</v>
      </c>
      <c r="B276" s="2" t="s">
        <v>119</v>
      </c>
      <c r="C276" s="1"/>
      <c r="D276" s="5" t="s">
        <v>464</v>
      </c>
      <c r="E276" s="3">
        <v>107500</v>
      </c>
      <c r="F276" s="3" t="s">
        <v>465</v>
      </c>
      <c r="G276" s="57" t="s">
        <v>465</v>
      </c>
    </row>
    <row r="277" spans="1:12" x14ac:dyDescent="0.2">
      <c r="A277" s="1" t="s">
        <v>34</v>
      </c>
      <c r="B277" s="2" t="s">
        <v>119</v>
      </c>
      <c r="C277" s="1"/>
      <c r="D277" s="5" t="s">
        <v>464</v>
      </c>
      <c r="E277" s="3">
        <v>112500</v>
      </c>
      <c r="F277" s="3" t="s">
        <v>465</v>
      </c>
      <c r="G277" s="57" t="s">
        <v>465</v>
      </c>
    </row>
    <row r="278" spans="1:12" s="13" customFormat="1" x14ac:dyDescent="0.2">
      <c r="A278" s="1" t="s">
        <v>34</v>
      </c>
      <c r="B278" s="2" t="s">
        <v>119</v>
      </c>
      <c r="C278" s="1"/>
      <c r="D278" s="5" t="s">
        <v>464</v>
      </c>
      <c r="E278" s="3">
        <v>132500</v>
      </c>
      <c r="F278" s="3" t="s">
        <v>465</v>
      </c>
      <c r="G278" s="57" t="s">
        <v>465</v>
      </c>
      <c r="H278" s="19"/>
      <c r="I278" s="19"/>
      <c r="J278" s="5"/>
      <c r="K278" s="1"/>
      <c r="L278" s="1"/>
    </row>
    <row r="279" spans="1:12" s="13" customFormat="1" x14ac:dyDescent="0.2">
      <c r="A279" s="1" t="s">
        <v>28</v>
      </c>
      <c r="B279" s="2" t="s">
        <v>120</v>
      </c>
      <c r="C279" s="1"/>
      <c r="D279" s="5" t="s">
        <v>464</v>
      </c>
      <c r="E279" s="3">
        <v>102500</v>
      </c>
      <c r="F279" s="3" t="s">
        <v>465</v>
      </c>
      <c r="G279" s="57" t="s">
        <v>465</v>
      </c>
      <c r="H279" s="19"/>
      <c r="I279" s="19"/>
      <c r="J279" s="5"/>
      <c r="K279" s="1"/>
      <c r="L279" s="1"/>
    </row>
    <row r="280" spans="1:12" s="13" customFormat="1" x14ac:dyDescent="0.2">
      <c r="A280" s="1" t="s">
        <v>28</v>
      </c>
      <c r="B280" s="2" t="s">
        <v>120</v>
      </c>
      <c r="C280" s="1"/>
      <c r="D280" s="5" t="s">
        <v>464</v>
      </c>
      <c r="E280" s="3">
        <v>132500</v>
      </c>
      <c r="F280" s="3" t="s">
        <v>465</v>
      </c>
      <c r="G280" s="57" t="s">
        <v>465</v>
      </c>
      <c r="H280" s="19"/>
      <c r="I280" s="19"/>
      <c r="J280" s="5"/>
      <c r="K280" s="1"/>
      <c r="L280" s="1"/>
    </row>
    <row r="281" spans="1:12" s="13" customFormat="1" x14ac:dyDescent="0.2">
      <c r="A281" s="1" t="s">
        <v>28</v>
      </c>
      <c r="B281" s="2" t="s">
        <v>120</v>
      </c>
      <c r="C281" s="1"/>
      <c r="D281" s="5" t="s">
        <v>464</v>
      </c>
      <c r="E281" s="3">
        <v>142500</v>
      </c>
      <c r="F281" s="3" t="s">
        <v>465</v>
      </c>
      <c r="G281" s="57" t="s">
        <v>465</v>
      </c>
      <c r="H281" s="19"/>
      <c r="I281" s="19"/>
      <c r="J281" s="5"/>
      <c r="K281" s="1"/>
      <c r="L281" s="1"/>
    </row>
    <row r="282" spans="1:12" s="13" customFormat="1" x14ac:dyDescent="0.2">
      <c r="A282" s="1" t="s">
        <v>28</v>
      </c>
      <c r="B282" s="2" t="s">
        <v>120</v>
      </c>
      <c r="C282" s="1"/>
      <c r="D282" s="5" t="s">
        <v>464</v>
      </c>
      <c r="E282" s="3">
        <v>182500</v>
      </c>
      <c r="F282" s="3" t="s">
        <v>465</v>
      </c>
      <c r="G282" s="57" t="s">
        <v>465</v>
      </c>
      <c r="H282" s="19"/>
      <c r="I282" s="19"/>
      <c r="J282" s="5"/>
      <c r="K282" s="1"/>
      <c r="L282" s="1"/>
    </row>
    <row r="283" spans="1:12" s="13" customFormat="1" x14ac:dyDescent="0.2">
      <c r="A283" s="1" t="s">
        <v>34</v>
      </c>
      <c r="B283" s="2" t="s">
        <v>121</v>
      </c>
      <c r="C283" s="1" t="s">
        <v>3925</v>
      </c>
      <c r="D283" s="5" t="s">
        <v>2139</v>
      </c>
      <c r="E283" s="3">
        <v>112000</v>
      </c>
      <c r="F283" s="3" t="s">
        <v>465</v>
      </c>
      <c r="G283" s="57" t="s">
        <v>465</v>
      </c>
      <c r="H283" s="19"/>
      <c r="I283" s="19"/>
      <c r="J283" s="5" t="s">
        <v>4286</v>
      </c>
      <c r="K283" s="1"/>
      <c r="L283" s="1"/>
    </row>
    <row r="284" spans="1:12" s="13" customFormat="1" x14ac:dyDescent="0.2">
      <c r="A284" s="1" t="s">
        <v>34</v>
      </c>
      <c r="B284" s="2" t="s">
        <v>121</v>
      </c>
      <c r="C284" s="1"/>
      <c r="D284" s="5" t="s">
        <v>464</v>
      </c>
      <c r="E284" s="3">
        <v>100000</v>
      </c>
      <c r="F284" s="3" t="s">
        <v>465</v>
      </c>
      <c r="G284" s="57" t="s">
        <v>465</v>
      </c>
      <c r="H284" s="19"/>
      <c r="I284" s="19"/>
      <c r="J284" s="5"/>
      <c r="K284" s="1"/>
      <c r="L284" s="1"/>
    </row>
    <row r="285" spans="1:12" s="13" customFormat="1" x14ac:dyDescent="0.2">
      <c r="A285" s="1" t="s">
        <v>4</v>
      </c>
      <c r="B285" s="2" t="s">
        <v>122</v>
      </c>
      <c r="C285" s="1"/>
      <c r="D285" s="5" t="s">
        <v>464</v>
      </c>
      <c r="E285" s="3">
        <v>107500</v>
      </c>
      <c r="F285" s="3" t="s">
        <v>465</v>
      </c>
      <c r="G285" s="57" t="s">
        <v>465</v>
      </c>
      <c r="H285" s="19"/>
      <c r="I285" s="19"/>
      <c r="J285" s="5" t="s">
        <v>1241</v>
      </c>
      <c r="K285" s="1"/>
      <c r="L285" s="1"/>
    </row>
    <row r="286" spans="1:12" s="13" customFormat="1" x14ac:dyDescent="0.2">
      <c r="A286" s="1" t="s">
        <v>39</v>
      </c>
      <c r="B286" s="2" t="s">
        <v>124</v>
      </c>
      <c r="C286" s="1"/>
      <c r="D286" s="5" t="s">
        <v>464</v>
      </c>
      <c r="E286" s="3">
        <v>102500</v>
      </c>
      <c r="F286" s="3" t="s">
        <v>465</v>
      </c>
      <c r="G286" s="57" t="s">
        <v>465</v>
      </c>
      <c r="H286" s="19"/>
      <c r="I286" s="19"/>
      <c r="J286" s="5"/>
      <c r="K286" s="1"/>
      <c r="L286" s="1"/>
    </row>
    <row r="287" spans="1:12" x14ac:dyDescent="0.2">
      <c r="A287" s="1" t="s">
        <v>39</v>
      </c>
      <c r="B287" s="2" t="s">
        <v>124</v>
      </c>
      <c r="C287" s="1"/>
      <c r="D287" s="5" t="s">
        <v>464</v>
      </c>
      <c r="E287" s="3">
        <v>107500</v>
      </c>
      <c r="F287" s="3" t="s">
        <v>465</v>
      </c>
      <c r="G287" s="57" t="s">
        <v>465</v>
      </c>
    </row>
    <row r="288" spans="1:12" x14ac:dyDescent="0.2">
      <c r="A288" s="1" t="s">
        <v>39</v>
      </c>
      <c r="B288" s="2" t="s">
        <v>124</v>
      </c>
      <c r="C288" s="1"/>
      <c r="D288" s="5" t="s">
        <v>464</v>
      </c>
      <c r="E288" s="3">
        <v>147500</v>
      </c>
      <c r="F288" s="3" t="s">
        <v>465</v>
      </c>
      <c r="G288" s="57" t="s">
        <v>465</v>
      </c>
    </row>
    <row r="289" spans="1:12" s="13" customFormat="1" x14ac:dyDescent="0.2">
      <c r="A289" s="1" t="s">
        <v>1</v>
      </c>
      <c r="B289" s="2" t="s">
        <v>125</v>
      </c>
      <c r="C289" s="1"/>
      <c r="D289" s="5" t="s">
        <v>464</v>
      </c>
      <c r="E289" s="3">
        <v>112500</v>
      </c>
      <c r="F289" s="3" t="s">
        <v>465</v>
      </c>
      <c r="G289" s="57" t="s">
        <v>465</v>
      </c>
      <c r="H289" s="19" t="s">
        <v>465</v>
      </c>
      <c r="I289" s="19">
        <v>97500</v>
      </c>
      <c r="J289" s="5"/>
      <c r="K289" s="1"/>
      <c r="L289" s="1"/>
    </row>
    <row r="290" spans="1:12" s="13" customFormat="1" x14ac:dyDescent="0.2">
      <c r="A290" s="1" t="s">
        <v>111</v>
      </c>
      <c r="B290" s="2" t="s">
        <v>128</v>
      </c>
      <c r="C290" s="1"/>
      <c r="D290" s="5" t="s">
        <v>464</v>
      </c>
      <c r="E290" s="3">
        <v>102500</v>
      </c>
      <c r="F290" s="3" t="s">
        <v>465</v>
      </c>
      <c r="G290" s="57" t="s">
        <v>465</v>
      </c>
      <c r="H290" s="19"/>
      <c r="I290" s="19"/>
      <c r="J290" s="1"/>
      <c r="K290" s="1"/>
      <c r="L290" s="1"/>
    </row>
    <row r="291" spans="1:12" x14ac:dyDescent="0.2">
      <c r="A291" s="1" t="s">
        <v>111</v>
      </c>
      <c r="B291" s="2" t="s">
        <v>128</v>
      </c>
      <c r="C291" s="1"/>
      <c r="D291" s="5" t="s">
        <v>464</v>
      </c>
      <c r="E291" s="3">
        <v>102500</v>
      </c>
      <c r="F291" s="3" t="s">
        <v>465</v>
      </c>
      <c r="G291" s="57" t="s">
        <v>465</v>
      </c>
      <c r="J291" s="1"/>
    </row>
    <row r="292" spans="1:12" x14ac:dyDescent="0.2">
      <c r="A292" s="1" t="s">
        <v>111</v>
      </c>
      <c r="B292" s="2" t="s">
        <v>128</v>
      </c>
      <c r="C292" s="1"/>
      <c r="D292" s="5" t="s">
        <v>464</v>
      </c>
      <c r="E292" s="3">
        <v>102500</v>
      </c>
      <c r="F292" s="3" t="s">
        <v>465</v>
      </c>
      <c r="G292" s="57" t="s">
        <v>465</v>
      </c>
      <c r="J292" s="1"/>
    </row>
    <row r="293" spans="1:12" x14ac:dyDescent="0.2">
      <c r="A293" s="1" t="s">
        <v>111</v>
      </c>
      <c r="B293" s="2" t="s">
        <v>128</v>
      </c>
      <c r="C293" s="1"/>
      <c r="D293" s="5" t="s">
        <v>464</v>
      </c>
      <c r="E293" s="3">
        <v>102500</v>
      </c>
      <c r="F293" s="3" t="s">
        <v>465</v>
      </c>
      <c r="G293" s="57" t="s">
        <v>465</v>
      </c>
      <c r="J293" s="1"/>
    </row>
    <row r="294" spans="1:12" x14ac:dyDescent="0.2">
      <c r="A294" s="1" t="s">
        <v>111</v>
      </c>
      <c r="B294" s="2" t="s">
        <v>128</v>
      </c>
      <c r="C294" s="1"/>
      <c r="D294" s="5" t="s">
        <v>464</v>
      </c>
      <c r="E294" s="3">
        <v>102500</v>
      </c>
      <c r="F294" s="3" t="s">
        <v>465</v>
      </c>
      <c r="G294" s="57" t="s">
        <v>465</v>
      </c>
      <c r="J294" s="1"/>
    </row>
    <row r="295" spans="1:12" x14ac:dyDescent="0.2">
      <c r="A295" s="1" t="s">
        <v>111</v>
      </c>
      <c r="B295" s="2" t="s">
        <v>128</v>
      </c>
      <c r="C295" s="1"/>
      <c r="D295" s="5" t="s">
        <v>464</v>
      </c>
      <c r="E295" s="3">
        <v>112500</v>
      </c>
      <c r="F295" s="3" t="s">
        <v>465</v>
      </c>
      <c r="G295" s="57" t="s">
        <v>465</v>
      </c>
      <c r="J295" s="1"/>
    </row>
    <row r="296" spans="1:12" x14ac:dyDescent="0.2">
      <c r="A296" s="1" t="s">
        <v>111</v>
      </c>
      <c r="B296" s="2" t="s">
        <v>128</v>
      </c>
      <c r="C296" s="1"/>
      <c r="D296" s="5" t="s">
        <v>464</v>
      </c>
      <c r="E296" s="3">
        <v>112500</v>
      </c>
      <c r="F296" s="3" t="s">
        <v>465</v>
      </c>
      <c r="G296" s="57" t="s">
        <v>465</v>
      </c>
      <c r="J296" s="1"/>
    </row>
    <row r="297" spans="1:12" x14ac:dyDescent="0.2">
      <c r="A297" s="1" t="s">
        <v>111</v>
      </c>
      <c r="B297" s="2" t="s">
        <v>128</v>
      </c>
      <c r="C297" s="1"/>
      <c r="D297" s="5" t="s">
        <v>464</v>
      </c>
      <c r="E297" s="3">
        <v>112500</v>
      </c>
      <c r="F297" s="3" t="s">
        <v>465</v>
      </c>
      <c r="G297" s="57" t="s">
        <v>465</v>
      </c>
      <c r="J297" s="1"/>
    </row>
    <row r="298" spans="1:12" x14ac:dyDescent="0.2">
      <c r="A298" s="1" t="s">
        <v>111</v>
      </c>
      <c r="B298" s="2" t="s">
        <v>128</v>
      </c>
      <c r="C298" s="1"/>
      <c r="D298" s="5" t="s">
        <v>464</v>
      </c>
      <c r="E298" s="3">
        <v>112500</v>
      </c>
      <c r="F298" s="3" t="s">
        <v>465</v>
      </c>
      <c r="G298" s="57" t="s">
        <v>465</v>
      </c>
      <c r="J298" s="1"/>
    </row>
    <row r="299" spans="1:12" x14ac:dyDescent="0.2">
      <c r="A299" s="1" t="s">
        <v>111</v>
      </c>
      <c r="B299" s="2" t="s">
        <v>128</v>
      </c>
      <c r="C299" s="1"/>
      <c r="D299" s="5" t="s">
        <v>464</v>
      </c>
      <c r="E299" s="3">
        <v>112500</v>
      </c>
      <c r="F299" s="3" t="s">
        <v>465</v>
      </c>
      <c r="G299" s="57" t="s">
        <v>465</v>
      </c>
      <c r="J299" s="1"/>
    </row>
    <row r="300" spans="1:12" x14ac:dyDescent="0.2">
      <c r="A300" s="1" t="s">
        <v>111</v>
      </c>
      <c r="B300" s="2" t="s">
        <v>128</v>
      </c>
      <c r="C300" s="1"/>
      <c r="D300" s="5" t="s">
        <v>464</v>
      </c>
      <c r="E300" s="3">
        <v>112500</v>
      </c>
      <c r="F300" s="3" t="s">
        <v>465</v>
      </c>
      <c r="G300" s="57" t="s">
        <v>465</v>
      </c>
      <c r="J300" s="1"/>
    </row>
    <row r="301" spans="1:12" x14ac:dyDescent="0.2">
      <c r="A301" s="1" t="s">
        <v>111</v>
      </c>
      <c r="B301" s="2" t="s">
        <v>128</v>
      </c>
      <c r="C301" s="1"/>
      <c r="D301" s="5" t="s">
        <v>464</v>
      </c>
      <c r="E301" s="3">
        <v>122500</v>
      </c>
      <c r="F301" s="3" t="s">
        <v>465</v>
      </c>
      <c r="G301" s="57" t="s">
        <v>465</v>
      </c>
      <c r="J301" s="1"/>
    </row>
    <row r="302" spans="1:12" x14ac:dyDescent="0.2">
      <c r="A302" s="1" t="s">
        <v>111</v>
      </c>
      <c r="B302" s="2" t="s">
        <v>128</v>
      </c>
      <c r="C302" s="1"/>
      <c r="D302" s="5" t="s">
        <v>464</v>
      </c>
      <c r="E302" s="3">
        <v>122500</v>
      </c>
      <c r="F302" s="3" t="s">
        <v>465</v>
      </c>
      <c r="G302" s="57" t="s">
        <v>465</v>
      </c>
      <c r="J302" s="1"/>
    </row>
    <row r="303" spans="1:12" x14ac:dyDescent="0.2">
      <c r="A303" s="1" t="s">
        <v>111</v>
      </c>
      <c r="B303" s="2" t="s">
        <v>128</v>
      </c>
      <c r="C303" s="1"/>
      <c r="D303" s="5" t="s">
        <v>464</v>
      </c>
      <c r="E303" s="3">
        <v>122500</v>
      </c>
      <c r="F303" s="3" t="s">
        <v>465</v>
      </c>
      <c r="G303" s="57" t="s">
        <v>465</v>
      </c>
      <c r="J303" s="1"/>
    </row>
    <row r="304" spans="1:12" x14ac:dyDescent="0.2">
      <c r="A304" s="1" t="s">
        <v>111</v>
      </c>
      <c r="B304" s="2" t="s">
        <v>128</v>
      </c>
      <c r="C304" s="1"/>
      <c r="D304" s="5" t="s">
        <v>464</v>
      </c>
      <c r="E304" s="3">
        <v>127500</v>
      </c>
      <c r="F304" s="3" t="s">
        <v>465</v>
      </c>
      <c r="G304" s="57" t="s">
        <v>465</v>
      </c>
      <c r="J304" s="1"/>
    </row>
    <row r="305" spans="1:10" x14ac:dyDescent="0.2">
      <c r="A305" s="1" t="s">
        <v>111</v>
      </c>
      <c r="B305" s="2" t="s">
        <v>128</v>
      </c>
      <c r="C305" s="1"/>
      <c r="D305" s="5" t="s">
        <v>464</v>
      </c>
      <c r="E305" s="3">
        <v>147500</v>
      </c>
      <c r="F305" s="3" t="s">
        <v>465</v>
      </c>
      <c r="G305" s="57" t="s">
        <v>465</v>
      </c>
      <c r="J305" s="1"/>
    </row>
    <row r="306" spans="1:10" x14ac:dyDescent="0.2">
      <c r="A306" s="1" t="s">
        <v>111</v>
      </c>
      <c r="B306" s="2" t="s">
        <v>128</v>
      </c>
      <c r="C306" s="1"/>
      <c r="D306" s="5" t="s">
        <v>464</v>
      </c>
      <c r="E306" s="3">
        <v>202500</v>
      </c>
      <c r="F306" s="3" t="s">
        <v>465</v>
      </c>
      <c r="G306" s="57" t="s">
        <v>465</v>
      </c>
      <c r="J306" s="1"/>
    </row>
    <row r="307" spans="1:10" x14ac:dyDescent="0.2">
      <c r="A307" s="1" t="s">
        <v>25</v>
      </c>
      <c r="B307" s="2" t="s">
        <v>129</v>
      </c>
      <c r="C307" s="1"/>
      <c r="D307" s="5" t="s">
        <v>464</v>
      </c>
      <c r="E307" s="3">
        <v>102500</v>
      </c>
      <c r="F307" s="3" t="s">
        <v>465</v>
      </c>
      <c r="G307" s="57" t="s">
        <v>465</v>
      </c>
      <c r="J307" s="1"/>
    </row>
    <row r="308" spans="1:10" x14ac:dyDescent="0.2">
      <c r="A308" s="1" t="s">
        <v>25</v>
      </c>
      <c r="B308" s="2" t="s">
        <v>129</v>
      </c>
      <c r="C308" s="1"/>
      <c r="D308" s="5" t="s">
        <v>464</v>
      </c>
      <c r="E308" s="3">
        <v>102500</v>
      </c>
      <c r="F308" s="3" t="s">
        <v>465</v>
      </c>
      <c r="G308" s="57" t="s">
        <v>465</v>
      </c>
      <c r="J308" s="1"/>
    </row>
    <row r="309" spans="1:10" x14ac:dyDescent="0.2">
      <c r="A309" s="1" t="s">
        <v>25</v>
      </c>
      <c r="B309" s="2" t="s">
        <v>129</v>
      </c>
      <c r="C309" s="1"/>
      <c r="D309" s="5" t="s">
        <v>464</v>
      </c>
      <c r="E309" s="3">
        <v>102500</v>
      </c>
      <c r="F309" s="3" t="s">
        <v>465</v>
      </c>
      <c r="G309" s="57" t="s">
        <v>465</v>
      </c>
      <c r="J309" s="1"/>
    </row>
    <row r="310" spans="1:10" x14ac:dyDescent="0.2">
      <c r="A310" s="1" t="s">
        <v>25</v>
      </c>
      <c r="B310" s="2" t="s">
        <v>129</v>
      </c>
      <c r="C310" s="1"/>
      <c r="D310" s="5" t="s">
        <v>464</v>
      </c>
      <c r="E310" s="3">
        <v>107500</v>
      </c>
      <c r="F310" s="3" t="s">
        <v>465</v>
      </c>
      <c r="G310" s="57" t="s">
        <v>465</v>
      </c>
      <c r="J310" s="1"/>
    </row>
    <row r="311" spans="1:10" x14ac:dyDescent="0.2">
      <c r="A311" s="1" t="s">
        <v>25</v>
      </c>
      <c r="B311" s="2" t="s">
        <v>129</v>
      </c>
      <c r="C311" s="1"/>
      <c r="D311" s="5" t="s">
        <v>464</v>
      </c>
      <c r="E311" s="3">
        <v>112500</v>
      </c>
      <c r="F311" s="3" t="s">
        <v>465</v>
      </c>
      <c r="G311" s="57" t="s">
        <v>465</v>
      </c>
      <c r="J311" s="1"/>
    </row>
    <row r="312" spans="1:10" x14ac:dyDescent="0.2">
      <c r="A312" s="1" t="s">
        <v>25</v>
      </c>
      <c r="B312" s="2" t="s">
        <v>129</v>
      </c>
      <c r="C312" s="1"/>
      <c r="D312" s="5" t="s">
        <v>464</v>
      </c>
      <c r="E312" s="3">
        <v>112500</v>
      </c>
      <c r="F312" s="3" t="s">
        <v>465</v>
      </c>
      <c r="G312" s="57" t="s">
        <v>465</v>
      </c>
      <c r="J312" s="1"/>
    </row>
    <row r="313" spans="1:10" x14ac:dyDescent="0.2">
      <c r="A313" s="1" t="s">
        <v>25</v>
      </c>
      <c r="B313" s="2" t="s">
        <v>129</v>
      </c>
      <c r="C313" s="1"/>
      <c r="D313" s="5" t="s">
        <v>464</v>
      </c>
      <c r="E313" s="3">
        <v>112500</v>
      </c>
      <c r="F313" s="3" t="s">
        <v>465</v>
      </c>
      <c r="G313" s="57" t="s">
        <v>465</v>
      </c>
      <c r="J313" s="1"/>
    </row>
    <row r="314" spans="1:10" x14ac:dyDescent="0.2">
      <c r="A314" s="1" t="s">
        <v>25</v>
      </c>
      <c r="B314" s="2" t="s">
        <v>129</v>
      </c>
      <c r="C314" s="1"/>
      <c r="D314" s="5" t="s">
        <v>464</v>
      </c>
      <c r="E314" s="3">
        <v>117500</v>
      </c>
      <c r="F314" s="3" t="s">
        <v>465</v>
      </c>
      <c r="G314" s="57" t="s">
        <v>465</v>
      </c>
      <c r="J314" s="1"/>
    </row>
    <row r="315" spans="1:10" x14ac:dyDescent="0.2">
      <c r="A315" s="1" t="s">
        <v>25</v>
      </c>
      <c r="B315" s="2" t="s">
        <v>129</v>
      </c>
      <c r="C315" s="1"/>
      <c r="D315" s="5" t="s">
        <v>464</v>
      </c>
      <c r="E315" s="3">
        <v>117500</v>
      </c>
      <c r="F315" s="3" t="s">
        <v>465</v>
      </c>
      <c r="G315" s="57" t="s">
        <v>465</v>
      </c>
      <c r="J315" s="1"/>
    </row>
    <row r="316" spans="1:10" x14ac:dyDescent="0.2">
      <c r="A316" s="1" t="s">
        <v>25</v>
      </c>
      <c r="B316" s="2" t="s">
        <v>129</v>
      </c>
      <c r="C316" s="1"/>
      <c r="D316" s="5" t="s">
        <v>464</v>
      </c>
      <c r="E316" s="3">
        <v>127500</v>
      </c>
      <c r="F316" s="3" t="s">
        <v>465</v>
      </c>
      <c r="G316" s="57" t="s">
        <v>465</v>
      </c>
      <c r="J316" s="1"/>
    </row>
    <row r="317" spans="1:10" x14ac:dyDescent="0.2">
      <c r="A317" s="1" t="s">
        <v>25</v>
      </c>
      <c r="B317" s="2" t="s">
        <v>129</v>
      </c>
      <c r="C317" s="1"/>
      <c r="D317" s="5" t="s">
        <v>464</v>
      </c>
      <c r="E317" s="3">
        <v>127500</v>
      </c>
      <c r="F317" s="3" t="s">
        <v>465</v>
      </c>
      <c r="G317" s="57" t="s">
        <v>465</v>
      </c>
      <c r="J317" s="1"/>
    </row>
    <row r="318" spans="1:10" x14ac:dyDescent="0.2">
      <c r="A318" s="1" t="s">
        <v>25</v>
      </c>
      <c r="B318" s="2" t="s">
        <v>129</v>
      </c>
      <c r="C318" s="1"/>
      <c r="D318" s="5" t="s">
        <v>464</v>
      </c>
      <c r="E318" s="3">
        <v>137500</v>
      </c>
      <c r="F318" s="3" t="s">
        <v>465</v>
      </c>
      <c r="G318" s="57" t="s">
        <v>465</v>
      </c>
      <c r="J318" s="1"/>
    </row>
    <row r="319" spans="1:10" x14ac:dyDescent="0.2">
      <c r="A319" s="1" t="s">
        <v>25</v>
      </c>
      <c r="B319" s="2" t="s">
        <v>129</v>
      </c>
      <c r="C319" s="1"/>
      <c r="D319" s="5" t="s">
        <v>464</v>
      </c>
      <c r="E319" s="3">
        <v>142500</v>
      </c>
      <c r="F319" s="3" t="s">
        <v>465</v>
      </c>
      <c r="G319" s="57" t="s">
        <v>465</v>
      </c>
      <c r="J319" s="1"/>
    </row>
    <row r="320" spans="1:10" x14ac:dyDescent="0.2">
      <c r="A320" s="1" t="s">
        <v>25</v>
      </c>
      <c r="B320" s="2" t="s">
        <v>129</v>
      </c>
      <c r="C320" s="1"/>
      <c r="D320" s="5" t="s">
        <v>464</v>
      </c>
      <c r="E320" s="3">
        <v>152500</v>
      </c>
      <c r="F320" s="3" t="s">
        <v>465</v>
      </c>
      <c r="G320" s="57" t="s">
        <v>465</v>
      </c>
      <c r="J320" s="1"/>
    </row>
    <row r="321" spans="1:10" x14ac:dyDescent="0.2">
      <c r="A321" s="1" t="s">
        <v>1</v>
      </c>
      <c r="B321" s="2" t="s">
        <v>130</v>
      </c>
      <c r="C321" s="1"/>
      <c r="D321" s="5" t="s">
        <v>464</v>
      </c>
      <c r="E321" s="3">
        <v>117500</v>
      </c>
      <c r="F321" s="3" t="s">
        <v>465</v>
      </c>
      <c r="G321" s="57" t="s">
        <v>465</v>
      </c>
    </row>
    <row r="322" spans="1:10" x14ac:dyDescent="0.2">
      <c r="A322" s="1" t="s">
        <v>1</v>
      </c>
      <c r="B322" s="2" t="s">
        <v>135</v>
      </c>
      <c r="C322" s="1"/>
      <c r="D322" s="5" t="s">
        <v>464</v>
      </c>
      <c r="E322" s="3">
        <v>107500</v>
      </c>
      <c r="F322" s="3" t="s">
        <v>465</v>
      </c>
      <c r="G322" s="57" t="s">
        <v>465</v>
      </c>
    </row>
    <row r="323" spans="1:10" x14ac:dyDescent="0.2">
      <c r="A323" s="1" t="s">
        <v>1</v>
      </c>
      <c r="B323" s="2" t="s">
        <v>135</v>
      </c>
      <c r="C323" s="1"/>
      <c r="D323" s="5" t="s">
        <v>464</v>
      </c>
      <c r="E323" s="3">
        <v>107500</v>
      </c>
      <c r="F323" s="3" t="s">
        <v>465</v>
      </c>
      <c r="G323" s="57" t="s">
        <v>465</v>
      </c>
    </row>
    <row r="324" spans="1:10" x14ac:dyDescent="0.2">
      <c r="A324" s="1" t="s">
        <v>1</v>
      </c>
      <c r="B324" s="2" t="s">
        <v>135</v>
      </c>
      <c r="C324" s="1"/>
      <c r="D324" s="5" t="s">
        <v>464</v>
      </c>
      <c r="E324" s="3">
        <v>112500</v>
      </c>
      <c r="F324" s="3" t="s">
        <v>465</v>
      </c>
      <c r="G324" s="57" t="s">
        <v>465</v>
      </c>
    </row>
    <row r="325" spans="1:10" x14ac:dyDescent="0.2">
      <c r="A325" s="1" t="s">
        <v>1</v>
      </c>
      <c r="B325" s="2" t="s">
        <v>135</v>
      </c>
      <c r="C325" s="1"/>
      <c r="D325" s="5" t="s">
        <v>464</v>
      </c>
      <c r="E325" s="3">
        <v>147500</v>
      </c>
      <c r="F325" s="3" t="s">
        <v>465</v>
      </c>
      <c r="G325" s="57" t="s">
        <v>465</v>
      </c>
    </row>
    <row r="326" spans="1:10" x14ac:dyDescent="0.2">
      <c r="A326" s="1" t="s">
        <v>1</v>
      </c>
      <c r="B326" s="2" t="s">
        <v>141</v>
      </c>
      <c r="C326" s="1"/>
      <c r="E326" s="3">
        <v>112500</v>
      </c>
      <c r="F326" s="3" t="s">
        <v>465</v>
      </c>
      <c r="G326" s="57" t="s">
        <v>465</v>
      </c>
    </row>
    <row r="327" spans="1:10" x14ac:dyDescent="0.2">
      <c r="A327" s="1" t="s">
        <v>1</v>
      </c>
      <c r="B327" s="2" t="s">
        <v>141</v>
      </c>
      <c r="C327" s="1"/>
      <c r="E327" s="3">
        <v>112500</v>
      </c>
      <c r="F327" s="3" t="s">
        <v>465</v>
      </c>
      <c r="G327" s="57" t="s">
        <v>465</v>
      </c>
    </row>
    <row r="328" spans="1:10" x14ac:dyDescent="0.2">
      <c r="A328" s="1" t="s">
        <v>1</v>
      </c>
      <c r="B328" s="2" t="s">
        <v>141</v>
      </c>
      <c r="C328" s="1"/>
      <c r="E328" s="3">
        <v>112500</v>
      </c>
      <c r="F328" s="3" t="s">
        <v>465</v>
      </c>
      <c r="G328" s="57" t="s">
        <v>465</v>
      </c>
    </row>
    <row r="329" spans="1:10" x14ac:dyDescent="0.2">
      <c r="A329" s="1" t="s">
        <v>28</v>
      </c>
      <c r="B329" s="2" t="s">
        <v>142</v>
      </c>
      <c r="C329" s="1"/>
      <c r="D329" s="5" t="s">
        <v>464</v>
      </c>
      <c r="E329" s="3">
        <v>102500</v>
      </c>
      <c r="F329" s="3" t="s">
        <v>465</v>
      </c>
      <c r="G329" s="57" t="s">
        <v>465</v>
      </c>
    </row>
    <row r="330" spans="1:10" x14ac:dyDescent="0.2">
      <c r="A330" s="1" t="s">
        <v>28</v>
      </c>
      <c r="B330" s="2" t="s">
        <v>142</v>
      </c>
      <c r="C330" s="1"/>
      <c r="D330" s="5" t="s">
        <v>464</v>
      </c>
      <c r="E330" s="3">
        <v>107500</v>
      </c>
      <c r="F330" s="3" t="s">
        <v>465</v>
      </c>
      <c r="G330" s="57" t="s">
        <v>465</v>
      </c>
    </row>
    <row r="331" spans="1:10" ht="89.25" x14ac:dyDescent="0.2">
      <c r="A331" s="1" t="s">
        <v>39</v>
      </c>
      <c r="B331" s="2" t="s">
        <v>143</v>
      </c>
      <c r="C331" s="1"/>
      <c r="D331" s="5" t="s">
        <v>3984</v>
      </c>
      <c r="E331" s="3">
        <v>113229</v>
      </c>
      <c r="F331" s="3" t="s">
        <v>465</v>
      </c>
      <c r="G331" s="57" t="s">
        <v>465</v>
      </c>
      <c r="J331" s="5" t="s">
        <v>4308</v>
      </c>
    </row>
    <row r="332" spans="1:10" ht="38.25" x14ac:dyDescent="0.2">
      <c r="A332" s="1" t="s">
        <v>4</v>
      </c>
      <c r="B332" s="2" t="s">
        <v>144</v>
      </c>
      <c r="C332" s="1"/>
      <c r="D332" s="5" t="s">
        <v>3987</v>
      </c>
      <c r="E332" s="3">
        <v>369946</v>
      </c>
      <c r="F332" s="3" t="s">
        <v>465</v>
      </c>
      <c r="G332" s="57" t="s">
        <v>465</v>
      </c>
      <c r="J332" s="5" t="s">
        <v>4312</v>
      </c>
    </row>
    <row r="333" spans="1:10" ht="25.5" x14ac:dyDescent="0.2">
      <c r="A333" s="1" t="s">
        <v>4</v>
      </c>
      <c r="B333" s="2" t="s">
        <v>144</v>
      </c>
      <c r="C333" s="1"/>
      <c r="D333" s="5" t="s">
        <v>3989</v>
      </c>
      <c r="E333" s="3">
        <v>154807</v>
      </c>
      <c r="F333" s="3" t="s">
        <v>465</v>
      </c>
      <c r="G333" s="57" t="s">
        <v>465</v>
      </c>
      <c r="J333" s="5" t="s">
        <v>3990</v>
      </c>
    </row>
    <row r="334" spans="1:10" x14ac:dyDescent="0.2">
      <c r="A334" s="1" t="s">
        <v>4</v>
      </c>
      <c r="B334" s="2" t="s">
        <v>144</v>
      </c>
      <c r="C334" s="1"/>
      <c r="D334" s="5" t="s">
        <v>464</v>
      </c>
      <c r="E334" s="3">
        <v>102500</v>
      </c>
      <c r="F334" s="3" t="s">
        <v>465</v>
      </c>
      <c r="G334" s="57" t="s">
        <v>465</v>
      </c>
      <c r="J334" s="1"/>
    </row>
    <row r="335" spans="1:10" x14ac:dyDescent="0.2">
      <c r="A335" s="1" t="s">
        <v>4</v>
      </c>
      <c r="B335" s="2" t="s">
        <v>144</v>
      </c>
      <c r="C335" s="1"/>
      <c r="D335" s="5" t="s">
        <v>464</v>
      </c>
      <c r="E335" s="3">
        <v>107500</v>
      </c>
      <c r="F335" s="3" t="s">
        <v>465</v>
      </c>
      <c r="G335" s="57" t="s">
        <v>465</v>
      </c>
      <c r="J335" s="1"/>
    </row>
    <row r="336" spans="1:10" x14ac:dyDescent="0.2">
      <c r="A336" s="1" t="s">
        <v>4</v>
      </c>
      <c r="B336" s="2" t="s">
        <v>144</v>
      </c>
      <c r="C336" s="1"/>
      <c r="D336" s="5" t="s">
        <v>464</v>
      </c>
      <c r="E336" s="3">
        <v>112500</v>
      </c>
      <c r="F336" s="3" t="s">
        <v>465</v>
      </c>
      <c r="G336" s="57" t="s">
        <v>465</v>
      </c>
      <c r="J336" s="1"/>
    </row>
    <row r="337" spans="1:12" x14ac:dyDescent="0.2">
      <c r="A337" s="1" t="s">
        <v>4</v>
      </c>
      <c r="B337" s="2" t="s">
        <v>144</v>
      </c>
      <c r="C337" s="1"/>
      <c r="D337" s="5" t="s">
        <v>464</v>
      </c>
      <c r="E337" s="3">
        <v>117500</v>
      </c>
      <c r="F337" s="3" t="s">
        <v>465</v>
      </c>
      <c r="G337" s="57" t="s">
        <v>465</v>
      </c>
      <c r="J337" s="1"/>
    </row>
    <row r="338" spans="1:12" x14ac:dyDescent="0.2">
      <c r="A338" s="1" t="s">
        <v>4</v>
      </c>
      <c r="B338" s="2" t="s">
        <v>144</v>
      </c>
      <c r="C338" s="1"/>
      <c r="D338" s="5" t="s">
        <v>464</v>
      </c>
      <c r="E338" s="3">
        <v>122500</v>
      </c>
      <c r="F338" s="3" t="s">
        <v>465</v>
      </c>
      <c r="G338" s="57" t="s">
        <v>465</v>
      </c>
      <c r="J338" s="1"/>
    </row>
    <row r="339" spans="1:12" x14ac:dyDescent="0.2">
      <c r="A339" s="1" t="s">
        <v>4</v>
      </c>
      <c r="B339" s="2" t="s">
        <v>144</v>
      </c>
      <c r="C339" s="1"/>
      <c r="D339" s="5" t="s">
        <v>464</v>
      </c>
      <c r="E339" s="3">
        <v>122500</v>
      </c>
      <c r="F339" s="3" t="s">
        <v>465</v>
      </c>
      <c r="G339" s="57" t="s">
        <v>465</v>
      </c>
      <c r="J339" s="1"/>
    </row>
    <row r="340" spans="1:12" x14ac:dyDescent="0.2">
      <c r="A340" s="1" t="s">
        <v>4</v>
      </c>
      <c r="B340" s="2" t="s">
        <v>144</v>
      </c>
      <c r="C340" s="1"/>
      <c r="D340" s="5" t="s">
        <v>464</v>
      </c>
      <c r="E340" s="3">
        <v>127500</v>
      </c>
      <c r="F340" s="3" t="s">
        <v>465</v>
      </c>
      <c r="G340" s="57" t="s">
        <v>465</v>
      </c>
      <c r="J340" s="1"/>
    </row>
    <row r="341" spans="1:12" x14ac:dyDescent="0.2">
      <c r="A341" s="1" t="s">
        <v>4</v>
      </c>
      <c r="B341" s="2" t="s">
        <v>144</v>
      </c>
      <c r="C341" s="1"/>
      <c r="D341" s="5" t="s">
        <v>464</v>
      </c>
      <c r="E341" s="3">
        <v>127500</v>
      </c>
      <c r="F341" s="3" t="s">
        <v>465</v>
      </c>
      <c r="G341" s="57" t="s">
        <v>465</v>
      </c>
      <c r="J341" s="1"/>
    </row>
    <row r="342" spans="1:12" x14ac:dyDescent="0.2">
      <c r="A342" s="1" t="s">
        <v>4</v>
      </c>
      <c r="B342" s="2" t="s">
        <v>144</v>
      </c>
      <c r="C342" s="1"/>
      <c r="D342" s="5" t="s">
        <v>464</v>
      </c>
      <c r="E342" s="3">
        <v>147500</v>
      </c>
      <c r="F342" s="3" t="s">
        <v>465</v>
      </c>
      <c r="G342" s="57" t="s">
        <v>465</v>
      </c>
      <c r="J342" s="1"/>
    </row>
    <row r="343" spans="1:12" x14ac:dyDescent="0.2">
      <c r="A343" s="1" t="s">
        <v>4</v>
      </c>
      <c r="B343" s="2" t="s">
        <v>144</v>
      </c>
      <c r="C343" s="1"/>
      <c r="D343" s="5" t="s">
        <v>464</v>
      </c>
      <c r="E343" s="3">
        <v>167500</v>
      </c>
      <c r="F343" s="3" t="s">
        <v>465</v>
      </c>
      <c r="G343" s="57" t="s">
        <v>465</v>
      </c>
      <c r="J343" s="1"/>
    </row>
    <row r="344" spans="1:12" x14ac:dyDescent="0.2">
      <c r="A344" s="1" t="s">
        <v>4</v>
      </c>
      <c r="B344" s="2" t="s">
        <v>144</v>
      </c>
      <c r="C344" s="1"/>
      <c r="D344" s="5" t="s">
        <v>464</v>
      </c>
      <c r="E344" s="3">
        <v>197500</v>
      </c>
      <c r="F344" s="3" t="s">
        <v>465</v>
      </c>
      <c r="G344" s="57" t="s">
        <v>465</v>
      </c>
      <c r="J344" s="1"/>
    </row>
    <row r="345" spans="1:12" x14ac:dyDescent="0.2">
      <c r="A345" s="1" t="s">
        <v>4</v>
      </c>
      <c r="B345" s="2" t="s">
        <v>144</v>
      </c>
      <c r="C345" s="1"/>
      <c r="D345" s="5" t="s">
        <v>464</v>
      </c>
      <c r="E345" s="3">
        <v>202500</v>
      </c>
      <c r="F345" s="3" t="s">
        <v>465</v>
      </c>
      <c r="G345" s="57" t="s">
        <v>465</v>
      </c>
    </row>
    <row r="346" spans="1:12" x14ac:dyDescent="0.2">
      <c r="A346" s="1" t="s">
        <v>4</v>
      </c>
      <c r="B346" s="2" t="s">
        <v>145</v>
      </c>
      <c r="C346" s="1"/>
      <c r="D346" s="5" t="s">
        <v>464</v>
      </c>
      <c r="E346" s="3">
        <v>122500</v>
      </c>
      <c r="F346" s="3" t="s">
        <v>465</v>
      </c>
      <c r="G346" s="57" t="s">
        <v>465</v>
      </c>
      <c r="J346" s="5" t="s">
        <v>539</v>
      </c>
    </row>
    <row r="347" spans="1:12" x14ac:dyDescent="0.2">
      <c r="A347" s="1" t="s">
        <v>4</v>
      </c>
      <c r="B347" s="2" t="s">
        <v>145</v>
      </c>
      <c r="C347" s="1"/>
      <c r="D347" s="5" t="s">
        <v>464</v>
      </c>
      <c r="E347" s="3">
        <v>127500</v>
      </c>
      <c r="F347" s="3" t="s">
        <v>465</v>
      </c>
      <c r="G347" s="57" t="s">
        <v>465</v>
      </c>
      <c r="J347" s="5" t="s">
        <v>539</v>
      </c>
    </row>
    <row r="348" spans="1:12" x14ac:dyDescent="0.2">
      <c r="A348" s="1" t="s">
        <v>4</v>
      </c>
      <c r="B348" s="2" t="s">
        <v>145</v>
      </c>
      <c r="C348" s="1"/>
      <c r="D348" s="5" t="s">
        <v>464</v>
      </c>
      <c r="E348" s="3">
        <v>132500</v>
      </c>
      <c r="F348" s="3" t="s">
        <v>465</v>
      </c>
      <c r="G348" s="57" t="s">
        <v>465</v>
      </c>
      <c r="J348" s="5" t="s">
        <v>539</v>
      </c>
    </row>
    <row r="349" spans="1:12" x14ac:dyDescent="0.2">
      <c r="A349" s="1" t="s">
        <v>25</v>
      </c>
      <c r="B349" s="2" t="s">
        <v>150</v>
      </c>
      <c r="C349" s="1"/>
      <c r="D349" s="5" t="s">
        <v>464</v>
      </c>
      <c r="E349" s="3">
        <v>102500</v>
      </c>
      <c r="F349" s="3" t="s">
        <v>465</v>
      </c>
      <c r="G349" s="57" t="s">
        <v>465</v>
      </c>
    </row>
    <row r="350" spans="1:12" s="13" customFormat="1" x14ac:dyDescent="0.2">
      <c r="A350" s="1" t="s">
        <v>25</v>
      </c>
      <c r="B350" s="2" t="s">
        <v>150</v>
      </c>
      <c r="C350" s="1"/>
      <c r="D350" s="5" t="s">
        <v>464</v>
      </c>
      <c r="E350" s="3">
        <v>102500</v>
      </c>
      <c r="F350" s="3" t="s">
        <v>465</v>
      </c>
      <c r="G350" s="57" t="s">
        <v>465</v>
      </c>
      <c r="H350" s="19"/>
      <c r="I350" s="19"/>
      <c r="J350" s="5"/>
      <c r="K350" s="1"/>
      <c r="L350" s="1"/>
    </row>
    <row r="351" spans="1:12" x14ac:dyDescent="0.2">
      <c r="A351" s="1" t="s">
        <v>25</v>
      </c>
      <c r="B351" s="2" t="s">
        <v>150</v>
      </c>
      <c r="C351" s="1"/>
      <c r="D351" s="5" t="s">
        <v>464</v>
      </c>
      <c r="E351" s="3">
        <v>112500</v>
      </c>
      <c r="F351" s="3" t="s">
        <v>465</v>
      </c>
      <c r="G351" s="57" t="s">
        <v>465</v>
      </c>
      <c r="J351" s="5" t="s">
        <v>539</v>
      </c>
    </row>
    <row r="352" spans="1:12" x14ac:dyDescent="0.2">
      <c r="A352" s="1" t="s">
        <v>25</v>
      </c>
      <c r="B352" s="2" t="s">
        <v>150</v>
      </c>
      <c r="C352" s="1"/>
      <c r="D352" s="5" t="s">
        <v>464</v>
      </c>
      <c r="E352" s="3">
        <v>112500</v>
      </c>
      <c r="F352" s="3" t="s">
        <v>465</v>
      </c>
      <c r="G352" s="57" t="s">
        <v>465</v>
      </c>
      <c r="J352" s="5" t="s">
        <v>539</v>
      </c>
    </row>
    <row r="353" spans="1:12" x14ac:dyDescent="0.2">
      <c r="A353" s="1" t="s">
        <v>25</v>
      </c>
      <c r="B353" s="2" t="s">
        <v>150</v>
      </c>
      <c r="C353" s="1"/>
      <c r="D353" s="5" t="s">
        <v>464</v>
      </c>
      <c r="E353" s="3">
        <v>132500</v>
      </c>
      <c r="F353" s="3" t="s">
        <v>465</v>
      </c>
      <c r="G353" s="57" t="s">
        <v>465</v>
      </c>
      <c r="J353" s="5" t="s">
        <v>539</v>
      </c>
    </row>
    <row r="354" spans="1:12" s="13" customFormat="1" x14ac:dyDescent="0.2">
      <c r="A354" s="1" t="s">
        <v>25</v>
      </c>
      <c r="B354" s="2" t="s">
        <v>150</v>
      </c>
      <c r="C354" s="1"/>
      <c r="D354" s="5" t="s">
        <v>464</v>
      </c>
      <c r="E354" s="3">
        <v>152500</v>
      </c>
      <c r="F354" s="3" t="s">
        <v>465</v>
      </c>
      <c r="G354" s="57" t="s">
        <v>465</v>
      </c>
      <c r="H354" s="19"/>
      <c r="I354" s="19"/>
      <c r="J354" s="5" t="s">
        <v>539</v>
      </c>
      <c r="K354" s="1"/>
      <c r="L354" s="1"/>
    </row>
    <row r="355" spans="1:12" s="13" customFormat="1" x14ac:dyDescent="0.2">
      <c r="A355" s="1" t="s">
        <v>20</v>
      </c>
      <c r="B355" s="2" t="s">
        <v>151</v>
      </c>
      <c r="C355" s="1"/>
      <c r="D355" s="5" t="s">
        <v>455</v>
      </c>
      <c r="E355" s="3">
        <v>103945</v>
      </c>
      <c r="F355" s="3" t="s">
        <v>465</v>
      </c>
      <c r="G355" s="57" t="s">
        <v>465</v>
      </c>
      <c r="H355" s="19"/>
      <c r="I355" s="19"/>
      <c r="J355" s="5"/>
      <c r="K355" s="1"/>
      <c r="L355" s="1"/>
    </row>
    <row r="356" spans="1:12" x14ac:dyDescent="0.2">
      <c r="A356" s="1" t="s">
        <v>4</v>
      </c>
      <c r="B356" s="2" t="s">
        <v>152</v>
      </c>
      <c r="C356" s="1"/>
      <c r="D356" s="5" t="s">
        <v>464</v>
      </c>
      <c r="E356" s="3">
        <v>107500</v>
      </c>
      <c r="F356" s="3" t="s">
        <v>465</v>
      </c>
      <c r="G356" s="57" t="s">
        <v>465</v>
      </c>
    </row>
    <row r="357" spans="1:12" ht="38.25" x14ac:dyDescent="0.2">
      <c r="A357" s="1" t="s">
        <v>20</v>
      </c>
      <c r="B357" s="2" t="s">
        <v>154</v>
      </c>
      <c r="C357" s="1" t="s">
        <v>4005</v>
      </c>
      <c r="D357" s="5" t="s">
        <v>4006</v>
      </c>
      <c r="E357" s="3">
        <v>220970</v>
      </c>
      <c r="F357" s="3" t="s">
        <v>465</v>
      </c>
      <c r="G357" s="57" t="s">
        <v>465</v>
      </c>
      <c r="J357" s="5" t="s">
        <v>4322</v>
      </c>
    </row>
    <row r="358" spans="1:12" ht="25.5" x14ac:dyDescent="0.2">
      <c r="A358" s="1" t="s">
        <v>20</v>
      </c>
      <c r="B358" s="2" t="s">
        <v>154</v>
      </c>
      <c r="C358" s="1"/>
      <c r="D358" s="5" t="s">
        <v>4012</v>
      </c>
      <c r="E358" s="3">
        <v>169343</v>
      </c>
      <c r="F358" s="3" t="s">
        <v>465</v>
      </c>
      <c r="G358" s="57" t="s">
        <v>465</v>
      </c>
      <c r="J358" s="5" t="s">
        <v>4013</v>
      </c>
    </row>
    <row r="359" spans="1:12" ht="38.25" x14ac:dyDescent="0.2">
      <c r="A359" s="1" t="s">
        <v>20</v>
      </c>
      <c r="B359" s="2" t="s">
        <v>154</v>
      </c>
      <c r="C359" s="1"/>
      <c r="D359" s="5" t="s">
        <v>2142</v>
      </c>
      <c r="E359" s="3">
        <v>191138</v>
      </c>
      <c r="F359" s="3" t="s">
        <v>465</v>
      </c>
      <c r="G359" s="57" t="s">
        <v>465</v>
      </c>
      <c r="J359" s="5" t="s">
        <v>4324</v>
      </c>
    </row>
    <row r="360" spans="1:12" s="13" customFormat="1" ht="51" x14ac:dyDescent="0.2">
      <c r="A360" s="1" t="s">
        <v>20</v>
      </c>
      <c r="B360" s="2" t="s">
        <v>154</v>
      </c>
      <c r="C360" s="1"/>
      <c r="D360" s="5" t="s">
        <v>4014</v>
      </c>
      <c r="E360" s="3">
        <v>176243</v>
      </c>
      <c r="F360" s="3" t="s">
        <v>465</v>
      </c>
      <c r="G360" s="57" t="s">
        <v>465</v>
      </c>
      <c r="H360" s="19"/>
      <c r="I360" s="19"/>
      <c r="J360" s="5" t="s">
        <v>4325</v>
      </c>
      <c r="K360" s="1"/>
      <c r="L360" s="1"/>
    </row>
    <row r="361" spans="1:12" s="13" customFormat="1" ht="25.5" x14ac:dyDescent="0.2">
      <c r="A361" s="1" t="s">
        <v>20</v>
      </c>
      <c r="B361" s="2" t="s">
        <v>154</v>
      </c>
      <c r="C361" s="2"/>
      <c r="D361" s="5" t="s">
        <v>4018</v>
      </c>
      <c r="E361" s="3">
        <v>133014</v>
      </c>
      <c r="F361" s="3" t="s">
        <v>465</v>
      </c>
      <c r="G361" s="57" t="s">
        <v>465</v>
      </c>
      <c r="H361" s="19"/>
      <c r="I361" s="19"/>
      <c r="J361" s="5" t="s">
        <v>4019</v>
      </c>
      <c r="K361" s="1"/>
      <c r="L361" s="1"/>
    </row>
    <row r="362" spans="1:12" s="13" customFormat="1" ht="25.5" x14ac:dyDescent="0.2">
      <c r="A362" s="1" t="s">
        <v>20</v>
      </c>
      <c r="B362" s="2" t="s">
        <v>154</v>
      </c>
      <c r="C362" s="2"/>
      <c r="D362" s="5" t="s">
        <v>487</v>
      </c>
      <c r="E362" s="3">
        <v>132800</v>
      </c>
      <c r="F362" s="3" t="s">
        <v>465</v>
      </c>
      <c r="G362" s="57" t="s">
        <v>465</v>
      </c>
      <c r="H362" s="19"/>
      <c r="I362" s="19"/>
      <c r="J362" s="5" t="s">
        <v>4020</v>
      </c>
      <c r="K362" s="1"/>
      <c r="L362" s="1"/>
    </row>
    <row r="363" spans="1:12" s="13" customFormat="1" x14ac:dyDescent="0.2">
      <c r="A363" s="1" t="s">
        <v>20</v>
      </c>
      <c r="B363" s="2" t="s">
        <v>154</v>
      </c>
      <c r="C363" s="1"/>
      <c r="D363" s="5" t="s">
        <v>464</v>
      </c>
      <c r="E363" s="3">
        <v>102500</v>
      </c>
      <c r="F363" s="3" t="s">
        <v>465</v>
      </c>
      <c r="G363" s="57" t="s">
        <v>465</v>
      </c>
      <c r="H363" s="19"/>
      <c r="I363" s="19"/>
      <c r="J363" s="1"/>
      <c r="K363" s="1"/>
      <c r="L363" s="1"/>
    </row>
    <row r="364" spans="1:12" s="13" customFormat="1" x14ac:dyDescent="0.2">
      <c r="A364" s="1" t="s">
        <v>20</v>
      </c>
      <c r="B364" s="2" t="s">
        <v>154</v>
      </c>
      <c r="C364" s="1"/>
      <c r="D364" s="5" t="s">
        <v>464</v>
      </c>
      <c r="E364" s="3">
        <v>102500</v>
      </c>
      <c r="F364" s="3" t="s">
        <v>465</v>
      </c>
      <c r="G364" s="57" t="s">
        <v>465</v>
      </c>
      <c r="H364" s="19"/>
      <c r="I364" s="19"/>
      <c r="J364" s="1"/>
      <c r="K364" s="1"/>
      <c r="L364" s="1"/>
    </row>
    <row r="365" spans="1:12" x14ac:dyDescent="0.2">
      <c r="A365" s="1" t="s">
        <v>20</v>
      </c>
      <c r="B365" s="2" t="s">
        <v>154</v>
      </c>
      <c r="C365" s="1"/>
      <c r="D365" s="5" t="s">
        <v>464</v>
      </c>
      <c r="E365" s="3">
        <v>102500</v>
      </c>
      <c r="F365" s="3" t="s">
        <v>465</v>
      </c>
      <c r="G365" s="57" t="s">
        <v>465</v>
      </c>
      <c r="J365" s="1"/>
    </row>
    <row r="366" spans="1:12" x14ac:dyDescent="0.2">
      <c r="A366" s="1" t="s">
        <v>20</v>
      </c>
      <c r="B366" s="2" t="s">
        <v>154</v>
      </c>
      <c r="C366" s="1"/>
      <c r="D366" s="5" t="s">
        <v>464</v>
      </c>
      <c r="E366" s="3">
        <v>102500</v>
      </c>
      <c r="F366" s="3" t="s">
        <v>465</v>
      </c>
      <c r="G366" s="57" t="s">
        <v>465</v>
      </c>
      <c r="J366" s="1"/>
    </row>
    <row r="367" spans="1:12" x14ac:dyDescent="0.2">
      <c r="A367" s="1" t="s">
        <v>20</v>
      </c>
      <c r="B367" s="2" t="s">
        <v>154</v>
      </c>
      <c r="C367" s="1"/>
      <c r="D367" s="5" t="s">
        <v>464</v>
      </c>
      <c r="E367" s="3">
        <v>107500</v>
      </c>
      <c r="F367" s="3" t="s">
        <v>465</v>
      </c>
      <c r="G367" s="57" t="s">
        <v>465</v>
      </c>
      <c r="J367" s="1"/>
    </row>
    <row r="368" spans="1:12" x14ac:dyDescent="0.2">
      <c r="A368" s="1" t="s">
        <v>20</v>
      </c>
      <c r="B368" s="2" t="s">
        <v>154</v>
      </c>
      <c r="C368" s="1"/>
      <c r="D368" s="5" t="s">
        <v>464</v>
      </c>
      <c r="E368" s="3">
        <v>107500</v>
      </c>
      <c r="F368" s="3" t="s">
        <v>465</v>
      </c>
      <c r="G368" s="57" t="s">
        <v>465</v>
      </c>
      <c r="J368" s="1"/>
    </row>
    <row r="369" spans="1:12" x14ac:dyDescent="0.2">
      <c r="A369" s="1" t="s">
        <v>20</v>
      </c>
      <c r="B369" s="2" t="s">
        <v>154</v>
      </c>
      <c r="C369" s="1"/>
      <c r="D369" s="5" t="s">
        <v>464</v>
      </c>
      <c r="E369" s="3">
        <v>112500</v>
      </c>
      <c r="F369" s="3" t="s">
        <v>465</v>
      </c>
      <c r="G369" s="57" t="s">
        <v>465</v>
      </c>
      <c r="J369" s="1"/>
    </row>
    <row r="370" spans="1:12" x14ac:dyDescent="0.2">
      <c r="A370" s="1" t="s">
        <v>20</v>
      </c>
      <c r="B370" s="2" t="s">
        <v>154</v>
      </c>
      <c r="C370" s="1"/>
      <c r="D370" s="5" t="s">
        <v>464</v>
      </c>
      <c r="E370" s="3">
        <v>117500</v>
      </c>
      <c r="F370" s="3" t="s">
        <v>465</v>
      </c>
      <c r="G370" s="57" t="s">
        <v>465</v>
      </c>
      <c r="J370" s="1"/>
    </row>
    <row r="371" spans="1:12" x14ac:dyDescent="0.2">
      <c r="A371" s="1" t="s">
        <v>20</v>
      </c>
      <c r="B371" s="2" t="s">
        <v>154</v>
      </c>
      <c r="C371" s="1"/>
      <c r="D371" s="5" t="s">
        <v>464</v>
      </c>
      <c r="E371" s="3">
        <v>122500</v>
      </c>
      <c r="F371" s="3" t="s">
        <v>465</v>
      </c>
      <c r="G371" s="57" t="s">
        <v>465</v>
      </c>
      <c r="J371" s="1"/>
    </row>
    <row r="372" spans="1:12" x14ac:dyDescent="0.2">
      <c r="A372" s="1" t="s">
        <v>20</v>
      </c>
      <c r="B372" s="2" t="s">
        <v>154</v>
      </c>
      <c r="C372" s="1"/>
      <c r="D372" s="5" t="s">
        <v>464</v>
      </c>
      <c r="E372" s="3">
        <v>157500</v>
      </c>
      <c r="F372" s="3" t="s">
        <v>465</v>
      </c>
      <c r="G372" s="57" t="s">
        <v>465</v>
      </c>
      <c r="J372" s="1"/>
    </row>
    <row r="373" spans="1:12" ht="25.5" x14ac:dyDescent="0.2">
      <c r="A373" s="1" t="s">
        <v>20</v>
      </c>
      <c r="B373" s="2" t="s">
        <v>158</v>
      </c>
      <c r="D373" s="5" t="s">
        <v>4031</v>
      </c>
      <c r="E373" s="3">
        <v>128559</v>
      </c>
      <c r="F373" s="3" t="s">
        <v>465</v>
      </c>
      <c r="G373" s="57" t="s">
        <v>465</v>
      </c>
      <c r="J373" s="5" t="s">
        <v>4032</v>
      </c>
    </row>
    <row r="374" spans="1:12" ht="25.5" x14ac:dyDescent="0.2">
      <c r="A374" s="1" t="s">
        <v>20</v>
      </c>
      <c r="B374" s="2" t="s">
        <v>158</v>
      </c>
      <c r="D374" s="5" t="s">
        <v>4033</v>
      </c>
      <c r="E374" s="3">
        <v>121369</v>
      </c>
      <c r="F374" s="3" t="s">
        <v>465</v>
      </c>
      <c r="G374" s="57" t="s">
        <v>465</v>
      </c>
      <c r="J374" s="5" t="s">
        <v>4034</v>
      </c>
    </row>
    <row r="375" spans="1:12" x14ac:dyDescent="0.2">
      <c r="A375" s="1" t="s">
        <v>20</v>
      </c>
      <c r="B375" s="2" t="s">
        <v>158</v>
      </c>
      <c r="D375" s="5" t="s">
        <v>464</v>
      </c>
      <c r="E375" s="3">
        <v>107500</v>
      </c>
      <c r="F375" s="3" t="s">
        <v>465</v>
      </c>
      <c r="G375" s="57" t="s">
        <v>465</v>
      </c>
    </row>
    <row r="376" spans="1:12" s="13" customFormat="1" x14ac:dyDescent="0.2">
      <c r="A376" s="1" t="s">
        <v>1</v>
      </c>
      <c r="B376" s="2" t="s">
        <v>160</v>
      </c>
      <c r="C376" s="1"/>
      <c r="D376" s="5" t="s">
        <v>464</v>
      </c>
      <c r="E376" s="3">
        <v>107500</v>
      </c>
      <c r="F376" s="3" t="s">
        <v>465</v>
      </c>
      <c r="G376" s="57" t="s">
        <v>465</v>
      </c>
      <c r="H376" s="19"/>
      <c r="I376" s="19"/>
      <c r="J376" s="5"/>
      <c r="K376" s="1"/>
      <c r="L376" s="1"/>
    </row>
    <row r="377" spans="1:12" s="13" customFormat="1" x14ac:dyDescent="0.2">
      <c r="A377" s="1" t="s">
        <v>1</v>
      </c>
      <c r="B377" s="2" t="s">
        <v>160</v>
      </c>
      <c r="C377" s="1"/>
      <c r="D377" s="5" t="s">
        <v>464</v>
      </c>
      <c r="E377" s="3">
        <v>107500</v>
      </c>
      <c r="F377" s="3" t="s">
        <v>465</v>
      </c>
      <c r="G377" s="57" t="s">
        <v>465</v>
      </c>
      <c r="H377" s="19"/>
      <c r="I377" s="19"/>
      <c r="J377" s="5"/>
      <c r="K377" s="1"/>
      <c r="L377" s="1"/>
    </row>
    <row r="378" spans="1:12" s="13" customFormat="1" x14ac:dyDescent="0.2">
      <c r="A378" s="1" t="s">
        <v>1</v>
      </c>
      <c r="B378" s="2" t="s">
        <v>160</v>
      </c>
      <c r="C378" s="1"/>
      <c r="D378" s="5" t="s">
        <v>464</v>
      </c>
      <c r="E378" s="3">
        <v>132500</v>
      </c>
      <c r="F378" s="3" t="s">
        <v>465</v>
      </c>
      <c r="G378" s="57" t="s">
        <v>465</v>
      </c>
      <c r="H378" s="19"/>
      <c r="I378" s="19"/>
      <c r="J378" s="5"/>
      <c r="K378" s="1"/>
      <c r="L378" s="1"/>
    </row>
    <row r="379" spans="1:12" s="13" customFormat="1" ht="25.5" x14ac:dyDescent="0.2">
      <c r="A379" s="1" t="s">
        <v>44</v>
      </c>
      <c r="B379" s="2" t="s">
        <v>161</v>
      </c>
      <c r="C379" s="5"/>
      <c r="D379" s="5" t="s">
        <v>855</v>
      </c>
      <c r="E379" s="3">
        <v>109168</v>
      </c>
      <c r="F379" s="3" t="s">
        <v>465</v>
      </c>
      <c r="G379" s="57" t="s">
        <v>465</v>
      </c>
      <c r="H379" s="19"/>
      <c r="I379" s="19"/>
      <c r="J379" s="5" t="s">
        <v>4043</v>
      </c>
      <c r="K379" s="1"/>
      <c r="L379" s="1"/>
    </row>
    <row r="380" spans="1:12" s="13" customFormat="1" x14ac:dyDescent="0.2">
      <c r="A380" s="1" t="s">
        <v>44</v>
      </c>
      <c r="B380" s="2" t="s">
        <v>161</v>
      </c>
      <c r="C380" s="5"/>
      <c r="D380" s="5" t="s">
        <v>464</v>
      </c>
      <c r="E380" s="3">
        <v>112500</v>
      </c>
      <c r="F380" s="3" t="s">
        <v>465</v>
      </c>
      <c r="G380" s="57" t="s">
        <v>465</v>
      </c>
      <c r="H380" s="19"/>
      <c r="I380" s="19"/>
      <c r="J380" s="5"/>
      <c r="K380" s="1"/>
      <c r="L380" s="1"/>
    </row>
    <row r="381" spans="1:12" s="13" customFormat="1" x14ac:dyDescent="0.2">
      <c r="A381" s="1" t="s">
        <v>111</v>
      </c>
      <c r="B381" s="2" t="s">
        <v>166</v>
      </c>
      <c r="C381" s="1"/>
      <c r="D381" s="5" t="s">
        <v>464</v>
      </c>
      <c r="E381" s="3">
        <v>102500</v>
      </c>
      <c r="F381" s="3" t="s">
        <v>465</v>
      </c>
      <c r="G381" s="57" t="s">
        <v>465</v>
      </c>
      <c r="H381" s="19"/>
      <c r="I381" s="19"/>
      <c r="J381" s="1"/>
      <c r="K381" s="1"/>
      <c r="L381" s="1"/>
    </row>
    <row r="382" spans="1:12" x14ac:dyDescent="0.2">
      <c r="A382" s="1" t="s">
        <v>111</v>
      </c>
      <c r="B382" s="2" t="s">
        <v>166</v>
      </c>
      <c r="C382" s="1"/>
      <c r="D382" s="5" t="s">
        <v>464</v>
      </c>
      <c r="E382" s="3">
        <v>102500</v>
      </c>
      <c r="F382" s="3" t="s">
        <v>465</v>
      </c>
      <c r="G382" s="57" t="s">
        <v>465</v>
      </c>
      <c r="J382" s="1"/>
    </row>
    <row r="383" spans="1:12" x14ac:dyDescent="0.2">
      <c r="A383" s="1" t="s">
        <v>111</v>
      </c>
      <c r="B383" s="2" t="s">
        <v>166</v>
      </c>
      <c r="C383" s="1"/>
      <c r="D383" s="5" t="s">
        <v>464</v>
      </c>
      <c r="E383" s="3">
        <v>102500</v>
      </c>
      <c r="F383" s="3" t="s">
        <v>465</v>
      </c>
      <c r="G383" s="57" t="s">
        <v>465</v>
      </c>
      <c r="J383" s="1"/>
    </row>
    <row r="384" spans="1:12" x14ac:dyDescent="0.2">
      <c r="A384" s="1" t="s">
        <v>111</v>
      </c>
      <c r="B384" s="2" t="s">
        <v>166</v>
      </c>
      <c r="C384" s="1"/>
      <c r="D384" s="5" t="s">
        <v>464</v>
      </c>
      <c r="E384" s="3">
        <v>117500</v>
      </c>
      <c r="F384" s="3" t="s">
        <v>465</v>
      </c>
      <c r="G384" s="57" t="s">
        <v>465</v>
      </c>
      <c r="J384" s="1"/>
    </row>
    <row r="385" spans="1:12" x14ac:dyDescent="0.2">
      <c r="A385" s="1" t="s">
        <v>1</v>
      </c>
      <c r="B385" s="2" t="s">
        <v>168</v>
      </c>
      <c r="C385" s="1"/>
      <c r="D385" s="5" t="s">
        <v>464</v>
      </c>
      <c r="E385" s="3">
        <v>102500</v>
      </c>
      <c r="F385" s="3" t="s">
        <v>465</v>
      </c>
      <c r="G385" s="57" t="s">
        <v>465</v>
      </c>
      <c r="J385" s="1"/>
    </row>
    <row r="386" spans="1:12" x14ac:dyDescent="0.2">
      <c r="A386" s="1" t="s">
        <v>1</v>
      </c>
      <c r="B386" s="2" t="s">
        <v>168</v>
      </c>
      <c r="C386" s="1"/>
      <c r="D386" s="5" t="s">
        <v>464</v>
      </c>
      <c r="E386" s="3">
        <v>102500</v>
      </c>
      <c r="F386" s="3" t="s">
        <v>465</v>
      </c>
      <c r="G386" s="57" t="s">
        <v>465</v>
      </c>
      <c r="J386" s="1"/>
    </row>
    <row r="387" spans="1:12" x14ac:dyDescent="0.2">
      <c r="A387" s="1" t="s">
        <v>1</v>
      </c>
      <c r="B387" s="2" t="s">
        <v>168</v>
      </c>
      <c r="C387" s="1"/>
      <c r="D387" s="5" t="s">
        <v>464</v>
      </c>
      <c r="E387" s="3">
        <v>102500</v>
      </c>
      <c r="F387" s="3" t="s">
        <v>465</v>
      </c>
      <c r="G387" s="57" t="s">
        <v>465</v>
      </c>
      <c r="H387" s="4"/>
      <c r="I387" s="4"/>
      <c r="J387" s="1"/>
    </row>
    <row r="388" spans="1:12" x14ac:dyDescent="0.2">
      <c r="A388" s="1" t="s">
        <v>1</v>
      </c>
      <c r="B388" s="2" t="s">
        <v>168</v>
      </c>
      <c r="C388" s="1"/>
      <c r="D388" s="5" t="s">
        <v>464</v>
      </c>
      <c r="E388" s="3">
        <v>107500</v>
      </c>
      <c r="F388" s="3" t="s">
        <v>465</v>
      </c>
      <c r="G388" s="57" t="s">
        <v>465</v>
      </c>
      <c r="H388" s="4"/>
      <c r="I388" s="4"/>
      <c r="J388" s="1"/>
    </row>
    <row r="389" spans="1:12" x14ac:dyDescent="0.2">
      <c r="A389" s="1" t="s">
        <v>1</v>
      </c>
      <c r="B389" s="2" t="s">
        <v>168</v>
      </c>
      <c r="C389" s="1"/>
      <c r="D389" s="5" t="s">
        <v>464</v>
      </c>
      <c r="E389" s="3">
        <v>107500</v>
      </c>
      <c r="F389" s="3" t="s">
        <v>465</v>
      </c>
      <c r="G389" s="57" t="s">
        <v>465</v>
      </c>
      <c r="H389" s="4"/>
      <c r="I389" s="4"/>
      <c r="J389" s="1"/>
    </row>
    <row r="390" spans="1:12" x14ac:dyDescent="0.2">
      <c r="A390" s="1" t="s">
        <v>1</v>
      </c>
      <c r="B390" s="2" t="s">
        <v>168</v>
      </c>
      <c r="C390" s="1"/>
      <c r="D390" s="5" t="s">
        <v>464</v>
      </c>
      <c r="E390" s="3">
        <v>112500</v>
      </c>
      <c r="F390" s="3" t="s">
        <v>465</v>
      </c>
      <c r="G390" s="57" t="s">
        <v>465</v>
      </c>
      <c r="H390" s="4"/>
      <c r="I390" s="4"/>
      <c r="J390" s="1"/>
    </row>
    <row r="391" spans="1:12" x14ac:dyDescent="0.2">
      <c r="A391" s="1" t="s">
        <v>1</v>
      </c>
      <c r="B391" s="2" t="s">
        <v>168</v>
      </c>
      <c r="C391" s="1"/>
      <c r="D391" s="5" t="s">
        <v>464</v>
      </c>
      <c r="E391" s="3">
        <v>117500</v>
      </c>
      <c r="F391" s="3" t="s">
        <v>465</v>
      </c>
      <c r="G391" s="57" t="s">
        <v>465</v>
      </c>
      <c r="H391" s="4"/>
      <c r="I391" s="4"/>
      <c r="J391" s="1"/>
    </row>
    <row r="392" spans="1:12" x14ac:dyDescent="0.2">
      <c r="A392" s="1" t="s">
        <v>1</v>
      </c>
      <c r="B392" s="2" t="s">
        <v>168</v>
      </c>
      <c r="C392" s="1"/>
      <c r="D392" s="5" t="s">
        <v>464</v>
      </c>
      <c r="E392" s="3">
        <v>122500</v>
      </c>
      <c r="F392" s="3" t="s">
        <v>465</v>
      </c>
      <c r="G392" s="57" t="s">
        <v>465</v>
      </c>
      <c r="H392" s="4"/>
      <c r="I392" s="4"/>
      <c r="J392" s="1"/>
    </row>
    <row r="393" spans="1:12" x14ac:dyDescent="0.2">
      <c r="A393" s="1" t="s">
        <v>1</v>
      </c>
      <c r="B393" s="2" t="s">
        <v>168</v>
      </c>
      <c r="C393" s="1"/>
      <c r="D393" s="5" t="s">
        <v>464</v>
      </c>
      <c r="E393" s="3">
        <v>122500</v>
      </c>
      <c r="F393" s="3" t="s">
        <v>465</v>
      </c>
      <c r="G393" s="57" t="s">
        <v>465</v>
      </c>
      <c r="H393" s="4"/>
      <c r="I393" s="4"/>
      <c r="J393" s="1"/>
    </row>
    <row r="394" spans="1:12" x14ac:dyDescent="0.2">
      <c r="A394" s="1" t="s">
        <v>1</v>
      </c>
      <c r="B394" s="2" t="s">
        <v>168</v>
      </c>
      <c r="C394" s="1"/>
      <c r="D394" s="5" t="s">
        <v>464</v>
      </c>
      <c r="E394" s="3">
        <v>132500</v>
      </c>
      <c r="F394" s="3" t="s">
        <v>465</v>
      </c>
      <c r="G394" s="57" t="s">
        <v>465</v>
      </c>
      <c r="H394" s="4"/>
      <c r="I394" s="4"/>
      <c r="J394" s="1"/>
    </row>
    <row r="395" spans="1:12" ht="38.25" x14ac:dyDescent="0.2">
      <c r="A395" s="1" t="s">
        <v>34</v>
      </c>
      <c r="B395" s="2" t="s">
        <v>169</v>
      </c>
      <c r="D395" s="5" t="s">
        <v>852</v>
      </c>
      <c r="E395" s="3">
        <v>115254</v>
      </c>
      <c r="F395" s="3" t="s">
        <v>465</v>
      </c>
      <c r="G395" s="57" t="s">
        <v>465</v>
      </c>
      <c r="J395" s="5" t="s">
        <v>4065</v>
      </c>
    </row>
    <row r="396" spans="1:12" s="13" customFormat="1" x14ac:dyDescent="0.2">
      <c r="A396" s="1" t="s">
        <v>34</v>
      </c>
      <c r="B396" s="2" t="s">
        <v>169</v>
      </c>
      <c r="C396" s="5"/>
      <c r="D396" s="5" t="s">
        <v>464</v>
      </c>
      <c r="E396" s="3">
        <v>107500</v>
      </c>
      <c r="F396" s="3" t="s">
        <v>465</v>
      </c>
      <c r="G396" s="57" t="s">
        <v>465</v>
      </c>
      <c r="H396" s="19"/>
      <c r="I396" s="19"/>
      <c r="J396" s="5" t="s">
        <v>1555</v>
      </c>
      <c r="K396" s="1"/>
      <c r="L396" s="1"/>
    </row>
    <row r="397" spans="1:12" s="13" customFormat="1" x14ac:dyDescent="0.2">
      <c r="A397" s="1" t="s">
        <v>25</v>
      </c>
      <c r="B397" s="2" t="s">
        <v>174</v>
      </c>
      <c r="C397" s="5"/>
      <c r="D397" s="5" t="s">
        <v>464</v>
      </c>
      <c r="E397" s="3">
        <v>102500</v>
      </c>
      <c r="F397" s="3" t="s">
        <v>465</v>
      </c>
      <c r="G397" s="57" t="s">
        <v>465</v>
      </c>
      <c r="H397" s="19"/>
      <c r="I397" s="19"/>
      <c r="J397" s="5" t="s">
        <v>539</v>
      </c>
      <c r="K397" s="1"/>
      <c r="L397" s="1"/>
    </row>
    <row r="398" spans="1:12" s="13" customFormat="1" x14ac:dyDescent="0.2">
      <c r="A398" s="1" t="s">
        <v>25</v>
      </c>
      <c r="B398" s="2" t="s">
        <v>174</v>
      </c>
      <c r="C398" s="5"/>
      <c r="D398" s="5" t="s">
        <v>464</v>
      </c>
      <c r="E398" s="3">
        <v>107500</v>
      </c>
      <c r="F398" s="3" t="s">
        <v>465</v>
      </c>
      <c r="G398" s="57" t="s">
        <v>465</v>
      </c>
      <c r="H398" s="19"/>
      <c r="I398" s="19"/>
      <c r="J398" s="5"/>
      <c r="K398" s="1"/>
      <c r="L398" s="1"/>
    </row>
    <row r="399" spans="1:12" s="13" customFormat="1" x14ac:dyDescent="0.2">
      <c r="A399" s="1" t="s">
        <v>25</v>
      </c>
      <c r="B399" s="2" t="s">
        <v>174</v>
      </c>
      <c r="C399" s="5"/>
      <c r="D399" s="5" t="s">
        <v>464</v>
      </c>
      <c r="E399" s="3">
        <v>107500</v>
      </c>
      <c r="F399" s="3" t="s">
        <v>465</v>
      </c>
      <c r="G399" s="57" t="s">
        <v>465</v>
      </c>
      <c r="H399" s="19"/>
      <c r="I399" s="19"/>
      <c r="J399" s="5" t="s">
        <v>539</v>
      </c>
      <c r="K399" s="1"/>
      <c r="L399" s="1"/>
    </row>
    <row r="400" spans="1:12" s="13" customFormat="1" x14ac:dyDescent="0.2">
      <c r="A400" s="1" t="s">
        <v>25</v>
      </c>
      <c r="B400" s="2" t="s">
        <v>174</v>
      </c>
      <c r="C400" s="5"/>
      <c r="D400" s="5" t="s">
        <v>464</v>
      </c>
      <c r="E400" s="3">
        <v>117500</v>
      </c>
      <c r="F400" s="3" t="s">
        <v>465</v>
      </c>
      <c r="G400" s="57" t="s">
        <v>465</v>
      </c>
      <c r="H400" s="19"/>
      <c r="I400" s="19"/>
      <c r="J400" s="5" t="s">
        <v>539</v>
      </c>
      <c r="K400" s="1"/>
      <c r="L400" s="1"/>
    </row>
    <row r="401" spans="1:12" s="13" customFormat="1" x14ac:dyDescent="0.2">
      <c r="A401" s="1" t="s">
        <v>25</v>
      </c>
      <c r="B401" s="2" t="s">
        <v>174</v>
      </c>
      <c r="C401" s="5"/>
      <c r="D401" s="5" t="s">
        <v>464</v>
      </c>
      <c r="E401" s="3">
        <v>127500</v>
      </c>
      <c r="F401" s="3" t="s">
        <v>465</v>
      </c>
      <c r="G401" s="57" t="s">
        <v>465</v>
      </c>
      <c r="H401" s="19"/>
      <c r="I401" s="19"/>
      <c r="J401" s="5" t="s">
        <v>539</v>
      </c>
      <c r="K401" s="1"/>
      <c r="L401" s="1"/>
    </row>
    <row r="402" spans="1:12" s="13" customFormat="1" x14ac:dyDescent="0.2">
      <c r="A402" s="1" t="s">
        <v>25</v>
      </c>
      <c r="B402" s="2" t="s">
        <v>174</v>
      </c>
      <c r="C402" s="5"/>
      <c r="D402" s="5" t="s">
        <v>464</v>
      </c>
      <c r="E402" s="3">
        <v>132500</v>
      </c>
      <c r="F402" s="3" t="s">
        <v>465</v>
      </c>
      <c r="G402" s="57" t="s">
        <v>465</v>
      </c>
      <c r="H402" s="19"/>
      <c r="I402" s="19"/>
      <c r="J402" s="5" t="s">
        <v>539</v>
      </c>
      <c r="K402" s="1"/>
      <c r="L402" s="1"/>
    </row>
    <row r="403" spans="1:12" x14ac:dyDescent="0.2">
      <c r="A403" s="1" t="s">
        <v>25</v>
      </c>
      <c r="B403" s="2" t="s">
        <v>174</v>
      </c>
      <c r="D403" s="5" t="s">
        <v>464</v>
      </c>
      <c r="E403" s="3">
        <v>142500</v>
      </c>
      <c r="F403" s="3" t="s">
        <v>465</v>
      </c>
      <c r="G403" s="57" t="s">
        <v>465</v>
      </c>
      <c r="J403" s="5" t="s">
        <v>539</v>
      </c>
    </row>
    <row r="404" spans="1:12" x14ac:dyDescent="0.2">
      <c r="A404" s="1" t="s">
        <v>25</v>
      </c>
      <c r="B404" s="2" t="s">
        <v>174</v>
      </c>
      <c r="D404" s="5" t="s">
        <v>464</v>
      </c>
      <c r="E404" s="3">
        <v>202500</v>
      </c>
      <c r="F404" s="3" t="s">
        <v>465</v>
      </c>
      <c r="G404" s="57" t="s">
        <v>465</v>
      </c>
      <c r="J404" s="5" t="s">
        <v>539</v>
      </c>
    </row>
    <row r="405" spans="1:12" x14ac:dyDescent="0.2">
      <c r="A405" s="1" t="s">
        <v>25</v>
      </c>
      <c r="B405" s="2" t="s">
        <v>175</v>
      </c>
      <c r="D405" s="5" t="s">
        <v>464</v>
      </c>
      <c r="E405" s="3">
        <v>102500</v>
      </c>
      <c r="F405" s="3" t="s">
        <v>465</v>
      </c>
      <c r="G405" s="57" t="s">
        <v>465</v>
      </c>
    </row>
    <row r="406" spans="1:12" x14ac:dyDescent="0.2">
      <c r="A406" s="1" t="s">
        <v>25</v>
      </c>
      <c r="B406" s="2" t="s">
        <v>175</v>
      </c>
      <c r="D406" s="5" t="s">
        <v>464</v>
      </c>
      <c r="E406" s="3">
        <v>102500</v>
      </c>
      <c r="F406" s="3" t="s">
        <v>465</v>
      </c>
      <c r="G406" s="57" t="s">
        <v>465</v>
      </c>
    </row>
    <row r="407" spans="1:12" x14ac:dyDescent="0.2">
      <c r="A407" s="1" t="s">
        <v>25</v>
      </c>
      <c r="B407" s="2" t="s">
        <v>175</v>
      </c>
      <c r="D407" s="5" t="s">
        <v>464</v>
      </c>
      <c r="E407" s="3">
        <v>102500</v>
      </c>
      <c r="F407" s="3" t="s">
        <v>465</v>
      </c>
      <c r="G407" s="57" t="s">
        <v>465</v>
      </c>
    </row>
    <row r="408" spans="1:12" x14ac:dyDescent="0.2">
      <c r="A408" s="1" t="s">
        <v>25</v>
      </c>
      <c r="B408" s="2" t="s">
        <v>175</v>
      </c>
      <c r="D408" s="5" t="s">
        <v>464</v>
      </c>
      <c r="E408" s="3">
        <v>102500</v>
      </c>
      <c r="F408" s="3" t="s">
        <v>465</v>
      </c>
      <c r="G408" s="57" t="s">
        <v>465</v>
      </c>
    </row>
    <row r="409" spans="1:12" x14ac:dyDescent="0.2">
      <c r="A409" s="1" t="s">
        <v>25</v>
      </c>
      <c r="B409" s="2" t="s">
        <v>175</v>
      </c>
      <c r="D409" s="5" t="s">
        <v>464</v>
      </c>
      <c r="E409" s="3">
        <v>102500</v>
      </c>
      <c r="F409" s="3" t="s">
        <v>465</v>
      </c>
      <c r="G409" s="57" t="s">
        <v>465</v>
      </c>
    </row>
    <row r="410" spans="1:12" x14ac:dyDescent="0.2">
      <c r="A410" s="1" t="s">
        <v>25</v>
      </c>
      <c r="B410" s="2" t="s">
        <v>175</v>
      </c>
      <c r="D410" s="5" t="s">
        <v>464</v>
      </c>
      <c r="E410" s="3">
        <v>102500</v>
      </c>
      <c r="F410" s="3" t="s">
        <v>465</v>
      </c>
      <c r="G410" s="57" t="s">
        <v>465</v>
      </c>
    </row>
    <row r="411" spans="1:12" x14ac:dyDescent="0.2">
      <c r="A411" s="1" t="s">
        <v>25</v>
      </c>
      <c r="B411" s="2" t="s">
        <v>175</v>
      </c>
      <c r="D411" s="5" t="s">
        <v>464</v>
      </c>
      <c r="E411" s="3">
        <v>107500</v>
      </c>
      <c r="F411" s="3" t="s">
        <v>465</v>
      </c>
      <c r="G411" s="57" t="s">
        <v>465</v>
      </c>
    </row>
    <row r="412" spans="1:12" x14ac:dyDescent="0.2">
      <c r="A412" s="1" t="s">
        <v>25</v>
      </c>
      <c r="B412" s="2" t="s">
        <v>175</v>
      </c>
      <c r="D412" s="5" t="s">
        <v>464</v>
      </c>
      <c r="E412" s="3">
        <v>117500</v>
      </c>
      <c r="F412" s="3" t="s">
        <v>465</v>
      </c>
      <c r="G412" s="57" t="s">
        <v>465</v>
      </c>
    </row>
    <row r="413" spans="1:12" x14ac:dyDescent="0.2">
      <c r="A413" s="1" t="s">
        <v>25</v>
      </c>
      <c r="B413" s="2" t="s">
        <v>175</v>
      </c>
      <c r="D413" s="5" t="s">
        <v>464</v>
      </c>
      <c r="E413" s="3">
        <v>117500</v>
      </c>
      <c r="F413" s="3" t="s">
        <v>465</v>
      </c>
      <c r="G413" s="57" t="s">
        <v>465</v>
      </c>
    </row>
    <row r="414" spans="1:12" x14ac:dyDescent="0.2">
      <c r="A414" s="1" t="s">
        <v>25</v>
      </c>
      <c r="B414" s="2" t="s">
        <v>175</v>
      </c>
      <c r="D414" s="5" t="s">
        <v>464</v>
      </c>
      <c r="E414" s="3">
        <v>117500</v>
      </c>
      <c r="F414" s="3" t="s">
        <v>465</v>
      </c>
      <c r="G414" s="57" t="s">
        <v>465</v>
      </c>
    </row>
    <row r="415" spans="1:12" x14ac:dyDescent="0.2">
      <c r="A415" s="1" t="s">
        <v>25</v>
      </c>
      <c r="B415" s="2" t="s">
        <v>175</v>
      </c>
      <c r="D415" s="5" t="s">
        <v>464</v>
      </c>
      <c r="E415" s="3">
        <v>117500</v>
      </c>
      <c r="F415" s="3" t="s">
        <v>465</v>
      </c>
      <c r="G415" s="57" t="s">
        <v>465</v>
      </c>
    </row>
    <row r="416" spans="1:12" x14ac:dyDescent="0.2">
      <c r="A416" s="1" t="s">
        <v>25</v>
      </c>
      <c r="B416" s="2" t="s">
        <v>175</v>
      </c>
      <c r="D416" s="5" t="s">
        <v>464</v>
      </c>
      <c r="E416" s="3">
        <v>122500</v>
      </c>
      <c r="F416" s="3" t="s">
        <v>465</v>
      </c>
      <c r="G416" s="57" t="s">
        <v>465</v>
      </c>
    </row>
    <row r="417" spans="1:12" x14ac:dyDescent="0.2">
      <c r="A417" s="1" t="s">
        <v>25</v>
      </c>
      <c r="B417" s="2" t="s">
        <v>175</v>
      </c>
      <c r="D417" s="5" t="s">
        <v>464</v>
      </c>
      <c r="E417" s="3">
        <v>132500</v>
      </c>
      <c r="F417" s="3" t="s">
        <v>465</v>
      </c>
      <c r="G417" s="57" t="s">
        <v>465</v>
      </c>
    </row>
    <row r="418" spans="1:12" x14ac:dyDescent="0.2">
      <c r="A418" s="1" t="s">
        <v>25</v>
      </c>
      <c r="B418" s="2" t="s">
        <v>175</v>
      </c>
      <c r="D418" s="5" t="s">
        <v>464</v>
      </c>
      <c r="E418" s="3">
        <v>132500</v>
      </c>
      <c r="F418" s="3" t="s">
        <v>465</v>
      </c>
      <c r="G418" s="57" t="s">
        <v>465</v>
      </c>
    </row>
    <row r="419" spans="1:12" x14ac:dyDescent="0.2">
      <c r="A419" s="1" t="s">
        <v>44</v>
      </c>
      <c r="B419" s="2" t="s">
        <v>177</v>
      </c>
      <c r="D419" s="5" t="s">
        <v>464</v>
      </c>
      <c r="E419" s="9">
        <v>112500</v>
      </c>
      <c r="F419" s="9" t="s">
        <v>465</v>
      </c>
      <c r="G419" s="57" t="s">
        <v>465</v>
      </c>
    </row>
    <row r="420" spans="1:12" x14ac:dyDescent="0.2">
      <c r="A420" s="1" t="s">
        <v>25</v>
      </c>
      <c r="B420" s="2" t="s">
        <v>178</v>
      </c>
      <c r="D420" s="5" t="s">
        <v>3563</v>
      </c>
      <c r="E420" s="9">
        <v>116317</v>
      </c>
      <c r="F420" s="9" t="s">
        <v>465</v>
      </c>
      <c r="G420" s="57" t="s">
        <v>465</v>
      </c>
    </row>
    <row r="421" spans="1:12" ht="25.5" x14ac:dyDescent="0.2">
      <c r="A421" s="1" t="s">
        <v>25</v>
      </c>
      <c r="B421" s="2" t="s">
        <v>178</v>
      </c>
      <c r="D421" s="5" t="s">
        <v>1504</v>
      </c>
      <c r="E421" s="9">
        <v>145555</v>
      </c>
      <c r="F421" s="9" t="s">
        <v>465</v>
      </c>
      <c r="G421" s="57" t="s">
        <v>465</v>
      </c>
    </row>
    <row r="422" spans="1:12" ht="25.5" x14ac:dyDescent="0.2">
      <c r="A422" s="1" t="s">
        <v>25</v>
      </c>
      <c r="B422" s="2" t="s">
        <v>178</v>
      </c>
      <c r="D422" s="5" t="s">
        <v>3567</v>
      </c>
      <c r="E422" s="9">
        <v>106603</v>
      </c>
      <c r="F422" s="9" t="s">
        <v>465</v>
      </c>
      <c r="G422" s="57" t="s">
        <v>465</v>
      </c>
      <c r="J422" s="5" t="s">
        <v>3568</v>
      </c>
    </row>
    <row r="423" spans="1:12" x14ac:dyDescent="0.2">
      <c r="A423" s="1" t="s">
        <v>25</v>
      </c>
      <c r="B423" s="2" t="s">
        <v>178</v>
      </c>
      <c r="D423" s="5" t="s">
        <v>464</v>
      </c>
      <c r="E423" s="3">
        <v>102500</v>
      </c>
      <c r="F423" s="3" t="s">
        <v>465</v>
      </c>
      <c r="G423" s="57" t="s">
        <v>465</v>
      </c>
      <c r="J423" s="1"/>
    </row>
    <row r="424" spans="1:12" x14ac:dyDescent="0.2">
      <c r="A424" s="1" t="s">
        <v>25</v>
      </c>
      <c r="B424" s="2" t="s">
        <v>178</v>
      </c>
      <c r="D424" s="5" t="s">
        <v>464</v>
      </c>
      <c r="E424" s="3">
        <v>102500</v>
      </c>
      <c r="F424" s="3" t="s">
        <v>465</v>
      </c>
      <c r="G424" s="57" t="s">
        <v>465</v>
      </c>
      <c r="J424" s="1"/>
    </row>
    <row r="425" spans="1:12" x14ac:dyDescent="0.2">
      <c r="A425" s="1" t="s">
        <v>25</v>
      </c>
      <c r="B425" s="2" t="s">
        <v>178</v>
      </c>
      <c r="D425" s="5" t="s">
        <v>464</v>
      </c>
      <c r="E425" s="3">
        <v>132500</v>
      </c>
      <c r="F425" s="3" t="s">
        <v>465</v>
      </c>
      <c r="G425" s="57" t="s">
        <v>465</v>
      </c>
    </row>
    <row r="426" spans="1:12" x14ac:dyDescent="0.2">
      <c r="A426" s="1" t="s">
        <v>25</v>
      </c>
      <c r="B426" s="2" t="s">
        <v>178</v>
      </c>
      <c r="D426" s="5" t="s">
        <v>464</v>
      </c>
      <c r="E426" s="3">
        <v>137500</v>
      </c>
      <c r="F426" s="3" t="s">
        <v>465</v>
      </c>
      <c r="G426" s="57" t="s">
        <v>465</v>
      </c>
    </row>
    <row r="427" spans="1:12" x14ac:dyDescent="0.2">
      <c r="A427" s="1" t="s">
        <v>25</v>
      </c>
      <c r="B427" s="2" t="s">
        <v>178</v>
      </c>
      <c r="D427" s="5" t="s">
        <v>464</v>
      </c>
      <c r="E427" s="3">
        <v>172500</v>
      </c>
      <c r="F427" s="3" t="s">
        <v>465</v>
      </c>
      <c r="G427" s="57" t="s">
        <v>465</v>
      </c>
    </row>
    <row r="428" spans="1:12" x14ac:dyDescent="0.2">
      <c r="A428" s="1" t="s">
        <v>6</v>
      </c>
      <c r="B428" s="2" t="s">
        <v>179</v>
      </c>
      <c r="D428" s="5" t="s">
        <v>464</v>
      </c>
      <c r="E428" s="3">
        <v>142500</v>
      </c>
      <c r="F428" s="3" t="s">
        <v>465</v>
      </c>
      <c r="G428" s="57" t="s">
        <v>465</v>
      </c>
    </row>
    <row r="429" spans="1:12" x14ac:dyDescent="0.2">
      <c r="A429" s="1" t="s">
        <v>25</v>
      </c>
      <c r="B429" s="2" t="s">
        <v>181</v>
      </c>
      <c r="D429" s="5" t="s">
        <v>464</v>
      </c>
      <c r="E429" s="3">
        <v>102500</v>
      </c>
      <c r="F429" s="3" t="s">
        <v>465</v>
      </c>
      <c r="G429" s="57" t="s">
        <v>465</v>
      </c>
      <c r="J429" s="5" t="s">
        <v>1488</v>
      </c>
    </row>
    <row r="430" spans="1:12" s="13" customFormat="1" x14ac:dyDescent="0.2">
      <c r="A430" s="1" t="s">
        <v>25</v>
      </c>
      <c r="B430" s="2" t="s">
        <v>181</v>
      </c>
      <c r="C430" s="5"/>
      <c r="D430" s="5" t="s">
        <v>464</v>
      </c>
      <c r="E430" s="3">
        <v>102500</v>
      </c>
      <c r="F430" s="3" t="s">
        <v>465</v>
      </c>
      <c r="G430" s="57" t="s">
        <v>465</v>
      </c>
      <c r="H430" s="19"/>
      <c r="I430" s="19"/>
      <c r="J430" s="5"/>
      <c r="K430" s="1"/>
      <c r="L430" s="1"/>
    </row>
    <row r="431" spans="1:12" x14ac:dyDescent="0.2">
      <c r="A431" s="1" t="s">
        <v>25</v>
      </c>
      <c r="B431" s="2" t="s">
        <v>181</v>
      </c>
      <c r="D431" s="5" t="s">
        <v>464</v>
      </c>
      <c r="E431" s="3">
        <v>102500</v>
      </c>
      <c r="F431" s="3" t="s">
        <v>465</v>
      </c>
      <c r="G431" s="57" t="s">
        <v>465</v>
      </c>
    </row>
    <row r="432" spans="1:12" x14ac:dyDescent="0.2">
      <c r="A432" s="1" t="s">
        <v>25</v>
      </c>
      <c r="B432" s="2" t="s">
        <v>181</v>
      </c>
      <c r="D432" s="5" t="s">
        <v>464</v>
      </c>
      <c r="E432" s="3">
        <v>102500</v>
      </c>
      <c r="F432" s="3" t="s">
        <v>465</v>
      </c>
      <c r="G432" s="57" t="s">
        <v>465</v>
      </c>
    </row>
    <row r="433" spans="1:12" x14ac:dyDescent="0.2">
      <c r="A433" s="1" t="s">
        <v>25</v>
      </c>
      <c r="B433" s="2" t="s">
        <v>181</v>
      </c>
      <c r="D433" s="5" t="s">
        <v>464</v>
      </c>
      <c r="E433" s="3">
        <v>102500</v>
      </c>
      <c r="F433" s="3" t="s">
        <v>465</v>
      </c>
      <c r="G433" s="57" t="s">
        <v>465</v>
      </c>
    </row>
    <row r="434" spans="1:12" x14ac:dyDescent="0.2">
      <c r="A434" s="1" t="s">
        <v>25</v>
      </c>
      <c r="B434" s="2" t="s">
        <v>181</v>
      </c>
      <c r="D434" s="5" t="s">
        <v>464</v>
      </c>
      <c r="E434" s="3">
        <v>102500</v>
      </c>
      <c r="F434" s="3" t="s">
        <v>465</v>
      </c>
      <c r="G434" s="57" t="s">
        <v>465</v>
      </c>
    </row>
    <row r="435" spans="1:12" s="13" customFormat="1" x14ac:dyDescent="0.2">
      <c r="A435" s="1" t="s">
        <v>25</v>
      </c>
      <c r="B435" s="2" t="s">
        <v>181</v>
      </c>
      <c r="C435" s="5"/>
      <c r="D435" s="5" t="s">
        <v>464</v>
      </c>
      <c r="E435" s="3">
        <v>102500</v>
      </c>
      <c r="F435" s="3" t="s">
        <v>465</v>
      </c>
      <c r="G435" s="57" t="s">
        <v>465</v>
      </c>
      <c r="H435" s="19"/>
      <c r="I435" s="19"/>
      <c r="J435" s="5"/>
      <c r="K435" s="1"/>
      <c r="L435" s="1"/>
    </row>
    <row r="436" spans="1:12" s="13" customFormat="1" x14ac:dyDescent="0.2">
      <c r="A436" s="1" t="s">
        <v>25</v>
      </c>
      <c r="B436" s="2" t="s">
        <v>181</v>
      </c>
      <c r="C436" s="5"/>
      <c r="D436" s="5" t="s">
        <v>464</v>
      </c>
      <c r="E436" s="3">
        <v>107500</v>
      </c>
      <c r="F436" s="3" t="s">
        <v>465</v>
      </c>
      <c r="G436" s="57" t="s">
        <v>465</v>
      </c>
      <c r="H436" s="19"/>
      <c r="I436" s="19"/>
      <c r="J436" s="5"/>
      <c r="K436" s="1"/>
      <c r="L436" s="1"/>
    </row>
    <row r="437" spans="1:12" s="13" customFormat="1" x14ac:dyDescent="0.2">
      <c r="A437" s="1" t="s">
        <v>25</v>
      </c>
      <c r="B437" s="2" t="s">
        <v>181</v>
      </c>
      <c r="C437" s="5"/>
      <c r="D437" s="5" t="s">
        <v>464</v>
      </c>
      <c r="E437" s="3">
        <v>107500</v>
      </c>
      <c r="F437" s="3" t="s">
        <v>465</v>
      </c>
      <c r="G437" s="57" t="s">
        <v>465</v>
      </c>
      <c r="H437" s="19"/>
      <c r="I437" s="19"/>
      <c r="J437" s="5"/>
      <c r="K437" s="1"/>
      <c r="L437" s="1"/>
    </row>
    <row r="438" spans="1:12" s="13" customFormat="1" x14ac:dyDescent="0.2">
      <c r="A438" s="1" t="s">
        <v>25</v>
      </c>
      <c r="B438" s="2" t="s">
        <v>181</v>
      </c>
      <c r="C438" s="5"/>
      <c r="D438" s="5" t="s">
        <v>464</v>
      </c>
      <c r="E438" s="3">
        <v>107500</v>
      </c>
      <c r="F438" s="3" t="s">
        <v>465</v>
      </c>
      <c r="G438" s="57" t="s">
        <v>465</v>
      </c>
      <c r="H438" s="19"/>
      <c r="I438" s="19"/>
      <c r="J438" s="5"/>
      <c r="K438" s="1"/>
      <c r="L438" s="1"/>
    </row>
    <row r="439" spans="1:12" s="13" customFormat="1" x14ac:dyDescent="0.2">
      <c r="A439" s="1" t="s">
        <v>25</v>
      </c>
      <c r="B439" s="2" t="s">
        <v>181</v>
      </c>
      <c r="C439" s="5"/>
      <c r="D439" s="5" t="s">
        <v>464</v>
      </c>
      <c r="E439" s="3">
        <v>107500</v>
      </c>
      <c r="F439" s="3" t="s">
        <v>465</v>
      </c>
      <c r="G439" s="57" t="s">
        <v>465</v>
      </c>
      <c r="H439" s="19"/>
      <c r="I439" s="19"/>
      <c r="J439" s="5"/>
      <c r="K439" s="1"/>
      <c r="L439" s="1"/>
    </row>
    <row r="440" spans="1:12" s="13" customFormat="1" x14ac:dyDescent="0.2">
      <c r="A440" s="1" t="s">
        <v>25</v>
      </c>
      <c r="B440" s="2" t="s">
        <v>181</v>
      </c>
      <c r="C440" s="5"/>
      <c r="D440" s="5" t="s">
        <v>464</v>
      </c>
      <c r="E440" s="3">
        <v>132500</v>
      </c>
      <c r="F440" s="3" t="s">
        <v>465</v>
      </c>
      <c r="G440" s="57" t="s">
        <v>465</v>
      </c>
      <c r="H440" s="19"/>
      <c r="I440" s="19"/>
      <c r="J440" s="5" t="s">
        <v>1488</v>
      </c>
      <c r="K440" s="1"/>
      <c r="L440" s="1"/>
    </row>
    <row r="441" spans="1:12" s="13" customFormat="1" x14ac:dyDescent="0.2">
      <c r="A441" s="1" t="s">
        <v>25</v>
      </c>
      <c r="B441" s="2" t="s">
        <v>181</v>
      </c>
      <c r="C441" s="5"/>
      <c r="D441" s="5" t="s">
        <v>464</v>
      </c>
      <c r="E441" s="3">
        <v>137500</v>
      </c>
      <c r="F441" s="3" t="s">
        <v>465</v>
      </c>
      <c r="G441" s="57" t="s">
        <v>465</v>
      </c>
      <c r="H441" s="19"/>
      <c r="I441" s="19"/>
      <c r="J441" s="5"/>
      <c r="K441" s="1"/>
      <c r="L441" s="1"/>
    </row>
    <row r="442" spans="1:12" s="13" customFormat="1" x14ac:dyDescent="0.2">
      <c r="A442" s="1" t="s">
        <v>25</v>
      </c>
      <c r="B442" s="2" t="s">
        <v>181</v>
      </c>
      <c r="C442" s="5"/>
      <c r="D442" s="5" t="s">
        <v>464</v>
      </c>
      <c r="E442" s="3">
        <v>137500</v>
      </c>
      <c r="F442" s="3" t="s">
        <v>465</v>
      </c>
      <c r="G442" s="57" t="s">
        <v>465</v>
      </c>
      <c r="H442" s="19"/>
      <c r="I442" s="19"/>
      <c r="J442" s="5"/>
      <c r="K442" s="1"/>
      <c r="L442" s="1"/>
    </row>
    <row r="443" spans="1:12" s="13" customFormat="1" x14ac:dyDescent="0.2">
      <c r="A443" s="1" t="s">
        <v>4</v>
      </c>
      <c r="B443" s="2" t="s">
        <v>182</v>
      </c>
      <c r="C443" s="5"/>
      <c r="D443" s="5" t="s">
        <v>464</v>
      </c>
      <c r="E443" s="3">
        <v>102500</v>
      </c>
      <c r="F443" s="3" t="s">
        <v>465</v>
      </c>
      <c r="G443" s="57" t="s">
        <v>465</v>
      </c>
      <c r="H443" s="19"/>
      <c r="I443" s="19"/>
      <c r="J443" s="5"/>
      <c r="K443" s="1"/>
      <c r="L443" s="1"/>
    </row>
    <row r="444" spans="1:12" s="13" customFormat="1" x14ac:dyDescent="0.2">
      <c r="A444" s="1" t="s">
        <v>4</v>
      </c>
      <c r="B444" s="2" t="s">
        <v>182</v>
      </c>
      <c r="C444" s="5"/>
      <c r="D444" s="5" t="s">
        <v>464</v>
      </c>
      <c r="E444" s="3">
        <v>102500</v>
      </c>
      <c r="F444" s="3" t="s">
        <v>465</v>
      </c>
      <c r="G444" s="57" t="s">
        <v>465</v>
      </c>
      <c r="H444" s="19"/>
      <c r="I444" s="19"/>
      <c r="J444" s="5"/>
      <c r="K444" s="1"/>
      <c r="L444" s="1"/>
    </row>
    <row r="445" spans="1:12" s="13" customFormat="1" x14ac:dyDescent="0.2">
      <c r="A445" s="1" t="s">
        <v>4</v>
      </c>
      <c r="B445" s="2" t="s">
        <v>182</v>
      </c>
      <c r="C445" s="5"/>
      <c r="D445" s="5" t="s">
        <v>464</v>
      </c>
      <c r="E445" s="3">
        <v>107500</v>
      </c>
      <c r="F445" s="3" t="s">
        <v>465</v>
      </c>
      <c r="G445" s="57" t="s">
        <v>465</v>
      </c>
      <c r="H445" s="19"/>
      <c r="I445" s="19"/>
      <c r="J445" s="5"/>
      <c r="K445" s="1"/>
      <c r="L445" s="1"/>
    </row>
    <row r="446" spans="1:12" s="13" customFormat="1" x14ac:dyDescent="0.2">
      <c r="A446" s="1" t="s">
        <v>4</v>
      </c>
      <c r="B446" s="2" t="s">
        <v>182</v>
      </c>
      <c r="C446" s="5"/>
      <c r="D446" s="5" t="s">
        <v>464</v>
      </c>
      <c r="E446" s="3">
        <v>107500</v>
      </c>
      <c r="F446" s="3" t="s">
        <v>465</v>
      </c>
      <c r="G446" s="57" t="s">
        <v>465</v>
      </c>
      <c r="H446" s="19"/>
      <c r="I446" s="19"/>
      <c r="J446" s="5"/>
      <c r="K446" s="1"/>
      <c r="L446" s="1"/>
    </row>
    <row r="447" spans="1:12" s="13" customFormat="1" x14ac:dyDescent="0.2">
      <c r="A447" s="1" t="s">
        <v>4</v>
      </c>
      <c r="B447" s="2" t="s">
        <v>182</v>
      </c>
      <c r="C447" s="5"/>
      <c r="D447" s="5" t="s">
        <v>464</v>
      </c>
      <c r="E447" s="3">
        <v>112500</v>
      </c>
      <c r="F447" s="3" t="s">
        <v>465</v>
      </c>
      <c r="G447" s="57" t="s">
        <v>465</v>
      </c>
      <c r="H447" s="19"/>
      <c r="I447" s="19"/>
      <c r="J447" s="5"/>
      <c r="K447" s="1"/>
      <c r="L447" s="1"/>
    </row>
    <row r="448" spans="1:12" s="13" customFormat="1" x14ac:dyDescent="0.2">
      <c r="A448" s="1" t="s">
        <v>4</v>
      </c>
      <c r="B448" s="2" t="s">
        <v>182</v>
      </c>
      <c r="C448" s="5"/>
      <c r="D448" s="5" t="s">
        <v>464</v>
      </c>
      <c r="E448" s="3">
        <v>122500</v>
      </c>
      <c r="F448" s="3" t="s">
        <v>465</v>
      </c>
      <c r="G448" s="57" t="s">
        <v>465</v>
      </c>
      <c r="H448" s="19"/>
      <c r="I448" s="19"/>
      <c r="J448" s="5"/>
      <c r="K448" s="1"/>
      <c r="L448" s="1"/>
    </row>
    <row r="449" spans="1:12" s="13" customFormat="1" x14ac:dyDescent="0.2">
      <c r="A449" s="1" t="s">
        <v>25</v>
      </c>
      <c r="B449" s="2" t="s">
        <v>184</v>
      </c>
      <c r="C449" s="5"/>
      <c r="D449" s="5" t="s">
        <v>611</v>
      </c>
      <c r="E449" s="9">
        <v>147830</v>
      </c>
      <c r="F449" s="9" t="s">
        <v>465</v>
      </c>
      <c r="G449" s="57" t="s">
        <v>465</v>
      </c>
      <c r="H449" s="19"/>
      <c r="I449" s="19"/>
      <c r="J449" s="5"/>
      <c r="K449" s="1"/>
      <c r="L449" s="1"/>
    </row>
    <row r="450" spans="1:12" s="13" customFormat="1" x14ac:dyDescent="0.2">
      <c r="A450" s="1" t="s">
        <v>25</v>
      </c>
      <c r="B450" s="2" t="s">
        <v>184</v>
      </c>
      <c r="C450" s="5"/>
      <c r="D450" s="5" t="s">
        <v>464</v>
      </c>
      <c r="E450" s="3">
        <v>102500</v>
      </c>
      <c r="F450" s="3" t="s">
        <v>465</v>
      </c>
      <c r="G450" s="57" t="s">
        <v>465</v>
      </c>
      <c r="H450" s="19"/>
      <c r="I450" s="19"/>
      <c r="J450" s="5" t="s">
        <v>4350</v>
      </c>
      <c r="K450" s="1"/>
      <c r="L450" s="1"/>
    </row>
    <row r="451" spans="1:12" s="13" customFormat="1" x14ac:dyDescent="0.2">
      <c r="A451" s="1" t="s">
        <v>25</v>
      </c>
      <c r="B451" s="2" t="s">
        <v>184</v>
      </c>
      <c r="C451" s="5"/>
      <c r="D451" s="5" t="s">
        <v>464</v>
      </c>
      <c r="E451" s="3">
        <v>112500</v>
      </c>
      <c r="F451" s="3" t="s">
        <v>465</v>
      </c>
      <c r="G451" s="57" t="s">
        <v>465</v>
      </c>
      <c r="H451" s="19"/>
      <c r="I451" s="19"/>
      <c r="J451" s="5" t="s">
        <v>4350</v>
      </c>
      <c r="K451" s="1"/>
      <c r="L451" s="1"/>
    </row>
    <row r="452" spans="1:12" s="13" customFormat="1" x14ac:dyDescent="0.2">
      <c r="A452" s="1" t="s">
        <v>25</v>
      </c>
      <c r="B452" s="2" t="s">
        <v>184</v>
      </c>
      <c r="C452" s="5"/>
      <c r="D452" s="5" t="s">
        <v>464</v>
      </c>
      <c r="E452" s="3">
        <v>112500</v>
      </c>
      <c r="F452" s="3" t="s">
        <v>465</v>
      </c>
      <c r="G452" s="57" t="s">
        <v>465</v>
      </c>
      <c r="H452" s="19"/>
      <c r="I452" s="19"/>
      <c r="J452" s="5" t="s">
        <v>4350</v>
      </c>
      <c r="K452" s="1"/>
      <c r="L452" s="1"/>
    </row>
    <row r="453" spans="1:12" s="13" customFormat="1" x14ac:dyDescent="0.2">
      <c r="A453" s="1" t="s">
        <v>25</v>
      </c>
      <c r="B453" s="2" t="s">
        <v>184</v>
      </c>
      <c r="C453" s="5"/>
      <c r="D453" s="5" t="s">
        <v>464</v>
      </c>
      <c r="E453" s="3">
        <v>122500</v>
      </c>
      <c r="F453" s="3" t="s">
        <v>465</v>
      </c>
      <c r="G453" s="57" t="s">
        <v>465</v>
      </c>
      <c r="H453" s="19"/>
      <c r="I453" s="19"/>
      <c r="J453" s="5" t="s">
        <v>4350</v>
      </c>
      <c r="K453" s="1"/>
      <c r="L453" s="1"/>
    </row>
    <row r="454" spans="1:12" s="13" customFormat="1" x14ac:dyDescent="0.2">
      <c r="A454" s="1" t="s">
        <v>25</v>
      </c>
      <c r="B454" s="2" t="s">
        <v>184</v>
      </c>
      <c r="C454" s="5"/>
      <c r="D454" s="5" t="s">
        <v>464</v>
      </c>
      <c r="E454" s="3">
        <v>127500</v>
      </c>
      <c r="F454" s="3" t="s">
        <v>465</v>
      </c>
      <c r="G454" s="57" t="s">
        <v>465</v>
      </c>
      <c r="H454" s="19"/>
      <c r="I454" s="19"/>
      <c r="J454" s="5" t="s">
        <v>4350</v>
      </c>
      <c r="K454" s="1"/>
      <c r="L454" s="1"/>
    </row>
    <row r="455" spans="1:12" s="13" customFormat="1" x14ac:dyDescent="0.2">
      <c r="A455" s="1" t="s">
        <v>20</v>
      </c>
      <c r="B455" s="2" t="s">
        <v>185</v>
      </c>
      <c r="C455" s="5"/>
      <c r="D455" s="5" t="s">
        <v>504</v>
      </c>
      <c r="E455" s="9">
        <v>108065</v>
      </c>
      <c r="F455" s="9" t="s">
        <v>465</v>
      </c>
      <c r="G455" s="57" t="s">
        <v>465</v>
      </c>
      <c r="H455" s="19"/>
      <c r="I455" s="19"/>
      <c r="J455" s="5"/>
      <c r="K455" s="1"/>
      <c r="L455" s="1"/>
    </row>
    <row r="456" spans="1:12" s="13" customFormat="1" x14ac:dyDescent="0.2">
      <c r="A456" s="1" t="s">
        <v>20</v>
      </c>
      <c r="B456" s="2" t="s">
        <v>185</v>
      </c>
      <c r="C456" s="5"/>
      <c r="D456" s="5" t="s">
        <v>504</v>
      </c>
      <c r="E456" s="9">
        <v>108062</v>
      </c>
      <c r="F456" s="9" t="s">
        <v>465</v>
      </c>
      <c r="G456" s="57" t="s">
        <v>465</v>
      </c>
      <c r="H456" s="19"/>
      <c r="I456" s="19"/>
      <c r="J456" s="5"/>
      <c r="K456" s="1"/>
      <c r="L456" s="1"/>
    </row>
    <row r="457" spans="1:12" s="13" customFormat="1" x14ac:dyDescent="0.2">
      <c r="A457" s="1" t="s">
        <v>25</v>
      </c>
      <c r="B457" s="2" t="s">
        <v>187</v>
      </c>
      <c r="C457" s="5"/>
      <c r="D457" s="5" t="s">
        <v>464</v>
      </c>
      <c r="E457" s="3">
        <v>102500</v>
      </c>
      <c r="F457" s="3" t="s">
        <v>465</v>
      </c>
      <c r="G457" s="57" t="s">
        <v>465</v>
      </c>
      <c r="H457" s="19"/>
      <c r="I457" s="19"/>
      <c r="J457" s="1"/>
      <c r="K457" s="1"/>
      <c r="L457" s="1"/>
    </row>
    <row r="458" spans="1:12" x14ac:dyDescent="0.2">
      <c r="A458" s="1" t="s">
        <v>25</v>
      </c>
      <c r="B458" s="2" t="s">
        <v>187</v>
      </c>
      <c r="D458" s="5" t="s">
        <v>464</v>
      </c>
      <c r="E458" s="3">
        <v>107500</v>
      </c>
      <c r="F458" s="3" t="s">
        <v>465</v>
      </c>
      <c r="G458" s="57" t="s">
        <v>465</v>
      </c>
      <c r="J458" s="1"/>
    </row>
    <row r="459" spans="1:12" x14ac:dyDescent="0.2">
      <c r="A459" s="1" t="s">
        <v>25</v>
      </c>
      <c r="B459" s="2" t="s">
        <v>187</v>
      </c>
      <c r="D459" s="5" t="s">
        <v>464</v>
      </c>
      <c r="E459" s="3">
        <v>107500</v>
      </c>
      <c r="F459" s="3" t="s">
        <v>465</v>
      </c>
      <c r="G459" s="57" t="s">
        <v>465</v>
      </c>
      <c r="J459" s="1"/>
    </row>
    <row r="460" spans="1:12" s="13" customFormat="1" x14ac:dyDescent="0.2">
      <c r="A460" s="1" t="s">
        <v>25</v>
      </c>
      <c r="B460" s="2" t="s">
        <v>187</v>
      </c>
      <c r="C460" s="5"/>
      <c r="D460" s="5" t="s">
        <v>464</v>
      </c>
      <c r="E460" s="3">
        <v>107500</v>
      </c>
      <c r="F460" s="3" t="s">
        <v>465</v>
      </c>
      <c r="G460" s="57" t="s">
        <v>465</v>
      </c>
      <c r="H460" s="19"/>
      <c r="I460" s="19"/>
      <c r="J460" s="1"/>
      <c r="K460" s="1"/>
      <c r="L460" s="1"/>
    </row>
    <row r="461" spans="1:12" s="13" customFormat="1" x14ac:dyDescent="0.2">
      <c r="A461" s="1" t="s">
        <v>25</v>
      </c>
      <c r="B461" s="2" t="s">
        <v>187</v>
      </c>
      <c r="C461" s="5"/>
      <c r="D461" s="5" t="s">
        <v>464</v>
      </c>
      <c r="E461" s="3">
        <v>112500</v>
      </c>
      <c r="F461" s="3" t="s">
        <v>465</v>
      </c>
      <c r="G461" s="57" t="s">
        <v>465</v>
      </c>
      <c r="H461" s="19"/>
      <c r="I461" s="19"/>
      <c r="J461" s="1"/>
      <c r="K461" s="1"/>
      <c r="L461" s="1"/>
    </row>
    <row r="462" spans="1:12" s="13" customFormat="1" x14ac:dyDescent="0.2">
      <c r="A462" s="1" t="s">
        <v>25</v>
      </c>
      <c r="B462" s="2" t="s">
        <v>187</v>
      </c>
      <c r="C462" s="5"/>
      <c r="D462" s="5" t="s">
        <v>464</v>
      </c>
      <c r="E462" s="3">
        <v>112500</v>
      </c>
      <c r="F462" s="3" t="s">
        <v>465</v>
      </c>
      <c r="G462" s="57" t="s">
        <v>465</v>
      </c>
      <c r="H462" s="19"/>
      <c r="I462" s="19"/>
      <c r="J462" s="1"/>
      <c r="K462" s="1"/>
      <c r="L462" s="1"/>
    </row>
    <row r="463" spans="1:12" x14ac:dyDescent="0.2">
      <c r="A463" s="1" t="s">
        <v>25</v>
      </c>
      <c r="B463" s="2" t="s">
        <v>187</v>
      </c>
      <c r="D463" s="5" t="s">
        <v>464</v>
      </c>
      <c r="E463" s="3">
        <v>117500</v>
      </c>
      <c r="F463" s="3" t="s">
        <v>465</v>
      </c>
      <c r="G463" s="57" t="s">
        <v>465</v>
      </c>
      <c r="J463" s="1"/>
    </row>
    <row r="464" spans="1:12" x14ac:dyDescent="0.2">
      <c r="A464" s="1" t="s">
        <v>25</v>
      </c>
      <c r="B464" s="2" t="s">
        <v>187</v>
      </c>
      <c r="D464" s="5" t="s">
        <v>464</v>
      </c>
      <c r="E464" s="3">
        <v>132500</v>
      </c>
      <c r="F464" s="3" t="s">
        <v>465</v>
      </c>
      <c r="G464" s="57" t="s">
        <v>465</v>
      </c>
      <c r="J464" s="1"/>
    </row>
    <row r="465" spans="1:12" x14ac:dyDescent="0.2">
      <c r="A465" s="1" t="s">
        <v>111</v>
      </c>
      <c r="B465" s="2" t="s">
        <v>189</v>
      </c>
      <c r="D465" s="5" t="s">
        <v>3504</v>
      </c>
      <c r="E465" s="9">
        <v>151268</v>
      </c>
      <c r="F465" s="9" t="s">
        <v>465</v>
      </c>
      <c r="G465" s="57" t="s">
        <v>465</v>
      </c>
      <c r="J465" s="5" t="s">
        <v>2356</v>
      </c>
    </row>
    <row r="466" spans="1:12" x14ac:dyDescent="0.2">
      <c r="A466" s="1" t="s">
        <v>111</v>
      </c>
      <c r="B466" s="2" t="s">
        <v>189</v>
      </c>
      <c r="D466" s="5" t="s">
        <v>487</v>
      </c>
      <c r="E466" s="9">
        <v>138719</v>
      </c>
      <c r="F466" s="9" t="s">
        <v>465</v>
      </c>
      <c r="G466" s="57" t="s">
        <v>465</v>
      </c>
      <c r="J466" s="5" t="s">
        <v>2356</v>
      </c>
    </row>
    <row r="467" spans="1:12" x14ac:dyDescent="0.2">
      <c r="A467" s="1" t="s">
        <v>111</v>
      </c>
      <c r="B467" s="2" t="s">
        <v>189</v>
      </c>
      <c r="D467" s="5" t="s">
        <v>464</v>
      </c>
      <c r="E467" s="3">
        <v>112500</v>
      </c>
      <c r="F467" s="3" t="s">
        <v>465</v>
      </c>
      <c r="G467" s="57" t="s">
        <v>465</v>
      </c>
      <c r="J467" s="5" t="s">
        <v>539</v>
      </c>
    </row>
    <row r="468" spans="1:12" x14ac:dyDescent="0.2">
      <c r="A468" s="1" t="s">
        <v>25</v>
      </c>
      <c r="B468" s="2" t="s">
        <v>192</v>
      </c>
      <c r="D468" s="5" t="s">
        <v>464</v>
      </c>
      <c r="E468" s="3">
        <v>102500</v>
      </c>
      <c r="F468" s="3" t="s">
        <v>465</v>
      </c>
      <c r="G468" s="57" t="s">
        <v>465</v>
      </c>
    </row>
    <row r="469" spans="1:12" x14ac:dyDescent="0.2">
      <c r="A469" s="1" t="s">
        <v>25</v>
      </c>
      <c r="B469" s="2" t="s">
        <v>192</v>
      </c>
      <c r="D469" s="5" t="s">
        <v>464</v>
      </c>
      <c r="E469" s="3">
        <v>107500</v>
      </c>
      <c r="F469" s="3" t="s">
        <v>465</v>
      </c>
      <c r="G469" s="57" t="s">
        <v>465</v>
      </c>
    </row>
    <row r="470" spans="1:12" x14ac:dyDescent="0.2">
      <c r="A470" s="1" t="s">
        <v>39</v>
      </c>
      <c r="B470" s="2" t="s">
        <v>193</v>
      </c>
      <c r="D470" s="5" t="s">
        <v>942</v>
      </c>
      <c r="E470" s="9">
        <v>250127</v>
      </c>
      <c r="F470" s="9" t="s">
        <v>465</v>
      </c>
      <c r="G470" s="57" t="s">
        <v>465</v>
      </c>
      <c r="J470" s="5" t="s">
        <v>3486</v>
      </c>
    </row>
    <row r="471" spans="1:12" x14ac:dyDescent="0.2">
      <c r="A471" s="1" t="s">
        <v>39</v>
      </c>
      <c r="B471" s="2" t="s">
        <v>193</v>
      </c>
      <c r="D471" s="5" t="s">
        <v>3488</v>
      </c>
      <c r="E471" s="3">
        <v>223820</v>
      </c>
      <c r="F471" s="3" t="s">
        <v>465</v>
      </c>
      <c r="G471" s="57" t="s">
        <v>465</v>
      </c>
      <c r="J471" s="5" t="s">
        <v>3489</v>
      </c>
    </row>
    <row r="472" spans="1:12" s="13" customFormat="1" ht="38.25" x14ac:dyDescent="0.2">
      <c r="A472" s="1" t="s">
        <v>20</v>
      </c>
      <c r="B472" s="2" t="s">
        <v>194</v>
      </c>
      <c r="C472" s="5" t="s">
        <v>3472</v>
      </c>
      <c r="D472" s="5" t="s">
        <v>3471</v>
      </c>
      <c r="E472" s="9">
        <v>111998</v>
      </c>
      <c r="F472" s="9" t="s">
        <v>465</v>
      </c>
      <c r="G472" s="57" t="s">
        <v>465</v>
      </c>
      <c r="H472" s="19"/>
      <c r="I472" s="19"/>
      <c r="J472" s="5" t="s">
        <v>4354</v>
      </c>
      <c r="K472" s="1"/>
      <c r="L472" s="1"/>
    </row>
    <row r="473" spans="1:12" s="13" customFormat="1" ht="38.25" x14ac:dyDescent="0.2">
      <c r="A473" s="1" t="s">
        <v>20</v>
      </c>
      <c r="B473" s="2" t="s">
        <v>194</v>
      </c>
      <c r="C473" s="5" t="s">
        <v>3481</v>
      </c>
      <c r="D473" s="5" t="s">
        <v>3480</v>
      </c>
      <c r="E473" s="9">
        <v>158625</v>
      </c>
      <c r="F473" s="9" t="s">
        <v>465</v>
      </c>
      <c r="G473" s="57" t="s">
        <v>465</v>
      </c>
      <c r="H473" s="19"/>
      <c r="I473" s="19"/>
      <c r="J473" s="5" t="s">
        <v>4353</v>
      </c>
      <c r="K473" s="1"/>
      <c r="L473" s="1"/>
    </row>
    <row r="474" spans="1:12" x14ac:dyDescent="0.2">
      <c r="A474" s="1" t="s">
        <v>20</v>
      </c>
      <c r="B474" s="2" t="s">
        <v>194</v>
      </c>
      <c r="D474" s="5" t="s">
        <v>464</v>
      </c>
      <c r="E474" s="3">
        <v>102500</v>
      </c>
      <c r="F474" s="3" t="s">
        <v>465</v>
      </c>
      <c r="G474" s="57" t="s">
        <v>465</v>
      </c>
      <c r="J474" s="1"/>
    </row>
    <row r="475" spans="1:12" x14ac:dyDescent="0.2">
      <c r="A475" s="1" t="s">
        <v>20</v>
      </c>
      <c r="B475" s="2" t="s">
        <v>194</v>
      </c>
      <c r="D475" s="5" t="s">
        <v>464</v>
      </c>
      <c r="E475" s="3">
        <v>102500</v>
      </c>
      <c r="F475" s="3" t="s">
        <v>465</v>
      </c>
      <c r="G475" s="57" t="s">
        <v>465</v>
      </c>
      <c r="J475" s="1"/>
    </row>
    <row r="476" spans="1:12" x14ac:dyDescent="0.2">
      <c r="A476" s="1" t="s">
        <v>20</v>
      </c>
      <c r="B476" s="2" t="s">
        <v>194</v>
      </c>
      <c r="D476" s="5" t="s">
        <v>464</v>
      </c>
      <c r="E476" s="3">
        <v>102500</v>
      </c>
      <c r="F476" s="3" t="s">
        <v>465</v>
      </c>
      <c r="G476" s="57" t="s">
        <v>465</v>
      </c>
      <c r="J476" s="1"/>
    </row>
    <row r="477" spans="1:12" x14ac:dyDescent="0.2">
      <c r="A477" s="1" t="s">
        <v>20</v>
      </c>
      <c r="B477" s="2" t="s">
        <v>194</v>
      </c>
      <c r="D477" s="5" t="s">
        <v>464</v>
      </c>
      <c r="E477" s="3">
        <v>102500</v>
      </c>
      <c r="F477" s="3" t="s">
        <v>465</v>
      </c>
      <c r="G477" s="57" t="s">
        <v>465</v>
      </c>
      <c r="J477" s="1"/>
    </row>
    <row r="478" spans="1:12" x14ac:dyDescent="0.2">
      <c r="A478" s="1" t="s">
        <v>20</v>
      </c>
      <c r="B478" s="2" t="s">
        <v>194</v>
      </c>
      <c r="D478" s="5" t="s">
        <v>464</v>
      </c>
      <c r="E478" s="3">
        <v>112500</v>
      </c>
      <c r="F478" s="3" t="s">
        <v>465</v>
      </c>
      <c r="G478" s="57" t="s">
        <v>465</v>
      </c>
      <c r="J478" s="1"/>
    </row>
    <row r="479" spans="1:12" s="13" customFormat="1" x14ac:dyDescent="0.2">
      <c r="A479" s="1" t="s">
        <v>20</v>
      </c>
      <c r="B479" s="2" t="s">
        <v>194</v>
      </c>
      <c r="C479" s="5"/>
      <c r="D479" s="5" t="s">
        <v>464</v>
      </c>
      <c r="E479" s="3">
        <v>117500</v>
      </c>
      <c r="F479" s="3" t="s">
        <v>465</v>
      </c>
      <c r="G479" s="57" t="s">
        <v>465</v>
      </c>
      <c r="H479" s="19"/>
      <c r="I479" s="19"/>
      <c r="J479" s="5"/>
      <c r="K479" s="1"/>
      <c r="L479" s="1"/>
    </row>
    <row r="480" spans="1:12" s="13" customFormat="1" x14ac:dyDescent="0.2">
      <c r="A480" s="1" t="s">
        <v>20</v>
      </c>
      <c r="B480" s="2" t="s">
        <v>194</v>
      </c>
      <c r="C480" s="5"/>
      <c r="D480" s="5" t="s">
        <v>464</v>
      </c>
      <c r="E480" s="3">
        <v>217500</v>
      </c>
      <c r="F480" s="3" t="s">
        <v>465</v>
      </c>
      <c r="G480" s="57" t="s">
        <v>465</v>
      </c>
      <c r="H480" s="19"/>
      <c r="I480" s="19"/>
      <c r="J480" s="5"/>
      <c r="K480" s="1"/>
      <c r="L480" s="1"/>
    </row>
    <row r="481" spans="1:12" s="13" customFormat="1" ht="25.5" x14ac:dyDescent="0.2">
      <c r="A481" s="1" t="s">
        <v>1</v>
      </c>
      <c r="B481" s="2" t="s">
        <v>196</v>
      </c>
      <c r="C481" s="5" t="s">
        <v>3454</v>
      </c>
      <c r="D481" s="5" t="s">
        <v>908</v>
      </c>
      <c r="E481" s="6">
        <v>105450</v>
      </c>
      <c r="F481" s="9" t="s">
        <v>465</v>
      </c>
      <c r="G481" s="57" t="s">
        <v>465</v>
      </c>
      <c r="H481" s="19"/>
      <c r="I481" s="19"/>
      <c r="J481" s="5" t="s">
        <v>3462</v>
      </c>
      <c r="K481" s="1"/>
      <c r="L481" s="1"/>
    </row>
    <row r="482" spans="1:12" s="13" customFormat="1" x14ac:dyDescent="0.2">
      <c r="A482" s="1" t="s">
        <v>25</v>
      </c>
      <c r="B482" s="2" t="s">
        <v>197</v>
      </c>
      <c r="C482" s="5"/>
      <c r="D482" s="5" t="s">
        <v>920</v>
      </c>
      <c r="E482" s="9">
        <v>159516</v>
      </c>
      <c r="F482" s="9" t="s">
        <v>465</v>
      </c>
      <c r="G482" s="57" t="s">
        <v>465</v>
      </c>
      <c r="H482" s="19"/>
      <c r="I482" s="19"/>
      <c r="J482" s="5" t="s">
        <v>3453</v>
      </c>
      <c r="K482" s="1"/>
      <c r="L482" s="1"/>
    </row>
    <row r="483" spans="1:12" s="13" customFormat="1" x14ac:dyDescent="0.2">
      <c r="A483" s="1" t="s">
        <v>25</v>
      </c>
      <c r="B483" s="2" t="s">
        <v>197</v>
      </c>
      <c r="C483" s="5"/>
      <c r="D483" s="5" t="s">
        <v>464</v>
      </c>
      <c r="E483" s="3">
        <v>102500</v>
      </c>
      <c r="F483" s="3" t="s">
        <v>465</v>
      </c>
      <c r="G483" s="57" t="s">
        <v>465</v>
      </c>
      <c r="H483" s="19"/>
      <c r="I483" s="19"/>
      <c r="J483" s="5"/>
      <c r="K483" s="1"/>
      <c r="L483" s="1"/>
    </row>
    <row r="484" spans="1:12" x14ac:dyDescent="0.2">
      <c r="A484" s="1" t="s">
        <v>25</v>
      </c>
      <c r="B484" s="2" t="s">
        <v>197</v>
      </c>
      <c r="D484" s="5" t="s">
        <v>464</v>
      </c>
      <c r="E484" s="3">
        <v>132500</v>
      </c>
      <c r="F484" s="3" t="s">
        <v>465</v>
      </c>
      <c r="G484" s="57" t="s">
        <v>465</v>
      </c>
      <c r="J484" s="5" t="s">
        <v>2234</v>
      </c>
    </row>
    <row r="485" spans="1:12" x14ac:dyDescent="0.2">
      <c r="A485" s="1" t="s">
        <v>25</v>
      </c>
      <c r="B485" s="2" t="s">
        <v>197</v>
      </c>
      <c r="D485" s="5" t="s">
        <v>464</v>
      </c>
      <c r="E485" s="3">
        <v>152500</v>
      </c>
      <c r="F485" s="3" t="s">
        <v>465</v>
      </c>
      <c r="G485" s="57" t="s">
        <v>465</v>
      </c>
      <c r="J485" s="5" t="s">
        <v>2234</v>
      </c>
    </row>
    <row r="486" spans="1:12" x14ac:dyDescent="0.2">
      <c r="A486" s="1" t="s">
        <v>8</v>
      </c>
      <c r="B486" s="2" t="s">
        <v>198</v>
      </c>
      <c r="D486" s="5" t="s">
        <v>3432</v>
      </c>
      <c r="E486" s="3">
        <v>103403</v>
      </c>
      <c r="F486" s="3" t="s">
        <v>465</v>
      </c>
      <c r="G486" s="57" t="s">
        <v>465</v>
      </c>
    </row>
    <row r="487" spans="1:12" ht="38.25" x14ac:dyDescent="0.2">
      <c r="A487" s="1" t="s">
        <v>4</v>
      </c>
      <c r="B487" s="2" t="s">
        <v>199</v>
      </c>
      <c r="D487" s="5" t="s">
        <v>524</v>
      </c>
      <c r="E487" s="9">
        <v>125206</v>
      </c>
      <c r="F487" s="9" t="s">
        <v>465</v>
      </c>
      <c r="G487" s="57" t="s">
        <v>465</v>
      </c>
      <c r="J487" s="5" t="s">
        <v>3428</v>
      </c>
    </row>
    <row r="488" spans="1:12" x14ac:dyDescent="0.2">
      <c r="A488" s="1" t="s">
        <v>4</v>
      </c>
      <c r="B488" s="2" t="s">
        <v>199</v>
      </c>
      <c r="D488" s="5" t="s">
        <v>3423</v>
      </c>
      <c r="E488" s="9">
        <v>207693</v>
      </c>
      <c r="F488" s="9" t="s">
        <v>465</v>
      </c>
      <c r="G488" s="57" t="s">
        <v>465</v>
      </c>
    </row>
    <row r="489" spans="1:12" x14ac:dyDescent="0.2">
      <c r="A489" s="1" t="s">
        <v>4</v>
      </c>
      <c r="B489" s="2" t="s">
        <v>199</v>
      </c>
      <c r="D489" s="5" t="s">
        <v>3424</v>
      </c>
      <c r="E489" s="9">
        <v>140080</v>
      </c>
      <c r="F489" s="9" t="s">
        <v>465</v>
      </c>
      <c r="G489" s="57" t="s">
        <v>465</v>
      </c>
    </row>
    <row r="490" spans="1:12" x14ac:dyDescent="0.2">
      <c r="A490" s="1" t="s">
        <v>4</v>
      </c>
      <c r="B490" s="2" t="s">
        <v>199</v>
      </c>
      <c r="D490" s="5" t="s">
        <v>3425</v>
      </c>
      <c r="E490" s="9">
        <v>158388</v>
      </c>
      <c r="F490" s="9" t="s">
        <v>465</v>
      </c>
      <c r="G490" s="57" t="s">
        <v>465</v>
      </c>
    </row>
    <row r="491" spans="1:12" x14ac:dyDescent="0.2">
      <c r="A491" s="1" t="s">
        <v>4</v>
      </c>
      <c r="B491" s="2" t="s">
        <v>199</v>
      </c>
      <c r="D491" s="5" t="s">
        <v>3426</v>
      </c>
      <c r="E491" s="9">
        <v>167056</v>
      </c>
      <c r="F491" s="9" t="s">
        <v>465</v>
      </c>
      <c r="G491" s="57" t="s">
        <v>465</v>
      </c>
    </row>
    <row r="492" spans="1:12" x14ac:dyDescent="0.2">
      <c r="A492" s="1" t="s">
        <v>4</v>
      </c>
      <c r="B492" s="2" t="s">
        <v>199</v>
      </c>
      <c r="D492" s="5" t="s">
        <v>3427</v>
      </c>
      <c r="E492" s="9">
        <v>202203</v>
      </c>
      <c r="F492" s="9" t="s">
        <v>465</v>
      </c>
      <c r="G492" s="57" t="s">
        <v>465</v>
      </c>
    </row>
    <row r="493" spans="1:12" x14ac:dyDescent="0.2">
      <c r="A493" s="1" t="s">
        <v>25</v>
      </c>
      <c r="B493" s="2" t="s">
        <v>200</v>
      </c>
      <c r="D493" s="5" t="s">
        <v>464</v>
      </c>
      <c r="E493" s="3">
        <v>102500</v>
      </c>
      <c r="F493" s="3" t="s">
        <v>465</v>
      </c>
      <c r="G493" s="57" t="s">
        <v>465</v>
      </c>
    </row>
    <row r="494" spans="1:12" x14ac:dyDescent="0.2">
      <c r="A494" s="1" t="s">
        <v>25</v>
      </c>
      <c r="B494" s="2" t="s">
        <v>200</v>
      </c>
      <c r="D494" s="5" t="s">
        <v>464</v>
      </c>
      <c r="E494" s="3">
        <v>107500</v>
      </c>
      <c r="F494" s="3" t="s">
        <v>465</v>
      </c>
      <c r="G494" s="57" t="s">
        <v>465</v>
      </c>
    </row>
    <row r="495" spans="1:12" x14ac:dyDescent="0.2">
      <c r="A495" s="1" t="s">
        <v>44</v>
      </c>
      <c r="B495" s="2" t="s">
        <v>205</v>
      </c>
      <c r="D495" s="5" t="s">
        <v>470</v>
      </c>
      <c r="E495" s="59">
        <v>141138</v>
      </c>
      <c r="F495" s="3" t="s">
        <v>465</v>
      </c>
      <c r="G495" s="57" t="s">
        <v>465</v>
      </c>
      <c r="J495" s="5" t="s">
        <v>3397</v>
      </c>
    </row>
    <row r="496" spans="1:12" x14ac:dyDescent="0.2">
      <c r="A496" s="1" t="s">
        <v>25</v>
      </c>
      <c r="B496" s="2" t="s">
        <v>208</v>
      </c>
      <c r="D496" s="5" t="s">
        <v>562</v>
      </c>
      <c r="E496" s="9">
        <v>107762</v>
      </c>
      <c r="F496" s="9" t="s">
        <v>465</v>
      </c>
      <c r="G496" s="57" t="s">
        <v>465</v>
      </c>
      <c r="J496" s="5" t="s">
        <v>3383</v>
      </c>
    </row>
    <row r="497" spans="1:10" x14ac:dyDescent="0.2">
      <c r="A497" s="1" t="s">
        <v>25</v>
      </c>
      <c r="B497" s="2" t="s">
        <v>208</v>
      </c>
      <c r="D497" s="5" t="s">
        <v>464</v>
      </c>
      <c r="E497" s="3">
        <v>102500</v>
      </c>
      <c r="F497" s="3" t="s">
        <v>465</v>
      </c>
      <c r="G497" s="57" t="s">
        <v>465</v>
      </c>
      <c r="J497" s="1"/>
    </row>
    <row r="498" spans="1:10" x14ac:dyDescent="0.2">
      <c r="A498" s="1" t="s">
        <v>25</v>
      </c>
      <c r="B498" s="2" t="s">
        <v>208</v>
      </c>
      <c r="D498" s="5" t="s">
        <v>464</v>
      </c>
      <c r="E498" s="3">
        <v>102500</v>
      </c>
      <c r="F498" s="3" t="s">
        <v>465</v>
      </c>
      <c r="G498" s="57" t="s">
        <v>465</v>
      </c>
      <c r="J498" s="1"/>
    </row>
    <row r="499" spans="1:10" x14ac:dyDescent="0.2">
      <c r="A499" s="1" t="s">
        <v>25</v>
      </c>
      <c r="B499" s="2" t="s">
        <v>208</v>
      </c>
      <c r="D499" s="5" t="s">
        <v>464</v>
      </c>
      <c r="E499" s="3">
        <v>102500</v>
      </c>
      <c r="F499" s="3" t="s">
        <v>465</v>
      </c>
      <c r="G499" s="57" t="s">
        <v>465</v>
      </c>
      <c r="J499" s="1"/>
    </row>
    <row r="500" spans="1:10" x14ac:dyDescent="0.2">
      <c r="A500" s="1" t="s">
        <v>25</v>
      </c>
      <c r="B500" s="2" t="s">
        <v>208</v>
      </c>
      <c r="D500" s="5" t="s">
        <v>464</v>
      </c>
      <c r="E500" s="3">
        <v>102500</v>
      </c>
      <c r="F500" s="3" t="s">
        <v>465</v>
      </c>
      <c r="G500" s="57" t="s">
        <v>465</v>
      </c>
      <c r="J500" s="1"/>
    </row>
    <row r="501" spans="1:10" x14ac:dyDescent="0.2">
      <c r="A501" s="1" t="s">
        <v>25</v>
      </c>
      <c r="B501" s="2" t="s">
        <v>208</v>
      </c>
      <c r="D501" s="5" t="s">
        <v>464</v>
      </c>
      <c r="E501" s="3">
        <v>102500</v>
      </c>
      <c r="F501" s="3" t="s">
        <v>465</v>
      </c>
      <c r="G501" s="57" t="s">
        <v>465</v>
      </c>
      <c r="J501" s="1"/>
    </row>
    <row r="502" spans="1:10" x14ac:dyDescent="0.2">
      <c r="A502" s="1" t="s">
        <v>25</v>
      </c>
      <c r="B502" s="2" t="s">
        <v>208</v>
      </c>
      <c r="D502" s="5" t="s">
        <v>464</v>
      </c>
      <c r="E502" s="3">
        <v>102500</v>
      </c>
      <c r="F502" s="3" t="s">
        <v>465</v>
      </c>
      <c r="G502" s="57" t="s">
        <v>465</v>
      </c>
      <c r="J502" s="1"/>
    </row>
    <row r="503" spans="1:10" x14ac:dyDescent="0.2">
      <c r="A503" s="1" t="s">
        <v>25</v>
      </c>
      <c r="B503" s="2" t="s">
        <v>208</v>
      </c>
      <c r="D503" s="5" t="s">
        <v>464</v>
      </c>
      <c r="E503" s="3">
        <v>102500</v>
      </c>
      <c r="F503" s="3" t="s">
        <v>465</v>
      </c>
      <c r="G503" s="57" t="s">
        <v>465</v>
      </c>
      <c r="J503" s="1"/>
    </row>
    <row r="504" spans="1:10" x14ac:dyDescent="0.2">
      <c r="A504" s="1" t="s">
        <v>25</v>
      </c>
      <c r="B504" s="2" t="s">
        <v>208</v>
      </c>
      <c r="D504" s="5" t="s">
        <v>464</v>
      </c>
      <c r="E504" s="3">
        <v>102500</v>
      </c>
      <c r="F504" s="3" t="s">
        <v>465</v>
      </c>
      <c r="G504" s="57" t="s">
        <v>465</v>
      </c>
      <c r="J504" s="1"/>
    </row>
    <row r="505" spans="1:10" x14ac:dyDescent="0.2">
      <c r="A505" s="1" t="s">
        <v>25</v>
      </c>
      <c r="B505" s="2" t="s">
        <v>208</v>
      </c>
      <c r="D505" s="5" t="s">
        <v>464</v>
      </c>
      <c r="E505" s="3">
        <v>102500</v>
      </c>
      <c r="F505" s="3" t="s">
        <v>465</v>
      </c>
      <c r="G505" s="57" t="s">
        <v>465</v>
      </c>
      <c r="J505" s="1"/>
    </row>
    <row r="506" spans="1:10" x14ac:dyDescent="0.2">
      <c r="A506" s="1" t="s">
        <v>25</v>
      </c>
      <c r="B506" s="2" t="s">
        <v>208</v>
      </c>
      <c r="D506" s="5" t="s">
        <v>464</v>
      </c>
      <c r="E506" s="3">
        <v>107500</v>
      </c>
      <c r="F506" s="3" t="s">
        <v>465</v>
      </c>
      <c r="G506" s="57" t="s">
        <v>465</v>
      </c>
      <c r="H506" s="4"/>
      <c r="I506" s="4"/>
      <c r="J506" s="1"/>
    </row>
    <row r="507" spans="1:10" x14ac:dyDescent="0.2">
      <c r="A507" s="1" t="s">
        <v>25</v>
      </c>
      <c r="B507" s="2" t="s">
        <v>208</v>
      </c>
      <c r="D507" s="5" t="s">
        <v>464</v>
      </c>
      <c r="E507" s="3">
        <v>107500</v>
      </c>
      <c r="F507" s="3" t="s">
        <v>465</v>
      </c>
      <c r="G507" s="57" t="s">
        <v>465</v>
      </c>
      <c r="H507" s="4"/>
      <c r="I507" s="4"/>
      <c r="J507" s="1"/>
    </row>
    <row r="508" spans="1:10" x14ac:dyDescent="0.2">
      <c r="A508" s="1" t="s">
        <v>25</v>
      </c>
      <c r="B508" s="2" t="s">
        <v>208</v>
      </c>
      <c r="D508" s="5" t="s">
        <v>464</v>
      </c>
      <c r="E508" s="3">
        <v>112500</v>
      </c>
      <c r="F508" s="3" t="s">
        <v>465</v>
      </c>
      <c r="G508" s="57" t="s">
        <v>465</v>
      </c>
      <c r="H508" s="4"/>
      <c r="I508" s="4"/>
      <c r="J508" s="1"/>
    </row>
    <row r="509" spans="1:10" x14ac:dyDescent="0.2">
      <c r="A509" s="1" t="s">
        <v>25</v>
      </c>
      <c r="B509" s="2" t="s">
        <v>208</v>
      </c>
      <c r="D509" s="5" t="s">
        <v>464</v>
      </c>
      <c r="E509" s="3">
        <v>112500</v>
      </c>
      <c r="F509" s="3" t="s">
        <v>465</v>
      </c>
      <c r="G509" s="57" t="s">
        <v>465</v>
      </c>
      <c r="H509" s="4"/>
      <c r="I509" s="4"/>
      <c r="J509" s="1"/>
    </row>
    <row r="510" spans="1:10" x14ac:dyDescent="0.2">
      <c r="A510" s="1" t="s">
        <v>25</v>
      </c>
      <c r="B510" s="2" t="s">
        <v>208</v>
      </c>
      <c r="D510" s="5" t="s">
        <v>464</v>
      </c>
      <c r="E510" s="3">
        <v>112500</v>
      </c>
      <c r="F510" s="3" t="s">
        <v>465</v>
      </c>
      <c r="G510" s="57" t="s">
        <v>465</v>
      </c>
      <c r="H510" s="4"/>
      <c r="I510" s="4"/>
      <c r="J510" s="1"/>
    </row>
    <row r="511" spans="1:10" x14ac:dyDescent="0.2">
      <c r="A511" s="1" t="s">
        <v>25</v>
      </c>
      <c r="B511" s="2" t="s">
        <v>208</v>
      </c>
      <c r="D511" s="5" t="s">
        <v>464</v>
      </c>
      <c r="E511" s="3">
        <v>117500</v>
      </c>
      <c r="F511" s="3" t="s">
        <v>465</v>
      </c>
      <c r="G511" s="57" t="s">
        <v>465</v>
      </c>
    </row>
    <row r="512" spans="1:10" x14ac:dyDescent="0.2">
      <c r="A512" s="1" t="s">
        <v>25</v>
      </c>
      <c r="B512" s="2" t="s">
        <v>208</v>
      </c>
      <c r="D512" s="5" t="s">
        <v>464</v>
      </c>
      <c r="E512" s="3">
        <v>150000</v>
      </c>
      <c r="F512" s="3" t="s">
        <v>465</v>
      </c>
      <c r="G512" s="57" t="s">
        <v>465</v>
      </c>
    </row>
    <row r="513" spans="1:12" x14ac:dyDescent="0.2">
      <c r="A513" s="1" t="s">
        <v>25</v>
      </c>
      <c r="B513" s="2" t="s">
        <v>208</v>
      </c>
      <c r="D513" s="5" t="s">
        <v>464</v>
      </c>
      <c r="E513" s="3">
        <v>150000</v>
      </c>
      <c r="F513" s="3" t="s">
        <v>465</v>
      </c>
      <c r="G513" s="57" t="s">
        <v>465</v>
      </c>
    </row>
    <row r="514" spans="1:12" x14ac:dyDescent="0.2">
      <c r="A514" s="1" t="s">
        <v>25</v>
      </c>
      <c r="B514" s="2" t="s">
        <v>209</v>
      </c>
      <c r="D514" s="5" t="s">
        <v>464</v>
      </c>
      <c r="E514" s="3">
        <v>102500</v>
      </c>
      <c r="F514" s="3" t="s">
        <v>465</v>
      </c>
      <c r="G514" s="57" t="s">
        <v>465</v>
      </c>
    </row>
    <row r="515" spans="1:12" x14ac:dyDescent="0.2">
      <c r="A515" s="1" t="s">
        <v>25</v>
      </c>
      <c r="B515" s="2" t="s">
        <v>209</v>
      </c>
      <c r="D515" s="5" t="s">
        <v>464</v>
      </c>
      <c r="E515" s="3">
        <v>102500</v>
      </c>
      <c r="F515" s="3" t="s">
        <v>465</v>
      </c>
      <c r="G515" s="57" t="s">
        <v>465</v>
      </c>
    </row>
    <row r="516" spans="1:12" x14ac:dyDescent="0.2">
      <c r="A516" s="1" t="s">
        <v>25</v>
      </c>
      <c r="B516" s="2" t="s">
        <v>209</v>
      </c>
      <c r="D516" s="5" t="s">
        <v>464</v>
      </c>
      <c r="E516" s="3">
        <v>102500</v>
      </c>
      <c r="F516" s="3" t="s">
        <v>465</v>
      </c>
      <c r="G516" s="57" t="s">
        <v>465</v>
      </c>
    </row>
    <row r="517" spans="1:12" x14ac:dyDescent="0.2">
      <c r="A517" s="1" t="s">
        <v>25</v>
      </c>
      <c r="B517" s="2" t="s">
        <v>209</v>
      </c>
      <c r="D517" s="5" t="s">
        <v>464</v>
      </c>
      <c r="E517" s="3">
        <v>112500</v>
      </c>
      <c r="F517" s="3" t="s">
        <v>465</v>
      </c>
      <c r="G517" s="57" t="s">
        <v>465</v>
      </c>
    </row>
    <row r="518" spans="1:12" x14ac:dyDescent="0.2">
      <c r="A518" s="1" t="s">
        <v>25</v>
      </c>
      <c r="B518" s="2" t="s">
        <v>209</v>
      </c>
      <c r="D518" s="5" t="s">
        <v>464</v>
      </c>
      <c r="E518" s="3">
        <v>117500</v>
      </c>
      <c r="F518" s="3" t="s">
        <v>465</v>
      </c>
      <c r="G518" s="57" t="s">
        <v>465</v>
      </c>
    </row>
    <row r="519" spans="1:12" x14ac:dyDescent="0.2">
      <c r="A519" s="1" t="s">
        <v>25</v>
      </c>
      <c r="B519" s="2" t="s">
        <v>209</v>
      </c>
      <c r="D519" s="5" t="s">
        <v>464</v>
      </c>
      <c r="E519" s="3">
        <v>137500</v>
      </c>
      <c r="F519" s="3" t="s">
        <v>465</v>
      </c>
      <c r="G519" s="57" t="s">
        <v>465</v>
      </c>
    </row>
    <row r="520" spans="1:12" ht="25.5" x14ac:dyDescent="0.2">
      <c r="A520" s="1" t="s">
        <v>4</v>
      </c>
      <c r="B520" s="2" t="s">
        <v>210</v>
      </c>
      <c r="C520" s="5" t="s">
        <v>3365</v>
      </c>
      <c r="D520" s="5" t="s">
        <v>3366</v>
      </c>
      <c r="E520" s="9">
        <v>183870</v>
      </c>
      <c r="F520" s="9" t="s">
        <v>465</v>
      </c>
      <c r="G520" s="57" t="s">
        <v>465</v>
      </c>
    </row>
    <row r="521" spans="1:12" x14ac:dyDescent="0.2">
      <c r="A521" s="1" t="s">
        <v>4</v>
      </c>
      <c r="B521" s="2" t="s">
        <v>210</v>
      </c>
      <c r="D521" s="5" t="s">
        <v>464</v>
      </c>
      <c r="E521" s="3">
        <v>102500</v>
      </c>
      <c r="F521" s="3" t="s">
        <v>465</v>
      </c>
      <c r="G521" s="57" t="s">
        <v>465</v>
      </c>
      <c r="H521" s="4"/>
      <c r="I521" s="4"/>
      <c r="J521" s="1"/>
    </row>
    <row r="522" spans="1:12" x14ac:dyDescent="0.2">
      <c r="A522" s="1" t="s">
        <v>4</v>
      </c>
      <c r="B522" s="2" t="s">
        <v>210</v>
      </c>
      <c r="D522" s="5" t="s">
        <v>464</v>
      </c>
      <c r="E522" s="3">
        <v>102500</v>
      </c>
      <c r="F522" s="3" t="s">
        <v>465</v>
      </c>
      <c r="G522" s="57" t="s">
        <v>465</v>
      </c>
      <c r="H522" s="4"/>
      <c r="I522" s="4"/>
      <c r="J522" s="1"/>
    </row>
    <row r="523" spans="1:12" x14ac:dyDescent="0.2">
      <c r="A523" s="1" t="s">
        <v>4</v>
      </c>
      <c r="B523" s="2" t="s">
        <v>210</v>
      </c>
      <c r="D523" s="5" t="s">
        <v>464</v>
      </c>
      <c r="E523" s="3">
        <v>107500</v>
      </c>
      <c r="F523" s="3" t="s">
        <v>465</v>
      </c>
      <c r="G523" s="57" t="s">
        <v>465</v>
      </c>
      <c r="H523" s="4"/>
      <c r="I523" s="4"/>
      <c r="J523" s="1"/>
    </row>
    <row r="524" spans="1:12" x14ac:dyDescent="0.2">
      <c r="A524" s="1" t="s">
        <v>4</v>
      </c>
      <c r="B524" s="2" t="s">
        <v>210</v>
      </c>
      <c r="D524" s="5" t="s">
        <v>464</v>
      </c>
      <c r="E524" s="3">
        <v>107500</v>
      </c>
      <c r="F524" s="3" t="s">
        <v>465</v>
      </c>
      <c r="G524" s="57" t="s">
        <v>465</v>
      </c>
      <c r="H524" s="4"/>
      <c r="I524" s="4"/>
      <c r="J524" s="1"/>
    </row>
    <row r="525" spans="1:12" x14ac:dyDescent="0.2">
      <c r="A525" s="1" t="s">
        <v>4</v>
      </c>
      <c r="B525" s="2" t="s">
        <v>210</v>
      </c>
      <c r="D525" s="5" t="s">
        <v>464</v>
      </c>
      <c r="E525" s="3">
        <v>107500</v>
      </c>
      <c r="F525" s="3" t="s">
        <v>465</v>
      </c>
      <c r="G525" s="57" t="s">
        <v>465</v>
      </c>
      <c r="H525" s="4"/>
      <c r="I525" s="4"/>
      <c r="J525" s="1"/>
    </row>
    <row r="526" spans="1:12" x14ac:dyDescent="0.2">
      <c r="A526" s="1" t="s">
        <v>4</v>
      </c>
      <c r="B526" s="2" t="s">
        <v>210</v>
      </c>
      <c r="D526" s="5" t="s">
        <v>464</v>
      </c>
      <c r="E526" s="3">
        <v>107500</v>
      </c>
      <c r="F526" s="3" t="s">
        <v>465</v>
      </c>
      <c r="G526" s="57" t="s">
        <v>465</v>
      </c>
      <c r="H526" s="4"/>
      <c r="I526" s="4"/>
      <c r="J526" s="1"/>
    </row>
    <row r="527" spans="1:12" s="13" customFormat="1" x14ac:dyDescent="0.2">
      <c r="A527" s="1" t="s">
        <v>4</v>
      </c>
      <c r="B527" s="2" t="s">
        <v>210</v>
      </c>
      <c r="C527" s="5"/>
      <c r="D527" s="5" t="s">
        <v>464</v>
      </c>
      <c r="E527" s="3">
        <v>107500</v>
      </c>
      <c r="F527" s="3" t="s">
        <v>465</v>
      </c>
      <c r="G527" s="57" t="s">
        <v>465</v>
      </c>
      <c r="H527" s="4"/>
      <c r="I527" s="4"/>
      <c r="J527" s="1"/>
      <c r="K527" s="1"/>
      <c r="L527" s="1"/>
    </row>
    <row r="528" spans="1:12" s="13" customFormat="1" x14ac:dyDescent="0.2">
      <c r="A528" s="1" t="s">
        <v>4</v>
      </c>
      <c r="B528" s="2" t="s">
        <v>210</v>
      </c>
      <c r="C528" s="5"/>
      <c r="D528" s="5" t="s">
        <v>464</v>
      </c>
      <c r="E528" s="3">
        <v>107500</v>
      </c>
      <c r="F528" s="3" t="s">
        <v>465</v>
      </c>
      <c r="G528" s="57" t="s">
        <v>465</v>
      </c>
      <c r="H528" s="4"/>
      <c r="I528" s="4"/>
      <c r="J528" s="1"/>
      <c r="K528" s="1"/>
      <c r="L528" s="1"/>
    </row>
    <row r="529" spans="1:12" s="13" customFormat="1" x14ac:dyDescent="0.2">
      <c r="A529" s="1" t="s">
        <v>4</v>
      </c>
      <c r="B529" s="2" t="s">
        <v>210</v>
      </c>
      <c r="C529" s="5"/>
      <c r="D529" s="5" t="s">
        <v>464</v>
      </c>
      <c r="E529" s="3">
        <v>107500</v>
      </c>
      <c r="F529" s="3" t="s">
        <v>465</v>
      </c>
      <c r="G529" s="57" t="s">
        <v>465</v>
      </c>
      <c r="H529" s="4"/>
      <c r="I529" s="4"/>
      <c r="J529" s="1"/>
      <c r="K529" s="1"/>
      <c r="L529" s="1"/>
    </row>
    <row r="530" spans="1:12" x14ac:dyDescent="0.2">
      <c r="A530" s="1" t="s">
        <v>4</v>
      </c>
      <c r="B530" s="2" t="s">
        <v>210</v>
      </c>
      <c r="D530" s="5" t="s">
        <v>464</v>
      </c>
      <c r="E530" s="3">
        <v>107500</v>
      </c>
      <c r="F530" s="3" t="s">
        <v>465</v>
      </c>
      <c r="G530" s="57" t="s">
        <v>465</v>
      </c>
      <c r="H530" s="4"/>
      <c r="I530" s="4"/>
      <c r="J530" s="1"/>
    </row>
    <row r="531" spans="1:12" x14ac:dyDescent="0.2">
      <c r="A531" s="1" t="s">
        <v>4</v>
      </c>
      <c r="B531" s="2" t="s">
        <v>210</v>
      </c>
      <c r="D531" s="5" t="s">
        <v>464</v>
      </c>
      <c r="E531" s="3">
        <v>107500</v>
      </c>
      <c r="F531" s="3" t="s">
        <v>465</v>
      </c>
      <c r="G531" s="57" t="s">
        <v>465</v>
      </c>
      <c r="H531" s="4"/>
      <c r="I531" s="4"/>
      <c r="J531" s="1"/>
    </row>
    <row r="532" spans="1:12" s="13" customFormat="1" x14ac:dyDescent="0.2">
      <c r="A532" s="1" t="s">
        <v>4</v>
      </c>
      <c r="B532" s="2" t="s">
        <v>210</v>
      </c>
      <c r="C532" s="5"/>
      <c r="D532" s="5" t="s">
        <v>464</v>
      </c>
      <c r="E532" s="3">
        <v>107500</v>
      </c>
      <c r="F532" s="3" t="s">
        <v>465</v>
      </c>
      <c r="G532" s="57" t="s">
        <v>465</v>
      </c>
      <c r="H532" s="4"/>
      <c r="I532" s="4"/>
      <c r="J532" s="1"/>
      <c r="K532" s="1"/>
      <c r="L532" s="1"/>
    </row>
    <row r="533" spans="1:12" x14ac:dyDescent="0.2">
      <c r="A533" s="1" t="s">
        <v>4</v>
      </c>
      <c r="B533" s="2" t="s">
        <v>210</v>
      </c>
      <c r="D533" s="5" t="s">
        <v>464</v>
      </c>
      <c r="E533" s="3">
        <v>107500</v>
      </c>
      <c r="F533" s="3" t="s">
        <v>465</v>
      </c>
      <c r="G533" s="57" t="s">
        <v>465</v>
      </c>
      <c r="H533" s="4"/>
      <c r="I533" s="4"/>
      <c r="J533" s="1"/>
    </row>
    <row r="534" spans="1:12" x14ac:dyDescent="0.2">
      <c r="A534" s="1" t="s">
        <v>4</v>
      </c>
      <c r="B534" s="2" t="s">
        <v>210</v>
      </c>
      <c r="D534" s="5" t="s">
        <v>464</v>
      </c>
      <c r="E534" s="3">
        <v>117500</v>
      </c>
      <c r="F534" s="3" t="s">
        <v>465</v>
      </c>
      <c r="G534" s="57" t="s">
        <v>465</v>
      </c>
      <c r="H534" s="4"/>
      <c r="I534" s="4"/>
      <c r="J534" s="1"/>
    </row>
    <row r="535" spans="1:12" s="13" customFormat="1" x14ac:dyDescent="0.2">
      <c r="A535" s="1" t="s">
        <v>4</v>
      </c>
      <c r="B535" s="2" t="s">
        <v>210</v>
      </c>
      <c r="C535" s="5"/>
      <c r="D535" s="5" t="s">
        <v>464</v>
      </c>
      <c r="E535" s="3">
        <v>122500</v>
      </c>
      <c r="F535" s="3" t="s">
        <v>465</v>
      </c>
      <c r="G535" s="57" t="s">
        <v>465</v>
      </c>
      <c r="H535" s="4"/>
      <c r="I535" s="4"/>
      <c r="J535" s="1"/>
      <c r="K535" s="1"/>
      <c r="L535" s="1"/>
    </row>
    <row r="536" spans="1:12" x14ac:dyDescent="0.2">
      <c r="A536" s="1" t="s">
        <v>4</v>
      </c>
      <c r="B536" s="2" t="s">
        <v>210</v>
      </c>
      <c r="D536" s="5" t="s">
        <v>464</v>
      </c>
      <c r="E536" s="3">
        <v>122500</v>
      </c>
      <c r="F536" s="3" t="s">
        <v>465</v>
      </c>
      <c r="G536" s="57" t="s">
        <v>465</v>
      </c>
      <c r="H536" s="4"/>
      <c r="I536" s="4"/>
      <c r="J536" s="1"/>
    </row>
    <row r="537" spans="1:12" x14ac:dyDescent="0.2">
      <c r="A537" s="1" t="s">
        <v>4</v>
      </c>
      <c r="B537" s="2" t="s">
        <v>210</v>
      </c>
      <c r="D537" s="5" t="s">
        <v>464</v>
      </c>
      <c r="E537" s="3">
        <v>137500</v>
      </c>
      <c r="F537" s="3" t="s">
        <v>465</v>
      </c>
      <c r="G537" s="57" t="s">
        <v>465</v>
      </c>
      <c r="H537" s="4"/>
      <c r="I537" s="4"/>
      <c r="J537" s="1"/>
    </row>
    <row r="538" spans="1:12" x14ac:dyDescent="0.2">
      <c r="A538" s="1" t="s">
        <v>4</v>
      </c>
      <c r="B538" s="2" t="s">
        <v>210</v>
      </c>
      <c r="D538" s="5" t="s">
        <v>464</v>
      </c>
      <c r="E538" s="3">
        <v>182500</v>
      </c>
      <c r="F538" s="3" t="s">
        <v>465</v>
      </c>
      <c r="G538" s="57" t="s">
        <v>465</v>
      </c>
      <c r="H538" s="4"/>
      <c r="I538" s="4"/>
      <c r="J538" s="1"/>
    </row>
    <row r="539" spans="1:12" s="13" customFormat="1" x14ac:dyDescent="0.2">
      <c r="A539" s="1" t="s">
        <v>4</v>
      </c>
      <c r="B539" s="2" t="s">
        <v>210</v>
      </c>
      <c r="C539" s="5"/>
      <c r="D539" s="5" t="s">
        <v>464</v>
      </c>
      <c r="E539" s="3">
        <v>187500</v>
      </c>
      <c r="F539" s="3" t="s">
        <v>465</v>
      </c>
      <c r="G539" s="57" t="s">
        <v>465</v>
      </c>
      <c r="H539" s="4"/>
      <c r="I539" s="4"/>
      <c r="J539" s="1"/>
      <c r="K539" s="1"/>
      <c r="L539" s="1"/>
    </row>
    <row r="540" spans="1:12" x14ac:dyDescent="0.2">
      <c r="A540" s="1" t="s">
        <v>8</v>
      </c>
      <c r="B540" s="2" t="s">
        <v>211</v>
      </c>
      <c r="D540" s="5" t="s">
        <v>455</v>
      </c>
      <c r="E540" s="3">
        <v>112000</v>
      </c>
      <c r="F540" s="3" t="s">
        <v>465</v>
      </c>
      <c r="G540" s="57" t="s">
        <v>465</v>
      </c>
    </row>
    <row r="541" spans="1:12" s="13" customFormat="1" x14ac:dyDescent="0.2">
      <c r="A541" s="1" t="s">
        <v>8</v>
      </c>
      <c r="B541" s="2" t="s">
        <v>211</v>
      </c>
      <c r="C541" s="5"/>
      <c r="D541" s="5" t="s">
        <v>455</v>
      </c>
      <c r="E541" s="3">
        <v>111000</v>
      </c>
      <c r="F541" s="3" t="s">
        <v>465</v>
      </c>
      <c r="G541" s="57" t="s">
        <v>465</v>
      </c>
      <c r="H541" s="19"/>
      <c r="I541" s="19"/>
      <c r="J541" s="5"/>
      <c r="K541" s="1"/>
      <c r="L541" s="1"/>
    </row>
    <row r="542" spans="1:12" x14ac:dyDescent="0.2">
      <c r="A542" s="1" t="s">
        <v>8</v>
      </c>
      <c r="B542" s="2" t="s">
        <v>211</v>
      </c>
      <c r="D542" s="5" t="s">
        <v>455</v>
      </c>
      <c r="E542" s="3">
        <v>106000</v>
      </c>
      <c r="F542" s="3" t="s">
        <v>465</v>
      </c>
      <c r="G542" s="57" t="s">
        <v>465</v>
      </c>
    </row>
    <row r="543" spans="1:12" s="13" customFormat="1" x14ac:dyDescent="0.2">
      <c r="A543" s="1" t="s">
        <v>28</v>
      </c>
      <c r="B543" s="2" t="s">
        <v>213</v>
      </c>
      <c r="C543" s="5" t="s">
        <v>3320</v>
      </c>
      <c r="D543" s="5" t="s">
        <v>450</v>
      </c>
      <c r="E543" s="9">
        <v>133724</v>
      </c>
      <c r="F543" s="9" t="s">
        <v>465</v>
      </c>
      <c r="G543" s="57" t="s">
        <v>465</v>
      </c>
      <c r="H543" s="19"/>
      <c r="I543" s="19"/>
      <c r="J543" s="5" t="s">
        <v>3321</v>
      </c>
      <c r="K543" s="1"/>
      <c r="L543" s="1"/>
    </row>
    <row r="544" spans="1:12" x14ac:dyDescent="0.2">
      <c r="A544" s="1" t="s">
        <v>28</v>
      </c>
      <c r="B544" s="2" t="s">
        <v>213</v>
      </c>
      <c r="D544" s="5" t="s">
        <v>3333</v>
      </c>
      <c r="E544" s="9">
        <v>118243</v>
      </c>
      <c r="F544" s="9" t="s">
        <v>465</v>
      </c>
      <c r="G544" s="57" t="s">
        <v>465</v>
      </c>
    </row>
    <row r="545" spans="1:10" x14ac:dyDescent="0.2">
      <c r="A545" s="1" t="s">
        <v>28</v>
      </c>
      <c r="B545" s="2" t="s">
        <v>213</v>
      </c>
      <c r="D545" s="5" t="s">
        <v>3334</v>
      </c>
      <c r="E545" s="9">
        <v>110452</v>
      </c>
      <c r="F545" s="9" t="s">
        <v>465</v>
      </c>
      <c r="G545" s="57" t="s">
        <v>465</v>
      </c>
    </row>
    <row r="546" spans="1:10" x14ac:dyDescent="0.2">
      <c r="A546" s="1" t="s">
        <v>28</v>
      </c>
      <c r="B546" s="2" t="s">
        <v>213</v>
      </c>
      <c r="D546" s="5" t="s">
        <v>3340</v>
      </c>
      <c r="E546" s="9">
        <v>101997</v>
      </c>
      <c r="F546" s="9" t="s">
        <v>465</v>
      </c>
      <c r="G546" s="57" t="s">
        <v>465</v>
      </c>
    </row>
    <row r="547" spans="1:10" x14ac:dyDescent="0.2">
      <c r="A547" s="1" t="s">
        <v>28</v>
      </c>
      <c r="B547" s="2" t="s">
        <v>213</v>
      </c>
      <c r="D547" s="5" t="s">
        <v>3341</v>
      </c>
      <c r="E547" s="9">
        <v>127522</v>
      </c>
      <c r="F547" s="9" t="s">
        <v>465</v>
      </c>
      <c r="G547" s="57" t="s">
        <v>465</v>
      </c>
      <c r="J547" s="5" t="s">
        <v>3342</v>
      </c>
    </row>
    <row r="548" spans="1:10" x14ac:dyDescent="0.2">
      <c r="A548" s="1" t="s">
        <v>28</v>
      </c>
      <c r="B548" s="2" t="s">
        <v>213</v>
      </c>
      <c r="D548" s="5" t="s">
        <v>3343</v>
      </c>
      <c r="E548" s="9">
        <v>145380</v>
      </c>
      <c r="F548" s="9" t="s">
        <v>465</v>
      </c>
      <c r="G548" s="57" t="s">
        <v>465</v>
      </c>
      <c r="J548" s="5" t="s">
        <v>3344</v>
      </c>
    </row>
    <row r="549" spans="1:10" x14ac:dyDescent="0.2">
      <c r="A549" s="1" t="s">
        <v>28</v>
      </c>
      <c r="B549" s="2" t="s">
        <v>213</v>
      </c>
      <c r="D549" s="5" t="s">
        <v>3335</v>
      </c>
      <c r="E549" s="9">
        <v>113689</v>
      </c>
      <c r="F549" s="9" t="s">
        <v>465</v>
      </c>
      <c r="G549" s="57" t="s">
        <v>465</v>
      </c>
    </row>
    <row r="550" spans="1:10" x14ac:dyDescent="0.2">
      <c r="A550" s="1" t="s">
        <v>6</v>
      </c>
      <c r="B550" s="2" t="s">
        <v>216</v>
      </c>
      <c r="D550" s="5" t="s">
        <v>464</v>
      </c>
      <c r="E550" s="3">
        <v>107500</v>
      </c>
      <c r="F550" s="3" t="s">
        <v>465</v>
      </c>
      <c r="G550" s="57" t="s">
        <v>465</v>
      </c>
      <c r="J550" s="1"/>
    </row>
    <row r="551" spans="1:10" x14ac:dyDescent="0.2">
      <c r="A551" s="1" t="s">
        <v>6</v>
      </c>
      <c r="B551" s="2" t="s">
        <v>216</v>
      </c>
      <c r="D551" s="5" t="s">
        <v>464</v>
      </c>
      <c r="E551" s="3">
        <v>117500</v>
      </c>
      <c r="F551" s="3" t="s">
        <v>465</v>
      </c>
      <c r="G551" s="57" t="s">
        <v>465</v>
      </c>
      <c r="J551" s="1"/>
    </row>
    <row r="552" spans="1:10" x14ac:dyDescent="0.2">
      <c r="A552" s="1" t="s">
        <v>6</v>
      </c>
      <c r="B552" s="2" t="s">
        <v>216</v>
      </c>
      <c r="D552" s="5" t="s">
        <v>464</v>
      </c>
      <c r="E552" s="3">
        <v>117500</v>
      </c>
      <c r="F552" s="3" t="s">
        <v>465</v>
      </c>
      <c r="G552" s="57" t="s">
        <v>465</v>
      </c>
      <c r="J552" s="1"/>
    </row>
    <row r="553" spans="1:10" x14ac:dyDescent="0.2">
      <c r="A553" s="1" t="s">
        <v>25</v>
      </c>
      <c r="B553" s="2" t="s">
        <v>217</v>
      </c>
      <c r="D553" s="5" t="s">
        <v>464</v>
      </c>
      <c r="E553" s="3">
        <v>102500</v>
      </c>
      <c r="F553" s="3" t="s">
        <v>465</v>
      </c>
      <c r="G553" s="57" t="s">
        <v>465</v>
      </c>
      <c r="H553" s="4"/>
      <c r="I553" s="4"/>
      <c r="J553" s="1"/>
    </row>
    <row r="554" spans="1:10" x14ac:dyDescent="0.2">
      <c r="A554" s="1" t="s">
        <v>25</v>
      </c>
      <c r="B554" s="2" t="s">
        <v>217</v>
      </c>
      <c r="D554" s="5" t="s">
        <v>464</v>
      </c>
      <c r="E554" s="3">
        <v>102500</v>
      </c>
      <c r="F554" s="3" t="s">
        <v>465</v>
      </c>
      <c r="G554" s="57" t="s">
        <v>465</v>
      </c>
      <c r="H554" s="4"/>
      <c r="I554" s="4"/>
      <c r="J554" s="1"/>
    </row>
    <row r="555" spans="1:10" x14ac:dyDescent="0.2">
      <c r="A555" s="1" t="s">
        <v>25</v>
      </c>
      <c r="B555" s="2" t="s">
        <v>217</v>
      </c>
      <c r="D555" s="5" t="s">
        <v>464</v>
      </c>
      <c r="E555" s="3">
        <v>102500</v>
      </c>
      <c r="F555" s="3" t="s">
        <v>465</v>
      </c>
      <c r="G555" s="57" t="s">
        <v>465</v>
      </c>
      <c r="H555" s="4"/>
      <c r="I555" s="4"/>
      <c r="J555" s="1"/>
    </row>
    <row r="556" spans="1:10" x14ac:dyDescent="0.2">
      <c r="A556" s="1" t="s">
        <v>25</v>
      </c>
      <c r="B556" s="2" t="s">
        <v>217</v>
      </c>
      <c r="D556" s="5" t="s">
        <v>464</v>
      </c>
      <c r="E556" s="3">
        <v>102500</v>
      </c>
      <c r="F556" s="3" t="s">
        <v>465</v>
      </c>
      <c r="G556" s="57" t="s">
        <v>465</v>
      </c>
      <c r="H556" s="4"/>
      <c r="I556" s="4"/>
      <c r="J556" s="1"/>
    </row>
    <row r="557" spans="1:10" x14ac:dyDescent="0.2">
      <c r="A557" s="1" t="s">
        <v>25</v>
      </c>
      <c r="B557" s="2" t="s">
        <v>217</v>
      </c>
      <c r="D557" s="5" t="s">
        <v>464</v>
      </c>
      <c r="E557" s="3">
        <v>102500</v>
      </c>
      <c r="F557" s="3" t="s">
        <v>465</v>
      </c>
      <c r="G557" s="57" t="s">
        <v>465</v>
      </c>
      <c r="H557" s="4"/>
      <c r="I557" s="4"/>
      <c r="J557" s="1"/>
    </row>
    <row r="558" spans="1:10" x14ac:dyDescent="0.2">
      <c r="A558" s="1" t="s">
        <v>25</v>
      </c>
      <c r="B558" s="2" t="s">
        <v>217</v>
      </c>
      <c r="D558" s="5" t="s">
        <v>464</v>
      </c>
      <c r="E558" s="3">
        <v>102500</v>
      </c>
      <c r="F558" s="3" t="s">
        <v>465</v>
      </c>
      <c r="G558" s="57" t="s">
        <v>465</v>
      </c>
      <c r="H558" s="4"/>
      <c r="I558" s="4"/>
      <c r="J558" s="1"/>
    </row>
    <row r="559" spans="1:10" x14ac:dyDescent="0.2">
      <c r="A559" s="1" t="s">
        <v>25</v>
      </c>
      <c r="B559" s="2" t="s">
        <v>217</v>
      </c>
      <c r="D559" s="5" t="s">
        <v>464</v>
      </c>
      <c r="E559" s="3">
        <v>102500</v>
      </c>
      <c r="F559" s="3" t="s">
        <v>465</v>
      </c>
      <c r="G559" s="57" t="s">
        <v>465</v>
      </c>
      <c r="H559" s="4"/>
      <c r="I559" s="4"/>
      <c r="J559" s="1"/>
    </row>
    <row r="560" spans="1:10" x14ac:dyDescent="0.2">
      <c r="A560" s="1" t="s">
        <v>25</v>
      </c>
      <c r="B560" s="2" t="s">
        <v>217</v>
      </c>
      <c r="D560" s="5" t="s">
        <v>464</v>
      </c>
      <c r="E560" s="3">
        <v>102500</v>
      </c>
      <c r="F560" s="3" t="s">
        <v>465</v>
      </c>
      <c r="G560" s="57" t="s">
        <v>465</v>
      </c>
      <c r="H560" s="4"/>
      <c r="I560" s="4"/>
      <c r="J560" s="1"/>
    </row>
    <row r="561" spans="1:10" x14ac:dyDescent="0.2">
      <c r="A561" s="1" t="s">
        <v>25</v>
      </c>
      <c r="B561" s="2" t="s">
        <v>217</v>
      </c>
      <c r="D561" s="5" t="s">
        <v>464</v>
      </c>
      <c r="E561" s="3">
        <v>112500</v>
      </c>
      <c r="F561" s="3" t="s">
        <v>465</v>
      </c>
      <c r="G561" s="57" t="s">
        <v>465</v>
      </c>
      <c r="H561" s="4"/>
      <c r="I561" s="4"/>
      <c r="J561" s="1"/>
    </row>
    <row r="562" spans="1:10" x14ac:dyDescent="0.2">
      <c r="A562" s="1" t="s">
        <v>25</v>
      </c>
      <c r="B562" s="2" t="s">
        <v>217</v>
      </c>
      <c r="D562" s="5" t="s">
        <v>464</v>
      </c>
      <c r="E562" s="3">
        <v>112500</v>
      </c>
      <c r="F562" s="3" t="s">
        <v>465</v>
      </c>
      <c r="G562" s="57" t="s">
        <v>465</v>
      </c>
      <c r="H562" s="4"/>
      <c r="I562" s="4"/>
      <c r="J562" s="1"/>
    </row>
    <row r="563" spans="1:10" x14ac:dyDescent="0.2">
      <c r="A563" s="1" t="s">
        <v>25</v>
      </c>
      <c r="B563" s="2" t="s">
        <v>217</v>
      </c>
      <c r="D563" s="5" t="s">
        <v>464</v>
      </c>
      <c r="E563" s="3">
        <v>112500</v>
      </c>
      <c r="F563" s="3" t="s">
        <v>465</v>
      </c>
      <c r="G563" s="57" t="s">
        <v>465</v>
      </c>
      <c r="H563" s="4"/>
      <c r="I563" s="4"/>
      <c r="J563" s="1"/>
    </row>
    <row r="564" spans="1:10" x14ac:dyDescent="0.2">
      <c r="A564" s="1" t="s">
        <v>25</v>
      </c>
      <c r="B564" s="2" t="s">
        <v>217</v>
      </c>
      <c r="D564" s="5" t="s">
        <v>464</v>
      </c>
      <c r="E564" s="3">
        <v>112500</v>
      </c>
      <c r="F564" s="3" t="s">
        <v>465</v>
      </c>
      <c r="G564" s="57" t="s">
        <v>465</v>
      </c>
      <c r="H564" s="4"/>
      <c r="I564" s="4"/>
      <c r="J564" s="1"/>
    </row>
    <row r="565" spans="1:10" x14ac:dyDescent="0.2">
      <c r="A565" s="1" t="s">
        <v>25</v>
      </c>
      <c r="B565" s="2" t="s">
        <v>217</v>
      </c>
      <c r="D565" s="5" t="s">
        <v>464</v>
      </c>
      <c r="E565" s="3">
        <v>112500</v>
      </c>
      <c r="F565" s="3" t="s">
        <v>465</v>
      </c>
      <c r="G565" s="57" t="s">
        <v>465</v>
      </c>
      <c r="H565" s="4"/>
      <c r="I565" s="4"/>
      <c r="J565" s="1"/>
    </row>
    <row r="566" spans="1:10" x14ac:dyDescent="0.2">
      <c r="A566" s="1" t="s">
        <v>25</v>
      </c>
      <c r="B566" s="2" t="s">
        <v>217</v>
      </c>
      <c r="D566" s="5" t="s">
        <v>464</v>
      </c>
      <c r="E566" s="3">
        <v>112500</v>
      </c>
      <c r="F566" s="3" t="s">
        <v>465</v>
      </c>
      <c r="G566" s="57" t="s">
        <v>465</v>
      </c>
      <c r="H566" s="4"/>
      <c r="I566" s="4"/>
      <c r="J566" s="1"/>
    </row>
    <row r="567" spans="1:10" x14ac:dyDescent="0.2">
      <c r="A567" s="1" t="s">
        <v>25</v>
      </c>
      <c r="B567" s="2" t="s">
        <v>217</v>
      </c>
      <c r="D567" s="5" t="s">
        <v>464</v>
      </c>
      <c r="E567" s="3">
        <v>117500</v>
      </c>
      <c r="F567" s="3" t="s">
        <v>465</v>
      </c>
      <c r="G567" s="57" t="s">
        <v>465</v>
      </c>
      <c r="H567" s="4"/>
      <c r="I567" s="4"/>
      <c r="J567" s="1"/>
    </row>
    <row r="568" spans="1:10" x14ac:dyDescent="0.2">
      <c r="A568" s="1" t="s">
        <v>25</v>
      </c>
      <c r="B568" s="2" t="s">
        <v>217</v>
      </c>
      <c r="D568" s="5" t="s">
        <v>464</v>
      </c>
      <c r="E568" s="3">
        <v>122500</v>
      </c>
      <c r="F568" s="3" t="s">
        <v>465</v>
      </c>
      <c r="G568" s="57" t="s">
        <v>465</v>
      </c>
    </row>
    <row r="569" spans="1:10" x14ac:dyDescent="0.2">
      <c r="A569" s="1" t="s">
        <v>6</v>
      </c>
      <c r="B569" s="2" t="s">
        <v>218</v>
      </c>
      <c r="D569" s="5" t="s">
        <v>464</v>
      </c>
      <c r="E569" s="3">
        <v>102500</v>
      </c>
      <c r="F569" s="3" t="s">
        <v>465</v>
      </c>
      <c r="G569" s="57" t="s">
        <v>465</v>
      </c>
      <c r="J569" s="1"/>
    </row>
    <row r="570" spans="1:10" x14ac:dyDescent="0.2">
      <c r="A570" s="1" t="s">
        <v>6</v>
      </c>
      <c r="B570" s="2" t="s">
        <v>218</v>
      </c>
      <c r="D570" s="5" t="s">
        <v>464</v>
      </c>
      <c r="E570" s="3">
        <v>102500</v>
      </c>
      <c r="F570" s="3" t="s">
        <v>465</v>
      </c>
      <c r="G570" s="57" t="s">
        <v>465</v>
      </c>
    </row>
    <row r="571" spans="1:10" x14ac:dyDescent="0.2">
      <c r="A571" s="1" t="s">
        <v>6</v>
      </c>
      <c r="B571" s="2" t="s">
        <v>218</v>
      </c>
      <c r="D571" s="5" t="s">
        <v>464</v>
      </c>
      <c r="E571" s="3">
        <v>102500</v>
      </c>
      <c r="F571" s="3" t="s">
        <v>465</v>
      </c>
      <c r="G571" s="57" t="s">
        <v>465</v>
      </c>
    </row>
    <row r="572" spans="1:10" x14ac:dyDescent="0.2">
      <c r="A572" s="1" t="s">
        <v>6</v>
      </c>
      <c r="B572" s="2" t="s">
        <v>218</v>
      </c>
      <c r="D572" s="5" t="s">
        <v>464</v>
      </c>
      <c r="E572" s="3">
        <v>102500</v>
      </c>
      <c r="F572" s="3" t="s">
        <v>465</v>
      </c>
      <c r="G572" s="57" t="s">
        <v>465</v>
      </c>
    </row>
    <row r="573" spans="1:10" x14ac:dyDescent="0.2">
      <c r="A573" s="1" t="s">
        <v>6</v>
      </c>
      <c r="B573" s="2" t="s">
        <v>218</v>
      </c>
      <c r="D573" s="5" t="s">
        <v>464</v>
      </c>
      <c r="E573" s="3">
        <v>107500</v>
      </c>
      <c r="F573" s="3" t="s">
        <v>465</v>
      </c>
      <c r="G573" s="57" t="s">
        <v>465</v>
      </c>
    </row>
    <row r="574" spans="1:10" x14ac:dyDescent="0.2">
      <c r="A574" s="1" t="s">
        <v>6</v>
      </c>
      <c r="B574" s="2" t="s">
        <v>218</v>
      </c>
      <c r="D574" s="5" t="s">
        <v>464</v>
      </c>
      <c r="E574" s="3">
        <v>107500</v>
      </c>
      <c r="F574" s="3" t="s">
        <v>465</v>
      </c>
      <c r="G574" s="57" t="s">
        <v>465</v>
      </c>
    </row>
    <row r="575" spans="1:10" x14ac:dyDescent="0.2">
      <c r="A575" s="1" t="s">
        <v>6</v>
      </c>
      <c r="B575" s="2" t="s">
        <v>218</v>
      </c>
      <c r="D575" s="5" t="s">
        <v>464</v>
      </c>
      <c r="E575" s="3">
        <v>117500</v>
      </c>
      <c r="F575" s="3" t="s">
        <v>465</v>
      </c>
      <c r="G575" s="57" t="s">
        <v>465</v>
      </c>
    </row>
    <row r="576" spans="1:10" x14ac:dyDescent="0.2">
      <c r="A576" s="1" t="s">
        <v>6</v>
      </c>
      <c r="B576" s="2" t="s">
        <v>218</v>
      </c>
      <c r="D576" s="5" t="s">
        <v>464</v>
      </c>
      <c r="E576" s="3">
        <v>152500</v>
      </c>
      <c r="F576" s="3" t="s">
        <v>465</v>
      </c>
      <c r="G576" s="57" t="s">
        <v>465</v>
      </c>
    </row>
    <row r="577" spans="1:10" x14ac:dyDescent="0.2">
      <c r="A577" s="1" t="s">
        <v>6</v>
      </c>
      <c r="B577" s="2" t="s">
        <v>219</v>
      </c>
      <c r="C577" s="5" t="s">
        <v>3282</v>
      </c>
      <c r="D577" s="5" t="s">
        <v>3026</v>
      </c>
      <c r="E577" s="3">
        <v>129000</v>
      </c>
      <c r="F577" s="3" t="s">
        <v>465</v>
      </c>
      <c r="G577" s="57" t="s">
        <v>465</v>
      </c>
      <c r="J577" s="5" t="s">
        <v>3285</v>
      </c>
    </row>
    <row r="578" spans="1:10" x14ac:dyDescent="0.2">
      <c r="A578" s="1" t="s">
        <v>6</v>
      </c>
      <c r="B578" s="2" t="s">
        <v>219</v>
      </c>
      <c r="C578" s="5" t="s">
        <v>3283</v>
      </c>
      <c r="D578" s="5" t="s">
        <v>3281</v>
      </c>
      <c r="E578" s="3">
        <v>131000</v>
      </c>
      <c r="F578" s="3" t="s">
        <v>465</v>
      </c>
      <c r="G578" s="57" t="s">
        <v>465</v>
      </c>
      <c r="J578" s="5" t="s">
        <v>3285</v>
      </c>
    </row>
    <row r="579" spans="1:10" x14ac:dyDescent="0.2">
      <c r="A579" s="1" t="s">
        <v>6</v>
      </c>
      <c r="B579" s="2" t="s">
        <v>219</v>
      </c>
      <c r="C579" s="5" t="s">
        <v>3284</v>
      </c>
      <c r="D579" s="5" t="s">
        <v>4664</v>
      </c>
      <c r="E579" s="3">
        <v>128000</v>
      </c>
      <c r="F579" s="3" t="s">
        <v>465</v>
      </c>
      <c r="G579" s="57" t="s">
        <v>465</v>
      </c>
      <c r="J579" s="5" t="s">
        <v>3285</v>
      </c>
    </row>
    <row r="580" spans="1:10" x14ac:dyDescent="0.2">
      <c r="A580" s="1" t="s">
        <v>28</v>
      </c>
      <c r="B580" s="2" t="s">
        <v>221</v>
      </c>
      <c r="C580" s="5" t="s">
        <v>3271</v>
      </c>
      <c r="D580" s="5" t="s">
        <v>455</v>
      </c>
      <c r="E580" s="9">
        <v>136175</v>
      </c>
      <c r="F580" s="9" t="s">
        <v>465</v>
      </c>
      <c r="G580" s="57" t="s">
        <v>465</v>
      </c>
      <c r="J580" s="5" t="s">
        <v>3272</v>
      </c>
    </row>
    <row r="581" spans="1:10" x14ac:dyDescent="0.2">
      <c r="A581" s="1" t="s">
        <v>28</v>
      </c>
      <c r="B581" s="2" t="s">
        <v>221</v>
      </c>
      <c r="D581" s="5" t="s">
        <v>463</v>
      </c>
      <c r="E581" s="9">
        <v>121424</v>
      </c>
      <c r="F581" s="9" t="s">
        <v>465</v>
      </c>
      <c r="G581" s="57" t="s">
        <v>465</v>
      </c>
      <c r="J581" s="5" t="s">
        <v>3272</v>
      </c>
    </row>
    <row r="582" spans="1:10" x14ac:dyDescent="0.2">
      <c r="A582" s="1" t="s">
        <v>28</v>
      </c>
      <c r="B582" s="2" t="s">
        <v>221</v>
      </c>
      <c r="D582" s="5" t="s">
        <v>562</v>
      </c>
      <c r="E582" s="9">
        <v>169874</v>
      </c>
      <c r="F582" s="9" t="s">
        <v>465</v>
      </c>
      <c r="G582" s="57" t="s">
        <v>465</v>
      </c>
      <c r="J582" s="5" t="s">
        <v>3272</v>
      </c>
    </row>
    <row r="583" spans="1:10" x14ac:dyDescent="0.2">
      <c r="A583" s="1" t="s">
        <v>28</v>
      </c>
      <c r="B583" s="2" t="s">
        <v>221</v>
      </c>
      <c r="D583" s="5" t="s">
        <v>464</v>
      </c>
      <c r="E583" s="3">
        <v>102500</v>
      </c>
      <c r="F583" s="3" t="s">
        <v>465</v>
      </c>
      <c r="G583" s="57" t="s">
        <v>465</v>
      </c>
    </row>
    <row r="584" spans="1:10" x14ac:dyDescent="0.2">
      <c r="A584" s="1" t="s">
        <v>28</v>
      </c>
      <c r="B584" s="2" t="s">
        <v>221</v>
      </c>
      <c r="D584" s="5" t="s">
        <v>464</v>
      </c>
      <c r="E584" s="3">
        <v>107500</v>
      </c>
      <c r="F584" s="3" t="s">
        <v>465</v>
      </c>
      <c r="G584" s="57" t="s">
        <v>465</v>
      </c>
    </row>
    <row r="585" spans="1:10" x14ac:dyDescent="0.2">
      <c r="A585" s="1" t="s">
        <v>28</v>
      </c>
      <c r="B585" s="2" t="s">
        <v>221</v>
      </c>
      <c r="D585" s="5" t="s">
        <v>464</v>
      </c>
      <c r="E585" s="3">
        <v>107500</v>
      </c>
      <c r="F585" s="3" t="s">
        <v>465</v>
      </c>
      <c r="G585" s="57" t="s">
        <v>465</v>
      </c>
    </row>
    <row r="586" spans="1:10" x14ac:dyDescent="0.2">
      <c r="A586" s="1" t="s">
        <v>28</v>
      </c>
      <c r="B586" s="2" t="s">
        <v>221</v>
      </c>
      <c r="D586" s="5" t="s">
        <v>464</v>
      </c>
      <c r="E586" s="3">
        <v>137500</v>
      </c>
      <c r="F586" s="3" t="s">
        <v>465</v>
      </c>
      <c r="G586" s="57" t="s">
        <v>465</v>
      </c>
    </row>
    <row r="587" spans="1:10" x14ac:dyDescent="0.2">
      <c r="A587" s="1" t="s">
        <v>8</v>
      </c>
      <c r="B587" s="2" t="s">
        <v>222</v>
      </c>
      <c r="D587" s="5" t="s">
        <v>464</v>
      </c>
      <c r="E587" s="3">
        <v>102500</v>
      </c>
      <c r="F587" s="3" t="s">
        <v>465</v>
      </c>
      <c r="G587" s="57" t="s">
        <v>465</v>
      </c>
      <c r="J587" s="1"/>
    </row>
    <row r="588" spans="1:10" x14ac:dyDescent="0.2">
      <c r="A588" s="1" t="s">
        <v>8</v>
      </c>
      <c r="B588" s="2" t="s">
        <v>222</v>
      </c>
      <c r="D588" s="5" t="s">
        <v>464</v>
      </c>
      <c r="E588" s="3">
        <v>102500</v>
      </c>
      <c r="F588" s="3" t="s">
        <v>465</v>
      </c>
      <c r="G588" s="57" t="s">
        <v>465</v>
      </c>
      <c r="J588" s="1"/>
    </row>
    <row r="589" spans="1:10" x14ac:dyDescent="0.2">
      <c r="A589" s="1" t="s">
        <v>8</v>
      </c>
      <c r="B589" s="2" t="s">
        <v>222</v>
      </c>
      <c r="D589" s="5" t="s">
        <v>464</v>
      </c>
      <c r="E589" s="3">
        <v>107500</v>
      </c>
      <c r="F589" s="3" t="s">
        <v>465</v>
      </c>
      <c r="G589" s="57" t="s">
        <v>465</v>
      </c>
      <c r="H589" s="4"/>
      <c r="I589" s="4"/>
      <c r="J589" s="1"/>
    </row>
    <row r="590" spans="1:10" x14ac:dyDescent="0.2">
      <c r="A590" s="1" t="s">
        <v>8</v>
      </c>
      <c r="B590" s="2" t="s">
        <v>222</v>
      </c>
      <c r="D590" s="5" t="s">
        <v>464</v>
      </c>
      <c r="E590" s="3">
        <v>107500</v>
      </c>
      <c r="F590" s="3" t="s">
        <v>465</v>
      </c>
      <c r="G590" s="57" t="s">
        <v>465</v>
      </c>
      <c r="H590" s="4"/>
      <c r="I590" s="4"/>
      <c r="J590" s="1"/>
    </row>
    <row r="591" spans="1:10" x14ac:dyDescent="0.2">
      <c r="A591" s="1" t="s">
        <v>8</v>
      </c>
      <c r="B591" s="2" t="s">
        <v>222</v>
      </c>
      <c r="D591" s="5" t="s">
        <v>464</v>
      </c>
      <c r="E591" s="3">
        <v>112500</v>
      </c>
      <c r="F591" s="3" t="s">
        <v>465</v>
      </c>
      <c r="G591" s="57" t="s">
        <v>465</v>
      </c>
      <c r="H591" s="4"/>
      <c r="I591" s="4"/>
      <c r="J591" s="1"/>
    </row>
    <row r="592" spans="1:10" x14ac:dyDescent="0.2">
      <c r="A592" s="1" t="s">
        <v>8</v>
      </c>
      <c r="B592" s="2" t="s">
        <v>222</v>
      </c>
      <c r="D592" s="5" t="s">
        <v>464</v>
      </c>
      <c r="E592" s="3">
        <v>112500</v>
      </c>
      <c r="F592" s="3" t="s">
        <v>465</v>
      </c>
      <c r="G592" s="57" t="s">
        <v>465</v>
      </c>
      <c r="H592" s="4"/>
      <c r="I592" s="4"/>
      <c r="J592" s="1"/>
    </row>
    <row r="593" spans="1:12" x14ac:dyDescent="0.2">
      <c r="A593" s="1" t="s">
        <v>8</v>
      </c>
      <c r="B593" s="2" t="s">
        <v>222</v>
      </c>
      <c r="D593" s="5" t="s">
        <v>464</v>
      </c>
      <c r="E593" s="3">
        <v>117500</v>
      </c>
      <c r="F593" s="3" t="s">
        <v>465</v>
      </c>
      <c r="G593" s="57" t="s">
        <v>465</v>
      </c>
      <c r="H593" s="4"/>
      <c r="I593" s="4"/>
      <c r="J593" s="1"/>
    </row>
    <row r="594" spans="1:12" x14ac:dyDescent="0.2">
      <c r="A594" s="1" t="s">
        <v>8</v>
      </c>
      <c r="B594" s="2" t="s">
        <v>222</v>
      </c>
      <c r="D594" s="5" t="s">
        <v>464</v>
      </c>
      <c r="E594" s="3">
        <v>127500</v>
      </c>
      <c r="F594" s="3" t="s">
        <v>465</v>
      </c>
      <c r="G594" s="57" t="s">
        <v>465</v>
      </c>
      <c r="H594" s="4"/>
      <c r="I594" s="4"/>
      <c r="J594" s="1"/>
    </row>
    <row r="595" spans="1:12" x14ac:dyDescent="0.2">
      <c r="A595" s="1" t="s">
        <v>8</v>
      </c>
      <c r="B595" s="2" t="s">
        <v>222</v>
      </c>
      <c r="D595" s="5" t="s">
        <v>464</v>
      </c>
      <c r="E595" s="3">
        <v>132500</v>
      </c>
      <c r="F595" s="3" t="s">
        <v>465</v>
      </c>
      <c r="G595" s="57" t="s">
        <v>465</v>
      </c>
      <c r="H595" s="4"/>
      <c r="I595" s="4"/>
      <c r="J595" s="1"/>
    </row>
    <row r="596" spans="1:12" x14ac:dyDescent="0.2">
      <c r="A596" s="1" t="s">
        <v>8</v>
      </c>
      <c r="B596" s="2" t="s">
        <v>222</v>
      </c>
      <c r="D596" s="5" t="s">
        <v>464</v>
      </c>
      <c r="E596" s="3">
        <v>142500</v>
      </c>
      <c r="F596" s="3" t="s">
        <v>465</v>
      </c>
      <c r="G596" s="57" t="s">
        <v>465</v>
      </c>
      <c r="H596" s="4"/>
      <c r="I596" s="4"/>
      <c r="J596" s="1"/>
    </row>
    <row r="597" spans="1:12" x14ac:dyDescent="0.2">
      <c r="A597" s="1" t="s">
        <v>8</v>
      </c>
      <c r="B597" s="2" t="s">
        <v>223</v>
      </c>
      <c r="D597" s="5" t="s">
        <v>855</v>
      </c>
      <c r="E597" s="3">
        <v>244000</v>
      </c>
      <c r="F597" s="3" t="s">
        <v>465</v>
      </c>
      <c r="G597" s="57" t="s">
        <v>465</v>
      </c>
      <c r="J597" s="5" t="s">
        <v>3257</v>
      </c>
    </row>
    <row r="598" spans="1:12" x14ac:dyDescent="0.2">
      <c r="A598" s="1" t="s">
        <v>8</v>
      </c>
      <c r="B598" s="2" t="s">
        <v>223</v>
      </c>
      <c r="D598" s="5" t="s">
        <v>464</v>
      </c>
      <c r="E598" s="3">
        <v>102500</v>
      </c>
      <c r="F598" s="3" t="s">
        <v>465</v>
      </c>
      <c r="G598" s="57" t="s">
        <v>465</v>
      </c>
      <c r="J598" s="1"/>
    </row>
    <row r="599" spans="1:12" x14ac:dyDescent="0.2">
      <c r="A599" s="1" t="s">
        <v>8</v>
      </c>
      <c r="B599" s="2" t="s">
        <v>223</v>
      </c>
      <c r="D599" s="5" t="s">
        <v>464</v>
      </c>
      <c r="E599" s="3">
        <v>102500</v>
      </c>
      <c r="F599" s="3" t="s">
        <v>465</v>
      </c>
      <c r="G599" s="57" t="s">
        <v>465</v>
      </c>
      <c r="J599" s="1"/>
    </row>
    <row r="600" spans="1:12" x14ac:dyDescent="0.2">
      <c r="A600" s="1" t="s">
        <v>8</v>
      </c>
      <c r="B600" s="2" t="s">
        <v>223</v>
      </c>
      <c r="D600" s="5" t="s">
        <v>464</v>
      </c>
      <c r="E600" s="3">
        <v>102500</v>
      </c>
      <c r="F600" s="3" t="s">
        <v>465</v>
      </c>
      <c r="G600" s="57" t="s">
        <v>465</v>
      </c>
      <c r="J600" s="1"/>
    </row>
    <row r="601" spans="1:12" x14ac:dyDescent="0.2">
      <c r="A601" s="1" t="s">
        <v>8</v>
      </c>
      <c r="B601" s="2" t="s">
        <v>223</v>
      </c>
      <c r="D601" s="5" t="s">
        <v>464</v>
      </c>
      <c r="E601" s="3">
        <v>107500</v>
      </c>
      <c r="F601" s="3" t="s">
        <v>465</v>
      </c>
      <c r="G601" s="57" t="s">
        <v>465</v>
      </c>
      <c r="H601" s="4"/>
      <c r="I601" s="4"/>
      <c r="J601" s="1"/>
    </row>
    <row r="602" spans="1:12" s="13" customFormat="1" x14ac:dyDescent="0.2">
      <c r="A602" s="1" t="s">
        <v>8</v>
      </c>
      <c r="B602" s="2" t="s">
        <v>223</v>
      </c>
      <c r="C602" s="5"/>
      <c r="D602" s="5" t="s">
        <v>464</v>
      </c>
      <c r="E602" s="3">
        <v>107500</v>
      </c>
      <c r="F602" s="3" t="s">
        <v>465</v>
      </c>
      <c r="G602" s="57" t="s">
        <v>465</v>
      </c>
      <c r="H602" s="4"/>
      <c r="I602" s="4"/>
      <c r="J602" s="1"/>
      <c r="K602" s="1"/>
      <c r="L602" s="1"/>
    </row>
    <row r="603" spans="1:12" x14ac:dyDescent="0.2">
      <c r="A603" s="1" t="s">
        <v>8</v>
      </c>
      <c r="B603" s="2" t="s">
        <v>223</v>
      </c>
      <c r="D603" s="5" t="s">
        <v>464</v>
      </c>
      <c r="E603" s="3">
        <v>112500</v>
      </c>
      <c r="F603" s="3" t="s">
        <v>465</v>
      </c>
      <c r="G603" s="57" t="s">
        <v>465</v>
      </c>
      <c r="H603" s="4"/>
      <c r="I603" s="4"/>
      <c r="J603" s="1"/>
    </row>
    <row r="604" spans="1:12" x14ac:dyDescent="0.2">
      <c r="A604" s="1" t="s">
        <v>8</v>
      </c>
      <c r="B604" s="2" t="s">
        <v>223</v>
      </c>
      <c r="D604" s="5" t="s">
        <v>464</v>
      </c>
      <c r="E604" s="3">
        <v>117500</v>
      </c>
      <c r="F604" s="3" t="s">
        <v>465</v>
      </c>
      <c r="G604" s="57" t="s">
        <v>465</v>
      </c>
      <c r="H604" s="4"/>
      <c r="I604" s="4"/>
      <c r="J604" s="1"/>
    </row>
    <row r="605" spans="1:12" x14ac:dyDescent="0.2">
      <c r="A605" s="1" t="s">
        <v>8</v>
      </c>
      <c r="B605" s="2" t="s">
        <v>223</v>
      </c>
      <c r="D605" s="5" t="s">
        <v>464</v>
      </c>
      <c r="E605" s="3">
        <v>117500</v>
      </c>
      <c r="F605" s="3" t="s">
        <v>465</v>
      </c>
      <c r="G605" s="57" t="s">
        <v>465</v>
      </c>
      <c r="H605" s="4"/>
      <c r="I605" s="4"/>
      <c r="J605" s="1"/>
    </row>
    <row r="606" spans="1:12" x14ac:dyDescent="0.2">
      <c r="A606" s="1" t="s">
        <v>8</v>
      </c>
      <c r="B606" s="2" t="s">
        <v>223</v>
      </c>
      <c r="D606" s="5" t="s">
        <v>464</v>
      </c>
      <c r="E606" s="3">
        <v>122500</v>
      </c>
      <c r="F606" s="3" t="s">
        <v>465</v>
      </c>
      <c r="G606" s="57" t="s">
        <v>465</v>
      </c>
      <c r="H606" s="4"/>
      <c r="I606" s="4"/>
      <c r="J606" s="1"/>
    </row>
    <row r="607" spans="1:12" x14ac:dyDescent="0.2">
      <c r="A607" s="1" t="s">
        <v>25</v>
      </c>
      <c r="B607" s="2" t="s">
        <v>225</v>
      </c>
      <c r="D607" s="5" t="s">
        <v>464</v>
      </c>
      <c r="E607" s="3">
        <v>102500</v>
      </c>
      <c r="F607" s="3" t="s">
        <v>465</v>
      </c>
      <c r="G607" s="57" t="s">
        <v>465</v>
      </c>
    </row>
    <row r="608" spans="1:12" x14ac:dyDescent="0.2">
      <c r="A608" s="1" t="s">
        <v>25</v>
      </c>
      <c r="B608" s="2" t="s">
        <v>225</v>
      </c>
      <c r="D608" s="5" t="s">
        <v>464</v>
      </c>
      <c r="E608" s="3">
        <v>102500</v>
      </c>
      <c r="F608" s="3" t="s">
        <v>465</v>
      </c>
      <c r="G608" s="57" t="s">
        <v>465</v>
      </c>
    </row>
    <row r="609" spans="1:12" x14ac:dyDescent="0.2">
      <c r="A609" s="1" t="s">
        <v>6</v>
      </c>
      <c r="B609" s="12" t="s">
        <v>231</v>
      </c>
      <c r="D609" s="5" t="s">
        <v>464</v>
      </c>
      <c r="E609" s="3">
        <v>102500</v>
      </c>
      <c r="F609" s="3" t="s">
        <v>465</v>
      </c>
      <c r="G609" s="57" t="s">
        <v>465</v>
      </c>
      <c r="J609" s="1"/>
    </row>
    <row r="610" spans="1:12" x14ac:dyDescent="0.2">
      <c r="A610" s="1" t="s">
        <v>6</v>
      </c>
      <c r="B610" s="12" t="s">
        <v>231</v>
      </c>
      <c r="D610" s="5" t="s">
        <v>464</v>
      </c>
      <c r="E610" s="3">
        <v>117500</v>
      </c>
      <c r="F610" s="3" t="s">
        <v>465</v>
      </c>
      <c r="G610" s="57" t="s">
        <v>465</v>
      </c>
      <c r="H610" s="4"/>
      <c r="I610" s="4"/>
      <c r="J610" s="1"/>
    </row>
    <row r="611" spans="1:12" x14ac:dyDescent="0.2">
      <c r="A611" s="1" t="s">
        <v>6</v>
      </c>
      <c r="B611" s="12" t="s">
        <v>231</v>
      </c>
      <c r="D611" s="5" t="s">
        <v>464</v>
      </c>
      <c r="E611" s="3">
        <v>117500</v>
      </c>
      <c r="F611" s="3" t="s">
        <v>465</v>
      </c>
      <c r="G611" s="57" t="s">
        <v>465</v>
      </c>
      <c r="H611" s="4"/>
      <c r="I611" s="4"/>
      <c r="J611" s="1"/>
    </row>
    <row r="612" spans="1:12" x14ac:dyDescent="0.2">
      <c r="A612" s="1" t="s">
        <v>6</v>
      </c>
      <c r="B612" s="12" t="s">
        <v>231</v>
      </c>
      <c r="D612" s="5" t="s">
        <v>464</v>
      </c>
      <c r="E612" s="3">
        <v>117500</v>
      </c>
      <c r="F612" s="3" t="s">
        <v>465</v>
      </c>
      <c r="G612" s="57" t="s">
        <v>465</v>
      </c>
      <c r="H612" s="4"/>
      <c r="I612" s="4"/>
      <c r="J612" s="1"/>
    </row>
    <row r="613" spans="1:12" x14ac:dyDescent="0.2">
      <c r="A613" s="1" t="s">
        <v>6</v>
      </c>
      <c r="B613" s="12" t="s">
        <v>231</v>
      </c>
      <c r="D613" s="5" t="s">
        <v>464</v>
      </c>
      <c r="E613" s="3">
        <v>117500</v>
      </c>
      <c r="F613" s="3" t="s">
        <v>465</v>
      </c>
      <c r="G613" s="57" t="s">
        <v>465</v>
      </c>
      <c r="H613" s="4"/>
      <c r="I613" s="4"/>
      <c r="J613" s="1"/>
    </row>
    <row r="614" spans="1:12" x14ac:dyDescent="0.2">
      <c r="A614" s="1" t="s">
        <v>6</v>
      </c>
      <c r="B614" s="12" t="s">
        <v>231</v>
      </c>
      <c r="D614" s="5" t="s">
        <v>464</v>
      </c>
      <c r="E614" s="3">
        <v>117500</v>
      </c>
      <c r="F614" s="3" t="s">
        <v>465</v>
      </c>
      <c r="G614" s="57" t="s">
        <v>465</v>
      </c>
      <c r="H614" s="4"/>
      <c r="I614" s="4"/>
      <c r="J614" s="1"/>
    </row>
    <row r="615" spans="1:12" x14ac:dyDescent="0.2">
      <c r="A615" s="1" t="s">
        <v>6</v>
      </c>
      <c r="B615" s="12" t="s">
        <v>231</v>
      </c>
      <c r="D615" s="5" t="s">
        <v>464</v>
      </c>
      <c r="E615" s="3">
        <v>117500</v>
      </c>
      <c r="F615" s="3" t="s">
        <v>465</v>
      </c>
      <c r="G615" s="57" t="s">
        <v>465</v>
      </c>
      <c r="H615" s="4"/>
      <c r="I615" s="4"/>
      <c r="J615" s="1"/>
    </row>
    <row r="616" spans="1:12" x14ac:dyDescent="0.2">
      <c r="A616" s="1" t="s">
        <v>6</v>
      </c>
      <c r="B616" s="12" t="s">
        <v>231</v>
      </c>
      <c r="D616" s="5" t="s">
        <v>464</v>
      </c>
      <c r="E616" s="3">
        <v>117500</v>
      </c>
      <c r="F616" s="3" t="s">
        <v>465</v>
      </c>
      <c r="G616" s="57" t="s">
        <v>465</v>
      </c>
      <c r="H616" s="4"/>
      <c r="I616" s="4"/>
      <c r="J616" s="1"/>
    </row>
    <row r="617" spans="1:12" x14ac:dyDescent="0.2">
      <c r="A617" s="1" t="s">
        <v>6</v>
      </c>
      <c r="B617" s="12" t="s">
        <v>231</v>
      </c>
      <c r="D617" s="5" t="s">
        <v>464</v>
      </c>
      <c r="E617" s="3">
        <v>122500</v>
      </c>
      <c r="F617" s="3" t="s">
        <v>465</v>
      </c>
      <c r="G617" s="57" t="s">
        <v>465</v>
      </c>
      <c r="H617" s="4"/>
      <c r="I617" s="4"/>
      <c r="J617" s="1"/>
    </row>
    <row r="618" spans="1:12" x14ac:dyDescent="0.2">
      <c r="A618" s="1" t="s">
        <v>6</v>
      </c>
      <c r="B618" s="12" t="s">
        <v>231</v>
      </c>
      <c r="D618" s="5" t="s">
        <v>464</v>
      </c>
      <c r="E618" s="3">
        <v>122500</v>
      </c>
      <c r="F618" s="3" t="s">
        <v>465</v>
      </c>
      <c r="G618" s="57" t="s">
        <v>465</v>
      </c>
      <c r="H618" s="4"/>
      <c r="I618" s="4"/>
      <c r="J618" s="1"/>
    </row>
    <row r="619" spans="1:12" x14ac:dyDescent="0.2">
      <c r="A619" s="1" t="s">
        <v>6</v>
      </c>
      <c r="B619" s="12" t="s">
        <v>231</v>
      </c>
      <c r="D619" s="5" t="s">
        <v>464</v>
      </c>
      <c r="E619" s="3">
        <v>122500</v>
      </c>
      <c r="F619" s="3" t="s">
        <v>465</v>
      </c>
      <c r="G619" s="57" t="s">
        <v>465</v>
      </c>
      <c r="H619" s="4"/>
      <c r="I619" s="4"/>
      <c r="J619" s="1"/>
    </row>
    <row r="620" spans="1:12" s="13" customFormat="1" x14ac:dyDescent="0.2">
      <c r="A620" s="1" t="s">
        <v>6</v>
      </c>
      <c r="B620" s="12" t="s">
        <v>231</v>
      </c>
      <c r="C620" s="5"/>
      <c r="D620" s="5" t="s">
        <v>464</v>
      </c>
      <c r="E620" s="3">
        <v>122500</v>
      </c>
      <c r="F620" s="3" t="s">
        <v>465</v>
      </c>
      <c r="G620" s="57" t="s">
        <v>465</v>
      </c>
      <c r="H620" s="4"/>
      <c r="I620" s="4"/>
      <c r="J620" s="1"/>
      <c r="K620" s="1"/>
      <c r="L620" s="1"/>
    </row>
    <row r="621" spans="1:12" x14ac:dyDescent="0.2">
      <c r="A621" s="1" t="s">
        <v>6</v>
      </c>
      <c r="B621" s="12" t="s">
        <v>231</v>
      </c>
      <c r="D621" s="5" t="s">
        <v>464</v>
      </c>
      <c r="E621" s="3">
        <v>122500</v>
      </c>
      <c r="F621" s="3" t="s">
        <v>465</v>
      </c>
      <c r="G621" s="57" t="s">
        <v>465</v>
      </c>
      <c r="H621" s="4"/>
      <c r="I621" s="4"/>
      <c r="J621" s="1"/>
    </row>
    <row r="622" spans="1:12" x14ac:dyDescent="0.2">
      <c r="A622" s="1" t="s">
        <v>6</v>
      </c>
      <c r="B622" s="12" t="s">
        <v>231</v>
      </c>
      <c r="D622" s="5" t="s">
        <v>464</v>
      </c>
      <c r="E622" s="3">
        <v>122500</v>
      </c>
      <c r="F622" s="3" t="s">
        <v>465</v>
      </c>
      <c r="G622" s="57" t="s">
        <v>465</v>
      </c>
      <c r="H622" s="4"/>
      <c r="I622" s="4"/>
      <c r="J622" s="1"/>
    </row>
    <row r="623" spans="1:12" s="13" customFormat="1" x14ac:dyDescent="0.2">
      <c r="A623" s="1" t="s">
        <v>6</v>
      </c>
      <c r="B623" s="12" t="s">
        <v>231</v>
      </c>
      <c r="C623" s="5"/>
      <c r="D623" s="5" t="s">
        <v>464</v>
      </c>
      <c r="E623" s="3">
        <v>122500</v>
      </c>
      <c r="F623" s="3" t="s">
        <v>465</v>
      </c>
      <c r="G623" s="57" t="s">
        <v>465</v>
      </c>
      <c r="H623" s="4"/>
      <c r="I623" s="4"/>
      <c r="J623" s="1"/>
      <c r="K623" s="1"/>
      <c r="L623" s="1"/>
    </row>
    <row r="624" spans="1:12" s="13" customFormat="1" x14ac:dyDescent="0.2">
      <c r="A624" s="1" t="s">
        <v>20</v>
      </c>
      <c r="B624" s="2" t="s">
        <v>232</v>
      </c>
      <c r="C624" s="5" t="s">
        <v>3214</v>
      </c>
      <c r="D624" s="5" t="s">
        <v>450</v>
      </c>
      <c r="E624" s="3">
        <v>164158</v>
      </c>
      <c r="F624" s="3" t="s">
        <v>465</v>
      </c>
      <c r="G624" s="57" t="s">
        <v>465</v>
      </c>
      <c r="H624" s="19"/>
      <c r="I624" s="19"/>
      <c r="J624" s="5" t="s">
        <v>3215</v>
      </c>
      <c r="K624" s="1"/>
      <c r="L624" s="1"/>
    </row>
    <row r="625" spans="1:12" s="13" customFormat="1" x14ac:dyDescent="0.2">
      <c r="A625" s="1" t="s">
        <v>4</v>
      </c>
      <c r="B625" s="2" t="s">
        <v>234</v>
      </c>
      <c r="C625" s="5"/>
      <c r="D625" s="5" t="s">
        <v>450</v>
      </c>
      <c r="E625" s="3">
        <v>168000</v>
      </c>
      <c r="F625" s="3" t="s">
        <v>465</v>
      </c>
      <c r="G625" s="57" t="s">
        <v>465</v>
      </c>
      <c r="H625" s="19"/>
      <c r="I625" s="19"/>
      <c r="J625" s="5"/>
      <c r="K625" s="1"/>
      <c r="L625" s="1"/>
    </row>
    <row r="626" spans="1:12" s="13" customFormat="1" x14ac:dyDescent="0.2">
      <c r="A626" s="1" t="s">
        <v>4</v>
      </c>
      <c r="B626" s="2" t="s">
        <v>234</v>
      </c>
      <c r="C626" s="5"/>
      <c r="D626" s="5" t="s">
        <v>3203</v>
      </c>
      <c r="E626" s="3">
        <v>125000</v>
      </c>
      <c r="F626" s="3" t="s">
        <v>465</v>
      </c>
      <c r="G626" s="57" t="s">
        <v>465</v>
      </c>
      <c r="H626" s="19"/>
      <c r="I626" s="19"/>
      <c r="J626" s="5"/>
      <c r="K626" s="1"/>
      <c r="L626" s="1"/>
    </row>
    <row r="627" spans="1:12" x14ac:dyDescent="0.2">
      <c r="A627" s="1" t="s">
        <v>4</v>
      </c>
      <c r="B627" s="2" t="s">
        <v>234</v>
      </c>
      <c r="D627" s="5" t="s">
        <v>3205</v>
      </c>
      <c r="E627" s="3">
        <v>117000</v>
      </c>
      <c r="F627" s="3" t="s">
        <v>465</v>
      </c>
      <c r="G627" s="57" t="s">
        <v>465</v>
      </c>
    </row>
    <row r="628" spans="1:12" x14ac:dyDescent="0.2">
      <c r="A628" s="1" t="s">
        <v>4</v>
      </c>
      <c r="B628" s="2" t="s">
        <v>234</v>
      </c>
      <c r="D628" s="5" t="s">
        <v>3204</v>
      </c>
      <c r="E628" s="3">
        <v>125000</v>
      </c>
      <c r="F628" s="3" t="s">
        <v>465</v>
      </c>
      <c r="G628" s="57" t="s">
        <v>465</v>
      </c>
    </row>
    <row r="629" spans="1:12" x14ac:dyDescent="0.2">
      <c r="A629" s="1" t="s">
        <v>6</v>
      </c>
      <c r="B629" s="2" t="s">
        <v>237</v>
      </c>
      <c r="D629" s="14" t="s">
        <v>3196</v>
      </c>
      <c r="E629" s="10">
        <v>110529</v>
      </c>
      <c r="F629" s="10" t="s">
        <v>465</v>
      </c>
      <c r="G629" s="57" t="s">
        <v>465</v>
      </c>
      <c r="J629" s="5" t="s">
        <v>3197</v>
      </c>
    </row>
    <row r="630" spans="1:12" x14ac:dyDescent="0.2">
      <c r="A630" s="1" t="s">
        <v>6</v>
      </c>
      <c r="B630" s="2" t="s">
        <v>237</v>
      </c>
      <c r="D630" s="7" t="s">
        <v>464</v>
      </c>
      <c r="E630" s="6">
        <v>102500</v>
      </c>
      <c r="F630" s="6" t="s">
        <v>465</v>
      </c>
      <c r="G630" s="57" t="s">
        <v>465</v>
      </c>
      <c r="H630" s="21"/>
      <c r="I630" s="21"/>
      <c r="J630" s="7"/>
    </row>
    <row r="631" spans="1:12" x14ac:dyDescent="0.2">
      <c r="A631" s="1" t="s">
        <v>6</v>
      </c>
      <c r="B631" s="2" t="s">
        <v>237</v>
      </c>
      <c r="D631" s="7" t="s">
        <v>464</v>
      </c>
      <c r="E631" s="6">
        <v>102500</v>
      </c>
      <c r="F631" s="6" t="s">
        <v>465</v>
      </c>
      <c r="G631" s="57" t="s">
        <v>465</v>
      </c>
      <c r="H631" s="21"/>
      <c r="I631" s="21"/>
      <c r="J631" s="7"/>
    </row>
    <row r="632" spans="1:12" x14ac:dyDescent="0.2">
      <c r="A632" s="1" t="s">
        <v>6</v>
      </c>
      <c r="B632" s="2" t="s">
        <v>237</v>
      </c>
      <c r="D632" s="7" t="s">
        <v>464</v>
      </c>
      <c r="E632" s="6">
        <v>102500</v>
      </c>
      <c r="F632" s="6" t="s">
        <v>465</v>
      </c>
      <c r="G632" s="57" t="s">
        <v>465</v>
      </c>
      <c r="H632" s="21"/>
      <c r="I632" s="21"/>
      <c r="J632" s="7"/>
    </row>
    <row r="633" spans="1:12" x14ac:dyDescent="0.2">
      <c r="A633" s="1" t="s">
        <v>6</v>
      </c>
      <c r="B633" s="2" t="s">
        <v>237</v>
      </c>
      <c r="D633" s="7" t="s">
        <v>464</v>
      </c>
      <c r="E633" s="6">
        <v>107500</v>
      </c>
      <c r="F633" s="6" t="s">
        <v>465</v>
      </c>
      <c r="G633" s="57" t="s">
        <v>465</v>
      </c>
      <c r="H633" s="21"/>
      <c r="I633" s="21"/>
      <c r="J633" s="7"/>
    </row>
    <row r="634" spans="1:12" x14ac:dyDescent="0.2">
      <c r="A634" s="1" t="s">
        <v>6</v>
      </c>
      <c r="B634" s="2" t="s">
        <v>237</v>
      </c>
      <c r="D634" s="7" t="s">
        <v>464</v>
      </c>
      <c r="E634" s="6">
        <v>112500</v>
      </c>
      <c r="F634" s="6" t="s">
        <v>465</v>
      </c>
      <c r="G634" s="57" t="s">
        <v>465</v>
      </c>
      <c r="H634" s="21"/>
      <c r="I634" s="21"/>
      <c r="J634" s="7"/>
    </row>
    <row r="635" spans="1:12" x14ac:dyDescent="0.2">
      <c r="A635" s="1" t="s">
        <v>6</v>
      </c>
      <c r="B635" s="2" t="s">
        <v>237</v>
      </c>
      <c r="D635" s="7" t="s">
        <v>464</v>
      </c>
      <c r="E635" s="6">
        <v>117500</v>
      </c>
      <c r="F635" s="6" t="s">
        <v>465</v>
      </c>
      <c r="G635" s="57" t="s">
        <v>465</v>
      </c>
      <c r="H635" s="21"/>
      <c r="I635" s="21"/>
      <c r="J635" s="7"/>
    </row>
    <row r="636" spans="1:12" x14ac:dyDescent="0.2">
      <c r="A636" s="1" t="s">
        <v>6</v>
      </c>
      <c r="B636" s="2" t="s">
        <v>237</v>
      </c>
      <c r="D636" s="7" t="s">
        <v>464</v>
      </c>
      <c r="E636" s="6">
        <v>102500</v>
      </c>
      <c r="F636" s="6" t="s">
        <v>465</v>
      </c>
      <c r="G636" s="57" t="s">
        <v>465</v>
      </c>
      <c r="H636" s="21"/>
      <c r="I636" s="21"/>
      <c r="J636" s="7" t="s">
        <v>539</v>
      </c>
    </row>
    <row r="637" spans="1:12" x14ac:dyDescent="0.2">
      <c r="A637" s="1" t="s">
        <v>6</v>
      </c>
      <c r="B637" s="2" t="s">
        <v>237</v>
      </c>
      <c r="D637" s="7" t="s">
        <v>464</v>
      </c>
      <c r="E637" s="6">
        <v>112500</v>
      </c>
      <c r="F637" s="6" t="s">
        <v>465</v>
      </c>
      <c r="G637" s="57" t="s">
        <v>465</v>
      </c>
      <c r="H637" s="21"/>
      <c r="I637" s="21"/>
      <c r="J637" s="7" t="s">
        <v>539</v>
      </c>
    </row>
    <row r="638" spans="1:12" x14ac:dyDescent="0.2">
      <c r="A638" s="1" t="s">
        <v>34</v>
      </c>
      <c r="B638" s="12" t="s">
        <v>241</v>
      </c>
      <c r="C638" s="7"/>
      <c r="D638" s="7" t="s">
        <v>450</v>
      </c>
      <c r="E638" s="6">
        <v>381122</v>
      </c>
      <c r="F638" s="6" t="s">
        <v>465</v>
      </c>
      <c r="G638" s="57" t="s">
        <v>465</v>
      </c>
      <c r="H638" s="21"/>
      <c r="I638" s="21"/>
      <c r="J638" s="7" t="s">
        <v>3167</v>
      </c>
      <c r="K638" s="13"/>
      <c r="L638" s="13"/>
    </row>
    <row r="639" spans="1:12" x14ac:dyDescent="0.2">
      <c r="A639" s="1" t="s">
        <v>34</v>
      </c>
      <c r="B639" s="12" t="s">
        <v>241</v>
      </c>
      <c r="C639" s="7"/>
      <c r="D639" s="7" t="s">
        <v>3168</v>
      </c>
      <c r="E639" s="6">
        <v>100946</v>
      </c>
      <c r="F639" s="6" t="s">
        <v>465</v>
      </c>
      <c r="G639" s="57" t="s">
        <v>465</v>
      </c>
      <c r="H639" s="21"/>
      <c r="I639" s="21"/>
      <c r="J639" s="7" t="s">
        <v>4362</v>
      </c>
      <c r="K639" s="13"/>
      <c r="L639" s="13"/>
    </row>
    <row r="640" spans="1:12" x14ac:dyDescent="0.2">
      <c r="A640" s="1" t="s">
        <v>34</v>
      </c>
      <c r="B640" s="12" t="s">
        <v>241</v>
      </c>
      <c r="C640" s="7"/>
      <c r="D640" s="7" t="s">
        <v>3169</v>
      </c>
      <c r="E640" s="6">
        <v>117956</v>
      </c>
      <c r="F640" s="6" t="s">
        <v>465</v>
      </c>
      <c r="G640" s="57" t="s">
        <v>465</v>
      </c>
      <c r="H640" s="21"/>
      <c r="I640" s="21"/>
      <c r="J640" s="7" t="s">
        <v>3170</v>
      </c>
      <c r="K640" s="13"/>
      <c r="L640" s="13"/>
    </row>
    <row r="641" spans="1:12" x14ac:dyDescent="0.2">
      <c r="A641" s="1" t="s">
        <v>44</v>
      </c>
      <c r="B641" s="12" t="s">
        <v>242</v>
      </c>
      <c r="C641" s="7"/>
      <c r="D641" s="7" t="s">
        <v>3165</v>
      </c>
      <c r="E641" s="6">
        <v>104590</v>
      </c>
      <c r="F641" s="6" t="s">
        <v>465</v>
      </c>
      <c r="G641" s="57" t="s">
        <v>465</v>
      </c>
      <c r="H641" s="21"/>
      <c r="I641" s="21"/>
      <c r="J641" s="7" t="s">
        <v>4364</v>
      </c>
      <c r="K641" s="13"/>
      <c r="L641" s="13"/>
    </row>
    <row r="642" spans="1:12" x14ac:dyDescent="0.2">
      <c r="A642" s="1" t="s">
        <v>25</v>
      </c>
      <c r="B642" s="2" t="s">
        <v>243</v>
      </c>
      <c r="D642" s="7" t="s">
        <v>464</v>
      </c>
      <c r="E642" s="6">
        <v>102500</v>
      </c>
      <c r="F642" s="6" t="s">
        <v>465</v>
      </c>
      <c r="G642" s="57" t="s">
        <v>465</v>
      </c>
      <c r="H642" s="21"/>
      <c r="I642" s="21"/>
      <c r="J642" s="7" t="s">
        <v>539</v>
      </c>
    </row>
    <row r="643" spans="1:12" x14ac:dyDescent="0.2">
      <c r="A643" s="1" t="s">
        <v>25</v>
      </c>
      <c r="B643" s="2" t="s">
        <v>243</v>
      </c>
      <c r="D643" s="7" t="s">
        <v>464</v>
      </c>
      <c r="E643" s="6">
        <v>102500</v>
      </c>
      <c r="F643" s="6" t="s">
        <v>465</v>
      </c>
      <c r="G643" s="57" t="s">
        <v>465</v>
      </c>
      <c r="H643" s="21"/>
      <c r="I643" s="21"/>
      <c r="J643" s="7" t="s">
        <v>539</v>
      </c>
    </row>
    <row r="644" spans="1:12" x14ac:dyDescent="0.2">
      <c r="A644" s="1" t="s">
        <v>25</v>
      </c>
      <c r="B644" s="2" t="s">
        <v>243</v>
      </c>
      <c r="D644" s="7" t="s">
        <v>464</v>
      </c>
      <c r="E644" s="6">
        <v>102500</v>
      </c>
      <c r="F644" s="6" t="s">
        <v>465</v>
      </c>
      <c r="G644" s="57" t="s">
        <v>465</v>
      </c>
      <c r="H644" s="21"/>
      <c r="I644" s="21"/>
      <c r="J644" s="7" t="s">
        <v>539</v>
      </c>
    </row>
    <row r="645" spans="1:12" x14ac:dyDescent="0.2">
      <c r="A645" s="1" t="s">
        <v>25</v>
      </c>
      <c r="B645" s="2" t="s">
        <v>243</v>
      </c>
      <c r="D645" s="7" t="s">
        <v>464</v>
      </c>
      <c r="E645" s="6">
        <v>102500</v>
      </c>
      <c r="F645" s="6" t="s">
        <v>465</v>
      </c>
      <c r="G645" s="57" t="s">
        <v>465</v>
      </c>
      <c r="H645" s="21"/>
      <c r="I645" s="21"/>
      <c r="J645" s="7"/>
    </row>
    <row r="646" spans="1:12" s="13" customFormat="1" x14ac:dyDescent="0.2">
      <c r="A646" s="1" t="s">
        <v>25</v>
      </c>
      <c r="B646" s="2" t="s">
        <v>243</v>
      </c>
      <c r="C646" s="5"/>
      <c r="D646" s="7" t="s">
        <v>464</v>
      </c>
      <c r="E646" s="6">
        <v>112500</v>
      </c>
      <c r="F646" s="6" t="s">
        <v>465</v>
      </c>
      <c r="G646" s="57" t="s">
        <v>465</v>
      </c>
      <c r="H646" s="21"/>
      <c r="I646" s="21"/>
      <c r="J646" s="7" t="s">
        <v>539</v>
      </c>
      <c r="K646" s="1"/>
      <c r="L646" s="1"/>
    </row>
    <row r="647" spans="1:12" x14ac:dyDescent="0.2">
      <c r="A647" s="1" t="s">
        <v>25</v>
      </c>
      <c r="B647" s="2" t="s">
        <v>243</v>
      </c>
      <c r="D647" s="7" t="s">
        <v>464</v>
      </c>
      <c r="E647" s="6">
        <v>127500</v>
      </c>
      <c r="F647" s="6" t="s">
        <v>465</v>
      </c>
      <c r="G647" s="57" t="s">
        <v>465</v>
      </c>
      <c r="H647" s="21"/>
      <c r="I647" s="21"/>
      <c r="J647" s="7" t="s">
        <v>539</v>
      </c>
    </row>
    <row r="648" spans="1:12" x14ac:dyDescent="0.2">
      <c r="A648" s="1" t="s">
        <v>25</v>
      </c>
      <c r="B648" s="2" t="s">
        <v>243</v>
      </c>
      <c r="D648" s="7" t="s">
        <v>464</v>
      </c>
      <c r="E648" s="6">
        <v>127500</v>
      </c>
      <c r="F648" s="6" t="s">
        <v>465</v>
      </c>
      <c r="G648" s="57" t="s">
        <v>465</v>
      </c>
      <c r="H648" s="21"/>
      <c r="I648" s="21"/>
      <c r="J648" s="7"/>
    </row>
    <row r="649" spans="1:12" x14ac:dyDescent="0.2">
      <c r="A649" s="1" t="s">
        <v>25</v>
      </c>
      <c r="B649" s="2" t="s">
        <v>243</v>
      </c>
      <c r="D649" s="7" t="s">
        <v>464</v>
      </c>
      <c r="E649" s="6">
        <v>137500</v>
      </c>
      <c r="F649" s="6" t="s">
        <v>465</v>
      </c>
      <c r="G649" s="57" t="s">
        <v>465</v>
      </c>
      <c r="H649" s="21"/>
      <c r="I649" s="21"/>
      <c r="J649" s="7" t="s">
        <v>539</v>
      </c>
    </row>
    <row r="650" spans="1:12" x14ac:dyDescent="0.2">
      <c r="A650" s="1" t="s">
        <v>25</v>
      </c>
      <c r="B650" s="2" t="s">
        <v>243</v>
      </c>
      <c r="D650" s="7" t="s">
        <v>464</v>
      </c>
      <c r="E650" s="6">
        <v>137500</v>
      </c>
      <c r="F650" s="6" t="s">
        <v>465</v>
      </c>
      <c r="G650" s="57" t="s">
        <v>465</v>
      </c>
      <c r="H650" s="21"/>
      <c r="I650" s="21"/>
      <c r="J650" s="7" t="s">
        <v>539</v>
      </c>
    </row>
    <row r="651" spans="1:12" s="13" customFormat="1" x14ac:dyDescent="0.2">
      <c r="A651" s="1" t="s">
        <v>25</v>
      </c>
      <c r="B651" s="2" t="s">
        <v>243</v>
      </c>
      <c r="C651" s="5"/>
      <c r="D651" s="7" t="s">
        <v>464</v>
      </c>
      <c r="E651" s="6">
        <v>137500</v>
      </c>
      <c r="F651" s="6" t="s">
        <v>465</v>
      </c>
      <c r="G651" s="57" t="s">
        <v>465</v>
      </c>
      <c r="H651" s="21"/>
      <c r="I651" s="21"/>
      <c r="J651" s="7"/>
      <c r="K651" s="1"/>
      <c r="L651" s="1"/>
    </row>
    <row r="652" spans="1:12" x14ac:dyDescent="0.2">
      <c r="A652" s="1" t="s">
        <v>25</v>
      </c>
      <c r="B652" s="2" t="s">
        <v>243</v>
      </c>
      <c r="D652" s="7" t="s">
        <v>464</v>
      </c>
      <c r="E652" s="6">
        <v>137500</v>
      </c>
      <c r="F652" s="6" t="s">
        <v>465</v>
      </c>
      <c r="G652" s="57" t="s">
        <v>465</v>
      </c>
      <c r="H652" s="21"/>
      <c r="I652" s="21"/>
      <c r="J652" s="7"/>
    </row>
    <row r="653" spans="1:12" x14ac:dyDescent="0.2">
      <c r="A653" s="1" t="s">
        <v>25</v>
      </c>
      <c r="B653" s="2" t="s">
        <v>243</v>
      </c>
      <c r="D653" s="7" t="s">
        <v>464</v>
      </c>
      <c r="E653" s="6">
        <v>142500</v>
      </c>
      <c r="F653" s="6" t="s">
        <v>465</v>
      </c>
      <c r="G653" s="57" t="s">
        <v>465</v>
      </c>
      <c r="H653" s="21"/>
      <c r="I653" s="21"/>
      <c r="J653" s="7" t="s">
        <v>539</v>
      </c>
    </row>
    <row r="654" spans="1:12" x14ac:dyDescent="0.2">
      <c r="A654" s="1" t="s">
        <v>25</v>
      </c>
      <c r="B654" s="2" t="s">
        <v>243</v>
      </c>
      <c r="D654" s="7" t="s">
        <v>464</v>
      </c>
      <c r="E654" s="6">
        <v>182500</v>
      </c>
      <c r="F654" s="6" t="s">
        <v>465</v>
      </c>
      <c r="G654" s="57" t="s">
        <v>465</v>
      </c>
      <c r="H654" s="21"/>
      <c r="I654" s="21"/>
      <c r="J654" s="7" t="s">
        <v>539</v>
      </c>
    </row>
    <row r="655" spans="1:12" x14ac:dyDescent="0.2">
      <c r="A655" s="1" t="s">
        <v>25</v>
      </c>
      <c r="B655" s="2" t="s">
        <v>243</v>
      </c>
      <c r="D655" s="7" t="s">
        <v>464</v>
      </c>
      <c r="E655" s="6">
        <v>182500</v>
      </c>
      <c r="F655" s="6" t="s">
        <v>465</v>
      </c>
      <c r="G655" s="57" t="s">
        <v>465</v>
      </c>
      <c r="H655" s="21"/>
      <c r="I655" s="21"/>
      <c r="J655" s="7"/>
    </row>
    <row r="656" spans="1:12" x14ac:dyDescent="0.2">
      <c r="A656" s="13" t="s">
        <v>111</v>
      </c>
      <c r="B656" s="12" t="s">
        <v>247</v>
      </c>
      <c r="C656" s="7"/>
      <c r="D656" s="7" t="s">
        <v>464</v>
      </c>
      <c r="E656" s="6">
        <v>102500</v>
      </c>
      <c r="F656" s="6" t="s">
        <v>465</v>
      </c>
      <c r="G656" s="57" t="s">
        <v>465</v>
      </c>
      <c r="H656" s="21"/>
      <c r="I656" s="21"/>
      <c r="J656" s="7"/>
      <c r="K656" s="13"/>
      <c r="L656" s="13"/>
    </row>
    <row r="657" spans="1:12" x14ac:dyDescent="0.2">
      <c r="A657" s="13" t="s">
        <v>111</v>
      </c>
      <c r="B657" s="12" t="s">
        <v>247</v>
      </c>
      <c r="C657" s="7"/>
      <c r="D657" s="7" t="s">
        <v>464</v>
      </c>
      <c r="E657" s="6">
        <v>112500</v>
      </c>
      <c r="F657" s="6" t="s">
        <v>465</v>
      </c>
      <c r="G657" s="57" t="s">
        <v>465</v>
      </c>
      <c r="H657" s="21"/>
      <c r="I657" s="21"/>
      <c r="J657" s="7"/>
      <c r="K657" s="13"/>
      <c r="L657" s="13"/>
    </row>
    <row r="658" spans="1:12" x14ac:dyDescent="0.2">
      <c r="A658" s="13" t="s">
        <v>111</v>
      </c>
      <c r="B658" s="12" t="s">
        <v>247</v>
      </c>
      <c r="C658" s="7"/>
      <c r="D658" s="7" t="s">
        <v>464</v>
      </c>
      <c r="E658" s="6">
        <v>117500</v>
      </c>
      <c r="F658" s="6" t="s">
        <v>465</v>
      </c>
      <c r="G658" s="57" t="s">
        <v>465</v>
      </c>
      <c r="H658" s="21"/>
      <c r="I658" s="21"/>
      <c r="J658" s="7"/>
      <c r="K658" s="13"/>
      <c r="L658" s="13"/>
    </row>
    <row r="659" spans="1:12" x14ac:dyDescent="0.2">
      <c r="A659" s="13" t="s">
        <v>111</v>
      </c>
      <c r="B659" s="12" t="s">
        <v>247</v>
      </c>
      <c r="C659" s="7"/>
      <c r="D659" s="7" t="s">
        <v>464</v>
      </c>
      <c r="E659" s="6">
        <v>132500</v>
      </c>
      <c r="F659" s="6" t="s">
        <v>465</v>
      </c>
      <c r="G659" s="57" t="s">
        <v>465</v>
      </c>
      <c r="H659" s="21"/>
      <c r="I659" s="21"/>
      <c r="J659" s="7"/>
      <c r="K659" s="13"/>
      <c r="L659" s="13"/>
    </row>
    <row r="660" spans="1:12" x14ac:dyDescent="0.2">
      <c r="A660" s="1" t="s">
        <v>4</v>
      </c>
      <c r="B660" s="12" t="s">
        <v>249</v>
      </c>
      <c r="D660" s="7" t="s">
        <v>464</v>
      </c>
      <c r="E660" s="3">
        <v>102500</v>
      </c>
      <c r="F660" s="3" t="s">
        <v>465</v>
      </c>
      <c r="G660" s="57" t="s">
        <v>465</v>
      </c>
    </row>
    <row r="661" spans="1:12" x14ac:dyDescent="0.2">
      <c r="A661" s="1" t="s">
        <v>4</v>
      </c>
      <c r="B661" s="12" t="s">
        <v>249</v>
      </c>
      <c r="D661" s="7" t="s">
        <v>464</v>
      </c>
      <c r="E661" s="3">
        <v>102500</v>
      </c>
      <c r="F661" s="3" t="s">
        <v>465</v>
      </c>
      <c r="G661" s="57" t="s">
        <v>465</v>
      </c>
    </row>
    <row r="662" spans="1:12" x14ac:dyDescent="0.2">
      <c r="A662" s="1" t="s">
        <v>4</v>
      </c>
      <c r="B662" s="12" t="s">
        <v>249</v>
      </c>
      <c r="D662" s="7" t="s">
        <v>464</v>
      </c>
      <c r="E662" s="3">
        <v>107500</v>
      </c>
      <c r="F662" s="3" t="s">
        <v>465</v>
      </c>
      <c r="G662" s="57" t="s">
        <v>465</v>
      </c>
    </row>
    <row r="663" spans="1:12" x14ac:dyDescent="0.2">
      <c r="A663" s="1" t="s">
        <v>4</v>
      </c>
      <c r="B663" s="12" t="s">
        <v>249</v>
      </c>
      <c r="D663" s="7" t="s">
        <v>464</v>
      </c>
      <c r="E663" s="3">
        <v>112500</v>
      </c>
      <c r="F663" s="3" t="s">
        <v>465</v>
      </c>
      <c r="G663" s="57" t="s">
        <v>465</v>
      </c>
    </row>
    <row r="664" spans="1:12" x14ac:dyDescent="0.2">
      <c r="A664" s="1" t="s">
        <v>4</v>
      </c>
      <c r="B664" s="12" t="s">
        <v>249</v>
      </c>
      <c r="D664" s="7" t="s">
        <v>464</v>
      </c>
      <c r="E664" s="3">
        <v>122500</v>
      </c>
      <c r="F664" s="3" t="s">
        <v>465</v>
      </c>
      <c r="G664" s="57" t="s">
        <v>465</v>
      </c>
    </row>
    <row r="665" spans="1:12" s="13" customFormat="1" x14ac:dyDescent="0.2">
      <c r="A665" s="13" t="s">
        <v>4</v>
      </c>
      <c r="B665" s="2" t="s">
        <v>250</v>
      </c>
      <c r="C665" s="5"/>
      <c r="D665" s="5" t="s">
        <v>3127</v>
      </c>
      <c r="E665" s="3">
        <v>170430</v>
      </c>
      <c r="F665" s="3" t="s">
        <v>465</v>
      </c>
      <c r="G665" s="57" t="s">
        <v>465</v>
      </c>
      <c r="H665" s="19"/>
      <c r="I665" s="19"/>
      <c r="J665" s="5" t="s">
        <v>3128</v>
      </c>
      <c r="K665" s="1"/>
      <c r="L665" s="1"/>
    </row>
    <row r="666" spans="1:12" x14ac:dyDescent="0.2">
      <c r="A666" s="13" t="s">
        <v>4</v>
      </c>
      <c r="B666" s="12" t="s">
        <v>250</v>
      </c>
      <c r="C666" s="7"/>
      <c r="D666" s="7" t="s">
        <v>464</v>
      </c>
      <c r="E666" s="6">
        <v>107500</v>
      </c>
      <c r="F666" s="6" t="s">
        <v>465</v>
      </c>
      <c r="G666" s="57" t="s">
        <v>465</v>
      </c>
      <c r="H666" s="21"/>
      <c r="I666" s="21"/>
      <c r="J666" s="7"/>
      <c r="K666" s="13"/>
      <c r="L666" s="13"/>
    </row>
    <row r="667" spans="1:12" s="13" customFormat="1" ht="25.5" x14ac:dyDescent="0.2">
      <c r="A667" s="1" t="s">
        <v>44</v>
      </c>
      <c r="B667" s="2" t="s">
        <v>251</v>
      </c>
      <c r="C667" s="5"/>
      <c r="D667" s="5" t="s">
        <v>3121</v>
      </c>
      <c r="E667" s="6">
        <v>116704</v>
      </c>
      <c r="F667" s="3" t="s">
        <v>465</v>
      </c>
      <c r="G667" s="57" t="s">
        <v>465</v>
      </c>
      <c r="H667" s="19"/>
      <c r="I667" s="19"/>
      <c r="J667" s="5"/>
      <c r="K667" s="1"/>
      <c r="L667" s="1"/>
    </row>
    <row r="668" spans="1:12" x14ac:dyDescent="0.2">
      <c r="A668" s="1" t="s">
        <v>44</v>
      </c>
      <c r="B668" s="2" t="s">
        <v>251</v>
      </c>
      <c r="D668" s="5" t="s">
        <v>3122</v>
      </c>
      <c r="E668" s="6">
        <v>106925</v>
      </c>
      <c r="F668" s="3" t="s">
        <v>465</v>
      </c>
      <c r="G668" s="57" t="s">
        <v>465</v>
      </c>
    </row>
    <row r="669" spans="1:12" s="13" customFormat="1" x14ac:dyDescent="0.2">
      <c r="A669" s="1" t="s">
        <v>1</v>
      </c>
      <c r="B669" s="12" t="s">
        <v>252</v>
      </c>
      <c r="C669" s="5"/>
      <c r="D669" s="5" t="s">
        <v>464</v>
      </c>
      <c r="E669" s="3">
        <v>102500</v>
      </c>
      <c r="F669" s="3" t="s">
        <v>465</v>
      </c>
      <c r="G669" s="57" t="s">
        <v>465</v>
      </c>
      <c r="H669" s="19"/>
      <c r="I669" s="19"/>
      <c r="J669" s="5"/>
      <c r="K669" s="1"/>
      <c r="L669" s="1"/>
    </row>
    <row r="670" spans="1:12" s="13" customFormat="1" x14ac:dyDescent="0.2">
      <c r="A670" s="1" t="s">
        <v>44</v>
      </c>
      <c r="B670" s="12" t="s">
        <v>254</v>
      </c>
      <c r="C670" s="7"/>
      <c r="D670" s="7" t="s">
        <v>3107</v>
      </c>
      <c r="E670" s="6">
        <v>124503</v>
      </c>
      <c r="F670" s="6" t="s">
        <v>465</v>
      </c>
      <c r="G670" s="57" t="s">
        <v>465</v>
      </c>
      <c r="H670" s="21"/>
      <c r="I670" s="21"/>
      <c r="J670" s="7" t="s">
        <v>3108</v>
      </c>
    </row>
    <row r="671" spans="1:12" s="13" customFormat="1" x14ac:dyDescent="0.2">
      <c r="A671" s="1" t="s">
        <v>4</v>
      </c>
      <c r="B671" s="2" t="s">
        <v>255</v>
      </c>
      <c r="C671" s="5"/>
      <c r="D671" s="5" t="s">
        <v>529</v>
      </c>
      <c r="E671" s="3">
        <v>109874</v>
      </c>
      <c r="F671" s="3" t="s">
        <v>465</v>
      </c>
      <c r="G671" s="57" t="s">
        <v>465</v>
      </c>
      <c r="H671" s="19"/>
      <c r="I671" s="19"/>
      <c r="J671" s="5"/>
      <c r="K671" s="1"/>
      <c r="L671" s="1"/>
    </row>
    <row r="672" spans="1:12" s="13" customFormat="1" x14ac:dyDescent="0.2">
      <c r="A672" s="1" t="s">
        <v>4</v>
      </c>
      <c r="B672" s="2" t="s">
        <v>255</v>
      </c>
      <c r="C672" s="5"/>
      <c r="D672" s="5" t="s">
        <v>529</v>
      </c>
      <c r="E672" s="3">
        <v>108074</v>
      </c>
      <c r="F672" s="3" t="s">
        <v>465</v>
      </c>
      <c r="G672" s="57" t="s">
        <v>465</v>
      </c>
      <c r="H672" s="19"/>
      <c r="I672" s="19"/>
      <c r="J672" s="5"/>
      <c r="K672" s="1"/>
      <c r="L672" s="1"/>
    </row>
    <row r="673" spans="1:12" s="13" customFormat="1" x14ac:dyDescent="0.2">
      <c r="A673" s="1" t="s">
        <v>111</v>
      </c>
      <c r="B673" s="12" t="s">
        <v>257</v>
      </c>
      <c r="C673" s="5"/>
      <c r="D673" s="5" t="s">
        <v>464</v>
      </c>
      <c r="E673" s="3">
        <v>102500</v>
      </c>
      <c r="F673" s="3" t="s">
        <v>465</v>
      </c>
      <c r="G673" s="57" t="s">
        <v>465</v>
      </c>
      <c r="H673" s="19"/>
      <c r="I673" s="19"/>
      <c r="J673" s="5"/>
      <c r="K673" s="33"/>
      <c r="L673" s="33"/>
    </row>
    <row r="674" spans="1:12" s="13" customFormat="1" x14ac:dyDescent="0.2">
      <c r="A674" s="1" t="s">
        <v>111</v>
      </c>
      <c r="B674" s="12" t="s">
        <v>257</v>
      </c>
      <c r="C674" s="5"/>
      <c r="D674" s="5" t="s">
        <v>464</v>
      </c>
      <c r="E674" s="3">
        <v>102500</v>
      </c>
      <c r="F674" s="3" t="s">
        <v>465</v>
      </c>
      <c r="G674" s="57" t="s">
        <v>465</v>
      </c>
      <c r="H674" s="19"/>
      <c r="I674" s="19"/>
      <c r="J674" s="5"/>
      <c r="K674" s="33"/>
      <c r="L674" s="33"/>
    </row>
    <row r="675" spans="1:12" s="13" customFormat="1" x14ac:dyDescent="0.2">
      <c r="A675" s="1" t="s">
        <v>111</v>
      </c>
      <c r="B675" s="12" t="s">
        <v>257</v>
      </c>
      <c r="C675" s="5"/>
      <c r="D675" s="5" t="s">
        <v>464</v>
      </c>
      <c r="E675" s="3">
        <v>102500</v>
      </c>
      <c r="F675" s="3" t="s">
        <v>465</v>
      </c>
      <c r="G675" s="57" t="s">
        <v>465</v>
      </c>
      <c r="H675" s="19"/>
      <c r="I675" s="19"/>
      <c r="J675" s="5"/>
      <c r="K675" s="33"/>
      <c r="L675" s="33"/>
    </row>
    <row r="676" spans="1:12" s="13" customFormat="1" x14ac:dyDescent="0.2">
      <c r="A676" s="1" t="s">
        <v>111</v>
      </c>
      <c r="B676" s="12" t="s">
        <v>257</v>
      </c>
      <c r="C676" s="5"/>
      <c r="D676" s="5" t="s">
        <v>464</v>
      </c>
      <c r="E676" s="3">
        <v>102500</v>
      </c>
      <c r="F676" s="3" t="s">
        <v>465</v>
      </c>
      <c r="G676" s="57" t="s">
        <v>465</v>
      </c>
      <c r="H676" s="19"/>
      <c r="I676" s="19"/>
      <c r="J676" s="5"/>
      <c r="K676" s="33"/>
      <c r="L676" s="33"/>
    </row>
    <row r="677" spans="1:12" s="13" customFormat="1" x14ac:dyDescent="0.2">
      <c r="A677" s="1" t="s">
        <v>111</v>
      </c>
      <c r="B677" s="12" t="s">
        <v>257</v>
      </c>
      <c r="C677" s="5"/>
      <c r="D677" s="5" t="s">
        <v>464</v>
      </c>
      <c r="E677" s="3">
        <v>102500</v>
      </c>
      <c r="F677" s="3" t="s">
        <v>465</v>
      </c>
      <c r="G677" s="57" t="s">
        <v>465</v>
      </c>
      <c r="H677" s="19"/>
      <c r="I677" s="19"/>
      <c r="J677" s="5"/>
      <c r="K677" s="33"/>
      <c r="L677" s="33"/>
    </row>
    <row r="678" spans="1:12" s="13" customFormat="1" x14ac:dyDescent="0.2">
      <c r="A678" s="1" t="s">
        <v>111</v>
      </c>
      <c r="B678" s="12" t="s">
        <v>257</v>
      </c>
      <c r="C678" s="5"/>
      <c r="D678" s="5" t="s">
        <v>464</v>
      </c>
      <c r="E678" s="3">
        <v>102500</v>
      </c>
      <c r="F678" s="3" t="s">
        <v>465</v>
      </c>
      <c r="G678" s="57" t="s">
        <v>465</v>
      </c>
      <c r="H678" s="19"/>
      <c r="I678" s="19"/>
      <c r="J678" s="5"/>
      <c r="K678" s="33"/>
      <c r="L678" s="33"/>
    </row>
    <row r="679" spans="1:12" x14ac:dyDescent="0.2">
      <c r="A679" s="1" t="s">
        <v>111</v>
      </c>
      <c r="B679" s="12" t="s">
        <v>257</v>
      </c>
      <c r="D679" s="5" t="s">
        <v>464</v>
      </c>
      <c r="E679" s="3">
        <v>107500</v>
      </c>
      <c r="F679" s="3" t="s">
        <v>465</v>
      </c>
      <c r="G679" s="57" t="s">
        <v>465</v>
      </c>
      <c r="K679" s="33"/>
      <c r="L679" s="33"/>
    </row>
    <row r="680" spans="1:12" x14ac:dyDescent="0.2">
      <c r="A680" s="1" t="s">
        <v>111</v>
      </c>
      <c r="B680" s="12" t="s">
        <v>257</v>
      </c>
      <c r="D680" s="5" t="s">
        <v>464</v>
      </c>
      <c r="E680" s="3">
        <v>107500</v>
      </c>
      <c r="F680" s="3" t="s">
        <v>465</v>
      </c>
      <c r="G680" s="57" t="s">
        <v>465</v>
      </c>
      <c r="K680" s="33"/>
      <c r="L680" s="33"/>
    </row>
    <row r="681" spans="1:12" x14ac:dyDescent="0.2">
      <c r="A681" s="1" t="s">
        <v>111</v>
      </c>
      <c r="B681" s="12" t="s">
        <v>257</v>
      </c>
      <c r="D681" s="5" t="s">
        <v>464</v>
      </c>
      <c r="E681" s="3">
        <v>107500</v>
      </c>
      <c r="F681" s="3" t="s">
        <v>465</v>
      </c>
      <c r="G681" s="57" t="s">
        <v>465</v>
      </c>
      <c r="K681" s="33"/>
      <c r="L681" s="33"/>
    </row>
    <row r="682" spans="1:12" x14ac:dyDescent="0.2">
      <c r="A682" s="1" t="s">
        <v>111</v>
      </c>
      <c r="B682" s="12" t="s">
        <v>257</v>
      </c>
      <c r="D682" s="5" t="s">
        <v>464</v>
      </c>
      <c r="E682" s="3">
        <v>107500</v>
      </c>
      <c r="F682" s="3" t="s">
        <v>465</v>
      </c>
      <c r="G682" s="57" t="s">
        <v>465</v>
      </c>
      <c r="K682" s="33"/>
      <c r="L682" s="33"/>
    </row>
    <row r="683" spans="1:12" x14ac:dyDescent="0.2">
      <c r="A683" s="1" t="s">
        <v>111</v>
      </c>
      <c r="B683" s="12" t="s">
        <v>257</v>
      </c>
      <c r="D683" s="5" t="s">
        <v>464</v>
      </c>
      <c r="E683" s="3">
        <v>107500</v>
      </c>
      <c r="F683" s="3" t="s">
        <v>465</v>
      </c>
      <c r="G683" s="57" t="s">
        <v>465</v>
      </c>
      <c r="K683" s="33"/>
      <c r="L683" s="33"/>
    </row>
    <row r="684" spans="1:12" x14ac:dyDescent="0.2">
      <c r="A684" s="1" t="s">
        <v>111</v>
      </c>
      <c r="B684" s="12" t="s">
        <v>257</v>
      </c>
      <c r="D684" s="5" t="s">
        <v>464</v>
      </c>
      <c r="E684" s="3">
        <v>112500</v>
      </c>
      <c r="F684" s="3" t="s">
        <v>465</v>
      </c>
      <c r="G684" s="57" t="s">
        <v>465</v>
      </c>
      <c r="K684" s="33"/>
      <c r="L684" s="33"/>
    </row>
    <row r="685" spans="1:12" x14ac:dyDescent="0.2">
      <c r="A685" s="1" t="s">
        <v>111</v>
      </c>
      <c r="B685" s="12" t="s">
        <v>257</v>
      </c>
      <c r="D685" s="5" t="s">
        <v>464</v>
      </c>
      <c r="E685" s="3">
        <v>112500</v>
      </c>
      <c r="F685" s="3" t="s">
        <v>465</v>
      </c>
      <c r="G685" s="57" t="s">
        <v>465</v>
      </c>
      <c r="K685" s="33"/>
      <c r="L685" s="33"/>
    </row>
    <row r="686" spans="1:12" x14ac:dyDescent="0.2">
      <c r="A686" s="1" t="s">
        <v>111</v>
      </c>
      <c r="B686" s="12" t="s">
        <v>257</v>
      </c>
      <c r="D686" s="5" t="s">
        <v>464</v>
      </c>
      <c r="E686" s="3">
        <v>112500</v>
      </c>
      <c r="F686" s="3" t="s">
        <v>465</v>
      </c>
      <c r="G686" s="57" t="s">
        <v>465</v>
      </c>
      <c r="K686" s="33"/>
      <c r="L686" s="33"/>
    </row>
    <row r="687" spans="1:12" x14ac:dyDescent="0.2">
      <c r="A687" s="1" t="s">
        <v>111</v>
      </c>
      <c r="B687" s="12" t="s">
        <v>257</v>
      </c>
      <c r="D687" s="5" t="s">
        <v>464</v>
      </c>
      <c r="E687" s="3">
        <v>112500</v>
      </c>
      <c r="F687" s="3" t="s">
        <v>465</v>
      </c>
      <c r="G687" s="57" t="s">
        <v>465</v>
      </c>
      <c r="K687" s="33"/>
      <c r="L687" s="33"/>
    </row>
    <row r="688" spans="1:12" x14ac:dyDescent="0.2">
      <c r="A688" s="1" t="s">
        <v>111</v>
      </c>
      <c r="B688" s="12" t="s">
        <v>257</v>
      </c>
      <c r="D688" s="5" t="s">
        <v>464</v>
      </c>
      <c r="E688" s="3">
        <v>112500</v>
      </c>
      <c r="F688" s="3" t="s">
        <v>465</v>
      </c>
      <c r="G688" s="57" t="s">
        <v>465</v>
      </c>
      <c r="K688" s="33"/>
      <c r="L688" s="33"/>
    </row>
    <row r="689" spans="1:12" x14ac:dyDescent="0.2">
      <c r="A689" s="1" t="s">
        <v>111</v>
      </c>
      <c r="B689" s="12" t="s">
        <v>257</v>
      </c>
      <c r="D689" s="5" t="s">
        <v>464</v>
      </c>
      <c r="E689" s="3">
        <v>117500</v>
      </c>
      <c r="F689" s="3" t="s">
        <v>465</v>
      </c>
      <c r="G689" s="57" t="s">
        <v>465</v>
      </c>
      <c r="K689" s="33"/>
      <c r="L689" s="33"/>
    </row>
    <row r="690" spans="1:12" x14ac:dyDescent="0.2">
      <c r="A690" s="1" t="s">
        <v>111</v>
      </c>
      <c r="B690" s="12" t="s">
        <v>257</v>
      </c>
      <c r="D690" s="5" t="s">
        <v>464</v>
      </c>
      <c r="E690" s="3">
        <v>122500</v>
      </c>
      <c r="F690" s="3" t="s">
        <v>465</v>
      </c>
      <c r="G690" s="57" t="s">
        <v>465</v>
      </c>
      <c r="K690" s="33"/>
      <c r="L690" s="33"/>
    </row>
    <row r="691" spans="1:12" x14ac:dyDescent="0.2">
      <c r="A691" s="1" t="s">
        <v>111</v>
      </c>
      <c r="B691" s="12" t="s">
        <v>257</v>
      </c>
      <c r="D691" s="5" t="s">
        <v>464</v>
      </c>
      <c r="E691" s="3">
        <v>122500</v>
      </c>
      <c r="F691" s="3" t="s">
        <v>465</v>
      </c>
      <c r="G691" s="57" t="s">
        <v>465</v>
      </c>
      <c r="K691" s="33"/>
      <c r="L691" s="33"/>
    </row>
    <row r="692" spans="1:12" x14ac:dyDescent="0.2">
      <c r="A692" s="1" t="s">
        <v>111</v>
      </c>
      <c r="B692" s="12" t="s">
        <v>257</v>
      </c>
      <c r="D692" s="5" t="s">
        <v>464</v>
      </c>
      <c r="E692" s="3">
        <v>132500</v>
      </c>
      <c r="F692" s="3" t="s">
        <v>465</v>
      </c>
      <c r="G692" s="57" t="s">
        <v>465</v>
      </c>
    </row>
    <row r="693" spans="1:12" x14ac:dyDescent="0.2">
      <c r="A693" s="1" t="s">
        <v>111</v>
      </c>
      <c r="B693" s="12" t="s">
        <v>257</v>
      </c>
      <c r="D693" s="5" t="s">
        <v>464</v>
      </c>
      <c r="E693" s="3">
        <v>132500</v>
      </c>
      <c r="F693" s="3" t="s">
        <v>465</v>
      </c>
      <c r="G693" s="57" t="s">
        <v>465</v>
      </c>
    </row>
    <row r="694" spans="1:12" x14ac:dyDescent="0.2">
      <c r="A694" s="1" t="s">
        <v>111</v>
      </c>
      <c r="B694" s="12" t="s">
        <v>257</v>
      </c>
      <c r="D694" s="5" t="s">
        <v>464</v>
      </c>
      <c r="E694" s="3">
        <v>137500</v>
      </c>
      <c r="F694" s="3" t="s">
        <v>465</v>
      </c>
      <c r="G694" s="57" t="s">
        <v>465</v>
      </c>
    </row>
    <row r="695" spans="1:12" x14ac:dyDescent="0.2">
      <c r="A695" s="1" t="s">
        <v>111</v>
      </c>
      <c r="B695" s="12" t="s">
        <v>257</v>
      </c>
      <c r="D695" s="5" t="s">
        <v>464</v>
      </c>
      <c r="E695" s="3">
        <v>137500</v>
      </c>
      <c r="F695" s="3" t="s">
        <v>465</v>
      </c>
      <c r="G695" s="57" t="s">
        <v>465</v>
      </c>
    </row>
    <row r="696" spans="1:12" x14ac:dyDescent="0.2">
      <c r="A696" s="1" t="s">
        <v>111</v>
      </c>
      <c r="B696" s="12" t="s">
        <v>257</v>
      </c>
      <c r="D696" s="5" t="s">
        <v>464</v>
      </c>
      <c r="E696" s="3">
        <v>162500</v>
      </c>
      <c r="F696" s="3" t="s">
        <v>465</v>
      </c>
      <c r="G696" s="57" t="s">
        <v>465</v>
      </c>
    </row>
    <row r="697" spans="1:12" s="13" customFormat="1" x14ac:dyDescent="0.2">
      <c r="A697" s="1" t="s">
        <v>111</v>
      </c>
      <c r="B697" s="12" t="s">
        <v>257</v>
      </c>
      <c r="C697" s="5"/>
      <c r="D697" s="5" t="s">
        <v>464</v>
      </c>
      <c r="E697" s="3">
        <v>162500</v>
      </c>
      <c r="F697" s="3" t="s">
        <v>465</v>
      </c>
      <c r="G697" s="57" t="s">
        <v>465</v>
      </c>
      <c r="H697" s="19"/>
      <c r="I697" s="19"/>
      <c r="J697" s="5"/>
      <c r="K697" s="1"/>
      <c r="L697" s="1"/>
    </row>
    <row r="698" spans="1:12" x14ac:dyDescent="0.2">
      <c r="A698" s="1" t="s">
        <v>111</v>
      </c>
      <c r="B698" s="12" t="s">
        <v>257</v>
      </c>
      <c r="D698" s="5" t="s">
        <v>464</v>
      </c>
      <c r="E698" s="3">
        <v>182500</v>
      </c>
      <c r="F698" s="3" t="s">
        <v>465</v>
      </c>
      <c r="G698" s="57" t="s">
        <v>465</v>
      </c>
    </row>
    <row r="699" spans="1:12" x14ac:dyDescent="0.2">
      <c r="A699" s="1" t="s">
        <v>25</v>
      </c>
      <c r="B699" s="12" t="s">
        <v>259</v>
      </c>
      <c r="D699" s="5" t="s">
        <v>464</v>
      </c>
      <c r="E699" s="3">
        <v>102500</v>
      </c>
      <c r="F699" s="3" t="s">
        <v>465</v>
      </c>
      <c r="G699" s="57" t="s">
        <v>465</v>
      </c>
      <c r="J699" s="1"/>
    </row>
    <row r="700" spans="1:12" x14ac:dyDescent="0.2">
      <c r="A700" s="1" t="s">
        <v>25</v>
      </c>
      <c r="B700" s="12" t="s">
        <v>259</v>
      </c>
      <c r="D700" s="5" t="s">
        <v>464</v>
      </c>
      <c r="E700" s="3">
        <v>102500</v>
      </c>
      <c r="F700" s="3" t="s">
        <v>465</v>
      </c>
      <c r="G700" s="57" t="s">
        <v>465</v>
      </c>
      <c r="J700" s="1"/>
    </row>
    <row r="701" spans="1:12" x14ac:dyDescent="0.2">
      <c r="A701" s="1" t="s">
        <v>25</v>
      </c>
      <c r="B701" s="12" t="s">
        <v>259</v>
      </c>
      <c r="D701" s="5" t="s">
        <v>464</v>
      </c>
      <c r="E701" s="3">
        <v>107500</v>
      </c>
      <c r="F701" s="3" t="s">
        <v>465</v>
      </c>
      <c r="G701" s="57" t="s">
        <v>465</v>
      </c>
      <c r="H701" s="4"/>
      <c r="I701" s="4"/>
      <c r="J701" s="1"/>
    </row>
    <row r="702" spans="1:12" x14ac:dyDescent="0.2">
      <c r="A702" s="1" t="s">
        <v>25</v>
      </c>
      <c r="B702" s="12" t="s">
        <v>259</v>
      </c>
      <c r="D702" s="5" t="s">
        <v>464</v>
      </c>
      <c r="E702" s="3">
        <v>107500</v>
      </c>
      <c r="F702" s="3" t="s">
        <v>465</v>
      </c>
      <c r="G702" s="57" t="s">
        <v>465</v>
      </c>
      <c r="H702" s="4"/>
      <c r="I702" s="4"/>
      <c r="J702" s="1"/>
    </row>
    <row r="703" spans="1:12" x14ac:dyDescent="0.2">
      <c r="A703" s="1" t="s">
        <v>25</v>
      </c>
      <c r="B703" s="12" t="s">
        <v>259</v>
      </c>
      <c r="D703" s="5" t="s">
        <v>464</v>
      </c>
      <c r="E703" s="3">
        <v>112500</v>
      </c>
      <c r="F703" s="3" t="s">
        <v>465</v>
      </c>
      <c r="G703" s="57" t="s">
        <v>465</v>
      </c>
      <c r="H703" s="4"/>
      <c r="I703" s="4"/>
      <c r="J703" s="1"/>
    </row>
    <row r="704" spans="1:12" x14ac:dyDescent="0.2">
      <c r="A704" s="1" t="s">
        <v>25</v>
      </c>
      <c r="B704" s="12" t="s">
        <v>259</v>
      </c>
      <c r="D704" s="5" t="s">
        <v>464</v>
      </c>
      <c r="E704" s="3">
        <v>122500</v>
      </c>
      <c r="F704" s="3" t="s">
        <v>465</v>
      </c>
      <c r="G704" s="57" t="s">
        <v>465</v>
      </c>
      <c r="H704" s="4"/>
      <c r="I704" s="4"/>
      <c r="J704" s="1"/>
    </row>
    <row r="705" spans="1:12" x14ac:dyDescent="0.2">
      <c r="A705" s="1" t="s">
        <v>25</v>
      </c>
      <c r="B705" s="12" t="s">
        <v>259</v>
      </c>
      <c r="D705" s="5" t="s">
        <v>464</v>
      </c>
      <c r="E705" s="3">
        <v>122500</v>
      </c>
      <c r="F705" s="3" t="s">
        <v>465</v>
      </c>
      <c r="G705" s="57" t="s">
        <v>465</v>
      </c>
      <c r="H705" s="4"/>
      <c r="I705" s="4"/>
      <c r="J705" s="1"/>
    </row>
    <row r="706" spans="1:12" x14ac:dyDescent="0.2">
      <c r="A706" s="1" t="s">
        <v>25</v>
      </c>
      <c r="B706" s="12" t="s">
        <v>259</v>
      </c>
      <c r="D706" s="5" t="s">
        <v>464</v>
      </c>
      <c r="E706" s="3">
        <v>127500</v>
      </c>
      <c r="F706" s="3" t="s">
        <v>465</v>
      </c>
      <c r="G706" s="57" t="s">
        <v>465</v>
      </c>
      <c r="H706" s="4"/>
      <c r="I706" s="4"/>
      <c r="J706" s="1"/>
    </row>
    <row r="707" spans="1:12" x14ac:dyDescent="0.2">
      <c r="A707" s="1" t="s">
        <v>25</v>
      </c>
      <c r="B707" s="12" t="s">
        <v>259</v>
      </c>
      <c r="D707" s="5" t="s">
        <v>464</v>
      </c>
      <c r="E707" s="3">
        <v>127500</v>
      </c>
      <c r="F707" s="3" t="s">
        <v>465</v>
      </c>
      <c r="G707" s="57" t="s">
        <v>465</v>
      </c>
      <c r="H707" s="4"/>
      <c r="I707" s="4"/>
      <c r="J707" s="1"/>
    </row>
    <row r="708" spans="1:12" s="13" customFormat="1" x14ac:dyDescent="0.2">
      <c r="A708" s="1" t="s">
        <v>11</v>
      </c>
      <c r="B708" s="12" t="s">
        <v>261</v>
      </c>
      <c r="C708" s="5"/>
      <c r="D708" s="5" t="s">
        <v>464</v>
      </c>
      <c r="E708" s="3">
        <v>95000</v>
      </c>
      <c r="F708" s="3" t="s">
        <v>465</v>
      </c>
      <c r="G708" s="57" t="s">
        <v>465</v>
      </c>
      <c r="H708" s="19"/>
      <c r="I708" s="19"/>
      <c r="J708" s="5"/>
      <c r="K708" s="1"/>
      <c r="L708" s="1"/>
    </row>
    <row r="709" spans="1:12" s="13" customFormat="1" x14ac:dyDescent="0.2">
      <c r="A709" s="1" t="s">
        <v>11</v>
      </c>
      <c r="B709" s="12" t="s">
        <v>262</v>
      </c>
      <c r="C709" s="5"/>
      <c r="D709" s="5" t="s">
        <v>464</v>
      </c>
      <c r="E709" s="3">
        <v>102500</v>
      </c>
      <c r="F709" s="3" t="s">
        <v>465</v>
      </c>
      <c r="G709" s="57" t="s">
        <v>465</v>
      </c>
      <c r="H709" s="19"/>
      <c r="I709" s="19"/>
      <c r="J709" s="5"/>
      <c r="K709" s="1"/>
      <c r="L709" s="1"/>
    </row>
    <row r="710" spans="1:12" x14ac:dyDescent="0.2">
      <c r="A710" s="1" t="s">
        <v>20</v>
      </c>
      <c r="B710" s="2" t="s">
        <v>263</v>
      </c>
      <c r="C710" s="5" t="s">
        <v>3080</v>
      </c>
      <c r="D710" s="5" t="s">
        <v>604</v>
      </c>
      <c r="E710" s="6">
        <v>142500</v>
      </c>
      <c r="F710" s="3" t="s">
        <v>465</v>
      </c>
      <c r="G710" s="57" t="s">
        <v>465</v>
      </c>
    </row>
    <row r="711" spans="1:12" x14ac:dyDescent="0.2">
      <c r="A711" s="1" t="s">
        <v>20</v>
      </c>
      <c r="B711" s="2" t="s">
        <v>263</v>
      </c>
      <c r="D711" s="7" t="s">
        <v>464</v>
      </c>
      <c r="E711" s="6">
        <v>102500</v>
      </c>
      <c r="F711" s="6" t="s">
        <v>465</v>
      </c>
      <c r="G711" s="57" t="s">
        <v>465</v>
      </c>
      <c r="H711" s="21"/>
      <c r="I711" s="21"/>
      <c r="J711" s="1"/>
    </row>
    <row r="712" spans="1:12" x14ac:dyDescent="0.2">
      <c r="A712" s="1" t="s">
        <v>20</v>
      </c>
      <c r="B712" s="2" t="s">
        <v>263</v>
      </c>
      <c r="D712" s="7" t="s">
        <v>464</v>
      </c>
      <c r="E712" s="6">
        <v>102500</v>
      </c>
      <c r="F712" s="6" t="s">
        <v>465</v>
      </c>
      <c r="G712" s="57" t="s">
        <v>465</v>
      </c>
      <c r="H712" s="21"/>
      <c r="I712" s="21"/>
      <c r="J712" s="1"/>
    </row>
    <row r="713" spans="1:12" x14ac:dyDescent="0.2">
      <c r="A713" s="1" t="s">
        <v>20</v>
      </c>
      <c r="B713" s="2" t="s">
        <v>263</v>
      </c>
      <c r="D713" s="7" t="s">
        <v>464</v>
      </c>
      <c r="E713" s="6">
        <v>117500</v>
      </c>
      <c r="F713" s="6" t="s">
        <v>465</v>
      </c>
      <c r="G713" s="57" t="s">
        <v>465</v>
      </c>
      <c r="H713" s="21"/>
      <c r="I713" s="21"/>
      <c r="J713" s="1"/>
    </row>
    <row r="714" spans="1:12" x14ac:dyDescent="0.2">
      <c r="A714" s="1" t="s">
        <v>20</v>
      </c>
      <c r="B714" s="2" t="s">
        <v>263</v>
      </c>
      <c r="D714" s="7" t="s">
        <v>464</v>
      </c>
      <c r="E714" s="6">
        <v>167500</v>
      </c>
      <c r="F714" s="6" t="s">
        <v>465</v>
      </c>
      <c r="G714" s="57" t="s">
        <v>465</v>
      </c>
      <c r="H714" s="21"/>
      <c r="I714" s="21"/>
    </row>
    <row r="715" spans="1:12" x14ac:dyDescent="0.2">
      <c r="A715" s="1" t="s">
        <v>8</v>
      </c>
      <c r="B715" s="2" t="s">
        <v>271</v>
      </c>
      <c r="D715" s="5" t="s">
        <v>464</v>
      </c>
      <c r="E715" s="3">
        <v>102500</v>
      </c>
      <c r="F715" s="3" t="s">
        <v>465</v>
      </c>
      <c r="G715" s="57" t="s">
        <v>465</v>
      </c>
    </row>
    <row r="716" spans="1:12" x14ac:dyDescent="0.2">
      <c r="A716" s="1" t="s">
        <v>34</v>
      </c>
      <c r="B716" s="2" t="s">
        <v>275</v>
      </c>
      <c r="D716" s="5" t="s">
        <v>464</v>
      </c>
      <c r="E716" s="3">
        <v>102500</v>
      </c>
      <c r="F716" s="3" t="s">
        <v>465</v>
      </c>
      <c r="G716" s="57" t="s">
        <v>465</v>
      </c>
    </row>
    <row r="717" spans="1:12" x14ac:dyDescent="0.2">
      <c r="A717" s="1" t="s">
        <v>34</v>
      </c>
      <c r="B717" s="2" t="s">
        <v>275</v>
      </c>
      <c r="D717" s="5" t="s">
        <v>464</v>
      </c>
      <c r="E717" s="3">
        <v>102500</v>
      </c>
      <c r="F717" s="3" t="s">
        <v>465</v>
      </c>
      <c r="G717" s="57" t="s">
        <v>465</v>
      </c>
    </row>
    <row r="718" spans="1:12" x14ac:dyDescent="0.2">
      <c r="A718" s="1" t="s">
        <v>34</v>
      </c>
      <c r="B718" s="2" t="s">
        <v>275</v>
      </c>
      <c r="D718" s="5" t="s">
        <v>464</v>
      </c>
      <c r="E718" s="3">
        <v>107500</v>
      </c>
      <c r="F718" s="3" t="s">
        <v>465</v>
      </c>
      <c r="G718" s="57" t="s">
        <v>465</v>
      </c>
    </row>
    <row r="719" spans="1:12" x14ac:dyDescent="0.2">
      <c r="A719" s="1" t="s">
        <v>34</v>
      </c>
      <c r="B719" s="2" t="s">
        <v>276</v>
      </c>
      <c r="C719" s="5" t="s">
        <v>3014</v>
      </c>
      <c r="D719" s="5" t="s">
        <v>450</v>
      </c>
      <c r="E719" s="9">
        <v>199418</v>
      </c>
      <c r="F719" s="3" t="s">
        <v>465</v>
      </c>
      <c r="G719" s="57" t="s">
        <v>465</v>
      </c>
    </row>
    <row r="720" spans="1:12" x14ac:dyDescent="0.2">
      <c r="A720" s="1" t="s">
        <v>111</v>
      </c>
      <c r="B720" s="2" t="s">
        <v>276</v>
      </c>
      <c r="D720" s="5" t="s">
        <v>3022</v>
      </c>
      <c r="E720" s="3">
        <v>105982</v>
      </c>
      <c r="F720" s="3" t="s">
        <v>465</v>
      </c>
      <c r="G720" s="57" t="s">
        <v>465</v>
      </c>
    </row>
    <row r="721" spans="1:12" x14ac:dyDescent="0.2">
      <c r="A721" s="1" t="s">
        <v>111</v>
      </c>
      <c r="B721" s="2" t="s">
        <v>276</v>
      </c>
      <c r="D721" s="5" t="s">
        <v>3021</v>
      </c>
      <c r="E721" s="3">
        <v>125253</v>
      </c>
      <c r="F721" s="3" t="s">
        <v>465</v>
      </c>
      <c r="G721" s="57" t="s">
        <v>465</v>
      </c>
    </row>
    <row r="722" spans="1:12" x14ac:dyDescent="0.2">
      <c r="A722" s="1" t="s">
        <v>111</v>
      </c>
      <c r="B722" s="2" t="s">
        <v>276</v>
      </c>
      <c r="D722" s="5" t="s">
        <v>3024</v>
      </c>
      <c r="E722" s="3">
        <v>147196</v>
      </c>
      <c r="F722" s="3" t="s">
        <v>465</v>
      </c>
      <c r="G722" s="57" t="s">
        <v>465</v>
      </c>
    </row>
    <row r="723" spans="1:12" x14ac:dyDescent="0.2">
      <c r="A723" s="1" t="s">
        <v>111</v>
      </c>
      <c r="B723" s="2" t="s">
        <v>276</v>
      </c>
      <c r="D723" s="5" t="s">
        <v>3025</v>
      </c>
      <c r="E723" s="3">
        <v>100280</v>
      </c>
      <c r="F723" s="3" t="s">
        <v>465</v>
      </c>
      <c r="G723" s="57" t="s">
        <v>465</v>
      </c>
    </row>
    <row r="724" spans="1:12" x14ac:dyDescent="0.2">
      <c r="A724" s="1" t="s">
        <v>111</v>
      </c>
      <c r="B724" s="2" t="s">
        <v>276</v>
      </c>
      <c r="D724" s="5" t="s">
        <v>3026</v>
      </c>
      <c r="E724" s="3">
        <v>100705</v>
      </c>
      <c r="F724" s="3" t="s">
        <v>465</v>
      </c>
      <c r="G724" s="57" t="s">
        <v>465</v>
      </c>
    </row>
    <row r="725" spans="1:12" x14ac:dyDescent="0.2">
      <c r="A725" s="1" t="s">
        <v>28</v>
      </c>
      <c r="B725" s="2" t="s">
        <v>279</v>
      </c>
      <c r="C725" s="5" t="s">
        <v>3001</v>
      </c>
      <c r="D725" s="5" t="s">
        <v>450</v>
      </c>
      <c r="E725" s="3">
        <v>219456</v>
      </c>
      <c r="F725" s="3" t="s">
        <v>465</v>
      </c>
      <c r="G725" s="57" t="s">
        <v>465</v>
      </c>
      <c r="J725" s="5" t="s">
        <v>3008</v>
      </c>
    </row>
    <row r="726" spans="1:12" ht="25.5" x14ac:dyDescent="0.2">
      <c r="A726" s="1" t="s">
        <v>28</v>
      </c>
      <c r="B726" s="2" t="s">
        <v>279</v>
      </c>
      <c r="D726" s="5" t="s">
        <v>1088</v>
      </c>
      <c r="E726" s="3">
        <v>132838</v>
      </c>
      <c r="F726" s="3" t="s">
        <v>465</v>
      </c>
      <c r="G726" s="57" t="s">
        <v>465</v>
      </c>
      <c r="J726" s="5" t="s">
        <v>3010</v>
      </c>
    </row>
    <row r="727" spans="1:12" x14ac:dyDescent="0.2">
      <c r="A727" s="1" t="s">
        <v>8</v>
      </c>
      <c r="B727" s="2" t="s">
        <v>281</v>
      </c>
      <c r="D727" s="5" t="s">
        <v>464</v>
      </c>
      <c r="E727" s="3">
        <v>102500</v>
      </c>
      <c r="F727" s="3" t="s">
        <v>465</v>
      </c>
      <c r="G727" s="57" t="s">
        <v>465</v>
      </c>
      <c r="J727" s="1"/>
    </row>
    <row r="728" spans="1:12" x14ac:dyDescent="0.2">
      <c r="A728" s="1" t="s">
        <v>8</v>
      </c>
      <c r="B728" s="2" t="s">
        <v>281</v>
      </c>
      <c r="D728" s="5" t="s">
        <v>464</v>
      </c>
      <c r="E728" s="3">
        <v>107500</v>
      </c>
      <c r="F728" s="3" t="s">
        <v>465</v>
      </c>
      <c r="G728" s="57" t="s">
        <v>465</v>
      </c>
      <c r="J728" s="1"/>
    </row>
    <row r="729" spans="1:12" x14ac:dyDescent="0.2">
      <c r="A729" s="1" t="s">
        <v>8</v>
      </c>
      <c r="B729" s="2" t="s">
        <v>281</v>
      </c>
      <c r="D729" s="5" t="s">
        <v>464</v>
      </c>
      <c r="E729" s="3">
        <v>112500</v>
      </c>
      <c r="F729" s="3" t="s">
        <v>465</v>
      </c>
      <c r="G729" s="57" t="s">
        <v>465</v>
      </c>
      <c r="J729" s="1"/>
    </row>
    <row r="730" spans="1:12" x14ac:dyDescent="0.2">
      <c r="A730" s="1" t="s">
        <v>8</v>
      </c>
      <c r="B730" s="2" t="s">
        <v>281</v>
      </c>
      <c r="D730" s="5" t="s">
        <v>464</v>
      </c>
      <c r="E730" s="3">
        <v>117500</v>
      </c>
      <c r="F730" s="3" t="s">
        <v>465</v>
      </c>
      <c r="G730" s="57" t="s">
        <v>465</v>
      </c>
      <c r="J730" s="1"/>
    </row>
    <row r="731" spans="1:12" x14ac:dyDescent="0.2">
      <c r="A731" s="1" t="s">
        <v>8</v>
      </c>
      <c r="B731" s="2" t="s">
        <v>281</v>
      </c>
      <c r="D731" s="5" t="s">
        <v>464</v>
      </c>
      <c r="E731" s="3">
        <v>132500</v>
      </c>
      <c r="F731" s="3" t="s">
        <v>465</v>
      </c>
      <c r="G731" s="57" t="s">
        <v>465</v>
      </c>
      <c r="J731" s="1"/>
    </row>
    <row r="732" spans="1:12" x14ac:dyDescent="0.2">
      <c r="A732" s="1" t="s">
        <v>8</v>
      </c>
      <c r="B732" s="2" t="s">
        <v>281</v>
      </c>
      <c r="D732" s="5" t="s">
        <v>464</v>
      </c>
      <c r="E732" s="3">
        <v>132500</v>
      </c>
      <c r="F732" s="3" t="s">
        <v>465</v>
      </c>
      <c r="G732" s="57" t="s">
        <v>465</v>
      </c>
      <c r="J732" s="1"/>
    </row>
    <row r="733" spans="1:12" x14ac:dyDescent="0.2">
      <c r="A733" s="1" t="s">
        <v>8</v>
      </c>
      <c r="B733" s="2" t="s">
        <v>281</v>
      </c>
      <c r="D733" s="5" t="s">
        <v>464</v>
      </c>
      <c r="E733" s="3">
        <v>132500</v>
      </c>
      <c r="F733" s="3" t="s">
        <v>465</v>
      </c>
      <c r="G733" s="57" t="s">
        <v>465</v>
      </c>
      <c r="J733" s="1"/>
    </row>
    <row r="734" spans="1:12" x14ac:dyDescent="0.2">
      <c r="A734" s="1" t="s">
        <v>8</v>
      </c>
      <c r="B734" s="2" t="s">
        <v>281</v>
      </c>
      <c r="D734" s="5" t="s">
        <v>464</v>
      </c>
      <c r="E734" s="3">
        <v>132500</v>
      </c>
      <c r="F734" s="3" t="s">
        <v>465</v>
      </c>
      <c r="G734" s="57" t="s">
        <v>465</v>
      </c>
      <c r="J734" s="1"/>
    </row>
    <row r="735" spans="1:12" s="13" customFormat="1" x14ac:dyDescent="0.2">
      <c r="A735" s="1" t="s">
        <v>8</v>
      </c>
      <c r="B735" s="2" t="s">
        <v>281</v>
      </c>
      <c r="C735" s="5"/>
      <c r="D735" s="5" t="s">
        <v>464</v>
      </c>
      <c r="E735" s="3">
        <v>147500</v>
      </c>
      <c r="F735" s="3" t="s">
        <v>465</v>
      </c>
      <c r="G735" s="57" t="s">
        <v>465</v>
      </c>
      <c r="H735" s="19"/>
      <c r="I735" s="19"/>
      <c r="J735" s="1"/>
      <c r="K735" s="1"/>
      <c r="L735" s="1"/>
    </row>
    <row r="736" spans="1:12" x14ac:dyDescent="0.2">
      <c r="A736" s="1" t="s">
        <v>8</v>
      </c>
      <c r="B736" s="2" t="s">
        <v>281</v>
      </c>
      <c r="D736" s="5" t="s">
        <v>464</v>
      </c>
      <c r="E736" s="3">
        <v>197500</v>
      </c>
      <c r="F736" s="3" t="s">
        <v>465</v>
      </c>
      <c r="G736" s="57" t="s">
        <v>465</v>
      </c>
    </row>
    <row r="737" spans="1:12" s="13" customFormat="1" x14ac:dyDescent="0.2">
      <c r="A737" s="1" t="s">
        <v>111</v>
      </c>
      <c r="B737" s="2" t="s">
        <v>282</v>
      </c>
      <c r="C737" s="5"/>
      <c r="D737" s="5" t="s">
        <v>2983</v>
      </c>
      <c r="E737" s="9">
        <v>311395</v>
      </c>
      <c r="F737" s="3" t="s">
        <v>465</v>
      </c>
      <c r="G737" s="57" t="s">
        <v>465</v>
      </c>
      <c r="H737" s="19"/>
      <c r="I737" s="19"/>
      <c r="J737" s="5" t="s">
        <v>4389</v>
      </c>
      <c r="K737" s="1"/>
      <c r="L737" s="1"/>
    </row>
    <row r="738" spans="1:12" s="13" customFormat="1" x14ac:dyDescent="0.2">
      <c r="A738" s="1" t="s">
        <v>111</v>
      </c>
      <c r="B738" s="2" t="s">
        <v>282</v>
      </c>
      <c r="C738" s="5"/>
      <c r="D738" s="5" t="s">
        <v>464</v>
      </c>
      <c r="E738" s="3">
        <v>102500</v>
      </c>
      <c r="F738" s="3" t="s">
        <v>465</v>
      </c>
      <c r="G738" s="57" t="s">
        <v>465</v>
      </c>
      <c r="H738" s="19"/>
      <c r="I738" s="19"/>
      <c r="J738" s="5" t="s">
        <v>539</v>
      </c>
      <c r="K738" s="1"/>
      <c r="L738" s="1"/>
    </row>
    <row r="739" spans="1:12" x14ac:dyDescent="0.2">
      <c r="A739" s="1" t="s">
        <v>111</v>
      </c>
      <c r="B739" s="2" t="s">
        <v>282</v>
      </c>
      <c r="D739" s="5" t="s">
        <v>464</v>
      </c>
      <c r="E739" s="3">
        <v>102500</v>
      </c>
      <c r="F739" s="3" t="s">
        <v>465</v>
      </c>
      <c r="G739" s="57" t="s">
        <v>465</v>
      </c>
      <c r="J739" s="5" t="s">
        <v>539</v>
      </c>
    </row>
    <row r="740" spans="1:12" x14ac:dyDescent="0.2">
      <c r="A740" s="1" t="s">
        <v>111</v>
      </c>
      <c r="B740" s="2" t="s">
        <v>282</v>
      </c>
      <c r="D740" s="5" t="s">
        <v>464</v>
      </c>
      <c r="E740" s="3">
        <v>102500</v>
      </c>
      <c r="F740" s="3" t="s">
        <v>465</v>
      </c>
      <c r="G740" s="57" t="s">
        <v>465</v>
      </c>
      <c r="J740" s="5" t="s">
        <v>539</v>
      </c>
    </row>
    <row r="741" spans="1:12" x14ac:dyDescent="0.2">
      <c r="A741" s="1" t="s">
        <v>111</v>
      </c>
      <c r="B741" s="2" t="s">
        <v>282</v>
      </c>
      <c r="D741" s="5" t="s">
        <v>464</v>
      </c>
      <c r="E741" s="3">
        <v>102500</v>
      </c>
      <c r="F741" s="3" t="s">
        <v>465</v>
      </c>
      <c r="G741" s="57" t="s">
        <v>465</v>
      </c>
      <c r="J741" s="5" t="s">
        <v>539</v>
      </c>
    </row>
    <row r="742" spans="1:12" x14ac:dyDescent="0.2">
      <c r="A742" s="1" t="s">
        <v>111</v>
      </c>
      <c r="B742" s="2" t="s">
        <v>282</v>
      </c>
      <c r="D742" s="5" t="s">
        <v>464</v>
      </c>
      <c r="E742" s="3">
        <v>102500</v>
      </c>
      <c r="F742" s="3" t="s">
        <v>465</v>
      </c>
      <c r="G742" s="57" t="s">
        <v>465</v>
      </c>
      <c r="J742" s="5" t="s">
        <v>539</v>
      </c>
    </row>
    <row r="743" spans="1:12" x14ac:dyDescent="0.2">
      <c r="A743" s="1" t="s">
        <v>111</v>
      </c>
      <c r="B743" s="2" t="s">
        <v>282</v>
      </c>
      <c r="D743" s="5" t="s">
        <v>464</v>
      </c>
      <c r="E743" s="3">
        <v>102500</v>
      </c>
      <c r="F743" s="3" t="s">
        <v>465</v>
      </c>
      <c r="G743" s="57" t="s">
        <v>465</v>
      </c>
    </row>
    <row r="744" spans="1:12" x14ac:dyDescent="0.2">
      <c r="A744" s="1" t="s">
        <v>111</v>
      </c>
      <c r="B744" s="2" t="s">
        <v>282</v>
      </c>
      <c r="D744" s="5" t="s">
        <v>464</v>
      </c>
      <c r="E744" s="3">
        <v>102500</v>
      </c>
      <c r="F744" s="3" t="s">
        <v>465</v>
      </c>
      <c r="G744" s="57" t="s">
        <v>465</v>
      </c>
    </row>
    <row r="745" spans="1:12" x14ac:dyDescent="0.2">
      <c r="A745" s="1" t="s">
        <v>111</v>
      </c>
      <c r="B745" s="2" t="s">
        <v>282</v>
      </c>
      <c r="D745" s="5" t="s">
        <v>464</v>
      </c>
      <c r="E745" s="3">
        <v>102500</v>
      </c>
      <c r="F745" s="3" t="s">
        <v>465</v>
      </c>
      <c r="G745" s="57" t="s">
        <v>465</v>
      </c>
    </row>
    <row r="746" spans="1:12" x14ac:dyDescent="0.2">
      <c r="A746" s="1" t="s">
        <v>111</v>
      </c>
      <c r="B746" s="2" t="s">
        <v>282</v>
      </c>
      <c r="D746" s="5" t="s">
        <v>464</v>
      </c>
      <c r="E746" s="3">
        <v>107500</v>
      </c>
      <c r="F746" s="3" t="s">
        <v>465</v>
      </c>
      <c r="G746" s="57" t="s">
        <v>465</v>
      </c>
      <c r="J746" s="5" t="s">
        <v>539</v>
      </c>
    </row>
    <row r="747" spans="1:12" x14ac:dyDescent="0.2">
      <c r="A747" s="1" t="s">
        <v>111</v>
      </c>
      <c r="B747" s="2" t="s">
        <v>282</v>
      </c>
      <c r="D747" s="5" t="s">
        <v>464</v>
      </c>
      <c r="E747" s="3">
        <v>107500</v>
      </c>
      <c r="F747" s="35" t="s">
        <v>465</v>
      </c>
      <c r="G747" s="57" t="s">
        <v>465</v>
      </c>
      <c r="J747" s="5" t="s">
        <v>539</v>
      </c>
    </row>
    <row r="748" spans="1:12" x14ac:dyDescent="0.2">
      <c r="A748" s="1" t="s">
        <v>111</v>
      </c>
      <c r="B748" s="2" t="s">
        <v>282</v>
      </c>
      <c r="D748" s="5" t="s">
        <v>464</v>
      </c>
      <c r="E748" s="3">
        <v>112500</v>
      </c>
      <c r="F748" s="3" t="s">
        <v>465</v>
      </c>
      <c r="G748" s="57" t="s">
        <v>465</v>
      </c>
      <c r="J748" s="5" t="s">
        <v>539</v>
      </c>
    </row>
    <row r="749" spans="1:12" x14ac:dyDescent="0.2">
      <c r="A749" s="1" t="s">
        <v>111</v>
      </c>
      <c r="B749" s="2" t="s">
        <v>282</v>
      </c>
      <c r="D749" s="5" t="s">
        <v>464</v>
      </c>
      <c r="E749" s="3">
        <v>112500</v>
      </c>
      <c r="F749" s="3" t="s">
        <v>465</v>
      </c>
      <c r="G749" s="57" t="s">
        <v>465</v>
      </c>
      <c r="J749" s="5" t="s">
        <v>539</v>
      </c>
    </row>
    <row r="750" spans="1:12" x14ac:dyDescent="0.2">
      <c r="A750" s="1" t="s">
        <v>111</v>
      </c>
      <c r="B750" s="2" t="s">
        <v>282</v>
      </c>
      <c r="D750" s="5" t="s">
        <v>464</v>
      </c>
      <c r="E750" s="3">
        <v>117500</v>
      </c>
      <c r="F750" s="3" t="s">
        <v>465</v>
      </c>
      <c r="G750" s="57" t="s">
        <v>465</v>
      </c>
    </row>
    <row r="751" spans="1:12" x14ac:dyDescent="0.2">
      <c r="A751" s="1" t="s">
        <v>111</v>
      </c>
      <c r="B751" s="2" t="s">
        <v>282</v>
      </c>
      <c r="D751" s="5" t="s">
        <v>464</v>
      </c>
      <c r="E751" s="3">
        <v>147500</v>
      </c>
      <c r="F751" s="3" t="s">
        <v>465</v>
      </c>
      <c r="G751" s="57" t="s">
        <v>465</v>
      </c>
      <c r="J751" s="5" t="s">
        <v>539</v>
      </c>
    </row>
    <row r="752" spans="1:12" x14ac:dyDescent="0.2">
      <c r="A752" s="1" t="s">
        <v>111</v>
      </c>
      <c r="B752" s="2" t="s">
        <v>282</v>
      </c>
      <c r="D752" s="5" t="s">
        <v>464</v>
      </c>
      <c r="E752" s="3">
        <v>157500</v>
      </c>
      <c r="F752" s="3" t="s">
        <v>465</v>
      </c>
      <c r="G752" s="57" t="s">
        <v>465</v>
      </c>
      <c r="J752" s="5" t="s">
        <v>539</v>
      </c>
    </row>
    <row r="753" spans="1:12" x14ac:dyDescent="0.2">
      <c r="A753" s="1" t="s">
        <v>8</v>
      </c>
      <c r="B753" s="2" t="s">
        <v>284</v>
      </c>
      <c r="D753" s="5" t="s">
        <v>2967</v>
      </c>
      <c r="E753" s="3">
        <v>153700</v>
      </c>
      <c r="F753" s="3" t="s">
        <v>465</v>
      </c>
      <c r="G753" s="57" t="s">
        <v>465</v>
      </c>
    </row>
    <row r="754" spans="1:12" x14ac:dyDescent="0.2">
      <c r="A754" s="1" t="s">
        <v>8</v>
      </c>
      <c r="B754" s="2" t="s">
        <v>284</v>
      </c>
      <c r="D754" s="5" t="s">
        <v>464</v>
      </c>
      <c r="E754" s="3">
        <v>102500</v>
      </c>
      <c r="F754" s="3" t="s">
        <v>465</v>
      </c>
      <c r="G754" s="57" t="s">
        <v>465</v>
      </c>
      <c r="J754" s="1"/>
    </row>
    <row r="755" spans="1:12" x14ac:dyDescent="0.2">
      <c r="A755" s="1" t="s">
        <v>8</v>
      </c>
      <c r="B755" s="2" t="s">
        <v>284</v>
      </c>
      <c r="D755" s="5" t="s">
        <v>464</v>
      </c>
      <c r="E755" s="3">
        <v>102500</v>
      </c>
      <c r="F755" s="3" t="s">
        <v>465</v>
      </c>
      <c r="G755" s="57" t="s">
        <v>465</v>
      </c>
      <c r="J755" s="1"/>
    </row>
    <row r="756" spans="1:12" x14ac:dyDescent="0.2">
      <c r="A756" s="1" t="s">
        <v>8</v>
      </c>
      <c r="B756" s="2" t="s">
        <v>284</v>
      </c>
      <c r="D756" s="5" t="s">
        <v>464</v>
      </c>
      <c r="E756" s="3">
        <v>107500</v>
      </c>
      <c r="F756" s="3" t="s">
        <v>465</v>
      </c>
      <c r="G756" s="57" t="s">
        <v>465</v>
      </c>
      <c r="J756" s="1"/>
    </row>
    <row r="757" spans="1:12" x14ac:dyDescent="0.2">
      <c r="A757" s="1" t="s">
        <v>8</v>
      </c>
      <c r="B757" s="2" t="s">
        <v>284</v>
      </c>
      <c r="D757" s="5" t="s">
        <v>464</v>
      </c>
      <c r="E757" s="3">
        <v>147500</v>
      </c>
      <c r="F757" s="3" t="s">
        <v>465</v>
      </c>
      <c r="G757" s="57" t="s">
        <v>465</v>
      </c>
      <c r="J757" s="1"/>
    </row>
    <row r="758" spans="1:12" x14ac:dyDescent="0.2">
      <c r="A758" s="1" t="s">
        <v>8</v>
      </c>
      <c r="B758" s="2" t="s">
        <v>284</v>
      </c>
      <c r="D758" s="5" t="s">
        <v>464</v>
      </c>
      <c r="E758" s="3">
        <v>212500</v>
      </c>
      <c r="F758" s="3" t="s">
        <v>465</v>
      </c>
      <c r="G758" s="57" t="s">
        <v>465</v>
      </c>
    </row>
    <row r="759" spans="1:12" x14ac:dyDescent="0.2">
      <c r="A759" s="1" t="s">
        <v>8</v>
      </c>
      <c r="B759" s="2" t="s">
        <v>285</v>
      </c>
      <c r="D759" s="5" t="s">
        <v>464</v>
      </c>
      <c r="E759" s="3">
        <v>102500</v>
      </c>
      <c r="F759" s="3" t="s">
        <v>465</v>
      </c>
      <c r="G759" s="57" t="s">
        <v>465</v>
      </c>
      <c r="J759" s="1"/>
    </row>
    <row r="760" spans="1:12" x14ac:dyDescent="0.2">
      <c r="A760" s="1" t="s">
        <v>8</v>
      </c>
      <c r="B760" s="2" t="s">
        <v>285</v>
      </c>
      <c r="D760" s="5" t="s">
        <v>464</v>
      </c>
      <c r="E760" s="3">
        <v>102500</v>
      </c>
      <c r="F760" s="3" t="s">
        <v>465</v>
      </c>
      <c r="G760" s="57" t="s">
        <v>465</v>
      </c>
      <c r="J760" s="1"/>
    </row>
    <row r="761" spans="1:12" x14ac:dyDescent="0.2">
      <c r="A761" s="1" t="s">
        <v>8</v>
      </c>
      <c r="B761" s="2" t="s">
        <v>285</v>
      </c>
      <c r="D761" s="5" t="s">
        <v>464</v>
      </c>
      <c r="E761" s="3">
        <v>107500</v>
      </c>
      <c r="F761" s="3" t="s">
        <v>465</v>
      </c>
      <c r="G761" s="57" t="s">
        <v>465</v>
      </c>
      <c r="H761" s="4"/>
      <c r="I761" s="4"/>
      <c r="J761" s="1"/>
    </row>
    <row r="762" spans="1:12" s="13" customFormat="1" x14ac:dyDescent="0.2">
      <c r="A762" s="1" t="s">
        <v>8</v>
      </c>
      <c r="B762" s="2" t="s">
        <v>285</v>
      </c>
      <c r="C762" s="5"/>
      <c r="D762" s="5" t="s">
        <v>464</v>
      </c>
      <c r="E762" s="3">
        <v>112500</v>
      </c>
      <c r="F762" s="3" t="s">
        <v>465</v>
      </c>
      <c r="G762" s="57" t="s">
        <v>465</v>
      </c>
      <c r="H762" s="4"/>
      <c r="I762" s="4"/>
      <c r="J762" s="1"/>
      <c r="K762" s="1"/>
      <c r="L762" s="1"/>
    </row>
    <row r="763" spans="1:12" x14ac:dyDescent="0.2">
      <c r="A763" s="1" t="s">
        <v>8</v>
      </c>
      <c r="B763" s="2" t="s">
        <v>285</v>
      </c>
      <c r="D763" s="5" t="s">
        <v>464</v>
      </c>
      <c r="E763" s="3">
        <v>112500</v>
      </c>
      <c r="F763" s="3" t="s">
        <v>465</v>
      </c>
      <c r="G763" s="57" t="s">
        <v>465</v>
      </c>
      <c r="H763" s="4"/>
      <c r="I763" s="4"/>
      <c r="J763" s="1"/>
    </row>
    <row r="764" spans="1:12" x14ac:dyDescent="0.2">
      <c r="A764" s="1" t="s">
        <v>8</v>
      </c>
      <c r="B764" s="2" t="s">
        <v>285</v>
      </c>
      <c r="D764" s="5" t="s">
        <v>464</v>
      </c>
      <c r="E764" s="3">
        <v>117500</v>
      </c>
      <c r="F764" s="3" t="s">
        <v>465</v>
      </c>
      <c r="G764" s="57" t="s">
        <v>465</v>
      </c>
      <c r="H764" s="4"/>
      <c r="I764" s="4"/>
      <c r="J764" s="1"/>
    </row>
    <row r="765" spans="1:12" s="13" customFormat="1" x14ac:dyDescent="0.2">
      <c r="A765" s="1" t="s">
        <v>8</v>
      </c>
      <c r="B765" s="2" t="s">
        <v>285</v>
      </c>
      <c r="C765" s="5"/>
      <c r="D765" s="5" t="s">
        <v>464</v>
      </c>
      <c r="E765" s="3">
        <v>117500</v>
      </c>
      <c r="F765" s="3" t="s">
        <v>465</v>
      </c>
      <c r="G765" s="57" t="s">
        <v>465</v>
      </c>
      <c r="H765" s="4"/>
      <c r="I765" s="4"/>
      <c r="J765" s="1"/>
      <c r="K765" s="1"/>
      <c r="L765" s="1"/>
    </row>
    <row r="766" spans="1:12" x14ac:dyDescent="0.2">
      <c r="A766" s="1" t="s">
        <v>8</v>
      </c>
      <c r="B766" s="2" t="s">
        <v>285</v>
      </c>
      <c r="D766" s="5" t="s">
        <v>464</v>
      </c>
      <c r="E766" s="3">
        <v>122500</v>
      </c>
      <c r="F766" s="3" t="s">
        <v>465</v>
      </c>
      <c r="G766" s="57" t="s">
        <v>465</v>
      </c>
      <c r="H766" s="4"/>
      <c r="I766" s="4"/>
      <c r="J766" s="1"/>
    </row>
    <row r="767" spans="1:12" x14ac:dyDescent="0.2">
      <c r="A767" s="1" t="s">
        <v>8</v>
      </c>
      <c r="B767" s="2" t="s">
        <v>285</v>
      </c>
      <c r="D767" s="5" t="s">
        <v>464</v>
      </c>
      <c r="E767" s="3">
        <v>122500</v>
      </c>
      <c r="F767" s="3" t="s">
        <v>465</v>
      </c>
      <c r="G767" s="57" t="s">
        <v>465</v>
      </c>
      <c r="H767" s="4"/>
      <c r="I767" s="4"/>
      <c r="J767" s="1"/>
    </row>
    <row r="768" spans="1:12" x14ac:dyDescent="0.2">
      <c r="A768" s="1" t="s">
        <v>39</v>
      </c>
      <c r="B768" s="2" t="s">
        <v>286</v>
      </c>
      <c r="D768" s="5" t="s">
        <v>2957</v>
      </c>
      <c r="E768" s="3">
        <v>225608</v>
      </c>
      <c r="F768" s="3" t="s">
        <v>465</v>
      </c>
      <c r="G768" s="57" t="s">
        <v>465</v>
      </c>
    </row>
    <row r="769" spans="1:12" ht="25.5" x14ac:dyDescent="0.2">
      <c r="A769" s="1" t="s">
        <v>6</v>
      </c>
      <c r="B769" s="2" t="s">
        <v>288</v>
      </c>
      <c r="D769" s="5" t="s">
        <v>529</v>
      </c>
      <c r="E769" s="3">
        <v>161000</v>
      </c>
      <c r="F769" s="3" t="s">
        <v>465</v>
      </c>
      <c r="G769" s="57" t="s">
        <v>465</v>
      </c>
      <c r="J769" s="5" t="s">
        <v>2955</v>
      </c>
    </row>
    <row r="770" spans="1:12" x14ac:dyDescent="0.2">
      <c r="A770" s="1" t="s">
        <v>6</v>
      </c>
      <c r="B770" s="2" t="s">
        <v>288</v>
      </c>
      <c r="D770" s="5" t="s">
        <v>464</v>
      </c>
      <c r="E770" s="3">
        <v>102500</v>
      </c>
      <c r="F770" s="3" t="s">
        <v>465</v>
      </c>
      <c r="G770" s="57" t="s">
        <v>465</v>
      </c>
    </row>
    <row r="771" spans="1:12" x14ac:dyDescent="0.2">
      <c r="A771" s="1" t="s">
        <v>6</v>
      </c>
      <c r="B771" s="2" t="s">
        <v>288</v>
      </c>
      <c r="D771" s="5" t="s">
        <v>464</v>
      </c>
      <c r="E771" s="3">
        <v>102500</v>
      </c>
      <c r="F771" s="3" t="s">
        <v>465</v>
      </c>
      <c r="G771" s="57" t="s">
        <v>465</v>
      </c>
    </row>
    <row r="772" spans="1:12" x14ac:dyDescent="0.2">
      <c r="A772" s="1" t="s">
        <v>6</v>
      </c>
      <c r="B772" s="2" t="s">
        <v>288</v>
      </c>
      <c r="D772" s="5" t="s">
        <v>464</v>
      </c>
      <c r="E772" s="3">
        <v>107500</v>
      </c>
      <c r="F772" s="3" t="s">
        <v>465</v>
      </c>
      <c r="G772" s="57" t="s">
        <v>465</v>
      </c>
    </row>
    <row r="773" spans="1:12" x14ac:dyDescent="0.2">
      <c r="A773" s="1" t="s">
        <v>6</v>
      </c>
      <c r="B773" s="2" t="s">
        <v>288</v>
      </c>
      <c r="D773" s="5" t="s">
        <v>464</v>
      </c>
      <c r="E773" s="3">
        <v>107500</v>
      </c>
      <c r="F773" s="3" t="s">
        <v>465</v>
      </c>
      <c r="G773" s="57" t="s">
        <v>465</v>
      </c>
    </row>
    <row r="774" spans="1:12" x14ac:dyDescent="0.2">
      <c r="A774" s="1" t="s">
        <v>6</v>
      </c>
      <c r="B774" s="2" t="s">
        <v>288</v>
      </c>
      <c r="D774" s="5" t="s">
        <v>464</v>
      </c>
      <c r="E774" s="3">
        <v>112500</v>
      </c>
      <c r="F774" s="3" t="s">
        <v>465</v>
      </c>
      <c r="G774" s="57" t="s">
        <v>465</v>
      </c>
      <c r="H774" s="4"/>
      <c r="I774" s="4"/>
      <c r="J774" s="1"/>
    </row>
    <row r="775" spans="1:12" s="13" customFormat="1" x14ac:dyDescent="0.2">
      <c r="A775" s="1" t="s">
        <v>6</v>
      </c>
      <c r="B775" s="2" t="s">
        <v>288</v>
      </c>
      <c r="C775" s="5"/>
      <c r="D775" s="5" t="s">
        <v>464</v>
      </c>
      <c r="E775" s="3">
        <v>127500</v>
      </c>
      <c r="F775" s="3" t="s">
        <v>465</v>
      </c>
      <c r="G775" s="57" t="s">
        <v>465</v>
      </c>
      <c r="H775" s="4"/>
      <c r="I775" s="4"/>
      <c r="J775" s="1"/>
      <c r="K775" s="1"/>
      <c r="L775" s="1"/>
    </row>
    <row r="776" spans="1:12" x14ac:dyDescent="0.2">
      <c r="A776" s="1" t="s">
        <v>6</v>
      </c>
      <c r="B776" s="2" t="s">
        <v>288</v>
      </c>
      <c r="D776" s="5" t="s">
        <v>464</v>
      </c>
      <c r="E776" s="3">
        <v>132500</v>
      </c>
      <c r="F776" s="3" t="s">
        <v>465</v>
      </c>
      <c r="G776" s="57" t="s">
        <v>465</v>
      </c>
      <c r="H776" s="4"/>
      <c r="I776" s="4"/>
      <c r="J776" s="1"/>
    </row>
    <row r="777" spans="1:12" s="13" customFormat="1" x14ac:dyDescent="0.2">
      <c r="A777" s="1" t="s">
        <v>6</v>
      </c>
      <c r="B777" s="2" t="s">
        <v>288</v>
      </c>
      <c r="C777" s="5"/>
      <c r="D777" s="5" t="s">
        <v>464</v>
      </c>
      <c r="E777" s="3">
        <v>137500</v>
      </c>
      <c r="F777" s="3" t="s">
        <v>465</v>
      </c>
      <c r="G777" s="57" t="s">
        <v>465</v>
      </c>
      <c r="H777" s="4"/>
      <c r="I777" s="4"/>
      <c r="J777" s="1"/>
      <c r="K777" s="1"/>
      <c r="L777" s="1"/>
    </row>
    <row r="778" spans="1:12" s="13" customFormat="1" x14ac:dyDescent="0.2">
      <c r="A778" s="1" t="s">
        <v>6</v>
      </c>
      <c r="B778" s="2" t="s">
        <v>288</v>
      </c>
      <c r="C778" s="5"/>
      <c r="D778" s="5" t="s">
        <v>464</v>
      </c>
      <c r="E778" s="3">
        <v>137500</v>
      </c>
      <c r="F778" s="3" t="s">
        <v>465</v>
      </c>
      <c r="G778" s="57" t="s">
        <v>465</v>
      </c>
      <c r="H778" s="4"/>
      <c r="I778" s="4"/>
      <c r="J778" s="1"/>
      <c r="K778" s="1"/>
      <c r="L778" s="1"/>
    </row>
    <row r="779" spans="1:12" x14ac:dyDescent="0.2">
      <c r="A779" s="1" t="s">
        <v>6</v>
      </c>
      <c r="B779" s="2" t="s">
        <v>288</v>
      </c>
      <c r="D779" s="5" t="s">
        <v>464</v>
      </c>
      <c r="E779" s="3">
        <v>162500</v>
      </c>
      <c r="F779" s="3" t="s">
        <v>465</v>
      </c>
      <c r="G779" s="57" t="s">
        <v>465</v>
      </c>
      <c r="H779" s="4"/>
      <c r="I779" s="4"/>
      <c r="J779" s="1"/>
    </row>
    <row r="780" spans="1:12" ht="25.5" x14ac:dyDescent="0.2">
      <c r="A780" s="1" t="s">
        <v>4</v>
      </c>
      <c r="B780" s="2" t="s">
        <v>292</v>
      </c>
      <c r="D780" s="5" t="s">
        <v>2933</v>
      </c>
      <c r="E780" s="9">
        <v>147402</v>
      </c>
      <c r="F780" s="3" t="s">
        <v>465</v>
      </c>
      <c r="G780" s="57" t="s">
        <v>465</v>
      </c>
    </row>
    <row r="781" spans="1:12" s="13" customFormat="1" x14ac:dyDescent="0.2">
      <c r="A781" s="1" t="s">
        <v>4</v>
      </c>
      <c r="B781" s="2" t="s">
        <v>292</v>
      </c>
      <c r="C781" s="5"/>
      <c r="D781" s="5" t="s">
        <v>464</v>
      </c>
      <c r="E781" s="3">
        <v>102500</v>
      </c>
      <c r="F781" s="3" t="s">
        <v>465</v>
      </c>
      <c r="G781" s="57" t="s">
        <v>465</v>
      </c>
      <c r="H781" s="19"/>
      <c r="I781" s="19"/>
      <c r="J781" s="5"/>
      <c r="K781" s="1"/>
      <c r="L781" s="1"/>
    </row>
    <row r="782" spans="1:12" x14ac:dyDescent="0.2">
      <c r="A782" s="1" t="s">
        <v>4</v>
      </c>
      <c r="B782" s="2" t="s">
        <v>292</v>
      </c>
      <c r="D782" s="5" t="s">
        <v>464</v>
      </c>
      <c r="E782" s="3">
        <v>107500</v>
      </c>
      <c r="F782" s="3" t="s">
        <v>465</v>
      </c>
      <c r="G782" s="57" t="s">
        <v>465</v>
      </c>
    </row>
    <row r="783" spans="1:12" s="13" customFormat="1" x14ac:dyDescent="0.2">
      <c r="A783" s="1" t="s">
        <v>20</v>
      </c>
      <c r="B783" s="2" t="s">
        <v>296</v>
      </c>
      <c r="C783" s="5"/>
      <c r="D783" s="5" t="s">
        <v>464</v>
      </c>
      <c r="E783" s="3">
        <v>102500</v>
      </c>
      <c r="F783" s="3" t="s">
        <v>465</v>
      </c>
      <c r="G783" s="57" t="s">
        <v>465</v>
      </c>
      <c r="H783" s="19"/>
      <c r="I783" s="19"/>
      <c r="J783" s="5"/>
      <c r="K783" s="1"/>
      <c r="L783" s="1"/>
    </row>
    <row r="784" spans="1:12" s="13" customFormat="1" x14ac:dyDescent="0.2">
      <c r="A784" s="1" t="s">
        <v>20</v>
      </c>
      <c r="B784" s="2" t="s">
        <v>296</v>
      </c>
      <c r="C784" s="5"/>
      <c r="D784" s="5" t="s">
        <v>464</v>
      </c>
      <c r="E784" s="3">
        <v>127500</v>
      </c>
      <c r="F784" s="3" t="s">
        <v>465</v>
      </c>
      <c r="G784" s="57" t="s">
        <v>465</v>
      </c>
      <c r="H784" s="19"/>
      <c r="I784" s="19"/>
      <c r="J784" s="5"/>
      <c r="K784" s="1"/>
      <c r="L784" s="1"/>
    </row>
    <row r="785" spans="1:12" s="13" customFormat="1" x14ac:dyDescent="0.2">
      <c r="A785" s="1" t="s">
        <v>20</v>
      </c>
      <c r="B785" s="2" t="s">
        <v>296</v>
      </c>
      <c r="C785" s="5"/>
      <c r="D785" s="5" t="s">
        <v>464</v>
      </c>
      <c r="E785" s="3">
        <v>132500</v>
      </c>
      <c r="F785" s="3" t="s">
        <v>465</v>
      </c>
      <c r="G785" s="57" t="s">
        <v>465</v>
      </c>
      <c r="H785" s="19"/>
      <c r="I785" s="19"/>
      <c r="J785" s="5"/>
      <c r="K785" s="1"/>
      <c r="L785" s="1"/>
    </row>
    <row r="786" spans="1:12" x14ac:dyDescent="0.2">
      <c r="A786" s="1" t="s">
        <v>20</v>
      </c>
      <c r="B786" s="2" t="s">
        <v>296</v>
      </c>
      <c r="D786" s="5" t="s">
        <v>464</v>
      </c>
      <c r="E786" s="3">
        <v>142500</v>
      </c>
      <c r="F786" s="3" t="s">
        <v>465</v>
      </c>
      <c r="G786" s="57" t="s">
        <v>465</v>
      </c>
    </row>
    <row r="787" spans="1:12" x14ac:dyDescent="0.2">
      <c r="A787" s="1" t="s">
        <v>20</v>
      </c>
      <c r="B787" s="2" t="s">
        <v>296</v>
      </c>
      <c r="D787" s="5" t="s">
        <v>464</v>
      </c>
      <c r="E787" s="3">
        <v>147500</v>
      </c>
      <c r="F787" s="3" t="s">
        <v>465</v>
      </c>
      <c r="G787" s="57" t="s">
        <v>465</v>
      </c>
    </row>
    <row r="788" spans="1:12" x14ac:dyDescent="0.2">
      <c r="A788" s="1" t="s">
        <v>34</v>
      </c>
      <c r="B788" s="2" t="s">
        <v>297</v>
      </c>
      <c r="D788" s="5" t="s">
        <v>464</v>
      </c>
      <c r="E788" s="3">
        <v>107500</v>
      </c>
      <c r="F788" s="3" t="s">
        <v>465</v>
      </c>
      <c r="G788" s="57" t="s">
        <v>465</v>
      </c>
    </row>
    <row r="789" spans="1:12" x14ac:dyDescent="0.2">
      <c r="A789" s="1" t="s">
        <v>34</v>
      </c>
      <c r="B789" s="2" t="s">
        <v>297</v>
      </c>
      <c r="D789" s="5" t="s">
        <v>464</v>
      </c>
      <c r="E789" s="3">
        <v>107500</v>
      </c>
      <c r="F789" s="3" t="s">
        <v>465</v>
      </c>
      <c r="G789" s="57" t="s">
        <v>465</v>
      </c>
    </row>
    <row r="790" spans="1:12" x14ac:dyDescent="0.2">
      <c r="A790" s="1" t="s">
        <v>34</v>
      </c>
      <c r="B790" s="2" t="s">
        <v>298</v>
      </c>
      <c r="D790" s="5" t="s">
        <v>504</v>
      </c>
      <c r="E790" s="3">
        <v>108857</v>
      </c>
      <c r="F790" s="3" t="s">
        <v>465</v>
      </c>
      <c r="G790" s="57" t="s">
        <v>465</v>
      </c>
    </row>
    <row r="791" spans="1:12" x14ac:dyDescent="0.2">
      <c r="A791" s="1" t="s">
        <v>34</v>
      </c>
      <c r="B791" s="2" t="s">
        <v>298</v>
      </c>
      <c r="D791" s="5" t="s">
        <v>504</v>
      </c>
      <c r="E791" s="3">
        <v>122768</v>
      </c>
      <c r="F791" s="3" t="s">
        <v>465</v>
      </c>
      <c r="G791" s="57" t="s">
        <v>465</v>
      </c>
    </row>
    <row r="792" spans="1:12" x14ac:dyDescent="0.2">
      <c r="A792" s="1" t="s">
        <v>34</v>
      </c>
      <c r="B792" s="2" t="s">
        <v>298</v>
      </c>
      <c r="D792" s="5" t="s">
        <v>504</v>
      </c>
      <c r="E792" s="3">
        <v>110918</v>
      </c>
      <c r="F792" s="3" t="s">
        <v>465</v>
      </c>
      <c r="G792" s="57" t="s">
        <v>465</v>
      </c>
    </row>
    <row r="793" spans="1:12" x14ac:dyDescent="0.2">
      <c r="A793" s="1" t="s">
        <v>4</v>
      </c>
      <c r="B793" s="2" t="s">
        <v>299</v>
      </c>
      <c r="D793" s="5" t="s">
        <v>464</v>
      </c>
      <c r="E793" s="3">
        <v>102500</v>
      </c>
      <c r="F793" s="3" t="s">
        <v>465</v>
      </c>
      <c r="G793" s="57" t="s">
        <v>465</v>
      </c>
    </row>
    <row r="794" spans="1:12" x14ac:dyDescent="0.2">
      <c r="A794" s="1" t="s">
        <v>6</v>
      </c>
      <c r="B794" s="2" t="s">
        <v>301</v>
      </c>
      <c r="D794" s="5" t="s">
        <v>464</v>
      </c>
      <c r="E794" s="3">
        <v>127500</v>
      </c>
      <c r="F794" s="3" t="s">
        <v>465</v>
      </c>
      <c r="G794" s="57" t="s">
        <v>465</v>
      </c>
    </row>
    <row r="795" spans="1:12" x14ac:dyDescent="0.2">
      <c r="A795" s="1" t="s">
        <v>4</v>
      </c>
      <c r="B795" s="2" t="s">
        <v>303</v>
      </c>
      <c r="C795" s="7" t="s">
        <v>2138</v>
      </c>
      <c r="D795" s="7" t="s">
        <v>977</v>
      </c>
      <c r="E795" s="6">
        <v>137616</v>
      </c>
      <c r="F795" s="6" t="s">
        <v>465</v>
      </c>
      <c r="G795" s="57" t="s">
        <v>465</v>
      </c>
    </row>
    <row r="796" spans="1:12" x14ac:dyDescent="0.2">
      <c r="A796" s="1" t="s">
        <v>4</v>
      </c>
      <c r="B796" s="2" t="s">
        <v>303</v>
      </c>
      <c r="D796" s="5" t="s">
        <v>464</v>
      </c>
      <c r="E796" s="3">
        <v>102500</v>
      </c>
      <c r="F796" s="3" t="s">
        <v>465</v>
      </c>
      <c r="G796" s="57" t="s">
        <v>465</v>
      </c>
    </row>
    <row r="797" spans="1:12" x14ac:dyDescent="0.2">
      <c r="A797" s="1" t="s">
        <v>4</v>
      </c>
      <c r="B797" s="2" t="s">
        <v>303</v>
      </c>
      <c r="D797" s="5" t="s">
        <v>464</v>
      </c>
      <c r="E797" s="3">
        <v>152500</v>
      </c>
      <c r="F797" s="3" t="s">
        <v>465</v>
      </c>
      <c r="G797" s="57" t="s">
        <v>465</v>
      </c>
    </row>
    <row r="798" spans="1:12" x14ac:dyDescent="0.2">
      <c r="A798" s="1" t="s">
        <v>4</v>
      </c>
      <c r="B798" s="2" t="s">
        <v>303</v>
      </c>
      <c r="D798" s="5" t="s">
        <v>464</v>
      </c>
      <c r="E798" s="3">
        <v>177500</v>
      </c>
      <c r="F798" s="3" t="s">
        <v>465</v>
      </c>
      <c r="G798" s="57" t="s">
        <v>465</v>
      </c>
    </row>
    <row r="799" spans="1:12" x14ac:dyDescent="0.2">
      <c r="A799" s="1" t="s">
        <v>25</v>
      </c>
      <c r="B799" s="2" t="s">
        <v>304</v>
      </c>
      <c r="D799" s="5" t="s">
        <v>464</v>
      </c>
      <c r="E799" s="3">
        <v>102500</v>
      </c>
      <c r="F799" s="3" t="s">
        <v>465</v>
      </c>
      <c r="G799" s="57" t="s">
        <v>465</v>
      </c>
    </row>
    <row r="800" spans="1:12" x14ac:dyDescent="0.2">
      <c r="A800" s="1" t="s">
        <v>111</v>
      </c>
      <c r="B800" s="2" t="s">
        <v>305</v>
      </c>
      <c r="D800" s="5" t="s">
        <v>464</v>
      </c>
      <c r="E800" s="3">
        <v>102500</v>
      </c>
      <c r="F800" s="3" t="s">
        <v>465</v>
      </c>
      <c r="G800" s="57" t="s">
        <v>465</v>
      </c>
    </row>
    <row r="801" spans="1:12" x14ac:dyDescent="0.2">
      <c r="A801" s="1" t="s">
        <v>111</v>
      </c>
      <c r="B801" s="2" t="s">
        <v>305</v>
      </c>
      <c r="D801" s="5" t="s">
        <v>464</v>
      </c>
      <c r="E801" s="3">
        <v>102500</v>
      </c>
      <c r="F801" s="3" t="s">
        <v>465</v>
      </c>
      <c r="G801" s="57" t="s">
        <v>465</v>
      </c>
    </row>
    <row r="802" spans="1:12" x14ac:dyDescent="0.2">
      <c r="A802" s="1" t="s">
        <v>111</v>
      </c>
      <c r="B802" s="2" t="s">
        <v>305</v>
      </c>
      <c r="D802" s="5" t="s">
        <v>464</v>
      </c>
      <c r="E802" s="3">
        <v>107500</v>
      </c>
      <c r="F802" s="3" t="s">
        <v>465</v>
      </c>
      <c r="G802" s="57" t="s">
        <v>465</v>
      </c>
    </row>
    <row r="803" spans="1:12" x14ac:dyDescent="0.2">
      <c r="A803" s="1" t="s">
        <v>111</v>
      </c>
      <c r="B803" s="2" t="s">
        <v>305</v>
      </c>
      <c r="D803" s="5" t="s">
        <v>464</v>
      </c>
      <c r="E803" s="3">
        <v>107500</v>
      </c>
      <c r="F803" s="3" t="s">
        <v>465</v>
      </c>
      <c r="G803" s="57" t="s">
        <v>465</v>
      </c>
    </row>
    <row r="804" spans="1:12" x14ac:dyDescent="0.2">
      <c r="A804" s="1" t="s">
        <v>111</v>
      </c>
      <c r="B804" s="2" t="s">
        <v>305</v>
      </c>
      <c r="D804" s="5" t="s">
        <v>464</v>
      </c>
      <c r="E804" s="3">
        <v>112500</v>
      </c>
      <c r="F804" s="3" t="s">
        <v>465</v>
      </c>
      <c r="G804" s="57" t="s">
        <v>465</v>
      </c>
    </row>
    <row r="805" spans="1:12" s="13" customFormat="1" x14ac:dyDescent="0.2">
      <c r="A805" s="1" t="s">
        <v>39</v>
      </c>
      <c r="B805" s="12" t="s">
        <v>306</v>
      </c>
      <c r="C805" s="5"/>
      <c r="D805" s="5" t="s">
        <v>2829</v>
      </c>
      <c r="E805" s="3">
        <v>128662</v>
      </c>
      <c r="F805" s="3" t="s">
        <v>465</v>
      </c>
      <c r="G805" s="57" t="s">
        <v>465</v>
      </c>
      <c r="H805" s="19"/>
      <c r="I805" s="19"/>
      <c r="J805" s="5"/>
      <c r="K805" s="1"/>
      <c r="L805" s="1"/>
    </row>
    <row r="806" spans="1:12" x14ac:dyDescent="0.2">
      <c r="A806" s="1" t="s">
        <v>39</v>
      </c>
      <c r="B806" s="12" t="s">
        <v>306</v>
      </c>
      <c r="D806" s="5" t="s">
        <v>2830</v>
      </c>
      <c r="E806" s="3">
        <v>163208</v>
      </c>
      <c r="F806" s="3" t="s">
        <v>465</v>
      </c>
      <c r="G806" s="57" t="s">
        <v>465</v>
      </c>
    </row>
    <row r="807" spans="1:12" x14ac:dyDescent="0.2">
      <c r="A807" s="1" t="s">
        <v>1</v>
      </c>
      <c r="B807" s="12" t="s">
        <v>308</v>
      </c>
      <c r="D807" s="5" t="s">
        <v>464</v>
      </c>
      <c r="E807" s="3">
        <v>112500</v>
      </c>
      <c r="F807" s="3" t="s">
        <v>465</v>
      </c>
      <c r="G807" s="57" t="s">
        <v>465</v>
      </c>
    </row>
    <row r="808" spans="1:12" x14ac:dyDescent="0.2">
      <c r="A808" s="1" t="s">
        <v>44</v>
      </c>
      <c r="B808" s="2" t="s">
        <v>309</v>
      </c>
      <c r="D808" s="5" t="s">
        <v>464</v>
      </c>
      <c r="E808" s="3">
        <v>112500</v>
      </c>
      <c r="F808" s="3" t="s">
        <v>465</v>
      </c>
      <c r="G808" s="57" t="s">
        <v>465</v>
      </c>
    </row>
    <row r="809" spans="1:12" x14ac:dyDescent="0.2">
      <c r="A809" s="1" t="s">
        <v>44</v>
      </c>
      <c r="B809" s="2" t="s">
        <v>309</v>
      </c>
      <c r="D809" s="5" t="s">
        <v>464</v>
      </c>
      <c r="E809" s="3">
        <v>112500</v>
      </c>
      <c r="F809" s="3" t="s">
        <v>465</v>
      </c>
      <c r="G809" s="57" t="s">
        <v>465</v>
      </c>
    </row>
    <row r="810" spans="1:12" x14ac:dyDescent="0.2">
      <c r="A810" s="1" t="s">
        <v>44</v>
      </c>
      <c r="B810" s="2" t="s">
        <v>309</v>
      </c>
      <c r="D810" s="5" t="s">
        <v>464</v>
      </c>
      <c r="E810" s="3">
        <v>112500</v>
      </c>
      <c r="F810" s="3" t="s">
        <v>465</v>
      </c>
      <c r="G810" s="57" t="s">
        <v>465</v>
      </c>
    </row>
    <row r="811" spans="1:12" x14ac:dyDescent="0.2">
      <c r="A811" s="1" t="s">
        <v>44</v>
      </c>
      <c r="B811" s="2" t="s">
        <v>309</v>
      </c>
      <c r="D811" s="5" t="s">
        <v>464</v>
      </c>
      <c r="E811" s="3">
        <v>117500</v>
      </c>
      <c r="F811" s="3" t="s">
        <v>465</v>
      </c>
      <c r="G811" s="57" t="s">
        <v>465</v>
      </c>
    </row>
    <row r="812" spans="1:12" x14ac:dyDescent="0.2">
      <c r="A812" s="1" t="s">
        <v>44</v>
      </c>
      <c r="B812" s="2" t="s">
        <v>309</v>
      </c>
      <c r="D812" s="5" t="s">
        <v>464</v>
      </c>
      <c r="E812" s="3">
        <v>177500</v>
      </c>
      <c r="F812" s="3" t="s">
        <v>465</v>
      </c>
      <c r="G812" s="57" t="s">
        <v>465</v>
      </c>
    </row>
    <row r="813" spans="1:12" x14ac:dyDescent="0.2">
      <c r="A813" s="1" t="s">
        <v>25</v>
      </c>
      <c r="B813" s="2" t="s">
        <v>311</v>
      </c>
      <c r="D813" s="5" t="s">
        <v>464</v>
      </c>
      <c r="E813" s="3">
        <v>102500</v>
      </c>
      <c r="F813" s="3" t="s">
        <v>465</v>
      </c>
      <c r="G813" s="57" t="s">
        <v>465</v>
      </c>
      <c r="J813" s="1"/>
    </row>
    <row r="814" spans="1:12" x14ac:dyDescent="0.2">
      <c r="A814" s="1" t="s">
        <v>25</v>
      </c>
      <c r="B814" s="2" t="s">
        <v>311</v>
      </c>
      <c r="D814" s="5" t="s">
        <v>464</v>
      </c>
      <c r="E814" s="3">
        <v>117500</v>
      </c>
      <c r="F814" s="3" t="s">
        <v>465</v>
      </c>
      <c r="G814" s="57" t="s">
        <v>465</v>
      </c>
      <c r="J814" s="1"/>
    </row>
    <row r="815" spans="1:12" x14ac:dyDescent="0.2">
      <c r="A815" s="1" t="s">
        <v>6</v>
      </c>
      <c r="B815" s="2" t="s">
        <v>313</v>
      </c>
      <c r="D815" s="5" t="s">
        <v>464</v>
      </c>
      <c r="E815" s="3">
        <v>102500</v>
      </c>
      <c r="F815" s="3" t="s">
        <v>465</v>
      </c>
      <c r="G815" s="57" t="s">
        <v>465</v>
      </c>
    </row>
    <row r="816" spans="1:12" x14ac:dyDescent="0.2">
      <c r="A816" s="1" t="s">
        <v>39</v>
      </c>
      <c r="B816" s="2" t="s">
        <v>318</v>
      </c>
      <c r="D816" s="7" t="s">
        <v>450</v>
      </c>
      <c r="E816" s="6">
        <v>117930</v>
      </c>
      <c r="F816" s="6" t="s">
        <v>465</v>
      </c>
      <c r="G816" s="57" t="s">
        <v>465</v>
      </c>
      <c r="J816" s="5" t="s">
        <v>4414</v>
      </c>
    </row>
    <row r="817" spans="1:10" x14ac:dyDescent="0.2">
      <c r="A817" s="1" t="s">
        <v>6</v>
      </c>
      <c r="B817" s="2" t="s">
        <v>324</v>
      </c>
      <c r="D817" s="5" t="s">
        <v>464</v>
      </c>
      <c r="E817" s="3">
        <v>102500</v>
      </c>
      <c r="F817" s="3" t="s">
        <v>465</v>
      </c>
      <c r="G817" s="57" t="s">
        <v>465</v>
      </c>
    </row>
    <row r="818" spans="1:10" x14ac:dyDescent="0.2">
      <c r="A818" s="1" t="s">
        <v>6</v>
      </c>
      <c r="B818" s="2" t="s">
        <v>324</v>
      </c>
      <c r="D818" s="5" t="s">
        <v>464</v>
      </c>
      <c r="E818" s="3">
        <v>102500</v>
      </c>
      <c r="F818" s="3" t="s">
        <v>465</v>
      </c>
      <c r="G818" s="57" t="s">
        <v>465</v>
      </c>
    </row>
    <row r="819" spans="1:10" x14ac:dyDescent="0.2">
      <c r="A819" s="1" t="s">
        <v>1</v>
      </c>
      <c r="B819" s="2" t="s">
        <v>327</v>
      </c>
      <c r="D819" s="5" t="s">
        <v>464</v>
      </c>
      <c r="E819" s="3">
        <v>107500</v>
      </c>
      <c r="F819" s="3" t="s">
        <v>465</v>
      </c>
      <c r="G819" s="57" t="s">
        <v>465</v>
      </c>
      <c r="J819" s="5" t="s">
        <v>2772</v>
      </c>
    </row>
    <row r="820" spans="1:10" ht="51" x14ac:dyDescent="0.2">
      <c r="A820" s="1" t="s">
        <v>6</v>
      </c>
      <c r="B820" s="2" t="s">
        <v>329</v>
      </c>
      <c r="D820" s="7" t="s">
        <v>893</v>
      </c>
      <c r="E820" s="6">
        <v>167589</v>
      </c>
      <c r="F820" s="6" t="s">
        <v>465</v>
      </c>
      <c r="G820" s="57" t="s">
        <v>465</v>
      </c>
      <c r="J820" s="5" t="s">
        <v>4445</v>
      </c>
    </row>
    <row r="821" spans="1:10" x14ac:dyDescent="0.2">
      <c r="A821" s="1" t="s">
        <v>6</v>
      </c>
      <c r="B821" s="2" t="s">
        <v>329</v>
      </c>
      <c r="D821" s="7" t="s">
        <v>895</v>
      </c>
      <c r="E821" s="6">
        <v>125839</v>
      </c>
      <c r="F821" s="6" t="s">
        <v>465</v>
      </c>
      <c r="G821" s="57" t="s">
        <v>465</v>
      </c>
      <c r="J821" s="5" t="s">
        <v>4422</v>
      </c>
    </row>
    <row r="822" spans="1:10" x14ac:dyDescent="0.2">
      <c r="A822" s="1" t="s">
        <v>6</v>
      </c>
      <c r="B822" s="2" t="s">
        <v>329</v>
      </c>
      <c r="D822" s="7" t="s">
        <v>896</v>
      </c>
      <c r="E822" s="6">
        <v>345688</v>
      </c>
      <c r="F822" s="6" t="s">
        <v>465</v>
      </c>
      <c r="G822" s="57" t="s">
        <v>465</v>
      </c>
      <c r="J822" s="5" t="s">
        <v>4423</v>
      </c>
    </row>
    <row r="823" spans="1:10" ht="25.5" x14ac:dyDescent="0.2">
      <c r="A823" s="1" t="s">
        <v>28</v>
      </c>
      <c r="B823" s="2" t="s">
        <v>332</v>
      </c>
      <c r="D823" s="7" t="s">
        <v>2744</v>
      </c>
      <c r="E823" s="6">
        <v>119170</v>
      </c>
      <c r="F823" s="6" t="s">
        <v>465</v>
      </c>
      <c r="G823" s="57" t="s">
        <v>465</v>
      </c>
      <c r="J823" s="5" t="s">
        <v>2749</v>
      </c>
    </row>
    <row r="824" spans="1:10" x14ac:dyDescent="0.2">
      <c r="A824" s="1" t="s">
        <v>28</v>
      </c>
      <c r="B824" s="2" t="s">
        <v>332</v>
      </c>
      <c r="D824" s="7" t="s">
        <v>2745</v>
      </c>
      <c r="E824" s="6">
        <v>372752</v>
      </c>
      <c r="F824" s="6" t="s">
        <v>465</v>
      </c>
      <c r="G824" s="57" t="s">
        <v>465</v>
      </c>
      <c r="J824" s="5" t="s">
        <v>2747</v>
      </c>
    </row>
    <row r="825" spans="1:10" x14ac:dyDescent="0.2">
      <c r="A825" s="1" t="s">
        <v>28</v>
      </c>
      <c r="B825" s="2" t="s">
        <v>332</v>
      </c>
      <c r="D825" s="7" t="s">
        <v>2746</v>
      </c>
      <c r="E825" s="6">
        <v>161595</v>
      </c>
      <c r="F825" s="6" t="s">
        <v>465</v>
      </c>
      <c r="G825" s="57" t="s">
        <v>465</v>
      </c>
      <c r="J825" s="5" t="s">
        <v>2748</v>
      </c>
    </row>
    <row r="826" spans="1:10" ht="25.5" x14ac:dyDescent="0.2">
      <c r="A826" s="1" t="s">
        <v>28</v>
      </c>
      <c r="B826" s="2" t="s">
        <v>332</v>
      </c>
      <c r="D826" s="7" t="s">
        <v>4685</v>
      </c>
      <c r="E826" s="6">
        <v>257349</v>
      </c>
      <c r="F826" s="6" t="s">
        <v>465</v>
      </c>
      <c r="G826" s="57" t="s">
        <v>465</v>
      </c>
      <c r="J826" s="5" t="s">
        <v>2424</v>
      </c>
    </row>
    <row r="827" spans="1:10" x14ac:dyDescent="0.2">
      <c r="A827" s="1" t="s">
        <v>28</v>
      </c>
      <c r="B827" s="2" t="s">
        <v>332</v>
      </c>
      <c r="D827" s="5" t="s">
        <v>464</v>
      </c>
      <c r="E827" s="3">
        <v>102500</v>
      </c>
      <c r="F827" s="3" t="s">
        <v>465</v>
      </c>
      <c r="G827" s="57" t="s">
        <v>465</v>
      </c>
      <c r="J827" s="1"/>
    </row>
    <row r="828" spans="1:10" x14ac:dyDescent="0.2">
      <c r="A828" s="1" t="s">
        <v>28</v>
      </c>
      <c r="B828" s="2" t="s">
        <v>332</v>
      </c>
      <c r="D828" s="5" t="s">
        <v>464</v>
      </c>
      <c r="E828" s="3">
        <v>107500</v>
      </c>
      <c r="F828" s="3" t="s">
        <v>465</v>
      </c>
      <c r="G828" s="57" t="s">
        <v>465</v>
      </c>
      <c r="J828" s="1"/>
    </row>
    <row r="829" spans="1:10" x14ac:dyDescent="0.2">
      <c r="A829" s="1" t="s">
        <v>28</v>
      </c>
      <c r="B829" s="2" t="s">
        <v>332</v>
      </c>
      <c r="D829" s="5" t="s">
        <v>464</v>
      </c>
      <c r="E829" s="3">
        <v>122500</v>
      </c>
      <c r="F829" s="3" t="s">
        <v>465</v>
      </c>
      <c r="G829" s="57" t="s">
        <v>465</v>
      </c>
    </row>
    <row r="830" spans="1:10" x14ac:dyDescent="0.2">
      <c r="A830" s="1" t="s">
        <v>28</v>
      </c>
      <c r="B830" s="2" t="s">
        <v>332</v>
      </c>
      <c r="D830" s="5" t="s">
        <v>464</v>
      </c>
      <c r="E830" s="3">
        <v>132500</v>
      </c>
      <c r="F830" s="3" t="s">
        <v>465</v>
      </c>
      <c r="G830" s="57" t="s">
        <v>465</v>
      </c>
    </row>
    <row r="831" spans="1:10" x14ac:dyDescent="0.2">
      <c r="A831" s="1" t="s">
        <v>39</v>
      </c>
      <c r="B831" s="2" t="s">
        <v>335</v>
      </c>
      <c r="C831" s="7" t="s">
        <v>2735</v>
      </c>
      <c r="D831" s="7" t="s">
        <v>450</v>
      </c>
      <c r="E831" s="6">
        <v>101985</v>
      </c>
      <c r="F831" s="6" t="s">
        <v>465</v>
      </c>
      <c r="G831" s="57" t="s">
        <v>465</v>
      </c>
      <c r="H831" s="21"/>
      <c r="I831" s="21"/>
      <c r="J831" s="7" t="s">
        <v>2736</v>
      </c>
    </row>
    <row r="832" spans="1:10" x14ac:dyDescent="0.2">
      <c r="A832" s="1" t="s">
        <v>39</v>
      </c>
      <c r="B832" s="2" t="s">
        <v>335</v>
      </c>
      <c r="D832" s="7" t="s">
        <v>883</v>
      </c>
      <c r="E832" s="6">
        <v>145670</v>
      </c>
      <c r="F832" s="6" t="s">
        <v>465</v>
      </c>
      <c r="G832" s="57" t="s">
        <v>465</v>
      </c>
      <c r="J832" s="5" t="s">
        <v>2737</v>
      </c>
    </row>
    <row r="833" spans="1:10" x14ac:dyDescent="0.2">
      <c r="A833" s="1" t="s">
        <v>39</v>
      </c>
      <c r="B833" s="2" t="s">
        <v>335</v>
      </c>
      <c r="D833" s="7" t="s">
        <v>464</v>
      </c>
      <c r="E833" s="6">
        <v>102500</v>
      </c>
      <c r="F833" s="6" t="s">
        <v>465</v>
      </c>
      <c r="G833" s="57" t="s">
        <v>465</v>
      </c>
      <c r="H833" s="21"/>
      <c r="I833" s="21"/>
    </row>
    <row r="834" spans="1:10" x14ac:dyDescent="0.2">
      <c r="A834" s="1" t="s">
        <v>39</v>
      </c>
      <c r="B834" s="2" t="s">
        <v>335</v>
      </c>
      <c r="D834" s="7" t="s">
        <v>464</v>
      </c>
      <c r="E834" s="6">
        <v>122500</v>
      </c>
      <c r="F834" s="6" t="s">
        <v>465</v>
      </c>
      <c r="G834" s="57" t="s">
        <v>465</v>
      </c>
      <c r="H834" s="21"/>
      <c r="I834" s="21"/>
    </row>
    <row r="835" spans="1:10" x14ac:dyDescent="0.2">
      <c r="A835" s="1" t="s">
        <v>39</v>
      </c>
      <c r="B835" s="2" t="s">
        <v>335</v>
      </c>
      <c r="D835" s="7" t="s">
        <v>464</v>
      </c>
      <c r="E835" s="6">
        <v>127500</v>
      </c>
      <c r="F835" s="6" t="s">
        <v>465</v>
      </c>
      <c r="G835" s="57" t="s">
        <v>465</v>
      </c>
      <c r="H835" s="21"/>
      <c r="I835" s="21"/>
    </row>
    <row r="836" spans="1:10" x14ac:dyDescent="0.2">
      <c r="A836" s="1" t="s">
        <v>39</v>
      </c>
      <c r="B836" s="2" t="s">
        <v>335</v>
      </c>
      <c r="D836" s="7" t="s">
        <v>464</v>
      </c>
      <c r="E836" s="6">
        <v>127500</v>
      </c>
      <c r="F836" s="6" t="s">
        <v>465</v>
      </c>
      <c r="G836" s="57" t="s">
        <v>465</v>
      </c>
      <c r="H836" s="21"/>
      <c r="I836" s="21"/>
    </row>
    <row r="837" spans="1:10" x14ac:dyDescent="0.2">
      <c r="A837" s="1" t="s">
        <v>39</v>
      </c>
      <c r="B837" s="2" t="s">
        <v>335</v>
      </c>
      <c r="D837" s="7" t="s">
        <v>464</v>
      </c>
      <c r="E837" s="6">
        <v>127500</v>
      </c>
      <c r="F837" s="6" t="s">
        <v>465</v>
      </c>
      <c r="G837" s="57" t="s">
        <v>465</v>
      </c>
      <c r="H837" s="21"/>
      <c r="I837" s="21"/>
    </row>
    <row r="838" spans="1:10" x14ac:dyDescent="0.2">
      <c r="A838" s="1" t="s">
        <v>39</v>
      </c>
      <c r="B838" s="2" t="s">
        <v>335</v>
      </c>
      <c r="D838" s="7" t="s">
        <v>464</v>
      </c>
      <c r="E838" s="6">
        <v>127500</v>
      </c>
      <c r="F838" s="6" t="s">
        <v>465</v>
      </c>
      <c r="G838" s="57" t="s">
        <v>465</v>
      </c>
      <c r="H838" s="21"/>
      <c r="I838" s="21"/>
      <c r="J838" s="5" t="s">
        <v>2742</v>
      </c>
    </row>
    <row r="839" spans="1:10" x14ac:dyDescent="0.2">
      <c r="A839" s="1" t="s">
        <v>39</v>
      </c>
      <c r="B839" s="2" t="s">
        <v>335</v>
      </c>
      <c r="D839" s="7" t="s">
        <v>464</v>
      </c>
      <c r="E839" s="6">
        <v>177500</v>
      </c>
      <c r="F839" s="6" t="s">
        <v>465</v>
      </c>
      <c r="G839" s="57" t="s">
        <v>465</v>
      </c>
      <c r="H839" s="21"/>
      <c r="I839" s="21"/>
      <c r="J839" s="5" t="s">
        <v>2742</v>
      </c>
    </row>
    <row r="840" spans="1:10" x14ac:dyDescent="0.2">
      <c r="A840" s="1" t="s">
        <v>39</v>
      </c>
      <c r="B840" s="2" t="s">
        <v>335</v>
      </c>
      <c r="D840" s="7" t="s">
        <v>464</v>
      </c>
      <c r="E840" s="6">
        <v>187500</v>
      </c>
      <c r="F840" s="6" t="s">
        <v>465</v>
      </c>
      <c r="G840" s="57" t="s">
        <v>465</v>
      </c>
      <c r="H840" s="21"/>
      <c r="I840" s="21"/>
      <c r="J840" s="5" t="s">
        <v>2742</v>
      </c>
    </row>
    <row r="841" spans="1:10" x14ac:dyDescent="0.2">
      <c r="A841" s="1" t="s">
        <v>4</v>
      </c>
      <c r="B841" s="2" t="s">
        <v>336</v>
      </c>
      <c r="D841" s="5" t="s">
        <v>464</v>
      </c>
      <c r="E841" s="3">
        <v>102500</v>
      </c>
      <c r="F841" s="3" t="s">
        <v>465</v>
      </c>
      <c r="G841" s="57" t="s">
        <v>465</v>
      </c>
      <c r="J841" s="1"/>
    </row>
    <row r="842" spans="1:10" x14ac:dyDescent="0.2">
      <c r="A842" s="1" t="s">
        <v>4</v>
      </c>
      <c r="B842" s="2" t="s">
        <v>336</v>
      </c>
      <c r="D842" s="5" t="s">
        <v>464</v>
      </c>
      <c r="F842" s="3" t="s">
        <v>465</v>
      </c>
      <c r="G842" s="57" t="s">
        <v>465</v>
      </c>
      <c r="J842" s="1"/>
    </row>
    <row r="843" spans="1:10" x14ac:dyDescent="0.2">
      <c r="A843" s="1" t="s">
        <v>39</v>
      </c>
      <c r="B843" s="2" t="s">
        <v>337</v>
      </c>
      <c r="D843" s="5" t="s">
        <v>464</v>
      </c>
      <c r="E843" s="3">
        <v>107500</v>
      </c>
      <c r="F843" s="3" t="s">
        <v>465</v>
      </c>
      <c r="G843" s="57" t="s">
        <v>465</v>
      </c>
    </row>
    <row r="844" spans="1:10" x14ac:dyDescent="0.2">
      <c r="A844" s="1" t="s">
        <v>39</v>
      </c>
      <c r="B844" s="2" t="s">
        <v>337</v>
      </c>
      <c r="D844" s="5" t="s">
        <v>464</v>
      </c>
      <c r="E844" s="3">
        <v>117500</v>
      </c>
      <c r="F844" s="3" t="s">
        <v>465</v>
      </c>
      <c r="G844" s="57" t="s">
        <v>465</v>
      </c>
    </row>
    <row r="845" spans="1:10" x14ac:dyDescent="0.2">
      <c r="A845" s="1" t="s">
        <v>34</v>
      </c>
      <c r="B845" s="2" t="s">
        <v>338</v>
      </c>
      <c r="C845" s="5" t="s">
        <v>2719</v>
      </c>
      <c r="D845" s="5" t="s">
        <v>450</v>
      </c>
      <c r="E845" s="3">
        <v>218488.24</v>
      </c>
      <c r="F845" s="3" t="s">
        <v>465</v>
      </c>
      <c r="G845" s="57" t="s">
        <v>465</v>
      </c>
      <c r="J845" s="5" t="s">
        <v>4449</v>
      </c>
    </row>
    <row r="846" spans="1:10" x14ac:dyDescent="0.2">
      <c r="A846" s="1" t="s">
        <v>34</v>
      </c>
      <c r="B846" s="2" t="s">
        <v>338</v>
      </c>
      <c r="D846" s="5" t="s">
        <v>464</v>
      </c>
      <c r="E846" s="3">
        <v>107500</v>
      </c>
      <c r="F846" s="3" t="s">
        <v>465</v>
      </c>
      <c r="G846" s="57" t="s">
        <v>465</v>
      </c>
    </row>
    <row r="847" spans="1:10" x14ac:dyDescent="0.2">
      <c r="A847" s="1" t="s">
        <v>4</v>
      </c>
      <c r="B847" s="2" t="s">
        <v>340</v>
      </c>
      <c r="D847" s="5" t="s">
        <v>860</v>
      </c>
      <c r="E847" s="6">
        <v>113820</v>
      </c>
      <c r="F847" s="6" t="s">
        <v>465</v>
      </c>
      <c r="G847" s="57" t="s">
        <v>465</v>
      </c>
    </row>
    <row r="848" spans="1:10" x14ac:dyDescent="0.2">
      <c r="A848" s="1" t="s">
        <v>4</v>
      </c>
      <c r="B848" s="2" t="s">
        <v>351</v>
      </c>
      <c r="D848" s="5" t="s">
        <v>464</v>
      </c>
      <c r="E848" s="3">
        <v>152500</v>
      </c>
      <c r="F848" s="3" t="s">
        <v>465</v>
      </c>
      <c r="G848" s="57" t="s">
        <v>465</v>
      </c>
    </row>
    <row r="849" spans="1:10" x14ac:dyDescent="0.2">
      <c r="A849" s="1" t="s">
        <v>6</v>
      </c>
      <c r="B849" s="2" t="s">
        <v>352</v>
      </c>
      <c r="D849" s="5" t="s">
        <v>450</v>
      </c>
      <c r="E849" s="3">
        <v>127721</v>
      </c>
      <c r="F849" s="3" t="s">
        <v>465</v>
      </c>
      <c r="G849" s="57" t="s">
        <v>465</v>
      </c>
    </row>
    <row r="850" spans="1:10" ht="25.5" x14ac:dyDescent="0.2">
      <c r="A850" s="1" t="s">
        <v>34</v>
      </c>
      <c r="B850" s="2" t="s">
        <v>353</v>
      </c>
      <c r="C850" s="5" t="s">
        <v>2668</v>
      </c>
      <c r="D850" s="5" t="s">
        <v>450</v>
      </c>
      <c r="E850" s="3">
        <v>569000</v>
      </c>
      <c r="F850" s="3" t="s">
        <v>465</v>
      </c>
      <c r="G850" s="57" t="s">
        <v>465</v>
      </c>
      <c r="J850" s="5" t="s">
        <v>4462</v>
      </c>
    </row>
    <row r="851" spans="1:10" x14ac:dyDescent="0.2">
      <c r="A851" s="1" t="s">
        <v>34</v>
      </c>
      <c r="B851" s="2" t="s">
        <v>353</v>
      </c>
      <c r="D851" s="5" t="s">
        <v>464</v>
      </c>
      <c r="E851" s="3">
        <v>162500</v>
      </c>
      <c r="F851" s="3" t="s">
        <v>465</v>
      </c>
      <c r="G851" s="57" t="s">
        <v>465</v>
      </c>
      <c r="J851" s="5" t="s">
        <v>539</v>
      </c>
    </row>
    <row r="852" spans="1:10" x14ac:dyDescent="0.2">
      <c r="A852" s="1" t="s">
        <v>34</v>
      </c>
      <c r="B852" s="2" t="s">
        <v>353</v>
      </c>
      <c r="D852" s="5" t="s">
        <v>464</v>
      </c>
      <c r="E852" s="3">
        <v>177500</v>
      </c>
      <c r="F852" s="3" t="s">
        <v>465</v>
      </c>
      <c r="G852" s="57" t="s">
        <v>465</v>
      </c>
      <c r="J852" s="5" t="s">
        <v>539</v>
      </c>
    </row>
    <row r="853" spans="1:10" x14ac:dyDescent="0.2">
      <c r="A853" s="1" t="s">
        <v>111</v>
      </c>
      <c r="B853" s="2" t="s">
        <v>355</v>
      </c>
      <c r="D853" s="5" t="s">
        <v>2658</v>
      </c>
      <c r="E853" s="3">
        <v>124485</v>
      </c>
      <c r="F853" s="3" t="s">
        <v>465</v>
      </c>
      <c r="G853" s="57" t="s">
        <v>465</v>
      </c>
    </row>
    <row r="854" spans="1:10" x14ac:dyDescent="0.2">
      <c r="A854" s="1" t="s">
        <v>111</v>
      </c>
      <c r="B854" s="2" t="s">
        <v>355</v>
      </c>
      <c r="D854" s="5" t="s">
        <v>2659</v>
      </c>
      <c r="E854" s="3">
        <v>121241</v>
      </c>
      <c r="F854" s="3" t="s">
        <v>465</v>
      </c>
      <c r="G854" s="57" t="s">
        <v>465</v>
      </c>
    </row>
    <row r="855" spans="1:10" x14ac:dyDescent="0.2">
      <c r="A855" s="1" t="s">
        <v>111</v>
      </c>
      <c r="B855" s="2" t="s">
        <v>355</v>
      </c>
      <c r="D855" s="5" t="s">
        <v>2660</v>
      </c>
      <c r="E855" s="3">
        <v>119293</v>
      </c>
      <c r="F855" s="3" t="s">
        <v>465</v>
      </c>
      <c r="G855" s="57" t="s">
        <v>465</v>
      </c>
    </row>
    <row r="856" spans="1:10" x14ac:dyDescent="0.2">
      <c r="A856" s="1" t="s">
        <v>111</v>
      </c>
      <c r="B856" s="2" t="s">
        <v>355</v>
      </c>
      <c r="D856" s="5" t="s">
        <v>2645</v>
      </c>
      <c r="E856" s="3">
        <v>113596</v>
      </c>
      <c r="F856" s="3" t="s">
        <v>465</v>
      </c>
      <c r="G856" s="57" t="s">
        <v>465</v>
      </c>
    </row>
    <row r="857" spans="1:10" x14ac:dyDescent="0.2">
      <c r="A857" s="1" t="s">
        <v>111</v>
      </c>
      <c r="B857" s="2" t="s">
        <v>355</v>
      </c>
      <c r="D857" s="5" t="s">
        <v>464</v>
      </c>
      <c r="E857" s="3">
        <v>112500</v>
      </c>
      <c r="F857" s="3" t="s">
        <v>465</v>
      </c>
      <c r="G857" s="57" t="s">
        <v>465</v>
      </c>
      <c r="J857" s="5" t="s">
        <v>539</v>
      </c>
    </row>
    <row r="858" spans="1:10" x14ac:dyDescent="0.2">
      <c r="A858" s="1" t="s">
        <v>4</v>
      </c>
      <c r="B858" s="2" t="s">
        <v>356</v>
      </c>
      <c r="D858" s="5" t="s">
        <v>464</v>
      </c>
      <c r="E858" s="3">
        <v>157500</v>
      </c>
      <c r="F858" s="3" t="s">
        <v>465</v>
      </c>
      <c r="G858" s="57" t="s">
        <v>465</v>
      </c>
    </row>
    <row r="859" spans="1:10" x14ac:dyDescent="0.2">
      <c r="A859" s="1" t="s">
        <v>25</v>
      </c>
      <c r="B859" s="2" t="s">
        <v>358</v>
      </c>
      <c r="D859" s="5" t="s">
        <v>464</v>
      </c>
      <c r="E859" s="3">
        <v>102500</v>
      </c>
      <c r="F859" s="3" t="s">
        <v>465</v>
      </c>
      <c r="G859" s="57" t="s">
        <v>465</v>
      </c>
      <c r="J859" s="1"/>
    </row>
    <row r="860" spans="1:10" x14ac:dyDescent="0.2">
      <c r="A860" s="1" t="s">
        <v>25</v>
      </c>
      <c r="B860" s="2" t="s">
        <v>358</v>
      </c>
      <c r="D860" s="5" t="s">
        <v>464</v>
      </c>
      <c r="E860" s="3">
        <v>102500</v>
      </c>
      <c r="F860" s="3" t="s">
        <v>465</v>
      </c>
      <c r="G860" s="57" t="s">
        <v>465</v>
      </c>
    </row>
    <row r="861" spans="1:10" x14ac:dyDescent="0.2">
      <c r="A861" s="1" t="s">
        <v>25</v>
      </c>
      <c r="B861" s="2" t="s">
        <v>358</v>
      </c>
      <c r="D861" s="5" t="s">
        <v>464</v>
      </c>
      <c r="E861" s="3">
        <v>107500</v>
      </c>
      <c r="F861" s="3" t="s">
        <v>465</v>
      </c>
      <c r="G861" s="57" t="s">
        <v>465</v>
      </c>
    </row>
    <row r="862" spans="1:10" x14ac:dyDescent="0.2">
      <c r="A862" s="1" t="s">
        <v>25</v>
      </c>
      <c r="B862" s="2" t="s">
        <v>358</v>
      </c>
      <c r="D862" s="5" t="s">
        <v>464</v>
      </c>
      <c r="E862" s="3">
        <v>107500</v>
      </c>
      <c r="F862" s="3" t="s">
        <v>465</v>
      </c>
      <c r="G862" s="57" t="s">
        <v>465</v>
      </c>
    </row>
    <row r="863" spans="1:10" x14ac:dyDescent="0.2">
      <c r="A863" s="1" t="s">
        <v>25</v>
      </c>
      <c r="B863" s="2" t="s">
        <v>358</v>
      </c>
      <c r="D863" s="5" t="s">
        <v>464</v>
      </c>
      <c r="E863" s="3">
        <v>112500</v>
      </c>
      <c r="F863" s="3" t="s">
        <v>465</v>
      </c>
      <c r="G863" s="57" t="s">
        <v>465</v>
      </c>
    </row>
    <row r="864" spans="1:10" x14ac:dyDescent="0.2">
      <c r="A864" s="1" t="s">
        <v>25</v>
      </c>
      <c r="B864" s="2" t="s">
        <v>358</v>
      </c>
      <c r="D864" s="5" t="s">
        <v>464</v>
      </c>
      <c r="E864" s="3">
        <v>117500</v>
      </c>
      <c r="F864" s="3" t="s">
        <v>465</v>
      </c>
      <c r="G864" s="57" t="s">
        <v>465</v>
      </c>
    </row>
    <row r="865" spans="1:10" x14ac:dyDescent="0.2">
      <c r="A865" s="1" t="s">
        <v>25</v>
      </c>
      <c r="B865" s="2" t="s">
        <v>358</v>
      </c>
      <c r="D865" s="5" t="s">
        <v>464</v>
      </c>
      <c r="E865" s="3">
        <v>117500</v>
      </c>
      <c r="F865" s="3" t="s">
        <v>465</v>
      </c>
      <c r="G865" s="57" t="s">
        <v>465</v>
      </c>
    </row>
    <row r="866" spans="1:10" x14ac:dyDescent="0.2">
      <c r="A866" s="1" t="s">
        <v>25</v>
      </c>
      <c r="B866" s="2" t="s">
        <v>358</v>
      </c>
      <c r="D866" s="5" t="s">
        <v>464</v>
      </c>
      <c r="E866" s="3">
        <v>117500</v>
      </c>
      <c r="F866" s="3" t="s">
        <v>465</v>
      </c>
      <c r="G866" s="57" t="s">
        <v>465</v>
      </c>
    </row>
    <row r="867" spans="1:10" x14ac:dyDescent="0.2">
      <c r="A867" s="1" t="s">
        <v>25</v>
      </c>
      <c r="B867" s="2" t="s">
        <v>358</v>
      </c>
      <c r="D867" s="5" t="s">
        <v>464</v>
      </c>
      <c r="E867" s="3">
        <v>122500</v>
      </c>
      <c r="F867" s="3" t="s">
        <v>465</v>
      </c>
      <c r="G867" s="57" t="s">
        <v>465</v>
      </c>
    </row>
    <row r="868" spans="1:10" x14ac:dyDescent="0.2">
      <c r="A868" s="1" t="s">
        <v>25</v>
      </c>
      <c r="B868" s="2" t="s">
        <v>358</v>
      </c>
      <c r="D868" s="5" t="s">
        <v>464</v>
      </c>
      <c r="E868" s="3">
        <v>122500</v>
      </c>
      <c r="F868" s="3" t="s">
        <v>465</v>
      </c>
      <c r="G868" s="57" t="s">
        <v>465</v>
      </c>
    </row>
    <row r="869" spans="1:10" x14ac:dyDescent="0.2">
      <c r="A869" s="1" t="s">
        <v>25</v>
      </c>
      <c r="B869" s="2" t="s">
        <v>358</v>
      </c>
      <c r="D869" s="5" t="s">
        <v>464</v>
      </c>
      <c r="E869" s="3">
        <v>137500</v>
      </c>
      <c r="F869" s="3" t="s">
        <v>465</v>
      </c>
      <c r="G869" s="57" t="s">
        <v>465</v>
      </c>
    </row>
    <row r="870" spans="1:10" x14ac:dyDescent="0.2">
      <c r="A870" s="1" t="s">
        <v>25</v>
      </c>
      <c r="B870" s="2" t="s">
        <v>358</v>
      </c>
      <c r="D870" s="5" t="s">
        <v>464</v>
      </c>
      <c r="E870" s="3">
        <v>137500</v>
      </c>
      <c r="F870" s="3" t="s">
        <v>465</v>
      </c>
      <c r="G870" s="57" t="s">
        <v>465</v>
      </c>
    </row>
    <row r="871" spans="1:10" x14ac:dyDescent="0.2">
      <c r="A871" s="1" t="s">
        <v>25</v>
      </c>
      <c r="B871" s="2" t="s">
        <v>358</v>
      </c>
      <c r="D871" s="5" t="s">
        <v>464</v>
      </c>
      <c r="E871" s="3">
        <v>167500</v>
      </c>
      <c r="F871" s="3" t="s">
        <v>465</v>
      </c>
      <c r="G871" s="57" t="s">
        <v>465</v>
      </c>
    </row>
    <row r="872" spans="1:10" x14ac:dyDescent="0.2">
      <c r="A872" s="1" t="s">
        <v>25</v>
      </c>
      <c r="B872" s="2" t="s">
        <v>358</v>
      </c>
      <c r="D872" s="5" t="s">
        <v>464</v>
      </c>
      <c r="E872" s="3">
        <v>187500</v>
      </c>
      <c r="F872" s="3" t="s">
        <v>465</v>
      </c>
      <c r="G872" s="57" t="s">
        <v>465</v>
      </c>
    </row>
    <row r="873" spans="1:10" x14ac:dyDescent="0.2">
      <c r="A873" s="1" t="s">
        <v>4</v>
      </c>
      <c r="B873" s="2" t="s">
        <v>359</v>
      </c>
      <c r="C873" s="5" t="s">
        <v>2625</v>
      </c>
      <c r="D873" s="5" t="s">
        <v>451</v>
      </c>
      <c r="E873" s="3">
        <v>155304</v>
      </c>
      <c r="F873" s="3" t="s">
        <v>465</v>
      </c>
      <c r="G873" s="57" t="s">
        <v>465</v>
      </c>
    </row>
    <row r="874" spans="1:10" x14ac:dyDescent="0.2">
      <c r="A874" s="1" t="s">
        <v>39</v>
      </c>
      <c r="B874" s="2" t="s">
        <v>364</v>
      </c>
      <c r="C874" s="5" t="s">
        <v>780</v>
      </c>
      <c r="D874" s="5" t="s">
        <v>450</v>
      </c>
      <c r="E874" s="9">
        <v>242842</v>
      </c>
      <c r="F874" s="9" t="s">
        <v>465</v>
      </c>
      <c r="G874" s="57" t="s">
        <v>465</v>
      </c>
    </row>
    <row r="875" spans="1:10" x14ac:dyDescent="0.2">
      <c r="A875" s="1" t="s">
        <v>39</v>
      </c>
      <c r="B875" s="2" t="s">
        <v>364</v>
      </c>
      <c r="D875" s="5" t="s">
        <v>464</v>
      </c>
      <c r="E875" s="3">
        <v>102500</v>
      </c>
      <c r="F875" s="3" t="s">
        <v>465</v>
      </c>
      <c r="G875" s="57" t="s">
        <v>465</v>
      </c>
      <c r="J875" s="5" t="s">
        <v>539</v>
      </c>
    </row>
    <row r="876" spans="1:10" x14ac:dyDescent="0.2">
      <c r="A876" s="1" t="s">
        <v>39</v>
      </c>
      <c r="B876" s="2" t="s">
        <v>364</v>
      </c>
      <c r="D876" s="5" t="s">
        <v>464</v>
      </c>
      <c r="E876" s="3">
        <v>102500</v>
      </c>
      <c r="F876" s="3" t="s">
        <v>465</v>
      </c>
      <c r="G876" s="57" t="s">
        <v>465</v>
      </c>
    </row>
    <row r="877" spans="1:10" x14ac:dyDescent="0.2">
      <c r="A877" s="1" t="s">
        <v>39</v>
      </c>
      <c r="B877" s="2" t="s">
        <v>364</v>
      </c>
      <c r="D877" s="5" t="s">
        <v>464</v>
      </c>
      <c r="E877" s="3">
        <v>102500</v>
      </c>
      <c r="F877" s="3" t="s">
        <v>465</v>
      </c>
      <c r="G877" s="57" t="s">
        <v>465</v>
      </c>
    </row>
    <row r="878" spans="1:10" x14ac:dyDescent="0.2">
      <c r="A878" s="1" t="s">
        <v>39</v>
      </c>
      <c r="B878" s="2" t="s">
        <v>364</v>
      </c>
      <c r="D878" s="5" t="s">
        <v>464</v>
      </c>
      <c r="E878" s="3">
        <v>102500</v>
      </c>
      <c r="F878" s="3" t="s">
        <v>465</v>
      </c>
      <c r="G878" s="57" t="s">
        <v>465</v>
      </c>
    </row>
    <row r="879" spans="1:10" x14ac:dyDescent="0.2">
      <c r="A879" s="1" t="s">
        <v>39</v>
      </c>
      <c r="B879" s="2" t="s">
        <v>364</v>
      </c>
      <c r="D879" s="5" t="s">
        <v>464</v>
      </c>
      <c r="E879" s="3">
        <v>102500</v>
      </c>
      <c r="F879" s="3" t="s">
        <v>465</v>
      </c>
      <c r="G879" s="57" t="s">
        <v>465</v>
      </c>
    </row>
    <row r="880" spans="1:10" x14ac:dyDescent="0.2">
      <c r="A880" s="1" t="s">
        <v>39</v>
      </c>
      <c r="B880" s="2" t="s">
        <v>364</v>
      </c>
      <c r="D880" s="5" t="s">
        <v>464</v>
      </c>
      <c r="E880" s="3">
        <v>107500</v>
      </c>
      <c r="F880" s="3" t="s">
        <v>465</v>
      </c>
      <c r="G880" s="57" t="s">
        <v>465</v>
      </c>
    </row>
    <row r="881" spans="1:10" x14ac:dyDescent="0.2">
      <c r="A881" s="1" t="s">
        <v>39</v>
      </c>
      <c r="B881" s="2" t="s">
        <v>364</v>
      </c>
      <c r="D881" s="5" t="s">
        <v>464</v>
      </c>
      <c r="E881" s="3">
        <v>117500</v>
      </c>
      <c r="F881" s="3" t="s">
        <v>465</v>
      </c>
      <c r="G881" s="57" t="s">
        <v>465</v>
      </c>
    </row>
    <row r="882" spans="1:10" x14ac:dyDescent="0.2">
      <c r="A882" s="1" t="s">
        <v>39</v>
      </c>
      <c r="B882" s="2" t="s">
        <v>364</v>
      </c>
      <c r="D882" s="5" t="s">
        <v>464</v>
      </c>
      <c r="E882" s="3">
        <v>117500</v>
      </c>
      <c r="F882" s="3" t="s">
        <v>465</v>
      </c>
      <c r="G882" s="57" t="s">
        <v>465</v>
      </c>
    </row>
    <row r="883" spans="1:10" x14ac:dyDescent="0.2">
      <c r="A883" s="1" t="s">
        <v>39</v>
      </c>
      <c r="B883" s="2" t="s">
        <v>364</v>
      </c>
      <c r="D883" s="5" t="s">
        <v>464</v>
      </c>
      <c r="E883" s="3">
        <v>132500</v>
      </c>
      <c r="F883" s="3" t="s">
        <v>465</v>
      </c>
      <c r="G883" s="57" t="s">
        <v>465</v>
      </c>
    </row>
    <row r="884" spans="1:10" x14ac:dyDescent="0.2">
      <c r="A884" s="1" t="s">
        <v>39</v>
      </c>
      <c r="B884" s="2" t="s">
        <v>364</v>
      </c>
      <c r="D884" s="5" t="s">
        <v>464</v>
      </c>
      <c r="E884" s="3">
        <v>152500</v>
      </c>
      <c r="F884" s="3" t="s">
        <v>465</v>
      </c>
      <c r="G884" s="57" t="s">
        <v>465</v>
      </c>
      <c r="J884" s="5" t="s">
        <v>539</v>
      </c>
    </row>
    <row r="885" spans="1:10" x14ac:dyDescent="0.2">
      <c r="A885" s="1" t="s">
        <v>20</v>
      </c>
      <c r="B885" s="2" t="s">
        <v>366</v>
      </c>
      <c r="D885" s="5" t="s">
        <v>464</v>
      </c>
      <c r="E885" s="3">
        <v>112500</v>
      </c>
      <c r="F885" s="3" t="s">
        <v>465</v>
      </c>
      <c r="G885" s="57" t="s">
        <v>465</v>
      </c>
    </row>
    <row r="886" spans="1:10" x14ac:dyDescent="0.2">
      <c r="A886" s="1" t="s">
        <v>20</v>
      </c>
      <c r="B886" s="2" t="s">
        <v>366</v>
      </c>
      <c r="D886" s="5" t="s">
        <v>464</v>
      </c>
      <c r="E886" s="3">
        <v>122500</v>
      </c>
      <c r="F886" s="3" t="s">
        <v>465</v>
      </c>
      <c r="G886" s="57" t="s">
        <v>465</v>
      </c>
    </row>
    <row r="887" spans="1:10" x14ac:dyDescent="0.2">
      <c r="A887" s="1" t="s">
        <v>20</v>
      </c>
      <c r="B887" s="2" t="s">
        <v>366</v>
      </c>
      <c r="D887" s="5" t="s">
        <v>464</v>
      </c>
      <c r="E887" s="3">
        <v>122500</v>
      </c>
      <c r="F887" s="3" t="s">
        <v>465</v>
      </c>
      <c r="G887" s="57" t="s">
        <v>465</v>
      </c>
    </row>
    <row r="888" spans="1:10" x14ac:dyDescent="0.2">
      <c r="A888" s="1" t="s">
        <v>6</v>
      </c>
      <c r="B888" s="2" t="s">
        <v>368</v>
      </c>
      <c r="D888" s="5" t="s">
        <v>468</v>
      </c>
      <c r="E888" s="3">
        <v>148000</v>
      </c>
      <c r="F888" s="3" t="s">
        <v>465</v>
      </c>
      <c r="G888" s="57" t="s">
        <v>465</v>
      </c>
    </row>
    <row r="889" spans="1:10" x14ac:dyDescent="0.2">
      <c r="A889" s="1" t="s">
        <v>6</v>
      </c>
      <c r="B889" s="2" t="s">
        <v>368</v>
      </c>
      <c r="D889" s="5" t="s">
        <v>468</v>
      </c>
      <c r="E889" s="3">
        <v>135000</v>
      </c>
      <c r="F889" s="3" t="s">
        <v>465</v>
      </c>
      <c r="G889" s="57" t="s">
        <v>465</v>
      </c>
    </row>
    <row r="890" spans="1:10" x14ac:dyDescent="0.2">
      <c r="A890" s="1" t="s">
        <v>6</v>
      </c>
      <c r="B890" s="2" t="s">
        <v>368</v>
      </c>
      <c r="D890" s="5" t="s">
        <v>775</v>
      </c>
      <c r="E890" s="3">
        <v>106000</v>
      </c>
      <c r="F890" s="3" t="s">
        <v>465</v>
      </c>
      <c r="G890" s="57" t="s">
        <v>465</v>
      </c>
    </row>
    <row r="891" spans="1:10" x14ac:dyDescent="0.2">
      <c r="A891" s="1" t="s">
        <v>6</v>
      </c>
      <c r="B891" s="2" t="s">
        <v>368</v>
      </c>
      <c r="D891" s="5" t="s">
        <v>775</v>
      </c>
      <c r="E891" s="3">
        <v>103000</v>
      </c>
      <c r="F891" s="3" t="s">
        <v>465</v>
      </c>
      <c r="G891" s="57" t="s">
        <v>465</v>
      </c>
    </row>
    <row r="892" spans="1:10" x14ac:dyDescent="0.2">
      <c r="A892" s="1" t="s">
        <v>6</v>
      </c>
      <c r="B892" s="2" t="s">
        <v>368</v>
      </c>
      <c r="D892" s="5" t="s">
        <v>775</v>
      </c>
      <c r="E892" s="3">
        <v>102000</v>
      </c>
      <c r="F892" s="3" t="s">
        <v>465</v>
      </c>
      <c r="G892" s="57" t="s">
        <v>465</v>
      </c>
    </row>
    <row r="893" spans="1:10" x14ac:dyDescent="0.2">
      <c r="A893" s="1" t="s">
        <v>6</v>
      </c>
      <c r="B893" s="2" t="s">
        <v>368</v>
      </c>
      <c r="D893" s="5" t="s">
        <v>775</v>
      </c>
      <c r="E893" s="3">
        <v>101000</v>
      </c>
      <c r="F893" s="3" t="s">
        <v>465</v>
      </c>
      <c r="G893" s="57" t="s">
        <v>465</v>
      </c>
    </row>
    <row r="894" spans="1:10" x14ac:dyDescent="0.2">
      <c r="A894" s="1" t="s">
        <v>6</v>
      </c>
      <c r="B894" s="2" t="s">
        <v>368</v>
      </c>
      <c r="D894" s="5" t="s">
        <v>775</v>
      </c>
      <c r="E894" s="3">
        <v>101000</v>
      </c>
      <c r="F894" s="3" t="s">
        <v>465</v>
      </c>
      <c r="G894" s="57" t="s">
        <v>465</v>
      </c>
    </row>
    <row r="895" spans="1:10" x14ac:dyDescent="0.2">
      <c r="A895" s="1" t="s">
        <v>6</v>
      </c>
      <c r="B895" s="2" t="s">
        <v>368</v>
      </c>
      <c r="D895" s="5" t="s">
        <v>775</v>
      </c>
      <c r="E895" s="3">
        <v>100000</v>
      </c>
      <c r="F895" s="3" t="s">
        <v>465</v>
      </c>
      <c r="G895" s="57" t="s">
        <v>465</v>
      </c>
    </row>
    <row r="896" spans="1:10" x14ac:dyDescent="0.2">
      <c r="A896" s="1" t="s">
        <v>6</v>
      </c>
      <c r="B896" s="2" t="s">
        <v>368</v>
      </c>
      <c r="D896" s="5" t="s">
        <v>775</v>
      </c>
      <c r="E896" s="3">
        <v>100000</v>
      </c>
      <c r="F896" s="3" t="s">
        <v>465</v>
      </c>
      <c r="G896" s="57" t="s">
        <v>465</v>
      </c>
    </row>
    <row r="897" spans="1:10" x14ac:dyDescent="0.2">
      <c r="A897" s="1" t="s">
        <v>6</v>
      </c>
      <c r="B897" s="2" t="s">
        <v>368</v>
      </c>
      <c r="D897" s="5" t="s">
        <v>464</v>
      </c>
      <c r="E897" s="3">
        <v>107500</v>
      </c>
      <c r="F897" s="3" t="s">
        <v>465</v>
      </c>
      <c r="G897" s="57" t="s">
        <v>465</v>
      </c>
    </row>
    <row r="898" spans="1:10" x14ac:dyDescent="0.2">
      <c r="A898" s="1" t="s">
        <v>6</v>
      </c>
      <c r="B898" s="2" t="s">
        <v>368</v>
      </c>
      <c r="D898" s="5" t="s">
        <v>464</v>
      </c>
      <c r="E898" s="3">
        <v>117500</v>
      </c>
      <c r="F898" s="3" t="s">
        <v>465</v>
      </c>
      <c r="G898" s="57" t="s">
        <v>465</v>
      </c>
    </row>
    <row r="899" spans="1:10" x14ac:dyDescent="0.2">
      <c r="A899" s="1" t="s">
        <v>111</v>
      </c>
      <c r="B899" s="2" t="s">
        <v>369</v>
      </c>
      <c r="D899" s="5" t="s">
        <v>464</v>
      </c>
      <c r="E899" s="3">
        <v>107500</v>
      </c>
      <c r="F899" s="3" t="s">
        <v>465</v>
      </c>
      <c r="G899" s="57" t="s">
        <v>465</v>
      </c>
    </row>
    <row r="900" spans="1:10" x14ac:dyDescent="0.2">
      <c r="A900" s="1" t="s">
        <v>111</v>
      </c>
      <c r="B900" s="2" t="s">
        <v>369</v>
      </c>
      <c r="D900" s="5" t="s">
        <v>464</v>
      </c>
      <c r="E900" s="3">
        <v>117500</v>
      </c>
      <c r="F900" s="3" t="s">
        <v>465</v>
      </c>
      <c r="G900" s="57" t="s">
        <v>465</v>
      </c>
    </row>
    <row r="901" spans="1:10" x14ac:dyDescent="0.2">
      <c r="A901" s="1" t="s">
        <v>111</v>
      </c>
      <c r="B901" s="2" t="s">
        <v>369</v>
      </c>
      <c r="D901" s="5" t="s">
        <v>464</v>
      </c>
      <c r="E901" s="3">
        <v>122500</v>
      </c>
      <c r="F901" s="3" t="s">
        <v>465</v>
      </c>
      <c r="G901" s="57" t="s">
        <v>465</v>
      </c>
    </row>
    <row r="902" spans="1:10" x14ac:dyDescent="0.2">
      <c r="A902" s="1" t="s">
        <v>111</v>
      </c>
      <c r="B902" s="2" t="s">
        <v>369</v>
      </c>
      <c r="D902" s="5" t="s">
        <v>464</v>
      </c>
      <c r="E902" s="3">
        <v>147500</v>
      </c>
      <c r="F902" s="3" t="s">
        <v>465</v>
      </c>
      <c r="G902" s="57" t="s">
        <v>465</v>
      </c>
    </row>
    <row r="903" spans="1:10" ht="25.5" x14ac:dyDescent="0.2">
      <c r="A903" s="1" t="s">
        <v>39</v>
      </c>
      <c r="B903" s="2" t="s">
        <v>370</v>
      </c>
      <c r="D903" s="7" t="s">
        <v>2555</v>
      </c>
      <c r="E903" s="6">
        <v>165415</v>
      </c>
      <c r="F903" s="3" t="s">
        <v>465</v>
      </c>
      <c r="G903" s="57" t="s">
        <v>465</v>
      </c>
    </row>
    <row r="904" spans="1:10" x14ac:dyDescent="0.2">
      <c r="A904" s="1" t="s">
        <v>39</v>
      </c>
      <c r="B904" s="2" t="s">
        <v>370</v>
      </c>
      <c r="C904" s="5" t="s">
        <v>2552</v>
      </c>
      <c r="D904" s="7" t="s">
        <v>2553</v>
      </c>
      <c r="E904" s="6">
        <v>181119</v>
      </c>
      <c r="F904" s="6" t="s">
        <v>465</v>
      </c>
      <c r="G904" s="57" t="s">
        <v>465</v>
      </c>
      <c r="J904" s="5" t="s">
        <v>2554</v>
      </c>
    </row>
    <row r="905" spans="1:10" x14ac:dyDescent="0.2">
      <c r="A905" s="1" t="s">
        <v>39</v>
      </c>
      <c r="B905" s="2" t="s">
        <v>370</v>
      </c>
      <c r="D905" s="7" t="s">
        <v>2556</v>
      </c>
      <c r="E905" s="6">
        <v>148229</v>
      </c>
      <c r="F905" s="6" t="s">
        <v>465</v>
      </c>
      <c r="G905" s="57" t="s">
        <v>465</v>
      </c>
    </row>
    <row r="906" spans="1:10" x14ac:dyDescent="0.2">
      <c r="A906" s="1" t="s">
        <v>39</v>
      </c>
      <c r="B906" s="2" t="s">
        <v>370</v>
      </c>
      <c r="D906" s="7" t="s">
        <v>2557</v>
      </c>
      <c r="E906" s="6">
        <v>143270</v>
      </c>
      <c r="F906" s="6" t="s">
        <v>465</v>
      </c>
      <c r="G906" s="57" t="s">
        <v>465</v>
      </c>
    </row>
    <row r="907" spans="1:10" x14ac:dyDescent="0.2">
      <c r="A907" s="1" t="s">
        <v>39</v>
      </c>
      <c r="B907" s="2" t="s">
        <v>370</v>
      </c>
      <c r="D907" s="5" t="s">
        <v>464</v>
      </c>
      <c r="E907" s="3">
        <v>102500</v>
      </c>
      <c r="F907" s="3" t="s">
        <v>465</v>
      </c>
      <c r="G907" s="57" t="s">
        <v>465</v>
      </c>
      <c r="J907" s="5" t="s">
        <v>539</v>
      </c>
    </row>
    <row r="908" spans="1:10" x14ac:dyDescent="0.2">
      <c r="A908" s="1" t="s">
        <v>39</v>
      </c>
      <c r="B908" s="2" t="s">
        <v>370</v>
      </c>
      <c r="D908" s="5" t="s">
        <v>464</v>
      </c>
      <c r="E908" s="3">
        <v>102500</v>
      </c>
      <c r="F908" s="3" t="s">
        <v>465</v>
      </c>
      <c r="G908" s="57" t="s">
        <v>465</v>
      </c>
    </row>
    <row r="909" spans="1:10" x14ac:dyDescent="0.2">
      <c r="A909" s="1" t="s">
        <v>39</v>
      </c>
      <c r="B909" s="2" t="s">
        <v>370</v>
      </c>
      <c r="D909" s="5" t="s">
        <v>464</v>
      </c>
      <c r="E909" s="3">
        <v>102500</v>
      </c>
      <c r="F909" s="3" t="s">
        <v>465</v>
      </c>
      <c r="G909" s="57" t="s">
        <v>465</v>
      </c>
    </row>
    <row r="910" spans="1:10" x14ac:dyDescent="0.2">
      <c r="A910" s="1" t="s">
        <v>39</v>
      </c>
      <c r="B910" s="2" t="s">
        <v>370</v>
      </c>
      <c r="D910" s="5" t="s">
        <v>464</v>
      </c>
      <c r="E910" s="3">
        <v>102500</v>
      </c>
      <c r="F910" s="3" t="s">
        <v>465</v>
      </c>
      <c r="G910" s="57" t="s">
        <v>465</v>
      </c>
    </row>
    <row r="911" spans="1:10" x14ac:dyDescent="0.2">
      <c r="A911" s="1" t="s">
        <v>39</v>
      </c>
      <c r="B911" s="2" t="s">
        <v>370</v>
      </c>
      <c r="D911" s="5" t="s">
        <v>464</v>
      </c>
      <c r="E911" s="3">
        <v>107500</v>
      </c>
      <c r="F911" s="3" t="s">
        <v>465</v>
      </c>
      <c r="G911" s="57" t="s">
        <v>465</v>
      </c>
    </row>
    <row r="912" spans="1:10" x14ac:dyDescent="0.2">
      <c r="A912" s="1" t="s">
        <v>39</v>
      </c>
      <c r="B912" s="2" t="s">
        <v>370</v>
      </c>
      <c r="D912" s="5" t="s">
        <v>464</v>
      </c>
      <c r="E912" s="3">
        <v>107500</v>
      </c>
      <c r="F912" s="3" t="s">
        <v>465</v>
      </c>
      <c r="G912" s="57" t="s">
        <v>465</v>
      </c>
    </row>
    <row r="913" spans="1:12" x14ac:dyDescent="0.2">
      <c r="A913" s="1" t="s">
        <v>39</v>
      </c>
      <c r="B913" s="2" t="s">
        <v>370</v>
      </c>
      <c r="D913" s="5" t="s">
        <v>464</v>
      </c>
      <c r="E913" s="3">
        <v>132500</v>
      </c>
      <c r="F913" s="3" t="s">
        <v>465</v>
      </c>
      <c r="G913" s="57" t="s">
        <v>465</v>
      </c>
      <c r="J913" s="5" t="s">
        <v>539</v>
      </c>
    </row>
    <row r="914" spans="1:12" x14ac:dyDescent="0.2">
      <c r="A914" s="1" t="s">
        <v>39</v>
      </c>
      <c r="B914" s="2" t="s">
        <v>370</v>
      </c>
      <c r="D914" s="5" t="s">
        <v>464</v>
      </c>
      <c r="E914" s="3">
        <v>157500</v>
      </c>
      <c r="F914" s="3" t="s">
        <v>465</v>
      </c>
      <c r="G914" s="57" t="s">
        <v>465</v>
      </c>
      <c r="J914" s="5" t="s">
        <v>539</v>
      </c>
    </row>
    <row r="915" spans="1:12" x14ac:dyDescent="0.2">
      <c r="A915" s="1" t="s">
        <v>20</v>
      </c>
      <c r="B915" s="2" t="s">
        <v>374</v>
      </c>
      <c r="D915" s="5" t="s">
        <v>464</v>
      </c>
      <c r="E915" s="3">
        <v>132500</v>
      </c>
      <c r="F915" s="3" t="s">
        <v>465</v>
      </c>
      <c r="G915" s="57" t="s">
        <v>465</v>
      </c>
    </row>
    <row r="916" spans="1:12" x14ac:dyDescent="0.2">
      <c r="A916" s="1" t="s">
        <v>111</v>
      </c>
      <c r="B916" s="2" t="s">
        <v>376</v>
      </c>
      <c r="C916" s="5" t="s">
        <v>2535</v>
      </c>
      <c r="D916" s="7" t="s">
        <v>2534</v>
      </c>
      <c r="E916" s="6">
        <v>273192</v>
      </c>
      <c r="F916" s="3" t="s">
        <v>465</v>
      </c>
      <c r="G916" s="57" t="s">
        <v>465</v>
      </c>
      <c r="J916" s="5" t="s">
        <v>539</v>
      </c>
    </row>
    <row r="917" spans="1:12" x14ac:dyDescent="0.2">
      <c r="A917" s="1" t="s">
        <v>111</v>
      </c>
      <c r="B917" s="2" t="s">
        <v>376</v>
      </c>
      <c r="D917" s="7" t="s">
        <v>1796</v>
      </c>
      <c r="E917" s="3">
        <v>161485</v>
      </c>
      <c r="F917" s="3" t="s">
        <v>465</v>
      </c>
      <c r="G917" s="57" t="s">
        <v>465</v>
      </c>
      <c r="J917" s="5" t="s">
        <v>539</v>
      </c>
    </row>
    <row r="918" spans="1:12" x14ac:dyDescent="0.2">
      <c r="A918" s="1" t="s">
        <v>111</v>
      </c>
      <c r="B918" s="2" t="s">
        <v>376</v>
      </c>
      <c r="D918" s="7" t="s">
        <v>2536</v>
      </c>
      <c r="E918" s="3">
        <v>110907</v>
      </c>
      <c r="F918" s="3" t="s">
        <v>465</v>
      </c>
      <c r="G918" s="57" t="s">
        <v>465</v>
      </c>
    </row>
    <row r="919" spans="1:12" x14ac:dyDescent="0.2">
      <c r="A919" s="1" t="s">
        <v>111</v>
      </c>
      <c r="B919" s="2" t="s">
        <v>376</v>
      </c>
      <c r="D919" s="5" t="s">
        <v>464</v>
      </c>
      <c r="E919" s="3">
        <v>122500</v>
      </c>
      <c r="F919" s="3" t="s">
        <v>465</v>
      </c>
      <c r="G919" s="57" t="s">
        <v>465</v>
      </c>
    </row>
    <row r="920" spans="1:12" x14ac:dyDescent="0.2">
      <c r="A920" s="1" t="s">
        <v>111</v>
      </c>
      <c r="B920" s="2" t="s">
        <v>376</v>
      </c>
      <c r="D920" s="5" t="s">
        <v>464</v>
      </c>
      <c r="E920" s="3">
        <v>137500</v>
      </c>
      <c r="F920" s="3" t="s">
        <v>465</v>
      </c>
      <c r="G920" s="57" t="s">
        <v>465</v>
      </c>
    </row>
    <row r="921" spans="1:12" x14ac:dyDescent="0.2">
      <c r="A921" s="1" t="s">
        <v>4</v>
      </c>
      <c r="B921" s="2" t="s">
        <v>377</v>
      </c>
      <c r="D921" s="5" t="s">
        <v>464</v>
      </c>
      <c r="E921" s="3">
        <v>102500</v>
      </c>
      <c r="F921" s="3" t="s">
        <v>465</v>
      </c>
      <c r="G921" s="57" t="s">
        <v>465</v>
      </c>
      <c r="J921" s="1"/>
    </row>
    <row r="922" spans="1:12" s="13" customFormat="1" x14ac:dyDescent="0.2">
      <c r="A922" s="1" t="s">
        <v>4</v>
      </c>
      <c r="B922" s="2" t="s">
        <v>377</v>
      </c>
      <c r="C922" s="5"/>
      <c r="D922" s="5" t="s">
        <v>464</v>
      </c>
      <c r="E922" s="3">
        <v>102500</v>
      </c>
      <c r="F922" s="3" t="s">
        <v>465</v>
      </c>
      <c r="G922" s="57" t="s">
        <v>465</v>
      </c>
      <c r="H922" s="19"/>
      <c r="I922" s="19"/>
      <c r="J922" s="1"/>
      <c r="K922" s="1"/>
      <c r="L922" s="1"/>
    </row>
    <row r="923" spans="1:12" x14ac:dyDescent="0.2">
      <c r="A923" s="1" t="s">
        <v>4</v>
      </c>
      <c r="B923" s="2" t="s">
        <v>377</v>
      </c>
      <c r="D923" s="5" t="s">
        <v>464</v>
      </c>
      <c r="E923" s="3">
        <v>102500</v>
      </c>
      <c r="F923" s="3" t="s">
        <v>465</v>
      </c>
      <c r="G923" s="57" t="s">
        <v>465</v>
      </c>
      <c r="J923" s="1"/>
    </row>
    <row r="924" spans="1:12" x14ac:dyDescent="0.2">
      <c r="A924" s="1" t="s">
        <v>4</v>
      </c>
      <c r="B924" s="2" t="s">
        <v>377</v>
      </c>
      <c r="D924" s="5" t="s">
        <v>464</v>
      </c>
      <c r="E924" s="3">
        <v>102500</v>
      </c>
      <c r="F924" s="3" t="s">
        <v>465</v>
      </c>
      <c r="G924" s="57" t="s">
        <v>465</v>
      </c>
      <c r="J924" s="1"/>
    </row>
    <row r="925" spans="1:12" x14ac:dyDescent="0.2">
      <c r="A925" s="1" t="s">
        <v>4</v>
      </c>
      <c r="B925" s="2" t="s">
        <v>377</v>
      </c>
      <c r="D925" s="5" t="s">
        <v>464</v>
      </c>
      <c r="E925" s="3">
        <v>102500</v>
      </c>
      <c r="F925" s="3" t="s">
        <v>465</v>
      </c>
      <c r="G925" s="57" t="s">
        <v>465</v>
      </c>
      <c r="J925" s="1"/>
    </row>
    <row r="926" spans="1:12" x14ac:dyDescent="0.2">
      <c r="A926" s="1" t="s">
        <v>4</v>
      </c>
      <c r="B926" s="2" t="s">
        <v>377</v>
      </c>
      <c r="D926" s="5" t="s">
        <v>464</v>
      </c>
      <c r="E926" s="3">
        <v>102500</v>
      </c>
      <c r="F926" s="3" t="s">
        <v>465</v>
      </c>
      <c r="G926" s="57" t="s">
        <v>465</v>
      </c>
      <c r="J926" s="1"/>
    </row>
    <row r="927" spans="1:12" x14ac:dyDescent="0.2">
      <c r="A927" s="1" t="s">
        <v>4</v>
      </c>
      <c r="B927" s="2" t="s">
        <v>377</v>
      </c>
      <c r="D927" s="5" t="s">
        <v>464</v>
      </c>
      <c r="E927" s="3">
        <v>112500</v>
      </c>
      <c r="F927" s="3" t="s">
        <v>465</v>
      </c>
      <c r="G927" s="57" t="s">
        <v>465</v>
      </c>
    </row>
    <row r="928" spans="1:12" x14ac:dyDescent="0.2">
      <c r="A928" s="1" t="s">
        <v>4</v>
      </c>
      <c r="B928" s="2" t="s">
        <v>377</v>
      </c>
      <c r="D928" s="5" t="s">
        <v>464</v>
      </c>
      <c r="E928" s="3">
        <v>112500</v>
      </c>
      <c r="F928" s="3" t="s">
        <v>465</v>
      </c>
      <c r="G928" s="57" t="s">
        <v>465</v>
      </c>
    </row>
    <row r="929" spans="1:12" x14ac:dyDescent="0.2">
      <c r="A929" s="1" t="s">
        <v>4</v>
      </c>
      <c r="B929" s="2" t="s">
        <v>377</v>
      </c>
      <c r="D929" s="5" t="s">
        <v>464</v>
      </c>
      <c r="E929" s="3">
        <v>112500</v>
      </c>
      <c r="F929" s="3" t="s">
        <v>465</v>
      </c>
      <c r="G929" s="57" t="s">
        <v>465</v>
      </c>
    </row>
    <row r="930" spans="1:12" x14ac:dyDescent="0.2">
      <c r="A930" s="1" t="s">
        <v>4</v>
      </c>
      <c r="B930" s="2" t="s">
        <v>377</v>
      </c>
      <c r="D930" s="5" t="s">
        <v>464</v>
      </c>
      <c r="E930" s="3">
        <v>122500</v>
      </c>
      <c r="F930" s="3" t="s">
        <v>465</v>
      </c>
      <c r="G930" s="57" t="s">
        <v>465</v>
      </c>
    </row>
    <row r="931" spans="1:12" x14ac:dyDescent="0.2">
      <c r="A931" s="1" t="s">
        <v>4</v>
      </c>
      <c r="B931" s="2" t="s">
        <v>377</v>
      </c>
      <c r="D931" s="5" t="s">
        <v>464</v>
      </c>
      <c r="E931" s="3">
        <v>127500</v>
      </c>
      <c r="F931" s="3" t="s">
        <v>465</v>
      </c>
      <c r="G931" s="57" t="s">
        <v>465</v>
      </c>
    </row>
    <row r="932" spans="1:12" x14ac:dyDescent="0.2">
      <c r="A932" s="1" t="s">
        <v>4</v>
      </c>
      <c r="B932" s="2" t="s">
        <v>377</v>
      </c>
      <c r="D932" s="5" t="s">
        <v>464</v>
      </c>
      <c r="E932" s="3">
        <v>127500</v>
      </c>
      <c r="F932" s="3" t="s">
        <v>465</v>
      </c>
      <c r="G932" s="57" t="s">
        <v>465</v>
      </c>
    </row>
    <row r="933" spans="1:12" x14ac:dyDescent="0.2">
      <c r="A933" s="1" t="s">
        <v>25</v>
      </c>
      <c r="B933" s="2" t="s">
        <v>379</v>
      </c>
      <c r="D933" s="5" t="s">
        <v>464</v>
      </c>
      <c r="E933" s="3">
        <v>102500</v>
      </c>
      <c r="F933" s="3" t="s">
        <v>465</v>
      </c>
      <c r="G933" s="57" t="s">
        <v>465</v>
      </c>
    </row>
    <row r="934" spans="1:12" x14ac:dyDescent="0.2">
      <c r="A934" s="1" t="s">
        <v>25</v>
      </c>
      <c r="B934" s="2" t="s">
        <v>379</v>
      </c>
      <c r="D934" s="5" t="s">
        <v>464</v>
      </c>
      <c r="E934" s="3">
        <v>107500</v>
      </c>
      <c r="F934" s="3" t="s">
        <v>465</v>
      </c>
      <c r="G934" s="57" t="s">
        <v>465</v>
      </c>
    </row>
    <row r="935" spans="1:12" s="13" customFormat="1" x14ac:dyDescent="0.2">
      <c r="A935" s="1" t="s">
        <v>4</v>
      </c>
      <c r="B935" s="2" t="s">
        <v>380</v>
      </c>
      <c r="C935" s="5"/>
      <c r="D935" s="5" t="s">
        <v>2514</v>
      </c>
      <c r="E935" s="3">
        <v>112921</v>
      </c>
      <c r="F935" s="3" t="s">
        <v>465</v>
      </c>
      <c r="G935" s="57" t="s">
        <v>465</v>
      </c>
      <c r="H935" s="19"/>
      <c r="I935" s="19"/>
      <c r="J935" s="5" t="s">
        <v>2515</v>
      </c>
      <c r="K935" s="1"/>
      <c r="L935" s="1"/>
    </row>
    <row r="936" spans="1:12" s="13" customFormat="1" x14ac:dyDescent="0.2">
      <c r="A936" s="1" t="s">
        <v>44</v>
      </c>
      <c r="B936" s="2" t="s">
        <v>381</v>
      </c>
      <c r="C936" s="5"/>
      <c r="D936" s="5" t="s">
        <v>2506</v>
      </c>
      <c r="E936" s="3">
        <v>150127</v>
      </c>
      <c r="F936" s="3" t="s">
        <v>465</v>
      </c>
      <c r="G936" s="57" t="s">
        <v>465</v>
      </c>
      <c r="H936" s="19"/>
      <c r="I936" s="19"/>
      <c r="J936" s="5"/>
      <c r="K936" s="1"/>
      <c r="L936" s="1"/>
    </row>
    <row r="937" spans="1:12" x14ac:dyDescent="0.2">
      <c r="A937" s="1" t="s">
        <v>34</v>
      </c>
      <c r="B937" s="2" t="s">
        <v>382</v>
      </c>
      <c r="D937" s="5" t="s">
        <v>464</v>
      </c>
      <c r="E937" s="3">
        <v>112500</v>
      </c>
      <c r="F937" s="3" t="s">
        <v>465</v>
      </c>
      <c r="G937" s="57" t="s">
        <v>465</v>
      </c>
    </row>
    <row r="938" spans="1:12" x14ac:dyDescent="0.2">
      <c r="A938" s="1" t="s">
        <v>6</v>
      </c>
      <c r="B938" s="2" t="s">
        <v>383</v>
      </c>
      <c r="D938" s="7" t="s">
        <v>464</v>
      </c>
      <c r="E938" s="6">
        <v>102500</v>
      </c>
      <c r="F938" s="6" t="s">
        <v>465</v>
      </c>
      <c r="G938" s="57" t="s">
        <v>465</v>
      </c>
      <c r="H938" s="21"/>
      <c r="I938" s="21"/>
      <c r="J938" s="7" t="s">
        <v>1630</v>
      </c>
    </row>
    <row r="939" spans="1:12" x14ac:dyDescent="0.2">
      <c r="A939" s="1" t="s">
        <v>6</v>
      </c>
      <c r="B939" s="2" t="s">
        <v>383</v>
      </c>
      <c r="D939" s="7" t="s">
        <v>464</v>
      </c>
      <c r="E939" s="6">
        <v>107500</v>
      </c>
      <c r="F939" s="6" t="s">
        <v>465</v>
      </c>
      <c r="G939" s="57" t="s">
        <v>465</v>
      </c>
      <c r="H939" s="21"/>
      <c r="I939" s="21"/>
      <c r="J939" s="7" t="s">
        <v>1630</v>
      </c>
    </row>
    <row r="940" spans="1:12" x14ac:dyDescent="0.2">
      <c r="A940" s="1" t="s">
        <v>34</v>
      </c>
      <c r="B940" s="2" t="s">
        <v>386</v>
      </c>
      <c r="D940" s="5" t="s">
        <v>2486</v>
      </c>
      <c r="E940" s="3">
        <v>189918</v>
      </c>
      <c r="F940" s="3" t="s">
        <v>465</v>
      </c>
      <c r="G940" s="57" t="s">
        <v>465</v>
      </c>
    </row>
    <row r="941" spans="1:12" x14ac:dyDescent="0.2">
      <c r="A941" s="1" t="s">
        <v>34</v>
      </c>
      <c r="B941" s="2" t="s">
        <v>386</v>
      </c>
      <c r="D941" s="5" t="s">
        <v>2487</v>
      </c>
      <c r="E941" s="3">
        <v>210731</v>
      </c>
      <c r="F941" s="3" t="s">
        <v>465</v>
      </c>
      <c r="G941" s="57" t="s">
        <v>465</v>
      </c>
    </row>
    <row r="942" spans="1:12" x14ac:dyDescent="0.2">
      <c r="A942" s="1" t="s">
        <v>34</v>
      </c>
      <c r="B942" s="2" t="s">
        <v>386</v>
      </c>
      <c r="D942" s="5" t="s">
        <v>2488</v>
      </c>
      <c r="E942" s="3">
        <v>132870</v>
      </c>
      <c r="F942" s="3" t="s">
        <v>465</v>
      </c>
      <c r="G942" s="57" t="s">
        <v>465</v>
      </c>
    </row>
    <row r="943" spans="1:12" s="13" customFormat="1" x14ac:dyDescent="0.2">
      <c r="A943" s="1" t="s">
        <v>34</v>
      </c>
      <c r="B943" s="2" t="s">
        <v>386</v>
      </c>
      <c r="C943" s="5"/>
      <c r="D943" s="5" t="s">
        <v>2490</v>
      </c>
      <c r="E943" s="3">
        <v>102500</v>
      </c>
      <c r="F943" s="3" t="s">
        <v>465</v>
      </c>
      <c r="G943" s="57" t="s">
        <v>465</v>
      </c>
      <c r="H943" s="19"/>
      <c r="I943" s="19"/>
      <c r="J943" s="5"/>
      <c r="K943" s="1"/>
      <c r="L943" s="1"/>
    </row>
    <row r="944" spans="1:12" s="13" customFormat="1" x14ac:dyDescent="0.2">
      <c r="A944" s="1" t="s">
        <v>34</v>
      </c>
      <c r="B944" s="2" t="s">
        <v>386</v>
      </c>
      <c r="C944" s="5"/>
      <c r="D944" s="5" t="s">
        <v>2490</v>
      </c>
      <c r="E944" s="3">
        <v>102500</v>
      </c>
      <c r="F944" s="3" t="s">
        <v>465</v>
      </c>
      <c r="G944" s="57" t="s">
        <v>465</v>
      </c>
      <c r="H944" s="19"/>
      <c r="I944" s="19"/>
      <c r="J944" s="5"/>
      <c r="K944" s="1"/>
      <c r="L944" s="1"/>
    </row>
    <row r="945" spans="1:12" s="13" customFormat="1" x14ac:dyDescent="0.2">
      <c r="A945" s="1" t="s">
        <v>34</v>
      </c>
      <c r="B945" s="2" t="s">
        <v>386</v>
      </c>
      <c r="C945" s="5"/>
      <c r="D945" s="5" t="s">
        <v>2490</v>
      </c>
      <c r="E945" s="3">
        <v>122500</v>
      </c>
      <c r="F945" s="3" t="s">
        <v>465</v>
      </c>
      <c r="G945" s="57" t="s">
        <v>465</v>
      </c>
      <c r="H945" s="19"/>
      <c r="I945" s="19"/>
      <c r="J945" s="5"/>
      <c r="K945" s="1"/>
      <c r="L945" s="1"/>
    </row>
    <row r="946" spans="1:12" s="13" customFormat="1" x14ac:dyDescent="0.2">
      <c r="A946" s="1" t="s">
        <v>34</v>
      </c>
      <c r="B946" s="2" t="s">
        <v>386</v>
      </c>
      <c r="C946" s="5"/>
      <c r="D946" s="5" t="s">
        <v>2490</v>
      </c>
      <c r="E946" s="3">
        <v>132500</v>
      </c>
      <c r="F946" s="3" t="s">
        <v>465</v>
      </c>
      <c r="G946" s="57" t="s">
        <v>465</v>
      </c>
      <c r="H946" s="19"/>
      <c r="I946" s="19"/>
      <c r="J946" s="5"/>
      <c r="K946" s="1"/>
      <c r="L946" s="1"/>
    </row>
    <row r="947" spans="1:12" s="13" customFormat="1" x14ac:dyDescent="0.2">
      <c r="A947" s="1" t="s">
        <v>34</v>
      </c>
      <c r="B947" s="2" t="s">
        <v>386</v>
      </c>
      <c r="C947" s="5"/>
      <c r="D947" s="5" t="s">
        <v>2490</v>
      </c>
      <c r="E947" s="3">
        <v>187500</v>
      </c>
      <c r="F947" s="3" t="s">
        <v>465</v>
      </c>
      <c r="G947" s="57" t="s">
        <v>465</v>
      </c>
      <c r="H947" s="19"/>
      <c r="I947" s="19"/>
      <c r="J947" s="5"/>
      <c r="K947" s="1"/>
      <c r="L947" s="1"/>
    </row>
    <row r="948" spans="1:12" x14ac:dyDescent="0.2">
      <c r="A948" s="1" t="s">
        <v>34</v>
      </c>
      <c r="B948" s="2" t="s">
        <v>386</v>
      </c>
      <c r="D948" s="5" t="s">
        <v>2490</v>
      </c>
      <c r="E948" s="3">
        <v>212999.5</v>
      </c>
      <c r="F948" s="3" t="s">
        <v>465</v>
      </c>
      <c r="G948" s="57" t="s">
        <v>465</v>
      </c>
    </row>
    <row r="949" spans="1:12" s="13" customFormat="1" x14ac:dyDescent="0.2">
      <c r="A949" s="1" t="s">
        <v>39</v>
      </c>
      <c r="B949" s="2" t="s">
        <v>388</v>
      </c>
      <c r="C949" s="5"/>
      <c r="D949" s="5" t="s">
        <v>468</v>
      </c>
      <c r="E949" s="3">
        <v>137869</v>
      </c>
      <c r="F949" s="3" t="s">
        <v>465</v>
      </c>
      <c r="G949" s="57" t="s">
        <v>465</v>
      </c>
      <c r="H949" s="19"/>
      <c r="I949" s="19"/>
      <c r="J949" s="5"/>
      <c r="K949" s="1"/>
      <c r="L949" s="1"/>
    </row>
    <row r="950" spans="1:12" s="13" customFormat="1" x14ac:dyDescent="0.2">
      <c r="A950" s="1" t="s">
        <v>39</v>
      </c>
      <c r="B950" s="2" t="s">
        <v>388</v>
      </c>
      <c r="C950" s="5"/>
      <c r="D950" s="5" t="s">
        <v>468</v>
      </c>
      <c r="E950" s="3">
        <v>129950</v>
      </c>
      <c r="F950" s="3" t="s">
        <v>465</v>
      </c>
      <c r="G950" s="57" t="s">
        <v>465</v>
      </c>
      <c r="H950" s="19"/>
      <c r="I950" s="19"/>
      <c r="J950" s="5"/>
      <c r="K950" s="1"/>
      <c r="L950" s="1"/>
    </row>
    <row r="951" spans="1:12" s="13" customFormat="1" x14ac:dyDescent="0.2">
      <c r="A951" s="1" t="s">
        <v>39</v>
      </c>
      <c r="B951" s="2" t="s">
        <v>388</v>
      </c>
      <c r="C951" s="5"/>
      <c r="D951" s="5" t="s">
        <v>468</v>
      </c>
      <c r="E951" s="3">
        <v>108648</v>
      </c>
      <c r="F951" s="3" t="s">
        <v>465</v>
      </c>
      <c r="G951" s="57" t="s">
        <v>465</v>
      </c>
      <c r="H951" s="19"/>
      <c r="I951" s="19"/>
      <c r="J951" s="5"/>
      <c r="K951" s="1"/>
      <c r="L951" s="1"/>
    </row>
    <row r="952" spans="1:12" x14ac:dyDescent="0.2">
      <c r="A952" s="1" t="s">
        <v>39</v>
      </c>
      <c r="B952" s="2" t="s">
        <v>388</v>
      </c>
      <c r="C952" s="7"/>
      <c r="D952" s="5" t="s">
        <v>464</v>
      </c>
      <c r="E952" s="3">
        <v>102500</v>
      </c>
      <c r="F952" s="3" t="s">
        <v>465</v>
      </c>
      <c r="G952" s="57" t="s">
        <v>465</v>
      </c>
    </row>
    <row r="953" spans="1:12" x14ac:dyDescent="0.2">
      <c r="A953" s="1" t="s">
        <v>39</v>
      </c>
      <c r="B953" s="2" t="s">
        <v>388</v>
      </c>
      <c r="D953" s="5" t="s">
        <v>464</v>
      </c>
      <c r="E953" s="3">
        <v>102500</v>
      </c>
      <c r="F953" s="3" t="s">
        <v>465</v>
      </c>
      <c r="G953" s="57" t="s">
        <v>465</v>
      </c>
    </row>
    <row r="954" spans="1:12" x14ac:dyDescent="0.2">
      <c r="A954" s="1" t="s">
        <v>39</v>
      </c>
      <c r="B954" s="2" t="s">
        <v>388</v>
      </c>
      <c r="D954" s="5" t="s">
        <v>464</v>
      </c>
      <c r="E954" s="3">
        <v>142500</v>
      </c>
      <c r="F954" s="3" t="s">
        <v>465</v>
      </c>
      <c r="G954" s="57" t="s">
        <v>465</v>
      </c>
    </row>
    <row r="955" spans="1:12" ht="25.5" x14ac:dyDescent="0.2">
      <c r="A955" s="1" t="s">
        <v>34</v>
      </c>
      <c r="B955" s="2" t="s">
        <v>391</v>
      </c>
      <c r="D955" s="5" t="s">
        <v>2378</v>
      </c>
      <c r="E955" s="3">
        <v>246437</v>
      </c>
      <c r="F955" s="3" t="s">
        <v>465</v>
      </c>
      <c r="G955" s="57" t="s">
        <v>465</v>
      </c>
      <c r="J955" s="5" t="s">
        <v>4491</v>
      </c>
    </row>
    <row r="956" spans="1:12" ht="25.5" x14ac:dyDescent="0.2">
      <c r="A956" s="1" t="s">
        <v>34</v>
      </c>
      <c r="B956" s="2" t="s">
        <v>391</v>
      </c>
      <c r="D956" s="5" t="s">
        <v>2480</v>
      </c>
      <c r="E956" s="3">
        <v>152370</v>
      </c>
      <c r="F956" s="3" t="s">
        <v>465</v>
      </c>
      <c r="G956" s="57" t="s">
        <v>465</v>
      </c>
      <c r="J956" s="5" t="s">
        <v>4492</v>
      </c>
    </row>
    <row r="957" spans="1:12" ht="25.5" x14ac:dyDescent="0.2">
      <c r="A957" s="1" t="s">
        <v>4</v>
      </c>
      <c r="B957" s="2" t="s">
        <v>392</v>
      </c>
      <c r="D957" s="5" t="s">
        <v>2473</v>
      </c>
      <c r="E957" s="6">
        <v>107399</v>
      </c>
      <c r="F957" s="3" t="s">
        <v>465</v>
      </c>
      <c r="G957" s="57" t="s">
        <v>465</v>
      </c>
      <c r="J957" s="5" t="s">
        <v>2475</v>
      </c>
    </row>
    <row r="958" spans="1:12" x14ac:dyDescent="0.2">
      <c r="A958" s="1" t="s">
        <v>4</v>
      </c>
      <c r="B958" s="2" t="s">
        <v>392</v>
      </c>
      <c r="D958" s="5" t="s">
        <v>524</v>
      </c>
      <c r="E958" s="6">
        <v>106057</v>
      </c>
      <c r="F958" s="3" t="s">
        <v>465</v>
      </c>
      <c r="G958" s="57" t="s">
        <v>465</v>
      </c>
      <c r="J958" s="5" t="s">
        <v>2475</v>
      </c>
    </row>
    <row r="959" spans="1:12" x14ac:dyDescent="0.2">
      <c r="A959" s="1" t="s">
        <v>4</v>
      </c>
      <c r="B959" s="2" t="s">
        <v>392</v>
      </c>
      <c r="D959" s="5" t="s">
        <v>464</v>
      </c>
      <c r="E959" s="3">
        <v>112500</v>
      </c>
      <c r="F959" s="3" t="s">
        <v>465</v>
      </c>
      <c r="G959" s="57" t="s">
        <v>465</v>
      </c>
    </row>
    <row r="960" spans="1:12" x14ac:dyDescent="0.2">
      <c r="A960" s="1" t="s">
        <v>44</v>
      </c>
      <c r="B960" s="2" t="s">
        <v>397</v>
      </c>
      <c r="D960" s="7" t="s">
        <v>2455</v>
      </c>
      <c r="E960" s="6">
        <v>261952</v>
      </c>
      <c r="F960" s="3" t="s">
        <v>465</v>
      </c>
      <c r="G960" s="57" t="s">
        <v>465</v>
      </c>
      <c r="J960" s="5" t="s">
        <v>4502</v>
      </c>
    </row>
    <row r="961" spans="1:10" x14ac:dyDescent="0.2">
      <c r="A961" s="1" t="s">
        <v>44</v>
      </c>
      <c r="B961" s="2" t="s">
        <v>397</v>
      </c>
      <c r="D961" s="7" t="s">
        <v>2456</v>
      </c>
      <c r="E961" s="6">
        <v>234064</v>
      </c>
      <c r="F961" s="3" t="s">
        <v>465</v>
      </c>
      <c r="G961" s="57" t="s">
        <v>465</v>
      </c>
      <c r="J961" s="5" t="s">
        <v>4706</v>
      </c>
    </row>
    <row r="962" spans="1:10" x14ac:dyDescent="0.2">
      <c r="A962" s="1" t="s">
        <v>44</v>
      </c>
      <c r="B962" s="2" t="s">
        <v>397</v>
      </c>
      <c r="D962" s="5" t="s">
        <v>464</v>
      </c>
      <c r="E962" s="3">
        <v>107500</v>
      </c>
      <c r="F962" s="3" t="s">
        <v>465</v>
      </c>
      <c r="G962" s="57" t="s">
        <v>465</v>
      </c>
      <c r="J962" s="5" t="s">
        <v>539</v>
      </c>
    </row>
    <row r="963" spans="1:10" ht="38.25" x14ac:dyDescent="0.2">
      <c r="A963" s="1" t="s">
        <v>34</v>
      </c>
      <c r="B963" s="30" t="s">
        <v>4506</v>
      </c>
      <c r="D963" s="5" t="s">
        <v>450</v>
      </c>
      <c r="E963" s="3">
        <v>114194</v>
      </c>
      <c r="F963" s="3" t="s">
        <v>465</v>
      </c>
      <c r="G963" s="57" t="s">
        <v>465</v>
      </c>
      <c r="J963" s="5" t="s">
        <v>4505</v>
      </c>
    </row>
    <row r="964" spans="1:10" x14ac:dyDescent="0.2">
      <c r="A964" s="1" t="s">
        <v>25</v>
      </c>
      <c r="B964" s="2" t="s">
        <v>398</v>
      </c>
      <c r="D964" s="5" t="s">
        <v>669</v>
      </c>
      <c r="E964" s="3">
        <v>142822</v>
      </c>
      <c r="F964" s="3" t="s">
        <v>465</v>
      </c>
      <c r="G964" s="57" t="s">
        <v>465</v>
      </c>
    </row>
    <row r="965" spans="1:10" x14ac:dyDescent="0.2">
      <c r="A965" s="1" t="s">
        <v>25</v>
      </c>
      <c r="B965" s="2" t="s">
        <v>398</v>
      </c>
      <c r="D965" s="5" t="s">
        <v>464</v>
      </c>
      <c r="E965" s="3">
        <v>102500</v>
      </c>
      <c r="F965" s="3" t="s">
        <v>465</v>
      </c>
      <c r="G965" s="57" t="s">
        <v>465</v>
      </c>
      <c r="J965" s="5" t="s">
        <v>1241</v>
      </c>
    </row>
    <row r="966" spans="1:10" x14ac:dyDescent="0.2">
      <c r="A966" s="1" t="s">
        <v>25</v>
      </c>
      <c r="B966" s="2" t="s">
        <v>398</v>
      </c>
      <c r="D966" s="5" t="s">
        <v>464</v>
      </c>
      <c r="E966" s="3">
        <v>102500</v>
      </c>
      <c r="F966" s="3" t="s">
        <v>465</v>
      </c>
      <c r="G966" s="57" t="s">
        <v>465</v>
      </c>
    </row>
    <row r="967" spans="1:10" x14ac:dyDescent="0.2">
      <c r="A967" s="1" t="s">
        <v>25</v>
      </c>
      <c r="B967" s="2" t="s">
        <v>398</v>
      </c>
      <c r="D967" s="5" t="s">
        <v>464</v>
      </c>
      <c r="E967" s="3">
        <v>102500</v>
      </c>
      <c r="F967" s="3" t="s">
        <v>465</v>
      </c>
      <c r="G967" s="57" t="s">
        <v>465</v>
      </c>
    </row>
    <row r="968" spans="1:10" x14ac:dyDescent="0.2">
      <c r="A968" s="1" t="s">
        <v>25</v>
      </c>
      <c r="B968" s="2" t="s">
        <v>398</v>
      </c>
      <c r="D968" s="5" t="s">
        <v>464</v>
      </c>
      <c r="E968" s="3">
        <v>102500</v>
      </c>
      <c r="F968" s="3" t="s">
        <v>465</v>
      </c>
      <c r="G968" s="57" t="s">
        <v>465</v>
      </c>
    </row>
    <row r="969" spans="1:10" x14ac:dyDescent="0.2">
      <c r="A969" s="1" t="s">
        <v>25</v>
      </c>
      <c r="B969" s="2" t="s">
        <v>398</v>
      </c>
      <c r="D969" s="5" t="s">
        <v>464</v>
      </c>
      <c r="E969" s="3">
        <v>102500</v>
      </c>
      <c r="F969" s="3" t="s">
        <v>465</v>
      </c>
      <c r="G969" s="57" t="s">
        <v>465</v>
      </c>
    </row>
    <row r="970" spans="1:10" x14ac:dyDescent="0.2">
      <c r="A970" s="1" t="s">
        <v>25</v>
      </c>
      <c r="B970" s="2" t="s">
        <v>398</v>
      </c>
      <c r="D970" s="5" t="s">
        <v>464</v>
      </c>
      <c r="E970" s="3">
        <v>102500</v>
      </c>
      <c r="F970" s="3" t="s">
        <v>465</v>
      </c>
      <c r="G970" s="57" t="s">
        <v>465</v>
      </c>
    </row>
    <row r="971" spans="1:10" x14ac:dyDescent="0.2">
      <c r="A971" s="1" t="s">
        <v>25</v>
      </c>
      <c r="B971" s="2" t="s">
        <v>398</v>
      </c>
      <c r="D971" s="5" t="s">
        <v>464</v>
      </c>
      <c r="E971" s="3">
        <v>112500</v>
      </c>
      <c r="F971" s="3" t="s">
        <v>465</v>
      </c>
      <c r="G971" s="57" t="s">
        <v>465</v>
      </c>
    </row>
    <row r="972" spans="1:10" x14ac:dyDescent="0.2">
      <c r="A972" s="1" t="s">
        <v>25</v>
      </c>
      <c r="B972" s="2" t="s">
        <v>398</v>
      </c>
      <c r="D972" s="5" t="s">
        <v>464</v>
      </c>
      <c r="E972" s="3">
        <v>147500</v>
      </c>
      <c r="F972" s="3" t="s">
        <v>465</v>
      </c>
      <c r="G972" s="57" t="s">
        <v>465</v>
      </c>
      <c r="J972" s="5" t="s">
        <v>1241</v>
      </c>
    </row>
    <row r="973" spans="1:10" x14ac:dyDescent="0.2">
      <c r="A973" s="1" t="s">
        <v>25</v>
      </c>
      <c r="B973" s="2" t="s">
        <v>398</v>
      </c>
      <c r="D973" s="5" t="s">
        <v>464</v>
      </c>
      <c r="E973" s="3">
        <v>167500</v>
      </c>
      <c r="F973" s="3" t="s">
        <v>465</v>
      </c>
      <c r="G973" s="57" t="s">
        <v>465</v>
      </c>
      <c r="J973" s="5" t="s">
        <v>1241</v>
      </c>
    </row>
    <row r="974" spans="1:10" x14ac:dyDescent="0.2">
      <c r="A974" s="1" t="s">
        <v>25</v>
      </c>
      <c r="B974" s="2" t="s">
        <v>398</v>
      </c>
      <c r="D974" s="5" t="s">
        <v>464</v>
      </c>
      <c r="E974" s="3">
        <v>207500</v>
      </c>
      <c r="F974" s="3" t="s">
        <v>465</v>
      </c>
      <c r="G974" s="57" t="s">
        <v>465</v>
      </c>
      <c r="J974" s="5" t="s">
        <v>1241</v>
      </c>
    </row>
    <row r="975" spans="1:10" x14ac:dyDescent="0.2">
      <c r="A975" s="1" t="s">
        <v>6</v>
      </c>
      <c r="B975" s="2" t="s">
        <v>399</v>
      </c>
      <c r="D975" s="5" t="s">
        <v>970</v>
      </c>
      <c r="E975" s="3">
        <v>108000</v>
      </c>
      <c r="F975" s="3" t="s">
        <v>465</v>
      </c>
      <c r="G975" s="57" t="s">
        <v>465</v>
      </c>
    </row>
    <row r="976" spans="1:10" x14ac:dyDescent="0.2">
      <c r="A976" s="1" t="s">
        <v>4</v>
      </c>
      <c r="B976" s="12" t="s">
        <v>400</v>
      </c>
      <c r="D976" s="5" t="s">
        <v>464</v>
      </c>
      <c r="E976" s="3">
        <v>112500</v>
      </c>
      <c r="F976" s="3" t="s">
        <v>465</v>
      </c>
      <c r="G976" s="57" t="s">
        <v>465</v>
      </c>
      <c r="J976" s="5" t="s">
        <v>1555</v>
      </c>
    </row>
    <row r="977" spans="1:12" x14ac:dyDescent="0.2">
      <c r="A977" s="1" t="s">
        <v>44</v>
      </c>
      <c r="B977" s="2" t="s">
        <v>2429</v>
      </c>
      <c r="D977" s="5" t="s">
        <v>464</v>
      </c>
      <c r="E977" s="3">
        <v>102500</v>
      </c>
      <c r="F977" s="3" t="s">
        <v>465</v>
      </c>
      <c r="G977" s="57" t="s">
        <v>465</v>
      </c>
    </row>
    <row r="978" spans="1:12" ht="25.5" x14ac:dyDescent="0.2">
      <c r="A978" s="1" t="s">
        <v>28</v>
      </c>
      <c r="B978" s="2" t="s">
        <v>403</v>
      </c>
      <c r="D978" s="5" t="s">
        <v>2423</v>
      </c>
      <c r="E978" s="3">
        <v>202839</v>
      </c>
      <c r="F978" s="3" t="s">
        <v>465</v>
      </c>
      <c r="G978" s="57" t="s">
        <v>465</v>
      </c>
      <c r="J978" s="5" t="s">
        <v>2424</v>
      </c>
    </row>
    <row r="979" spans="1:12" x14ac:dyDescent="0.2">
      <c r="A979" s="1" t="s">
        <v>28</v>
      </c>
      <c r="B979" s="2" t="s">
        <v>403</v>
      </c>
      <c r="D979" s="5" t="s">
        <v>464</v>
      </c>
      <c r="E979" s="3">
        <v>107500</v>
      </c>
      <c r="F979" s="3" t="s">
        <v>465</v>
      </c>
      <c r="G979" s="57" t="s">
        <v>465</v>
      </c>
      <c r="J979" s="1"/>
    </row>
    <row r="980" spans="1:12" x14ac:dyDescent="0.2">
      <c r="A980" s="1" t="s">
        <v>28</v>
      </c>
      <c r="B980" s="2" t="s">
        <v>403</v>
      </c>
      <c r="D980" s="5" t="s">
        <v>464</v>
      </c>
      <c r="E980" s="3">
        <v>112500</v>
      </c>
      <c r="F980" s="3" t="s">
        <v>465</v>
      </c>
      <c r="G980" s="57" t="s">
        <v>465</v>
      </c>
      <c r="J980" s="1"/>
    </row>
    <row r="981" spans="1:12" x14ac:dyDescent="0.2">
      <c r="A981" s="1" t="s">
        <v>28</v>
      </c>
      <c r="B981" s="2" t="s">
        <v>403</v>
      </c>
      <c r="D981" s="5" t="s">
        <v>464</v>
      </c>
      <c r="E981" s="3">
        <v>137500</v>
      </c>
      <c r="F981" s="3" t="s">
        <v>465</v>
      </c>
      <c r="G981" s="57" t="s">
        <v>465</v>
      </c>
      <c r="J981" s="1"/>
    </row>
    <row r="982" spans="1:12" x14ac:dyDescent="0.2">
      <c r="A982" s="1" t="s">
        <v>39</v>
      </c>
      <c r="B982" s="2" t="s">
        <v>404</v>
      </c>
      <c r="D982" s="5" t="s">
        <v>464</v>
      </c>
      <c r="E982" s="3">
        <v>102500</v>
      </c>
      <c r="F982" s="3" t="s">
        <v>465</v>
      </c>
      <c r="G982" s="57" t="s">
        <v>465</v>
      </c>
    </row>
    <row r="983" spans="1:12" x14ac:dyDescent="0.2">
      <c r="A983" s="1" t="s">
        <v>39</v>
      </c>
      <c r="B983" s="2" t="s">
        <v>404</v>
      </c>
      <c r="D983" s="5" t="s">
        <v>464</v>
      </c>
      <c r="E983" s="3">
        <v>117500</v>
      </c>
      <c r="F983" s="3" t="s">
        <v>465</v>
      </c>
      <c r="G983" s="57" t="s">
        <v>465</v>
      </c>
    </row>
    <row r="984" spans="1:12" x14ac:dyDescent="0.2">
      <c r="A984" s="1" t="s">
        <v>39</v>
      </c>
      <c r="B984" s="2" t="s">
        <v>404</v>
      </c>
      <c r="D984" s="5" t="s">
        <v>464</v>
      </c>
      <c r="E984" s="3">
        <v>127500</v>
      </c>
      <c r="F984" s="3" t="s">
        <v>465</v>
      </c>
      <c r="G984" s="57" t="s">
        <v>465</v>
      </c>
    </row>
    <row r="985" spans="1:12" x14ac:dyDescent="0.2">
      <c r="A985" s="1" t="s">
        <v>39</v>
      </c>
      <c r="B985" s="2" t="s">
        <v>404</v>
      </c>
      <c r="D985" s="5" t="s">
        <v>464</v>
      </c>
      <c r="E985" s="3">
        <v>127500</v>
      </c>
      <c r="F985" s="3" t="s">
        <v>465</v>
      </c>
      <c r="G985" s="57" t="s">
        <v>465</v>
      </c>
    </row>
    <row r="986" spans="1:12" s="13" customFormat="1" x14ac:dyDescent="0.2">
      <c r="A986" s="1" t="s">
        <v>39</v>
      </c>
      <c r="B986" s="2" t="s">
        <v>404</v>
      </c>
      <c r="C986" s="5"/>
      <c r="D986" s="5" t="s">
        <v>464</v>
      </c>
      <c r="E986" s="3">
        <v>152500</v>
      </c>
      <c r="F986" s="3" t="s">
        <v>465</v>
      </c>
      <c r="G986" s="57" t="s">
        <v>465</v>
      </c>
      <c r="H986" s="19"/>
      <c r="I986" s="19"/>
      <c r="J986" s="5"/>
      <c r="K986" s="1"/>
      <c r="L986" s="1"/>
    </row>
    <row r="987" spans="1:12" s="13" customFormat="1" x14ac:dyDescent="0.2">
      <c r="A987" s="1" t="s">
        <v>25</v>
      </c>
      <c r="B987" s="2" t="s">
        <v>405</v>
      </c>
      <c r="C987" s="5"/>
      <c r="D987" s="5" t="s">
        <v>464</v>
      </c>
      <c r="E987" s="3">
        <v>107500</v>
      </c>
      <c r="F987" s="3" t="s">
        <v>465</v>
      </c>
      <c r="G987" s="57" t="s">
        <v>465</v>
      </c>
      <c r="H987" s="19"/>
      <c r="I987" s="19"/>
      <c r="J987" s="5"/>
      <c r="K987" s="1"/>
      <c r="L987" s="1"/>
    </row>
    <row r="988" spans="1:12" s="13" customFormat="1" x14ac:dyDescent="0.2">
      <c r="A988" s="1" t="s">
        <v>25</v>
      </c>
      <c r="B988" s="2" t="s">
        <v>405</v>
      </c>
      <c r="C988" s="5"/>
      <c r="D988" s="5" t="s">
        <v>464</v>
      </c>
      <c r="E988" s="3">
        <v>107500</v>
      </c>
      <c r="F988" s="3" t="s">
        <v>465</v>
      </c>
      <c r="G988" s="57" t="s">
        <v>465</v>
      </c>
      <c r="H988" s="19"/>
      <c r="I988" s="19"/>
      <c r="J988" s="5"/>
      <c r="K988" s="1"/>
      <c r="L988" s="1"/>
    </row>
    <row r="989" spans="1:12" x14ac:dyDescent="0.2">
      <c r="A989" s="1" t="s">
        <v>25</v>
      </c>
      <c r="B989" s="2" t="s">
        <v>405</v>
      </c>
      <c r="D989" s="5" t="s">
        <v>464</v>
      </c>
      <c r="E989" s="3">
        <v>117500</v>
      </c>
      <c r="F989" s="3" t="s">
        <v>465</v>
      </c>
      <c r="G989" s="57" t="s">
        <v>465</v>
      </c>
    </row>
    <row r="990" spans="1:12" x14ac:dyDescent="0.2">
      <c r="A990" s="1" t="s">
        <v>25</v>
      </c>
      <c r="B990" s="2" t="s">
        <v>405</v>
      </c>
      <c r="D990" s="5" t="s">
        <v>464</v>
      </c>
      <c r="E990" s="3">
        <v>122500</v>
      </c>
      <c r="F990" s="3" t="s">
        <v>465</v>
      </c>
      <c r="G990" s="57" t="s">
        <v>465</v>
      </c>
    </row>
    <row r="991" spans="1:12" x14ac:dyDescent="0.2">
      <c r="A991" s="1" t="s">
        <v>25</v>
      </c>
      <c r="B991" s="2" t="s">
        <v>405</v>
      </c>
      <c r="D991" s="5" t="s">
        <v>464</v>
      </c>
      <c r="E991" s="3">
        <v>137500</v>
      </c>
      <c r="F991" s="3" t="s">
        <v>465</v>
      </c>
      <c r="G991" s="57" t="s">
        <v>465</v>
      </c>
    </row>
    <row r="992" spans="1:12" x14ac:dyDescent="0.2">
      <c r="A992" s="1" t="s">
        <v>25</v>
      </c>
      <c r="B992" s="2" t="s">
        <v>405</v>
      </c>
      <c r="D992" s="5" t="s">
        <v>464</v>
      </c>
      <c r="E992" s="3">
        <v>142500</v>
      </c>
      <c r="F992" s="3" t="s">
        <v>465</v>
      </c>
      <c r="G992" s="57" t="s">
        <v>465</v>
      </c>
    </row>
    <row r="993" spans="1:12" x14ac:dyDescent="0.2">
      <c r="A993" s="1" t="s">
        <v>25</v>
      </c>
      <c r="B993" s="2" t="s">
        <v>405</v>
      </c>
      <c r="D993" s="5" t="s">
        <v>464</v>
      </c>
      <c r="E993" s="3">
        <v>152500</v>
      </c>
      <c r="F993" s="3" t="s">
        <v>465</v>
      </c>
      <c r="G993" s="57" t="s">
        <v>465</v>
      </c>
    </row>
    <row r="994" spans="1:12" x14ac:dyDescent="0.2">
      <c r="A994" s="1" t="s">
        <v>25</v>
      </c>
      <c r="B994" s="2" t="s">
        <v>405</v>
      </c>
      <c r="D994" s="5" t="s">
        <v>464</v>
      </c>
      <c r="E994" s="3">
        <v>217500</v>
      </c>
      <c r="F994" s="3" t="s">
        <v>465</v>
      </c>
      <c r="G994" s="57" t="s">
        <v>465</v>
      </c>
    </row>
    <row r="995" spans="1:12" s="13" customFormat="1" ht="25.5" x14ac:dyDescent="0.2">
      <c r="A995" s="1" t="s">
        <v>25</v>
      </c>
      <c r="B995" s="2" t="s">
        <v>406</v>
      </c>
      <c r="C995" s="5"/>
      <c r="D995" s="5" t="s">
        <v>2401</v>
      </c>
      <c r="E995" s="9">
        <v>126847</v>
      </c>
      <c r="F995" s="3" t="s">
        <v>465</v>
      </c>
      <c r="G995" s="57" t="s">
        <v>465</v>
      </c>
      <c r="H995" s="19"/>
      <c r="I995" s="19"/>
      <c r="J995" s="5"/>
      <c r="K995" s="1"/>
      <c r="L995" s="1"/>
    </row>
    <row r="996" spans="1:12" s="13" customFormat="1" x14ac:dyDescent="0.2">
      <c r="A996" s="1" t="s">
        <v>25</v>
      </c>
      <c r="B996" s="2" t="s">
        <v>406</v>
      </c>
      <c r="C996" s="5"/>
      <c r="D996" s="5" t="s">
        <v>464</v>
      </c>
      <c r="E996" s="3">
        <v>102500</v>
      </c>
      <c r="F996" s="3" t="s">
        <v>465</v>
      </c>
      <c r="G996" s="57" t="s">
        <v>465</v>
      </c>
      <c r="H996" s="4"/>
      <c r="I996" s="4"/>
      <c r="J996" s="1"/>
      <c r="K996" s="1"/>
      <c r="L996" s="1"/>
    </row>
    <row r="997" spans="1:12" x14ac:dyDescent="0.2">
      <c r="A997" s="1" t="s">
        <v>25</v>
      </c>
      <c r="B997" s="2" t="s">
        <v>406</v>
      </c>
      <c r="D997" s="5" t="s">
        <v>464</v>
      </c>
      <c r="E997" s="3">
        <v>107500</v>
      </c>
      <c r="F997" s="3" t="s">
        <v>465</v>
      </c>
      <c r="G997" s="57" t="s">
        <v>465</v>
      </c>
      <c r="H997" s="4"/>
      <c r="I997" s="4"/>
      <c r="J997" s="1"/>
    </row>
    <row r="998" spans="1:12" s="13" customFormat="1" x14ac:dyDescent="0.2">
      <c r="A998" s="1" t="s">
        <v>25</v>
      </c>
      <c r="B998" s="2" t="s">
        <v>406</v>
      </c>
      <c r="C998" s="5"/>
      <c r="D998" s="5" t="s">
        <v>464</v>
      </c>
      <c r="E998" s="3">
        <v>107500</v>
      </c>
      <c r="F998" s="3" t="s">
        <v>465</v>
      </c>
      <c r="G998" s="57" t="s">
        <v>465</v>
      </c>
      <c r="H998" s="4"/>
      <c r="I998" s="4"/>
      <c r="J998" s="1"/>
      <c r="K998" s="1"/>
      <c r="L998" s="1"/>
    </row>
    <row r="999" spans="1:12" x14ac:dyDescent="0.2">
      <c r="A999" s="1" t="s">
        <v>25</v>
      </c>
      <c r="B999" s="2" t="s">
        <v>406</v>
      </c>
      <c r="D999" s="5" t="s">
        <v>464</v>
      </c>
      <c r="E999" s="3">
        <v>107500</v>
      </c>
      <c r="F999" s="3" t="s">
        <v>465</v>
      </c>
      <c r="G999" s="57" t="s">
        <v>465</v>
      </c>
      <c r="H999" s="4"/>
      <c r="I999" s="4"/>
      <c r="J999" s="1"/>
    </row>
    <row r="1000" spans="1:12" x14ac:dyDescent="0.2">
      <c r="A1000" s="1" t="s">
        <v>25</v>
      </c>
      <c r="B1000" s="2" t="s">
        <v>406</v>
      </c>
      <c r="D1000" s="5" t="s">
        <v>464</v>
      </c>
      <c r="E1000" s="3">
        <v>107500</v>
      </c>
      <c r="F1000" s="3" t="s">
        <v>465</v>
      </c>
      <c r="G1000" s="57" t="s">
        <v>465</v>
      </c>
      <c r="H1000" s="4"/>
      <c r="I1000" s="4"/>
      <c r="J1000" s="1"/>
    </row>
    <row r="1001" spans="1:12" x14ac:dyDescent="0.2">
      <c r="A1001" s="1" t="s">
        <v>25</v>
      </c>
      <c r="B1001" s="2" t="s">
        <v>406</v>
      </c>
      <c r="D1001" s="5" t="s">
        <v>464</v>
      </c>
      <c r="E1001" s="3">
        <v>112500</v>
      </c>
      <c r="F1001" s="3" t="s">
        <v>465</v>
      </c>
      <c r="G1001" s="57" t="s">
        <v>465</v>
      </c>
      <c r="H1001" s="4"/>
      <c r="I1001" s="4"/>
      <c r="J1001" s="1"/>
    </row>
    <row r="1002" spans="1:12" x14ac:dyDescent="0.2">
      <c r="A1002" s="1" t="s">
        <v>25</v>
      </c>
      <c r="B1002" s="2" t="s">
        <v>406</v>
      </c>
      <c r="D1002" s="5" t="s">
        <v>464</v>
      </c>
      <c r="E1002" s="3">
        <v>112500</v>
      </c>
      <c r="F1002" s="3" t="s">
        <v>465</v>
      </c>
      <c r="G1002" s="57" t="s">
        <v>465</v>
      </c>
      <c r="H1002" s="4"/>
      <c r="I1002" s="4"/>
      <c r="J1002" s="1"/>
    </row>
    <row r="1003" spans="1:12" x14ac:dyDescent="0.2">
      <c r="A1003" s="1" t="s">
        <v>25</v>
      </c>
      <c r="B1003" s="2" t="s">
        <v>406</v>
      </c>
      <c r="D1003" s="5" t="s">
        <v>464</v>
      </c>
      <c r="E1003" s="3">
        <v>112500</v>
      </c>
      <c r="F1003" s="3" t="s">
        <v>465</v>
      </c>
      <c r="G1003" s="57" t="s">
        <v>465</v>
      </c>
      <c r="H1003" s="4"/>
      <c r="I1003" s="4"/>
      <c r="J1003" s="1"/>
    </row>
    <row r="1004" spans="1:12" s="13" customFormat="1" x14ac:dyDescent="0.2">
      <c r="A1004" s="1" t="s">
        <v>25</v>
      </c>
      <c r="B1004" s="2" t="s">
        <v>406</v>
      </c>
      <c r="C1004" s="5"/>
      <c r="D1004" s="5" t="s">
        <v>464</v>
      </c>
      <c r="E1004" s="3">
        <v>122500</v>
      </c>
      <c r="F1004" s="3" t="s">
        <v>465</v>
      </c>
      <c r="G1004" s="57" t="s">
        <v>465</v>
      </c>
      <c r="H1004" s="19"/>
      <c r="I1004" s="19"/>
      <c r="J1004" s="1"/>
      <c r="K1004" s="1"/>
      <c r="L1004" s="1"/>
    </row>
    <row r="1005" spans="1:12" s="13" customFormat="1" x14ac:dyDescent="0.2">
      <c r="A1005" s="1" t="s">
        <v>25</v>
      </c>
      <c r="B1005" s="2" t="s">
        <v>406</v>
      </c>
      <c r="C1005" s="5"/>
      <c r="D1005" s="5" t="s">
        <v>464</v>
      </c>
      <c r="E1005" s="3">
        <v>127500</v>
      </c>
      <c r="F1005" s="3" t="s">
        <v>465</v>
      </c>
      <c r="G1005" s="57" t="s">
        <v>465</v>
      </c>
      <c r="H1005" s="19"/>
      <c r="I1005" s="19"/>
      <c r="J1005" s="1"/>
      <c r="K1005" s="1"/>
      <c r="L1005" s="1"/>
    </row>
    <row r="1006" spans="1:12" s="13" customFormat="1" x14ac:dyDescent="0.2">
      <c r="A1006" s="1" t="s">
        <v>25</v>
      </c>
      <c r="B1006" s="2" t="s">
        <v>406</v>
      </c>
      <c r="C1006" s="5"/>
      <c r="D1006" s="5" t="s">
        <v>464</v>
      </c>
      <c r="E1006" s="3">
        <v>127500</v>
      </c>
      <c r="F1006" s="3" t="s">
        <v>465</v>
      </c>
      <c r="G1006" s="57" t="s">
        <v>465</v>
      </c>
      <c r="H1006" s="19"/>
      <c r="I1006" s="19"/>
      <c r="J1006" s="1"/>
      <c r="K1006" s="1"/>
      <c r="L1006" s="1"/>
    </row>
    <row r="1007" spans="1:12" s="13" customFormat="1" x14ac:dyDescent="0.2">
      <c r="A1007" s="1" t="s">
        <v>25</v>
      </c>
      <c r="B1007" s="2" t="s">
        <v>406</v>
      </c>
      <c r="C1007" s="5"/>
      <c r="D1007" s="5" t="s">
        <v>464</v>
      </c>
      <c r="E1007" s="3">
        <v>132500</v>
      </c>
      <c r="F1007" s="3" t="s">
        <v>465</v>
      </c>
      <c r="G1007" s="57" t="s">
        <v>465</v>
      </c>
      <c r="H1007" s="19"/>
      <c r="I1007" s="19"/>
      <c r="J1007" s="1"/>
      <c r="K1007" s="1"/>
      <c r="L1007" s="1"/>
    </row>
    <row r="1008" spans="1:12" x14ac:dyDescent="0.2">
      <c r="A1008" s="1" t="s">
        <v>25</v>
      </c>
      <c r="B1008" s="2" t="s">
        <v>406</v>
      </c>
      <c r="D1008" s="5" t="s">
        <v>464</v>
      </c>
      <c r="E1008" s="3">
        <v>132500</v>
      </c>
      <c r="F1008" s="3" t="s">
        <v>465</v>
      </c>
      <c r="G1008" s="57" t="s">
        <v>465</v>
      </c>
      <c r="J1008" s="1"/>
    </row>
    <row r="1009" spans="1:10" x14ac:dyDescent="0.2">
      <c r="A1009" s="1" t="s">
        <v>25</v>
      </c>
      <c r="B1009" s="2" t="s">
        <v>406</v>
      </c>
      <c r="D1009" s="5" t="s">
        <v>464</v>
      </c>
      <c r="E1009" s="3">
        <v>137500</v>
      </c>
      <c r="F1009" s="3" t="s">
        <v>465</v>
      </c>
      <c r="G1009" s="57" t="s">
        <v>465</v>
      </c>
      <c r="J1009" s="1"/>
    </row>
    <row r="1010" spans="1:10" x14ac:dyDescent="0.2">
      <c r="A1010" s="1" t="s">
        <v>25</v>
      </c>
      <c r="B1010" s="2" t="s">
        <v>406</v>
      </c>
      <c r="D1010" s="5" t="s">
        <v>464</v>
      </c>
      <c r="E1010" s="3">
        <v>137500</v>
      </c>
      <c r="F1010" s="3" t="s">
        <v>465</v>
      </c>
      <c r="G1010" s="57" t="s">
        <v>465</v>
      </c>
      <c r="J1010" s="1"/>
    </row>
    <row r="1011" spans="1:10" x14ac:dyDescent="0.2">
      <c r="A1011" s="1" t="s">
        <v>25</v>
      </c>
      <c r="B1011" s="2" t="s">
        <v>406</v>
      </c>
      <c r="D1011" s="5" t="s">
        <v>464</v>
      </c>
      <c r="E1011" s="3">
        <v>142500</v>
      </c>
      <c r="F1011" s="3" t="s">
        <v>465</v>
      </c>
      <c r="G1011" s="57" t="s">
        <v>465</v>
      </c>
      <c r="J1011" s="1"/>
    </row>
    <row r="1012" spans="1:10" x14ac:dyDescent="0.2">
      <c r="A1012" s="1" t="s">
        <v>25</v>
      </c>
      <c r="B1012" s="2" t="s">
        <v>406</v>
      </c>
      <c r="D1012" s="5" t="s">
        <v>464</v>
      </c>
      <c r="E1012" s="3">
        <v>142500</v>
      </c>
      <c r="F1012" s="3" t="s">
        <v>465</v>
      </c>
      <c r="G1012" s="57" t="s">
        <v>465</v>
      </c>
      <c r="J1012" s="1"/>
    </row>
    <row r="1013" spans="1:10" x14ac:dyDescent="0.2">
      <c r="A1013" s="1" t="s">
        <v>6</v>
      </c>
      <c r="B1013" s="2" t="s">
        <v>407</v>
      </c>
      <c r="D1013" s="5" t="s">
        <v>2386</v>
      </c>
      <c r="E1013" s="3">
        <v>113000</v>
      </c>
      <c r="F1013" s="3" t="s">
        <v>465</v>
      </c>
      <c r="G1013" s="57" t="s">
        <v>465</v>
      </c>
      <c r="J1013" s="5" t="s">
        <v>4532</v>
      </c>
    </row>
    <row r="1014" spans="1:10" x14ac:dyDescent="0.2">
      <c r="A1014" s="1" t="s">
        <v>6</v>
      </c>
      <c r="B1014" s="2" t="s">
        <v>407</v>
      </c>
      <c r="D1014" s="5" t="s">
        <v>2387</v>
      </c>
      <c r="E1014" s="3">
        <v>141000</v>
      </c>
      <c r="F1014" s="3" t="s">
        <v>465</v>
      </c>
      <c r="G1014" s="57" t="s">
        <v>465</v>
      </c>
      <c r="J1014" s="5" t="s">
        <v>4533</v>
      </c>
    </row>
    <row r="1015" spans="1:10" ht="25.5" x14ac:dyDescent="0.2">
      <c r="A1015" s="1" t="s">
        <v>6</v>
      </c>
      <c r="B1015" s="2" t="s">
        <v>407</v>
      </c>
      <c r="D1015" s="5" t="s">
        <v>2388</v>
      </c>
      <c r="E1015" s="3">
        <v>144000</v>
      </c>
      <c r="F1015" s="3" t="s">
        <v>465</v>
      </c>
      <c r="G1015" s="57" t="s">
        <v>465</v>
      </c>
      <c r="J1015" s="5" t="s">
        <v>4530</v>
      </c>
    </row>
    <row r="1016" spans="1:10" ht="25.5" x14ac:dyDescent="0.2">
      <c r="A1016" s="1" t="s">
        <v>6</v>
      </c>
      <c r="B1016" s="2" t="s">
        <v>407</v>
      </c>
      <c r="D1016" s="5" t="s">
        <v>2389</v>
      </c>
      <c r="E1016" s="3">
        <v>242000</v>
      </c>
      <c r="F1016" s="3" t="s">
        <v>465</v>
      </c>
      <c r="G1016" s="57" t="s">
        <v>465</v>
      </c>
      <c r="J1016" s="5" t="s">
        <v>3759</v>
      </c>
    </row>
    <row r="1017" spans="1:10" ht="25.5" x14ac:dyDescent="0.2">
      <c r="A1017" s="1" t="s">
        <v>6</v>
      </c>
      <c r="B1017" s="2" t="s">
        <v>407</v>
      </c>
      <c r="D1017" s="5" t="s">
        <v>2390</v>
      </c>
      <c r="E1017" s="3">
        <v>202000</v>
      </c>
      <c r="F1017" s="3" t="s">
        <v>465</v>
      </c>
      <c r="G1017" s="57" t="s">
        <v>465</v>
      </c>
      <c r="J1017" s="5" t="s">
        <v>4531</v>
      </c>
    </row>
    <row r="1018" spans="1:10" ht="25.5" x14ac:dyDescent="0.2">
      <c r="A1018" s="1" t="s">
        <v>6</v>
      </c>
      <c r="B1018" s="2" t="s">
        <v>407</v>
      </c>
      <c r="D1018" s="5" t="s">
        <v>2391</v>
      </c>
      <c r="E1018" s="3">
        <v>132000</v>
      </c>
      <c r="F1018" s="3" t="s">
        <v>465</v>
      </c>
      <c r="G1018" s="57" t="s">
        <v>465</v>
      </c>
      <c r="J1018" s="5" t="s">
        <v>4389</v>
      </c>
    </row>
    <row r="1019" spans="1:10" x14ac:dyDescent="0.2">
      <c r="A1019" s="1" t="s">
        <v>6</v>
      </c>
      <c r="B1019" s="2" t="s">
        <v>407</v>
      </c>
      <c r="D1019" s="5" t="s">
        <v>464</v>
      </c>
      <c r="E1019" s="3">
        <v>102500</v>
      </c>
      <c r="F1019" s="3" t="s">
        <v>465</v>
      </c>
      <c r="G1019" s="57" t="s">
        <v>465</v>
      </c>
      <c r="J1019" s="5" t="s">
        <v>651</v>
      </c>
    </row>
    <row r="1020" spans="1:10" x14ac:dyDescent="0.2">
      <c r="A1020" s="1" t="s">
        <v>6</v>
      </c>
      <c r="B1020" s="2" t="s">
        <v>407</v>
      </c>
      <c r="D1020" s="5" t="s">
        <v>464</v>
      </c>
      <c r="E1020" s="3">
        <v>107500</v>
      </c>
      <c r="F1020" s="3" t="s">
        <v>465</v>
      </c>
      <c r="G1020" s="57" t="s">
        <v>465</v>
      </c>
      <c r="J1020" s="5" t="s">
        <v>651</v>
      </c>
    </row>
    <row r="1021" spans="1:10" x14ac:dyDescent="0.2">
      <c r="A1021" s="1" t="s">
        <v>6</v>
      </c>
      <c r="B1021" s="2" t="s">
        <v>407</v>
      </c>
      <c r="D1021" s="5" t="s">
        <v>464</v>
      </c>
      <c r="E1021" s="3">
        <v>107500</v>
      </c>
      <c r="F1021" s="3" t="s">
        <v>465</v>
      </c>
      <c r="G1021" s="57" t="s">
        <v>465</v>
      </c>
      <c r="J1021" s="5" t="s">
        <v>651</v>
      </c>
    </row>
    <row r="1022" spans="1:10" x14ac:dyDescent="0.2">
      <c r="A1022" s="1" t="s">
        <v>6</v>
      </c>
      <c r="B1022" s="2" t="s">
        <v>407</v>
      </c>
      <c r="D1022" s="5" t="s">
        <v>464</v>
      </c>
      <c r="E1022" s="3">
        <v>107500</v>
      </c>
      <c r="F1022" s="3" t="s">
        <v>465</v>
      </c>
      <c r="G1022" s="57" t="s">
        <v>465</v>
      </c>
      <c r="J1022" s="5" t="s">
        <v>651</v>
      </c>
    </row>
    <row r="1023" spans="1:10" x14ac:dyDescent="0.2">
      <c r="A1023" s="1" t="s">
        <v>6</v>
      </c>
      <c r="B1023" s="2" t="s">
        <v>407</v>
      </c>
      <c r="D1023" s="5" t="s">
        <v>464</v>
      </c>
      <c r="E1023" s="3">
        <v>107500</v>
      </c>
      <c r="F1023" s="3" t="s">
        <v>465</v>
      </c>
      <c r="G1023" s="57" t="s">
        <v>465</v>
      </c>
      <c r="J1023" s="5" t="s">
        <v>651</v>
      </c>
    </row>
    <row r="1024" spans="1:10" x14ac:dyDescent="0.2">
      <c r="A1024" s="1" t="s">
        <v>6</v>
      </c>
      <c r="B1024" s="2" t="s">
        <v>407</v>
      </c>
      <c r="D1024" s="5" t="s">
        <v>464</v>
      </c>
      <c r="E1024" s="3">
        <v>112500</v>
      </c>
      <c r="F1024" s="3" t="s">
        <v>465</v>
      </c>
      <c r="G1024" s="57" t="s">
        <v>465</v>
      </c>
      <c r="J1024" s="5" t="s">
        <v>651</v>
      </c>
    </row>
    <row r="1025" spans="1:12" x14ac:dyDescent="0.2">
      <c r="A1025" s="1" t="s">
        <v>6</v>
      </c>
      <c r="B1025" s="2" t="s">
        <v>407</v>
      </c>
      <c r="D1025" s="5" t="s">
        <v>464</v>
      </c>
      <c r="E1025" s="3">
        <v>112500</v>
      </c>
      <c r="F1025" s="3" t="s">
        <v>465</v>
      </c>
      <c r="G1025" s="57" t="s">
        <v>465</v>
      </c>
      <c r="J1025" s="5" t="s">
        <v>651</v>
      </c>
    </row>
    <row r="1026" spans="1:12" x14ac:dyDescent="0.2">
      <c r="A1026" s="1" t="s">
        <v>6</v>
      </c>
      <c r="B1026" s="2" t="s">
        <v>407</v>
      </c>
      <c r="D1026" s="5" t="s">
        <v>464</v>
      </c>
      <c r="E1026" s="3">
        <v>117500</v>
      </c>
      <c r="F1026" s="3" t="s">
        <v>465</v>
      </c>
      <c r="G1026" s="57" t="s">
        <v>465</v>
      </c>
      <c r="J1026" s="5" t="s">
        <v>651</v>
      </c>
    </row>
    <row r="1027" spans="1:12" x14ac:dyDescent="0.2">
      <c r="A1027" s="1" t="s">
        <v>6</v>
      </c>
      <c r="B1027" s="2" t="s">
        <v>407</v>
      </c>
      <c r="D1027" s="5" t="s">
        <v>464</v>
      </c>
      <c r="E1027" s="3">
        <v>132500</v>
      </c>
      <c r="F1027" s="3" t="s">
        <v>465</v>
      </c>
      <c r="G1027" s="57" t="s">
        <v>465</v>
      </c>
      <c r="J1027" s="5" t="s">
        <v>651</v>
      </c>
    </row>
    <row r="1028" spans="1:12" x14ac:dyDescent="0.2">
      <c r="A1028" s="1" t="s">
        <v>6</v>
      </c>
      <c r="B1028" s="2" t="s">
        <v>407</v>
      </c>
      <c r="D1028" s="5" t="s">
        <v>464</v>
      </c>
      <c r="E1028" s="3">
        <v>137500</v>
      </c>
      <c r="F1028" s="3" t="s">
        <v>465</v>
      </c>
      <c r="G1028" s="57" t="s">
        <v>465</v>
      </c>
      <c r="J1028" s="5" t="s">
        <v>651</v>
      </c>
    </row>
    <row r="1029" spans="1:12" x14ac:dyDescent="0.2">
      <c r="A1029" s="1" t="s">
        <v>6</v>
      </c>
      <c r="B1029" s="2" t="s">
        <v>407</v>
      </c>
      <c r="D1029" s="5" t="s">
        <v>464</v>
      </c>
      <c r="E1029" s="3">
        <v>137500</v>
      </c>
      <c r="F1029" s="3" t="s">
        <v>465</v>
      </c>
      <c r="G1029" s="57" t="s">
        <v>465</v>
      </c>
      <c r="J1029" s="5" t="s">
        <v>651</v>
      </c>
    </row>
    <row r="1030" spans="1:12" x14ac:dyDescent="0.2">
      <c r="A1030" s="1" t="s">
        <v>6</v>
      </c>
      <c r="B1030" s="2" t="s">
        <v>407</v>
      </c>
      <c r="D1030" s="5" t="s">
        <v>464</v>
      </c>
      <c r="E1030" s="3">
        <v>147500</v>
      </c>
      <c r="F1030" s="3" t="s">
        <v>465</v>
      </c>
      <c r="G1030" s="57" t="s">
        <v>465</v>
      </c>
      <c r="J1030" s="5" t="s">
        <v>651</v>
      </c>
    </row>
    <row r="1031" spans="1:12" x14ac:dyDescent="0.2">
      <c r="A1031" s="1" t="s">
        <v>6</v>
      </c>
      <c r="B1031" s="2" t="s">
        <v>407</v>
      </c>
      <c r="D1031" s="5" t="s">
        <v>464</v>
      </c>
      <c r="E1031" s="3">
        <v>152500</v>
      </c>
      <c r="F1031" s="3" t="s">
        <v>465</v>
      </c>
      <c r="G1031" s="57" t="s">
        <v>465</v>
      </c>
      <c r="J1031" s="5" t="s">
        <v>651</v>
      </c>
    </row>
    <row r="1032" spans="1:12" x14ac:dyDescent="0.2">
      <c r="A1032" s="1" t="s">
        <v>6</v>
      </c>
      <c r="B1032" s="2" t="s">
        <v>407</v>
      </c>
      <c r="D1032" s="5" t="s">
        <v>464</v>
      </c>
      <c r="E1032" s="3">
        <v>222500</v>
      </c>
      <c r="F1032" s="3" t="s">
        <v>465</v>
      </c>
      <c r="G1032" s="57" t="s">
        <v>465</v>
      </c>
      <c r="J1032" s="5" t="s">
        <v>651</v>
      </c>
    </row>
    <row r="1033" spans="1:12" x14ac:dyDescent="0.2">
      <c r="A1033" s="1" t="s">
        <v>6</v>
      </c>
      <c r="B1033" s="2" t="s">
        <v>407</v>
      </c>
      <c r="D1033" s="5" t="s">
        <v>464</v>
      </c>
      <c r="E1033" s="3">
        <v>112500</v>
      </c>
      <c r="F1033" s="3" t="s">
        <v>465</v>
      </c>
      <c r="G1033" s="57" t="s">
        <v>465</v>
      </c>
      <c r="J1033" s="5" t="s">
        <v>652</v>
      </c>
    </row>
    <row r="1034" spans="1:12" x14ac:dyDescent="0.2">
      <c r="A1034" s="1" t="s">
        <v>6</v>
      </c>
      <c r="B1034" s="2" t="s">
        <v>407</v>
      </c>
      <c r="D1034" s="5" t="s">
        <v>464</v>
      </c>
      <c r="E1034" s="3">
        <v>152500</v>
      </c>
      <c r="F1034" s="3" t="s">
        <v>465</v>
      </c>
      <c r="G1034" s="57" t="s">
        <v>465</v>
      </c>
      <c r="J1034" s="5" t="s">
        <v>652</v>
      </c>
    </row>
    <row r="1035" spans="1:12" x14ac:dyDescent="0.2">
      <c r="A1035" s="1" t="s">
        <v>6</v>
      </c>
      <c r="B1035" s="2" t="s">
        <v>407</v>
      </c>
      <c r="D1035" s="5" t="s">
        <v>464</v>
      </c>
      <c r="E1035" s="3">
        <v>152500</v>
      </c>
      <c r="F1035" s="3" t="s">
        <v>465</v>
      </c>
      <c r="G1035" s="57" t="s">
        <v>465</v>
      </c>
      <c r="J1035" s="5" t="s">
        <v>652</v>
      </c>
    </row>
    <row r="1036" spans="1:12" x14ac:dyDescent="0.2">
      <c r="A1036" s="1" t="s">
        <v>6</v>
      </c>
      <c r="B1036" s="2" t="s">
        <v>407</v>
      </c>
      <c r="D1036" s="5" t="s">
        <v>464</v>
      </c>
      <c r="E1036" s="3">
        <v>182500</v>
      </c>
      <c r="F1036" s="3" t="s">
        <v>465</v>
      </c>
      <c r="G1036" s="57" t="s">
        <v>465</v>
      </c>
      <c r="J1036" s="5" t="s">
        <v>652</v>
      </c>
    </row>
    <row r="1037" spans="1:12" ht="25.5" x14ac:dyDescent="0.2">
      <c r="A1037" s="1" t="s">
        <v>39</v>
      </c>
      <c r="B1037" s="2" t="s">
        <v>409</v>
      </c>
      <c r="D1037" s="5" t="s">
        <v>2385</v>
      </c>
      <c r="E1037" s="3">
        <v>148797</v>
      </c>
      <c r="F1037" s="3" t="s">
        <v>465</v>
      </c>
      <c r="G1037" s="57" t="s">
        <v>465</v>
      </c>
      <c r="J1037" s="11"/>
    </row>
    <row r="1038" spans="1:12" x14ac:dyDescent="0.2">
      <c r="A1038" s="1" t="s">
        <v>39</v>
      </c>
      <c r="B1038" s="2" t="s">
        <v>409</v>
      </c>
      <c r="D1038" s="5" t="s">
        <v>587</v>
      </c>
      <c r="E1038" s="3">
        <v>102500</v>
      </c>
      <c r="F1038" s="3" t="s">
        <v>465</v>
      </c>
      <c r="G1038" s="57" t="s">
        <v>465</v>
      </c>
    </row>
    <row r="1039" spans="1:12" s="13" customFormat="1" x14ac:dyDescent="0.2">
      <c r="A1039" s="1" t="s">
        <v>20</v>
      </c>
      <c r="B1039" s="2" t="s">
        <v>410</v>
      </c>
      <c r="C1039" s="5"/>
      <c r="D1039" s="5" t="s">
        <v>470</v>
      </c>
      <c r="E1039" s="3">
        <v>110689</v>
      </c>
      <c r="F1039" s="3" t="s">
        <v>465</v>
      </c>
      <c r="G1039" s="57" t="s">
        <v>465</v>
      </c>
      <c r="H1039" s="19"/>
      <c r="I1039" s="19"/>
      <c r="J1039" s="5" t="s">
        <v>4538</v>
      </c>
      <c r="K1039" s="1"/>
      <c r="L1039" s="1"/>
    </row>
    <row r="1040" spans="1:12" s="13" customFormat="1" x14ac:dyDescent="0.2">
      <c r="A1040" s="1" t="s">
        <v>20</v>
      </c>
      <c r="B1040" s="2" t="s">
        <v>410</v>
      </c>
      <c r="C1040" s="5"/>
      <c r="D1040" s="5" t="s">
        <v>1762</v>
      </c>
      <c r="E1040" s="3">
        <v>259378</v>
      </c>
      <c r="F1040" s="3" t="s">
        <v>465</v>
      </c>
      <c r="G1040" s="57" t="s">
        <v>465</v>
      </c>
      <c r="H1040" s="19"/>
      <c r="I1040" s="19"/>
      <c r="J1040" s="5" t="s">
        <v>4539</v>
      </c>
      <c r="K1040" s="1"/>
      <c r="L1040" s="1"/>
    </row>
    <row r="1041" spans="1:12" s="13" customFormat="1" ht="25.5" x14ac:dyDescent="0.2">
      <c r="A1041" s="1" t="s">
        <v>20</v>
      </c>
      <c r="B1041" s="30" t="s">
        <v>4540</v>
      </c>
      <c r="C1041" s="5"/>
      <c r="D1041" s="5" t="s">
        <v>464</v>
      </c>
      <c r="E1041" s="3">
        <v>107500</v>
      </c>
      <c r="F1041" s="3" t="s">
        <v>465</v>
      </c>
      <c r="G1041" s="57" t="s">
        <v>465</v>
      </c>
      <c r="H1041" s="19"/>
      <c r="I1041" s="19"/>
      <c r="J1041" s="5" t="s">
        <v>539</v>
      </c>
      <c r="K1041" s="1"/>
      <c r="L1041" s="1"/>
    </row>
    <row r="1042" spans="1:12" s="13" customFormat="1" x14ac:dyDescent="0.2">
      <c r="A1042" s="1" t="s">
        <v>4</v>
      </c>
      <c r="B1042" s="2" t="s">
        <v>411</v>
      </c>
      <c r="C1042" s="5"/>
      <c r="D1042" s="38" t="s">
        <v>2073</v>
      </c>
      <c r="E1042" s="3">
        <v>126690</v>
      </c>
      <c r="F1042" s="3" t="s">
        <v>465</v>
      </c>
      <c r="G1042" s="57" t="s">
        <v>465</v>
      </c>
      <c r="H1042" s="19"/>
      <c r="I1042" s="19"/>
      <c r="J1042" s="5" t="s">
        <v>2377</v>
      </c>
      <c r="K1042" s="1"/>
      <c r="L1042" s="1"/>
    </row>
    <row r="1043" spans="1:12" s="13" customFormat="1" x14ac:dyDescent="0.2">
      <c r="A1043" s="1" t="s">
        <v>4</v>
      </c>
      <c r="B1043" s="2" t="s">
        <v>411</v>
      </c>
      <c r="C1043" s="5"/>
      <c r="D1043" s="38" t="s">
        <v>2073</v>
      </c>
      <c r="E1043" s="3">
        <v>112388</v>
      </c>
      <c r="F1043" s="3" t="s">
        <v>465</v>
      </c>
      <c r="G1043" s="57" t="s">
        <v>465</v>
      </c>
      <c r="H1043" s="19"/>
      <c r="I1043" s="19"/>
      <c r="J1043" s="5"/>
      <c r="K1043" s="1"/>
      <c r="L1043" s="1"/>
    </row>
    <row r="1044" spans="1:12" s="13" customFormat="1" ht="25.5" x14ac:dyDescent="0.2">
      <c r="A1044" s="1" t="s">
        <v>4</v>
      </c>
      <c r="B1044" s="2" t="s">
        <v>412</v>
      </c>
      <c r="C1044" s="5"/>
      <c r="D1044" s="5" t="s">
        <v>476</v>
      </c>
      <c r="E1044" s="3">
        <v>118556</v>
      </c>
      <c r="F1044" s="3" t="s">
        <v>465</v>
      </c>
      <c r="G1044" s="57" t="s">
        <v>465</v>
      </c>
      <c r="H1044" s="19"/>
      <c r="I1044" s="19"/>
      <c r="J1044" s="5" t="s">
        <v>2373</v>
      </c>
      <c r="K1044" s="1"/>
      <c r="L1044" s="1"/>
    </row>
    <row r="1045" spans="1:12" ht="25.5" x14ac:dyDescent="0.2">
      <c r="A1045" s="1" t="s">
        <v>20</v>
      </c>
      <c r="B1045" s="2" t="s">
        <v>414</v>
      </c>
      <c r="C1045" s="5" t="s">
        <v>2365</v>
      </c>
      <c r="D1045" s="5" t="s">
        <v>2364</v>
      </c>
      <c r="E1045" s="3">
        <v>107000</v>
      </c>
      <c r="F1045" s="3" t="s">
        <v>465</v>
      </c>
      <c r="G1045" s="57" t="s">
        <v>465</v>
      </c>
      <c r="J1045" s="5" t="s">
        <v>4541</v>
      </c>
    </row>
    <row r="1046" spans="1:12" x14ac:dyDescent="0.2">
      <c r="A1046" s="1" t="s">
        <v>20</v>
      </c>
      <c r="B1046" s="2" t="s">
        <v>414</v>
      </c>
      <c r="C1046" s="5" t="s">
        <v>2367</v>
      </c>
      <c r="D1046" s="5" t="s">
        <v>2366</v>
      </c>
      <c r="E1046" s="3">
        <v>114000</v>
      </c>
      <c r="F1046" s="3" t="s">
        <v>465</v>
      </c>
      <c r="G1046" s="57" t="s">
        <v>465</v>
      </c>
      <c r="J1046" s="5" t="s">
        <v>4542</v>
      </c>
    </row>
    <row r="1047" spans="1:12" x14ac:dyDescent="0.2">
      <c r="A1047" s="1" t="s">
        <v>4</v>
      </c>
      <c r="B1047" s="2" t="s">
        <v>415</v>
      </c>
      <c r="D1047" s="5" t="s">
        <v>464</v>
      </c>
      <c r="E1047" s="3">
        <v>122500</v>
      </c>
      <c r="F1047" s="3" t="s">
        <v>465</v>
      </c>
      <c r="G1047" s="57" t="s">
        <v>465</v>
      </c>
      <c r="J1047" s="5" t="s">
        <v>2363</v>
      </c>
    </row>
    <row r="1048" spans="1:12" x14ac:dyDescent="0.2">
      <c r="A1048" s="1" t="s">
        <v>4</v>
      </c>
      <c r="B1048" s="2" t="s">
        <v>415</v>
      </c>
      <c r="D1048" s="5" t="s">
        <v>464</v>
      </c>
      <c r="E1048" s="3">
        <v>152500</v>
      </c>
      <c r="F1048" s="3" t="s">
        <v>465</v>
      </c>
      <c r="G1048" s="57" t="s">
        <v>465</v>
      </c>
      <c r="J1048" s="5" t="s">
        <v>2363</v>
      </c>
    </row>
    <row r="1049" spans="1:12" s="13" customFormat="1" x14ac:dyDescent="0.2">
      <c r="A1049" s="1" t="s">
        <v>4</v>
      </c>
      <c r="B1049" s="2" t="s">
        <v>415</v>
      </c>
      <c r="C1049" s="5"/>
      <c r="D1049" s="5" t="s">
        <v>464</v>
      </c>
      <c r="E1049" s="3">
        <v>162500</v>
      </c>
      <c r="F1049" s="3" t="s">
        <v>465</v>
      </c>
      <c r="G1049" s="57" t="s">
        <v>465</v>
      </c>
      <c r="H1049" s="19"/>
      <c r="I1049" s="19"/>
      <c r="J1049" s="5" t="s">
        <v>2363</v>
      </c>
      <c r="K1049" s="1"/>
      <c r="L1049" s="1"/>
    </row>
    <row r="1050" spans="1:12" x14ac:dyDescent="0.2">
      <c r="A1050" s="1" t="s">
        <v>6</v>
      </c>
      <c r="B1050" s="2" t="s">
        <v>418</v>
      </c>
      <c r="D1050" s="5" t="s">
        <v>2355</v>
      </c>
      <c r="E1050" s="3">
        <v>149097</v>
      </c>
      <c r="F1050" s="3" t="s">
        <v>465</v>
      </c>
      <c r="G1050" s="57" t="s">
        <v>465</v>
      </c>
      <c r="J1050" s="5" t="s">
        <v>4414</v>
      </c>
    </row>
    <row r="1051" spans="1:12" x14ac:dyDescent="0.2">
      <c r="A1051" s="1" t="s">
        <v>8</v>
      </c>
      <c r="B1051" s="2" t="s">
        <v>419</v>
      </c>
      <c r="D1051" s="5" t="s">
        <v>450</v>
      </c>
      <c r="E1051" s="3">
        <v>116727</v>
      </c>
      <c r="F1051" s="3" t="s">
        <v>465</v>
      </c>
      <c r="G1051" s="57" t="s">
        <v>465</v>
      </c>
      <c r="J1051" s="5" t="s">
        <v>4553</v>
      </c>
    </row>
    <row r="1052" spans="1:12" x14ac:dyDescent="0.2">
      <c r="A1052" s="1" t="s">
        <v>4</v>
      </c>
      <c r="B1052" s="2" t="s">
        <v>423</v>
      </c>
      <c r="D1052" s="5" t="s">
        <v>464</v>
      </c>
      <c r="E1052" s="3">
        <v>102500</v>
      </c>
      <c r="F1052" s="3" t="s">
        <v>465</v>
      </c>
      <c r="G1052" s="57" t="s">
        <v>465</v>
      </c>
    </row>
    <row r="1053" spans="1:12" x14ac:dyDescent="0.2">
      <c r="A1053" s="1" t="s">
        <v>4</v>
      </c>
      <c r="B1053" s="2" t="s">
        <v>423</v>
      </c>
      <c r="D1053" s="5" t="s">
        <v>464</v>
      </c>
      <c r="E1053" s="3">
        <v>112500</v>
      </c>
      <c r="F1053" s="3" t="s">
        <v>465</v>
      </c>
      <c r="G1053" s="57" t="s">
        <v>465</v>
      </c>
    </row>
    <row r="1054" spans="1:12" x14ac:dyDescent="0.2">
      <c r="A1054" s="1" t="s">
        <v>4</v>
      </c>
      <c r="B1054" s="2" t="s">
        <v>423</v>
      </c>
      <c r="D1054" s="5" t="s">
        <v>464</v>
      </c>
      <c r="E1054" s="3">
        <v>162500</v>
      </c>
      <c r="F1054" s="3" t="s">
        <v>465</v>
      </c>
      <c r="G1054" s="57" t="s">
        <v>465</v>
      </c>
    </row>
    <row r="1055" spans="1:12" x14ac:dyDescent="0.2">
      <c r="A1055" s="1" t="s">
        <v>25</v>
      </c>
      <c r="B1055" s="2" t="s">
        <v>424</v>
      </c>
      <c r="D1055" s="5" t="s">
        <v>464</v>
      </c>
      <c r="E1055" s="3">
        <v>102500</v>
      </c>
      <c r="F1055" s="3" t="s">
        <v>465</v>
      </c>
      <c r="G1055" s="57" t="s">
        <v>465</v>
      </c>
      <c r="H1055" s="4"/>
      <c r="I1055" s="4"/>
      <c r="J1055" s="1"/>
    </row>
    <row r="1056" spans="1:12" x14ac:dyDescent="0.2">
      <c r="A1056" s="1" t="s">
        <v>25</v>
      </c>
      <c r="B1056" s="2" t="s">
        <v>424</v>
      </c>
      <c r="D1056" s="5" t="s">
        <v>464</v>
      </c>
      <c r="E1056" s="3">
        <v>107500</v>
      </c>
      <c r="F1056" s="3" t="s">
        <v>465</v>
      </c>
      <c r="G1056" s="57" t="s">
        <v>465</v>
      </c>
      <c r="H1056" s="4"/>
      <c r="I1056" s="4"/>
      <c r="J1056" s="1"/>
    </row>
    <row r="1057" spans="1:10" x14ac:dyDescent="0.2">
      <c r="A1057" s="1" t="s">
        <v>25</v>
      </c>
      <c r="B1057" s="2" t="s">
        <v>424</v>
      </c>
      <c r="D1057" s="5" t="s">
        <v>464</v>
      </c>
      <c r="E1057" s="3">
        <v>107500</v>
      </c>
      <c r="F1057" s="3" t="s">
        <v>465</v>
      </c>
      <c r="G1057" s="57" t="s">
        <v>465</v>
      </c>
      <c r="H1057" s="4"/>
      <c r="I1057" s="4"/>
      <c r="J1057" s="1"/>
    </row>
    <row r="1058" spans="1:10" x14ac:dyDescent="0.2">
      <c r="A1058" s="1" t="s">
        <v>25</v>
      </c>
      <c r="B1058" s="2" t="s">
        <v>424</v>
      </c>
      <c r="D1058" s="5" t="s">
        <v>464</v>
      </c>
      <c r="E1058" s="3">
        <v>107500</v>
      </c>
      <c r="F1058" s="3" t="s">
        <v>465</v>
      </c>
      <c r="G1058" s="57" t="s">
        <v>465</v>
      </c>
      <c r="H1058" s="4"/>
      <c r="I1058" s="4"/>
      <c r="J1058" s="1"/>
    </row>
    <row r="1059" spans="1:10" x14ac:dyDescent="0.2">
      <c r="A1059" s="1" t="s">
        <v>25</v>
      </c>
      <c r="B1059" s="2" t="s">
        <v>424</v>
      </c>
      <c r="D1059" s="5" t="s">
        <v>464</v>
      </c>
      <c r="E1059" s="3">
        <v>107500</v>
      </c>
      <c r="F1059" s="3" t="s">
        <v>465</v>
      </c>
      <c r="G1059" s="57" t="s">
        <v>465</v>
      </c>
      <c r="H1059" s="4"/>
      <c r="I1059" s="4"/>
      <c r="J1059" s="1"/>
    </row>
    <row r="1060" spans="1:10" x14ac:dyDescent="0.2">
      <c r="A1060" s="1" t="s">
        <v>25</v>
      </c>
      <c r="B1060" s="2" t="s">
        <v>424</v>
      </c>
      <c r="D1060" s="5" t="s">
        <v>464</v>
      </c>
      <c r="E1060" s="3">
        <v>117500</v>
      </c>
      <c r="F1060" s="3" t="s">
        <v>465</v>
      </c>
      <c r="G1060" s="57" t="s">
        <v>465</v>
      </c>
      <c r="J1060" s="1"/>
    </row>
    <row r="1061" spans="1:10" x14ac:dyDescent="0.2">
      <c r="A1061" s="1" t="s">
        <v>25</v>
      </c>
      <c r="B1061" s="2" t="s">
        <v>424</v>
      </c>
      <c r="D1061" s="5" t="s">
        <v>464</v>
      </c>
      <c r="E1061" s="3">
        <v>117500</v>
      </c>
      <c r="F1061" s="3" t="s">
        <v>465</v>
      </c>
      <c r="G1061" s="57" t="s">
        <v>465</v>
      </c>
      <c r="J1061" s="1"/>
    </row>
    <row r="1062" spans="1:10" x14ac:dyDescent="0.2">
      <c r="A1062" s="1" t="s">
        <v>25</v>
      </c>
      <c r="B1062" s="2" t="s">
        <v>424</v>
      </c>
      <c r="D1062" s="5" t="s">
        <v>464</v>
      </c>
      <c r="E1062" s="3">
        <v>117500</v>
      </c>
      <c r="F1062" s="3" t="s">
        <v>465</v>
      </c>
      <c r="G1062" s="57" t="s">
        <v>465</v>
      </c>
      <c r="J1062" s="1"/>
    </row>
    <row r="1063" spans="1:10" x14ac:dyDescent="0.2">
      <c r="A1063" s="1" t="s">
        <v>6</v>
      </c>
      <c r="B1063" s="2" t="s">
        <v>426</v>
      </c>
      <c r="D1063" s="5" t="s">
        <v>455</v>
      </c>
      <c r="E1063" s="3">
        <v>157813</v>
      </c>
      <c r="F1063" s="3" t="s">
        <v>465</v>
      </c>
      <c r="G1063" s="57" t="s">
        <v>465</v>
      </c>
    </row>
    <row r="1064" spans="1:10" x14ac:dyDescent="0.2">
      <c r="A1064" s="1" t="s">
        <v>6</v>
      </c>
      <c r="B1064" s="2" t="s">
        <v>426</v>
      </c>
      <c r="D1064" s="5" t="s">
        <v>464</v>
      </c>
      <c r="E1064" s="3">
        <v>102500</v>
      </c>
      <c r="F1064" s="3" t="s">
        <v>465</v>
      </c>
      <c r="G1064" s="57" t="s">
        <v>465</v>
      </c>
      <c r="J1064" s="5" t="s">
        <v>1241</v>
      </c>
    </row>
    <row r="1065" spans="1:10" x14ac:dyDescent="0.2">
      <c r="A1065" s="1" t="s">
        <v>6</v>
      </c>
      <c r="B1065" s="2" t="s">
        <v>426</v>
      </c>
      <c r="D1065" s="5" t="s">
        <v>464</v>
      </c>
      <c r="E1065" s="3">
        <v>132500</v>
      </c>
      <c r="F1065" s="3" t="s">
        <v>465</v>
      </c>
      <c r="G1065" s="57" t="s">
        <v>465</v>
      </c>
    </row>
    <row r="1066" spans="1:10" x14ac:dyDescent="0.2">
      <c r="A1066" s="1" t="s">
        <v>34</v>
      </c>
      <c r="B1066" s="2" t="s">
        <v>427</v>
      </c>
      <c r="C1066" s="5" t="s">
        <v>2315</v>
      </c>
      <c r="D1066" s="5" t="s">
        <v>450</v>
      </c>
      <c r="E1066" s="3">
        <v>484832</v>
      </c>
      <c r="F1066" s="3" t="s">
        <v>465</v>
      </c>
      <c r="G1066" s="57" t="s">
        <v>465</v>
      </c>
      <c r="J1066" s="5" t="s">
        <v>4568</v>
      </c>
    </row>
    <row r="1067" spans="1:10" x14ac:dyDescent="0.2">
      <c r="A1067" s="1" t="s">
        <v>34</v>
      </c>
      <c r="B1067" s="2" t="s">
        <v>427</v>
      </c>
      <c r="D1067" s="5" t="s">
        <v>2316</v>
      </c>
      <c r="E1067" s="3">
        <v>558296</v>
      </c>
      <c r="F1067" s="3" t="s">
        <v>465</v>
      </c>
      <c r="G1067" s="57" t="s">
        <v>465</v>
      </c>
      <c r="J1067" s="5" t="s">
        <v>3661</v>
      </c>
    </row>
    <row r="1068" spans="1:10" x14ac:dyDescent="0.2">
      <c r="A1068" s="1" t="s">
        <v>34</v>
      </c>
      <c r="B1068" s="2" t="s">
        <v>427</v>
      </c>
      <c r="D1068" s="5" t="s">
        <v>2321</v>
      </c>
      <c r="E1068" s="3">
        <v>136259</v>
      </c>
      <c r="F1068" s="3" t="s">
        <v>465</v>
      </c>
      <c r="G1068" s="57" t="s">
        <v>465</v>
      </c>
    </row>
    <row r="1069" spans="1:10" x14ac:dyDescent="0.2">
      <c r="A1069" s="1" t="s">
        <v>34</v>
      </c>
      <c r="B1069" s="2" t="s">
        <v>427</v>
      </c>
      <c r="D1069" s="5" t="s">
        <v>611</v>
      </c>
      <c r="E1069" s="3">
        <v>333153</v>
      </c>
      <c r="F1069" s="3" t="s">
        <v>465</v>
      </c>
      <c r="G1069" s="57" t="s">
        <v>465</v>
      </c>
      <c r="J1069" s="5" t="s">
        <v>4569</v>
      </c>
    </row>
    <row r="1070" spans="1:10" x14ac:dyDescent="0.2">
      <c r="A1070" s="1" t="s">
        <v>34</v>
      </c>
      <c r="B1070" s="2" t="s">
        <v>427</v>
      </c>
      <c r="D1070" s="5" t="s">
        <v>613</v>
      </c>
      <c r="E1070" s="3">
        <v>390738</v>
      </c>
      <c r="F1070" s="3" t="s">
        <v>465</v>
      </c>
      <c r="G1070" s="57" t="s">
        <v>465</v>
      </c>
      <c r="J1070" s="5" t="s">
        <v>4569</v>
      </c>
    </row>
    <row r="1071" spans="1:10" x14ac:dyDescent="0.2">
      <c r="A1071" s="1" t="s">
        <v>34</v>
      </c>
      <c r="B1071" s="2" t="s">
        <v>427</v>
      </c>
      <c r="D1071" s="5" t="s">
        <v>464</v>
      </c>
      <c r="E1071" s="3">
        <v>102500</v>
      </c>
      <c r="F1071" s="3" t="s">
        <v>465</v>
      </c>
      <c r="G1071" s="57" t="s">
        <v>465</v>
      </c>
      <c r="J1071" s="5" t="s">
        <v>1241</v>
      </c>
    </row>
    <row r="1072" spans="1:10" x14ac:dyDescent="0.2">
      <c r="A1072" s="1" t="s">
        <v>34</v>
      </c>
      <c r="B1072" s="2" t="s">
        <v>427</v>
      </c>
      <c r="D1072" s="5" t="s">
        <v>464</v>
      </c>
      <c r="E1072" s="3">
        <v>102500</v>
      </c>
      <c r="F1072" s="3" t="s">
        <v>465</v>
      </c>
      <c r="G1072" s="57" t="s">
        <v>465</v>
      </c>
      <c r="J1072" s="5" t="s">
        <v>1241</v>
      </c>
    </row>
    <row r="1073" spans="1:10" x14ac:dyDescent="0.2">
      <c r="A1073" s="1" t="s">
        <v>34</v>
      </c>
      <c r="B1073" s="2" t="s">
        <v>427</v>
      </c>
      <c r="D1073" s="5" t="s">
        <v>464</v>
      </c>
      <c r="E1073" s="3">
        <v>102500</v>
      </c>
      <c r="F1073" s="3" t="s">
        <v>465</v>
      </c>
      <c r="G1073" s="57" t="s">
        <v>465</v>
      </c>
    </row>
    <row r="1074" spans="1:10" x14ac:dyDescent="0.2">
      <c r="A1074" s="1" t="s">
        <v>34</v>
      </c>
      <c r="B1074" s="2" t="s">
        <v>427</v>
      </c>
      <c r="D1074" s="5" t="s">
        <v>464</v>
      </c>
      <c r="E1074" s="3">
        <v>102500</v>
      </c>
      <c r="F1074" s="3" t="s">
        <v>465</v>
      </c>
      <c r="G1074" s="57" t="s">
        <v>465</v>
      </c>
    </row>
    <row r="1075" spans="1:10" x14ac:dyDescent="0.2">
      <c r="A1075" s="1" t="s">
        <v>34</v>
      </c>
      <c r="B1075" s="2" t="s">
        <v>427</v>
      </c>
      <c r="D1075" s="5" t="s">
        <v>464</v>
      </c>
      <c r="E1075" s="3">
        <v>102500</v>
      </c>
      <c r="F1075" s="3" t="s">
        <v>465</v>
      </c>
      <c r="G1075" s="57" t="s">
        <v>465</v>
      </c>
    </row>
    <row r="1076" spans="1:10" x14ac:dyDescent="0.2">
      <c r="A1076" s="1" t="s">
        <v>34</v>
      </c>
      <c r="B1076" s="2" t="s">
        <v>427</v>
      </c>
      <c r="D1076" s="5" t="s">
        <v>464</v>
      </c>
      <c r="E1076" s="3">
        <v>107500</v>
      </c>
      <c r="F1076" s="3" t="s">
        <v>465</v>
      </c>
      <c r="G1076" s="57" t="s">
        <v>465</v>
      </c>
      <c r="J1076" s="5" t="s">
        <v>1241</v>
      </c>
    </row>
    <row r="1077" spans="1:10" x14ac:dyDescent="0.2">
      <c r="A1077" s="1" t="s">
        <v>34</v>
      </c>
      <c r="B1077" s="2" t="s">
        <v>427</v>
      </c>
      <c r="D1077" s="5" t="s">
        <v>464</v>
      </c>
      <c r="E1077" s="3">
        <v>112500</v>
      </c>
      <c r="F1077" s="3" t="s">
        <v>465</v>
      </c>
      <c r="G1077" s="57" t="s">
        <v>465</v>
      </c>
    </row>
    <row r="1078" spans="1:10" x14ac:dyDescent="0.2">
      <c r="A1078" s="1" t="s">
        <v>34</v>
      </c>
      <c r="B1078" s="2" t="s">
        <v>427</v>
      </c>
      <c r="D1078" s="5" t="s">
        <v>464</v>
      </c>
      <c r="E1078" s="3">
        <v>117500</v>
      </c>
      <c r="F1078" s="3" t="s">
        <v>465</v>
      </c>
      <c r="G1078" s="57" t="s">
        <v>465</v>
      </c>
    </row>
    <row r="1079" spans="1:10" x14ac:dyDescent="0.2">
      <c r="A1079" s="1" t="s">
        <v>34</v>
      </c>
      <c r="B1079" s="2" t="s">
        <v>427</v>
      </c>
      <c r="D1079" s="7" t="s">
        <v>464</v>
      </c>
      <c r="E1079" s="3">
        <v>137500</v>
      </c>
      <c r="F1079" s="3" t="s">
        <v>465</v>
      </c>
      <c r="G1079" s="57" t="s">
        <v>465</v>
      </c>
      <c r="J1079" s="5" t="s">
        <v>1241</v>
      </c>
    </row>
    <row r="1080" spans="1:10" x14ac:dyDescent="0.2">
      <c r="A1080" s="1" t="s">
        <v>34</v>
      </c>
      <c r="B1080" s="2" t="s">
        <v>427</v>
      </c>
      <c r="D1080" s="5" t="s">
        <v>464</v>
      </c>
      <c r="E1080" s="3">
        <v>152500</v>
      </c>
      <c r="F1080" s="3" t="s">
        <v>465</v>
      </c>
      <c r="G1080" s="57" t="s">
        <v>465</v>
      </c>
      <c r="J1080" s="5" t="s">
        <v>1241</v>
      </c>
    </row>
    <row r="1081" spans="1:10" ht="25.5" x14ac:dyDescent="0.2">
      <c r="A1081" s="1" t="s">
        <v>4</v>
      </c>
      <c r="B1081" s="2" t="s">
        <v>429</v>
      </c>
      <c r="D1081" s="5" t="s">
        <v>2301</v>
      </c>
      <c r="E1081" s="3">
        <v>117399</v>
      </c>
      <c r="F1081" s="3" t="s">
        <v>465</v>
      </c>
      <c r="G1081" s="57" t="s">
        <v>465</v>
      </c>
      <c r="J1081" s="5" t="s">
        <v>2302</v>
      </c>
    </row>
    <row r="1082" spans="1:10" x14ac:dyDescent="0.2">
      <c r="A1082" s="1" t="s">
        <v>4</v>
      </c>
      <c r="B1082" s="2" t="s">
        <v>429</v>
      </c>
      <c r="D1082" s="5" t="s">
        <v>464</v>
      </c>
      <c r="E1082" s="3">
        <v>107500</v>
      </c>
      <c r="F1082" s="3" t="s">
        <v>465</v>
      </c>
      <c r="G1082" s="57" t="s">
        <v>465</v>
      </c>
    </row>
    <row r="1083" spans="1:10" x14ac:dyDescent="0.2">
      <c r="A1083" s="1" t="s">
        <v>4</v>
      </c>
      <c r="B1083" s="2" t="s">
        <v>429</v>
      </c>
      <c r="D1083" s="5" t="s">
        <v>464</v>
      </c>
      <c r="E1083" s="3">
        <v>117500</v>
      </c>
      <c r="F1083" s="3" t="s">
        <v>465</v>
      </c>
      <c r="G1083" s="57" t="s">
        <v>465</v>
      </c>
    </row>
    <row r="1084" spans="1:10" x14ac:dyDescent="0.2">
      <c r="A1084" s="1" t="s">
        <v>4</v>
      </c>
      <c r="B1084" s="2" t="s">
        <v>429</v>
      </c>
      <c r="D1084" s="5" t="s">
        <v>464</v>
      </c>
      <c r="E1084" s="3">
        <v>132500</v>
      </c>
      <c r="F1084" s="3" t="s">
        <v>465</v>
      </c>
      <c r="G1084" s="57" t="s">
        <v>465</v>
      </c>
    </row>
    <row r="1085" spans="1:10" x14ac:dyDescent="0.2">
      <c r="A1085" s="1" t="s">
        <v>4</v>
      </c>
      <c r="B1085" s="2" t="s">
        <v>429</v>
      </c>
      <c r="D1085" s="5" t="s">
        <v>464</v>
      </c>
      <c r="E1085" s="3">
        <v>157500</v>
      </c>
      <c r="F1085" s="3" t="s">
        <v>465</v>
      </c>
      <c r="G1085" s="57" t="s">
        <v>465</v>
      </c>
    </row>
    <row r="1086" spans="1:10" ht="25.5" x14ac:dyDescent="0.2">
      <c r="A1086" s="1" t="s">
        <v>6</v>
      </c>
      <c r="B1086" s="2" t="s">
        <v>430</v>
      </c>
      <c r="D1086" s="5" t="s">
        <v>2293</v>
      </c>
      <c r="E1086" s="3">
        <v>144093</v>
      </c>
      <c r="F1086" s="3" t="s">
        <v>465</v>
      </c>
      <c r="G1086" s="57" t="s">
        <v>465</v>
      </c>
    </row>
    <row r="1087" spans="1:10" ht="25.5" x14ac:dyDescent="0.2">
      <c r="A1087" s="1" t="s">
        <v>6</v>
      </c>
      <c r="B1087" s="2" t="s">
        <v>430</v>
      </c>
      <c r="D1087" s="5" t="s">
        <v>1200</v>
      </c>
      <c r="E1087" s="3">
        <v>134534</v>
      </c>
      <c r="F1087" s="3" t="s">
        <v>465</v>
      </c>
      <c r="G1087" s="57" t="s">
        <v>465</v>
      </c>
      <c r="J1087" s="5" t="s">
        <v>2300</v>
      </c>
    </row>
    <row r="1088" spans="1:10" x14ac:dyDescent="0.2">
      <c r="A1088" s="1" t="s">
        <v>6</v>
      </c>
      <c r="B1088" s="2" t="s">
        <v>430</v>
      </c>
      <c r="D1088" s="5" t="s">
        <v>562</v>
      </c>
      <c r="E1088" s="3">
        <v>134213</v>
      </c>
      <c r="F1088" s="3" t="s">
        <v>465</v>
      </c>
      <c r="G1088" s="57" t="s">
        <v>465</v>
      </c>
    </row>
    <row r="1089" spans="1:12" x14ac:dyDescent="0.2">
      <c r="A1089" s="1" t="s">
        <v>4</v>
      </c>
      <c r="B1089" s="2" t="s">
        <v>432</v>
      </c>
      <c r="D1089" s="5" t="s">
        <v>464</v>
      </c>
      <c r="E1089" s="3">
        <v>117500</v>
      </c>
      <c r="F1089" s="3" t="s">
        <v>465</v>
      </c>
      <c r="G1089" s="57" t="s">
        <v>465</v>
      </c>
    </row>
    <row r="1090" spans="1:12" x14ac:dyDescent="0.2">
      <c r="A1090" s="1" t="s">
        <v>39</v>
      </c>
      <c r="B1090" s="2" t="s">
        <v>433</v>
      </c>
      <c r="C1090" s="5" t="s">
        <v>488</v>
      </c>
      <c r="D1090" s="5" t="s">
        <v>450</v>
      </c>
      <c r="E1090" s="3">
        <v>102695</v>
      </c>
      <c r="F1090" s="3" t="s">
        <v>465</v>
      </c>
      <c r="G1090" s="57" t="s">
        <v>465</v>
      </c>
    </row>
    <row r="1091" spans="1:12" x14ac:dyDescent="0.2">
      <c r="A1091" s="1" t="s">
        <v>39</v>
      </c>
      <c r="B1091" s="2" t="s">
        <v>434</v>
      </c>
      <c r="D1091" s="5" t="s">
        <v>464</v>
      </c>
      <c r="E1091" s="3">
        <v>107500</v>
      </c>
      <c r="F1091" s="3" t="s">
        <v>465</v>
      </c>
      <c r="G1091" s="57" t="s">
        <v>465</v>
      </c>
    </row>
    <row r="1092" spans="1:12" x14ac:dyDescent="0.2">
      <c r="A1092" s="1" t="s">
        <v>39</v>
      </c>
      <c r="B1092" s="2" t="s">
        <v>435</v>
      </c>
      <c r="D1092" s="5" t="s">
        <v>464</v>
      </c>
      <c r="E1092" s="3">
        <v>102500</v>
      </c>
      <c r="F1092" s="3" t="s">
        <v>465</v>
      </c>
      <c r="G1092" s="57" t="s">
        <v>465</v>
      </c>
    </row>
    <row r="1093" spans="1:12" x14ac:dyDescent="0.2">
      <c r="A1093" s="1" t="s">
        <v>39</v>
      </c>
      <c r="B1093" s="2" t="s">
        <v>437</v>
      </c>
      <c r="D1093" s="5" t="s">
        <v>464</v>
      </c>
      <c r="E1093" s="3">
        <v>112500</v>
      </c>
      <c r="F1093" s="3" t="s">
        <v>465</v>
      </c>
      <c r="G1093" s="57" t="s">
        <v>465</v>
      </c>
    </row>
    <row r="1094" spans="1:12" x14ac:dyDescent="0.2">
      <c r="A1094" s="1" t="s">
        <v>39</v>
      </c>
      <c r="B1094" s="2" t="s">
        <v>437</v>
      </c>
      <c r="D1094" s="5" t="s">
        <v>464</v>
      </c>
      <c r="E1094" s="3">
        <v>112500</v>
      </c>
      <c r="F1094" s="3" t="s">
        <v>465</v>
      </c>
      <c r="G1094" s="57" t="s">
        <v>465</v>
      </c>
    </row>
    <row r="1095" spans="1:12" x14ac:dyDescent="0.2">
      <c r="A1095" s="1" t="s">
        <v>6</v>
      </c>
      <c r="B1095" s="2" t="s">
        <v>440</v>
      </c>
      <c r="D1095" s="5" t="s">
        <v>569</v>
      </c>
      <c r="E1095" s="6">
        <v>186888</v>
      </c>
      <c r="F1095" s="3" t="s">
        <v>465</v>
      </c>
      <c r="G1095" s="57" t="s">
        <v>465</v>
      </c>
      <c r="J1095" s="5" t="s">
        <v>2424</v>
      </c>
    </row>
    <row r="1096" spans="1:12" x14ac:dyDescent="0.2">
      <c r="A1096" s="1" t="s">
        <v>39</v>
      </c>
      <c r="B1096" s="2" t="s">
        <v>439</v>
      </c>
      <c r="D1096" s="5" t="s">
        <v>464</v>
      </c>
      <c r="E1096" s="3">
        <v>102500</v>
      </c>
      <c r="F1096" s="3" t="s">
        <v>465</v>
      </c>
      <c r="G1096" s="57" t="s">
        <v>465</v>
      </c>
    </row>
    <row r="1097" spans="1:12" ht="25.5" x14ac:dyDescent="0.2">
      <c r="A1097" s="1" t="s">
        <v>28</v>
      </c>
      <c r="B1097" s="2" t="s">
        <v>441</v>
      </c>
      <c r="D1097" s="5" t="s">
        <v>4716</v>
      </c>
      <c r="E1097" s="3">
        <v>114000</v>
      </c>
      <c r="F1097" s="3" t="s">
        <v>465</v>
      </c>
      <c r="G1097" s="57" t="s">
        <v>465</v>
      </c>
    </row>
    <row r="1098" spans="1:12" x14ac:dyDescent="0.2">
      <c r="A1098" s="1" t="s">
        <v>28</v>
      </c>
      <c r="B1098" s="2" t="s">
        <v>441</v>
      </c>
      <c r="D1098" s="5" t="s">
        <v>2257</v>
      </c>
      <c r="E1098" s="3">
        <v>252000</v>
      </c>
      <c r="F1098" s="3" t="s">
        <v>465</v>
      </c>
      <c r="G1098" s="57" t="s">
        <v>465</v>
      </c>
      <c r="J1098" s="5" t="s">
        <v>4581</v>
      </c>
    </row>
    <row r="1099" spans="1:12" x14ac:dyDescent="0.2">
      <c r="A1099" s="1" t="s">
        <v>28</v>
      </c>
      <c r="B1099" s="2" t="s">
        <v>441</v>
      </c>
      <c r="D1099" s="5" t="s">
        <v>2258</v>
      </c>
      <c r="E1099" s="3">
        <v>144000</v>
      </c>
      <c r="F1099" s="3" t="s">
        <v>465</v>
      </c>
      <c r="G1099" s="57" t="s">
        <v>465</v>
      </c>
      <c r="J1099" s="5" t="s">
        <v>4581</v>
      </c>
    </row>
    <row r="1100" spans="1:12" x14ac:dyDescent="0.2">
      <c r="A1100" s="1" t="s">
        <v>28</v>
      </c>
      <c r="B1100" s="2" t="s">
        <v>441</v>
      </c>
      <c r="D1100" s="5" t="s">
        <v>463</v>
      </c>
      <c r="E1100" s="3">
        <v>123000</v>
      </c>
      <c r="F1100" s="3" t="s">
        <v>465</v>
      </c>
      <c r="G1100" s="57" t="s">
        <v>465</v>
      </c>
    </row>
    <row r="1101" spans="1:12" x14ac:dyDescent="0.2">
      <c r="A1101" s="1" t="s">
        <v>28</v>
      </c>
      <c r="B1101" s="2" t="s">
        <v>441</v>
      </c>
      <c r="D1101" s="5" t="s">
        <v>464</v>
      </c>
      <c r="E1101" s="3">
        <v>102500</v>
      </c>
      <c r="F1101" s="3" t="s">
        <v>465</v>
      </c>
      <c r="G1101" s="57" t="s">
        <v>465</v>
      </c>
    </row>
    <row r="1102" spans="1:12" s="13" customFormat="1" x14ac:dyDescent="0.2">
      <c r="A1102" s="1" t="s">
        <v>28</v>
      </c>
      <c r="B1102" s="2" t="s">
        <v>441</v>
      </c>
      <c r="C1102" s="5"/>
      <c r="D1102" s="5" t="s">
        <v>464</v>
      </c>
      <c r="E1102" s="3">
        <v>102500</v>
      </c>
      <c r="F1102" s="3" t="s">
        <v>465</v>
      </c>
      <c r="G1102" s="57" t="s">
        <v>465</v>
      </c>
      <c r="H1102" s="19"/>
      <c r="I1102" s="19"/>
      <c r="J1102" s="5"/>
      <c r="K1102" s="1"/>
      <c r="L1102" s="1"/>
    </row>
    <row r="1103" spans="1:12" x14ac:dyDescent="0.2">
      <c r="A1103" s="1" t="s">
        <v>28</v>
      </c>
      <c r="B1103" s="2" t="s">
        <v>441</v>
      </c>
      <c r="D1103" s="5" t="s">
        <v>464</v>
      </c>
      <c r="E1103" s="3">
        <v>132500</v>
      </c>
      <c r="F1103" s="3" t="s">
        <v>465</v>
      </c>
      <c r="G1103" s="57" t="s">
        <v>465</v>
      </c>
    </row>
    <row r="1104" spans="1:12" ht="63.75" x14ac:dyDescent="0.2">
      <c r="A1104" s="1" t="s">
        <v>1</v>
      </c>
      <c r="B1104" s="2" t="s">
        <v>168</v>
      </c>
      <c r="C1104" s="5" t="s">
        <v>1559</v>
      </c>
      <c r="D1104" s="5" t="s">
        <v>4641</v>
      </c>
      <c r="E1104" s="3">
        <v>168320</v>
      </c>
      <c r="F1104" s="3">
        <v>450628</v>
      </c>
      <c r="G1104" s="57">
        <v>1.6772100760456274</v>
      </c>
      <c r="J1104" s="5" t="s">
        <v>4642</v>
      </c>
    </row>
    <row r="1105" spans="1:12" ht="38.25" x14ac:dyDescent="0.2">
      <c r="A1105" s="1" t="s">
        <v>4</v>
      </c>
      <c r="B1105" s="2" t="s">
        <v>210</v>
      </c>
      <c r="C1105" s="5" t="s">
        <v>1338</v>
      </c>
      <c r="D1105" s="5" t="s">
        <v>450</v>
      </c>
      <c r="E1105" s="9">
        <v>299611</v>
      </c>
      <c r="F1105" s="9">
        <v>439071</v>
      </c>
      <c r="G1105" s="57">
        <v>0.46547022639355695</v>
      </c>
      <c r="J1105" s="5" t="s">
        <v>3358</v>
      </c>
    </row>
    <row r="1106" spans="1:12" ht="38.25" x14ac:dyDescent="0.2">
      <c r="A1106" s="1" t="s">
        <v>25</v>
      </c>
      <c r="B1106" s="2" t="s">
        <v>174</v>
      </c>
      <c r="C1106" s="5" t="s">
        <v>1519</v>
      </c>
      <c r="D1106" s="5" t="s">
        <v>450</v>
      </c>
      <c r="E1106" s="9">
        <v>236215</v>
      </c>
      <c r="F1106" s="9">
        <v>433157</v>
      </c>
      <c r="G1106" s="57">
        <v>0.83374044832038607</v>
      </c>
      <c r="J1106" s="5" t="s">
        <v>4349</v>
      </c>
    </row>
    <row r="1107" spans="1:12" ht="63.75" x14ac:dyDescent="0.2">
      <c r="A1107" s="1" t="s">
        <v>25</v>
      </c>
      <c r="B1107" s="2" t="s">
        <v>405</v>
      </c>
      <c r="C1107" s="5" t="s">
        <v>639</v>
      </c>
      <c r="D1107" s="5" t="s">
        <v>450</v>
      </c>
      <c r="E1107" s="3">
        <v>257243</v>
      </c>
      <c r="F1107" s="3">
        <v>432213</v>
      </c>
      <c r="G1107" s="57">
        <v>0.68017399890376029</v>
      </c>
      <c r="J1107" s="5" t="s">
        <v>4515</v>
      </c>
    </row>
    <row r="1108" spans="1:12" ht="63.75" x14ac:dyDescent="0.2">
      <c r="A1108" s="1" t="s">
        <v>28</v>
      </c>
      <c r="B1108" s="2" t="s">
        <v>142</v>
      </c>
      <c r="C1108" s="1"/>
      <c r="D1108" s="5" t="s">
        <v>854</v>
      </c>
      <c r="E1108" s="3">
        <v>162000</v>
      </c>
      <c r="F1108" s="3">
        <v>424000</v>
      </c>
      <c r="G1108" s="57">
        <v>1.617283950617284</v>
      </c>
      <c r="J1108" s="5" t="s">
        <v>4307</v>
      </c>
    </row>
    <row r="1109" spans="1:12" ht="76.5" x14ac:dyDescent="0.2">
      <c r="A1109" s="1" t="s">
        <v>111</v>
      </c>
      <c r="B1109" s="2" t="s">
        <v>257</v>
      </c>
      <c r="D1109" s="5" t="s">
        <v>4369</v>
      </c>
      <c r="E1109" s="3">
        <v>84414</v>
      </c>
      <c r="F1109" s="3">
        <v>400917</v>
      </c>
      <c r="G1109" s="57">
        <v>3.7494136043784208</v>
      </c>
      <c r="J1109" s="5" t="s">
        <v>4668</v>
      </c>
      <c r="K1109" s="33"/>
      <c r="L1109" s="33"/>
    </row>
    <row r="1110" spans="1:12" ht="51" x14ac:dyDescent="0.2">
      <c r="A1110" s="1" t="s">
        <v>20</v>
      </c>
      <c r="B1110" s="2" t="s">
        <v>158</v>
      </c>
      <c r="D1110" s="5" t="s">
        <v>1597</v>
      </c>
      <c r="E1110" s="3">
        <v>202580</v>
      </c>
      <c r="F1110" s="3">
        <v>400616</v>
      </c>
      <c r="G1110" s="57">
        <v>0.9775693553164182</v>
      </c>
      <c r="J1110" s="5" t="s">
        <v>4327</v>
      </c>
    </row>
    <row r="1111" spans="1:12" ht="38.25" x14ac:dyDescent="0.2">
      <c r="A1111" s="1" t="s">
        <v>4</v>
      </c>
      <c r="B1111" s="2" t="s">
        <v>423</v>
      </c>
      <c r="C1111" s="5" t="s">
        <v>552</v>
      </c>
      <c r="D1111" s="5" t="s">
        <v>450</v>
      </c>
      <c r="E1111" s="6">
        <v>266470</v>
      </c>
      <c r="F1111" s="3">
        <v>397232</v>
      </c>
      <c r="G1111" s="57">
        <v>0.49071940556160171</v>
      </c>
      <c r="J1111" s="5" t="s">
        <v>2335</v>
      </c>
    </row>
    <row r="1112" spans="1:12" ht="25.5" x14ac:dyDescent="0.2">
      <c r="A1112" s="1" t="s">
        <v>20</v>
      </c>
      <c r="B1112" s="2" t="s">
        <v>245</v>
      </c>
      <c r="D1112" s="5" t="s">
        <v>450</v>
      </c>
      <c r="E1112" s="3">
        <v>140946</v>
      </c>
      <c r="F1112" s="3">
        <v>395091</v>
      </c>
      <c r="G1112" s="57">
        <v>1.8031373717593973</v>
      </c>
      <c r="J1112" s="5" t="s">
        <v>3154</v>
      </c>
    </row>
    <row r="1113" spans="1:12" ht="38.25" x14ac:dyDescent="0.2">
      <c r="A1113" s="1" t="s">
        <v>25</v>
      </c>
      <c r="B1113" s="2" t="s">
        <v>26</v>
      </c>
      <c r="C1113" s="1" t="s">
        <v>1697</v>
      </c>
      <c r="D1113" s="5" t="s">
        <v>1698</v>
      </c>
      <c r="E1113" s="3">
        <v>221247</v>
      </c>
      <c r="F1113" s="3">
        <v>388948</v>
      </c>
      <c r="G1113" s="57">
        <v>0.75798089917603406</v>
      </c>
      <c r="J1113" s="5" t="s">
        <v>4093</v>
      </c>
    </row>
    <row r="1114" spans="1:12" ht="38.25" x14ac:dyDescent="0.2">
      <c r="A1114" s="1" t="s">
        <v>6</v>
      </c>
      <c r="B1114" s="12" t="s">
        <v>231</v>
      </c>
      <c r="C1114" s="5" t="s">
        <v>1244</v>
      </c>
      <c r="D1114" s="5" t="s">
        <v>529</v>
      </c>
      <c r="E1114" s="9">
        <v>242986</v>
      </c>
      <c r="F1114" s="9">
        <v>384097</v>
      </c>
      <c r="G1114" s="57">
        <v>0.58073716181179158</v>
      </c>
      <c r="J1114" s="5" t="s">
        <v>3218</v>
      </c>
    </row>
    <row r="1115" spans="1:12" ht="38.25" x14ac:dyDescent="0.2">
      <c r="A1115" s="1" t="s">
        <v>1</v>
      </c>
      <c r="B1115" s="2" t="s">
        <v>168</v>
      </c>
      <c r="C1115" s="5" t="s">
        <v>1576</v>
      </c>
      <c r="D1115" s="5" t="s">
        <v>1577</v>
      </c>
      <c r="E1115" s="3">
        <v>92496</v>
      </c>
      <c r="F1115" s="3">
        <v>376111</v>
      </c>
      <c r="G1115" s="57">
        <v>3.0662407023006399</v>
      </c>
      <c r="J1115" s="5" t="s">
        <v>4343</v>
      </c>
    </row>
    <row r="1116" spans="1:12" ht="38.25" x14ac:dyDescent="0.2">
      <c r="A1116" s="1" t="s">
        <v>1</v>
      </c>
      <c r="B1116" s="2" t="s">
        <v>168</v>
      </c>
      <c r="C1116" s="5" t="s">
        <v>1567</v>
      </c>
      <c r="D1116" s="5" t="s">
        <v>4062</v>
      </c>
      <c r="E1116" s="3">
        <v>111624</v>
      </c>
      <c r="F1116" s="3">
        <v>369827</v>
      </c>
      <c r="G1116" s="57">
        <v>2.313149501899233</v>
      </c>
      <c r="J1116" s="5" t="s">
        <v>4341</v>
      </c>
    </row>
    <row r="1117" spans="1:12" ht="25.5" x14ac:dyDescent="0.2">
      <c r="A1117" s="1" t="s">
        <v>4</v>
      </c>
      <c r="B1117" s="2" t="s">
        <v>56</v>
      </c>
      <c r="C1117" s="1"/>
      <c r="D1117" s="5" t="s">
        <v>562</v>
      </c>
      <c r="E1117" s="3">
        <v>143400</v>
      </c>
      <c r="F1117" s="3">
        <v>359500</v>
      </c>
      <c r="G1117" s="57">
        <v>1.5069735006973501</v>
      </c>
      <c r="J1117" s="5" t="s">
        <v>1855</v>
      </c>
    </row>
    <row r="1118" spans="1:12" ht="25.5" x14ac:dyDescent="0.2">
      <c r="A1118" s="1" t="s">
        <v>4</v>
      </c>
      <c r="B1118" s="2" t="s">
        <v>336</v>
      </c>
      <c r="D1118" s="5" t="s">
        <v>879</v>
      </c>
      <c r="E1118" s="3">
        <v>142350</v>
      </c>
      <c r="F1118" s="3">
        <v>352402</v>
      </c>
      <c r="G1118" s="57">
        <v>1.4756023884791007</v>
      </c>
      <c r="J1118" s="5" t="s">
        <v>4424</v>
      </c>
    </row>
    <row r="1119" spans="1:12" ht="38.25" x14ac:dyDescent="0.2">
      <c r="A1119" s="1" t="s">
        <v>4</v>
      </c>
      <c r="B1119" s="2" t="s">
        <v>423</v>
      </c>
      <c r="D1119" s="5" t="s">
        <v>567</v>
      </c>
      <c r="E1119" s="6">
        <v>128019</v>
      </c>
      <c r="F1119" s="3">
        <v>349837</v>
      </c>
      <c r="G1119" s="57">
        <v>1.7326959279481953</v>
      </c>
      <c r="J1119" s="5" t="s">
        <v>4561</v>
      </c>
    </row>
    <row r="1120" spans="1:12" ht="38.25" x14ac:dyDescent="0.2">
      <c r="A1120" s="1" t="s">
        <v>1</v>
      </c>
      <c r="B1120" s="2" t="s">
        <v>168</v>
      </c>
      <c r="C1120" s="5" t="s">
        <v>1574</v>
      </c>
      <c r="D1120" s="5" t="s">
        <v>1575</v>
      </c>
      <c r="E1120" s="3">
        <v>106767</v>
      </c>
      <c r="F1120" s="3">
        <v>349600</v>
      </c>
      <c r="G1120" s="57">
        <v>2.2744199986887335</v>
      </c>
      <c r="J1120" s="5" t="s">
        <v>4342</v>
      </c>
    </row>
    <row r="1121" spans="1:12" ht="25.5" x14ac:dyDescent="0.2">
      <c r="A1121" s="1" t="s">
        <v>8</v>
      </c>
      <c r="B1121" s="2" t="s">
        <v>268</v>
      </c>
      <c r="C1121" s="5" t="s">
        <v>1142</v>
      </c>
      <c r="D1121" s="5" t="s">
        <v>450</v>
      </c>
      <c r="E1121" s="3">
        <v>128806</v>
      </c>
      <c r="F1121" s="3">
        <v>349074</v>
      </c>
      <c r="G1121" s="57">
        <v>1.7100756175954537</v>
      </c>
      <c r="J1121" s="5" t="s">
        <v>3064</v>
      </c>
    </row>
    <row r="1122" spans="1:12" ht="38.25" x14ac:dyDescent="0.2">
      <c r="A1122" s="1" t="s">
        <v>6</v>
      </c>
      <c r="B1122" s="2" t="s">
        <v>237</v>
      </c>
      <c r="D1122" s="14" t="s">
        <v>1228</v>
      </c>
      <c r="E1122" s="10">
        <v>158180</v>
      </c>
      <c r="F1122" s="10">
        <v>348830</v>
      </c>
      <c r="G1122" s="57">
        <v>1.2052724743962575</v>
      </c>
      <c r="J1122" s="5" t="s">
        <v>3189</v>
      </c>
    </row>
    <row r="1123" spans="1:12" ht="38.25" x14ac:dyDescent="0.2">
      <c r="A1123" s="1" t="s">
        <v>34</v>
      </c>
      <c r="B1123" s="30" t="s">
        <v>4566</v>
      </c>
      <c r="C1123" s="5" t="s">
        <v>541</v>
      </c>
      <c r="D1123" s="5" t="s">
        <v>450</v>
      </c>
      <c r="E1123" s="3">
        <v>110082</v>
      </c>
      <c r="F1123" s="3">
        <v>343849</v>
      </c>
      <c r="G1123" s="57">
        <v>2.1235715194128013</v>
      </c>
      <c r="J1123" s="5" t="s">
        <v>4714</v>
      </c>
    </row>
    <row r="1124" spans="1:12" ht="38.25" x14ac:dyDescent="0.2">
      <c r="A1124" s="1" t="s">
        <v>111</v>
      </c>
      <c r="B1124" s="2" t="s">
        <v>282</v>
      </c>
      <c r="C1124" s="5" t="s">
        <v>1069</v>
      </c>
      <c r="D1124" s="5" t="s">
        <v>1070</v>
      </c>
      <c r="E1124" s="9">
        <v>164417</v>
      </c>
      <c r="F1124" s="3">
        <v>337502</v>
      </c>
      <c r="G1124" s="57">
        <v>1.0527196092861444</v>
      </c>
      <c r="J1124" s="5" t="s">
        <v>4387</v>
      </c>
    </row>
    <row r="1125" spans="1:12" ht="25.5" x14ac:dyDescent="0.2">
      <c r="A1125" s="1" t="s">
        <v>28</v>
      </c>
      <c r="B1125" s="2" t="s">
        <v>273</v>
      </c>
      <c r="D1125" s="5" t="s">
        <v>1115</v>
      </c>
      <c r="E1125" s="3">
        <v>116749</v>
      </c>
      <c r="F1125" s="3">
        <v>327466</v>
      </c>
      <c r="G1125" s="57">
        <v>1.8048719903382471</v>
      </c>
      <c r="J1125" s="5" t="s">
        <v>3045</v>
      </c>
    </row>
    <row r="1126" spans="1:12" ht="25.5" x14ac:dyDescent="0.2">
      <c r="A1126" s="1" t="s">
        <v>28</v>
      </c>
      <c r="B1126" s="2" t="s">
        <v>221</v>
      </c>
      <c r="D1126" s="5" t="s">
        <v>1281</v>
      </c>
      <c r="E1126" s="9">
        <v>140584</v>
      </c>
      <c r="F1126" s="9">
        <v>325592</v>
      </c>
      <c r="G1126" s="57">
        <v>1.3159961304273602</v>
      </c>
      <c r="J1126" s="5" t="s">
        <v>3268</v>
      </c>
    </row>
    <row r="1127" spans="1:12" ht="25.5" x14ac:dyDescent="0.2">
      <c r="A1127" s="1" t="s">
        <v>4</v>
      </c>
      <c r="B1127" s="2" t="s">
        <v>210</v>
      </c>
      <c r="C1127" s="5" t="s">
        <v>1346</v>
      </c>
      <c r="D1127" s="5" t="s">
        <v>1347</v>
      </c>
      <c r="E1127" s="9">
        <v>198552</v>
      </c>
      <c r="F1127" s="9">
        <v>318237</v>
      </c>
      <c r="G1127" s="57">
        <v>0.60278919376284301</v>
      </c>
      <c r="J1127" s="5" t="s">
        <v>3363</v>
      </c>
    </row>
    <row r="1128" spans="1:12" ht="25.5" x14ac:dyDescent="0.2">
      <c r="A1128" s="1" t="s">
        <v>4</v>
      </c>
      <c r="B1128" s="2" t="s">
        <v>210</v>
      </c>
      <c r="C1128" s="5" t="s">
        <v>1341</v>
      </c>
      <c r="D1128" s="5" t="s">
        <v>1342</v>
      </c>
      <c r="E1128" s="9">
        <v>205515</v>
      </c>
      <c r="F1128" s="9">
        <v>317649</v>
      </c>
      <c r="G1128" s="57">
        <v>0.54562440697759285</v>
      </c>
      <c r="J1128" s="5" t="s">
        <v>3360</v>
      </c>
    </row>
    <row r="1129" spans="1:12" s="13" customFormat="1" ht="63.75" x14ac:dyDescent="0.2">
      <c r="A1129" s="1" t="s">
        <v>25</v>
      </c>
      <c r="B1129" s="2" t="s">
        <v>26</v>
      </c>
      <c r="C1129" s="1" t="s">
        <v>1700</v>
      </c>
      <c r="D1129" s="5" t="s">
        <v>1701</v>
      </c>
      <c r="E1129" s="3">
        <v>202306</v>
      </c>
      <c r="F1129" s="3">
        <v>313234</v>
      </c>
      <c r="G1129" s="57">
        <v>0.54831789467440417</v>
      </c>
      <c r="H1129" s="19"/>
      <c r="I1129" s="19"/>
      <c r="J1129" s="5" t="s">
        <v>4094</v>
      </c>
      <c r="K1129" s="1"/>
      <c r="L1129" s="1"/>
    </row>
    <row r="1130" spans="1:12" ht="25.5" x14ac:dyDescent="0.2">
      <c r="A1130" s="1" t="s">
        <v>4</v>
      </c>
      <c r="B1130" s="2" t="s">
        <v>423</v>
      </c>
      <c r="C1130" s="5" t="s">
        <v>553</v>
      </c>
      <c r="D1130" s="5" t="s">
        <v>554</v>
      </c>
      <c r="E1130" s="6">
        <v>202165</v>
      </c>
      <c r="F1130" s="3">
        <v>305766</v>
      </c>
      <c r="G1130" s="57">
        <v>0.51245764598224219</v>
      </c>
      <c r="J1130" s="5" t="s">
        <v>2336</v>
      </c>
    </row>
    <row r="1131" spans="1:12" ht="38.25" x14ac:dyDescent="0.2">
      <c r="A1131" s="1" t="s">
        <v>1</v>
      </c>
      <c r="B1131" s="2" t="s">
        <v>168</v>
      </c>
      <c r="C1131" s="5" t="s">
        <v>1566</v>
      </c>
      <c r="D1131" s="5" t="s">
        <v>4061</v>
      </c>
      <c r="E1131" s="3">
        <v>154782</v>
      </c>
      <c r="F1131" s="3">
        <v>298574</v>
      </c>
      <c r="G1131" s="57">
        <v>0.92899691178560817</v>
      </c>
      <c r="J1131" s="5" t="s">
        <v>4339</v>
      </c>
    </row>
    <row r="1132" spans="1:12" ht="51" x14ac:dyDescent="0.2">
      <c r="A1132" s="1" t="s">
        <v>4</v>
      </c>
      <c r="B1132" s="2" t="s">
        <v>423</v>
      </c>
      <c r="D1132" s="5" t="s">
        <v>566</v>
      </c>
      <c r="E1132" s="6">
        <v>121862</v>
      </c>
      <c r="F1132" s="3">
        <v>298500</v>
      </c>
      <c r="G1132" s="57">
        <v>1.4494920483825966</v>
      </c>
      <c r="J1132" s="5" t="s">
        <v>4560</v>
      </c>
    </row>
    <row r="1133" spans="1:12" s="13" customFormat="1" ht="25.5" x14ac:dyDescent="0.2">
      <c r="A1133" s="1" t="s">
        <v>4</v>
      </c>
      <c r="B1133" s="2" t="s">
        <v>157</v>
      </c>
      <c r="C1133" s="1"/>
      <c r="D1133" s="5" t="s">
        <v>1600</v>
      </c>
      <c r="E1133" s="3">
        <v>98391</v>
      </c>
      <c r="F1133" s="3">
        <v>297467</v>
      </c>
      <c r="G1133" s="57">
        <v>2.0233151406124543</v>
      </c>
      <c r="H1133" s="19"/>
      <c r="I1133" s="19"/>
      <c r="J1133" s="5" t="s">
        <v>4638</v>
      </c>
      <c r="K1133" s="1"/>
      <c r="L1133" s="1"/>
    </row>
    <row r="1134" spans="1:12" ht="25.5" x14ac:dyDescent="0.2">
      <c r="A1134" s="1" t="s">
        <v>4</v>
      </c>
      <c r="B1134" s="2" t="s">
        <v>303</v>
      </c>
      <c r="C1134" s="7" t="s">
        <v>971</v>
      </c>
      <c r="D1134" s="7" t="s">
        <v>854</v>
      </c>
      <c r="E1134" s="6">
        <v>131881</v>
      </c>
      <c r="F1134" s="6">
        <v>290082</v>
      </c>
      <c r="G1134" s="57">
        <v>1.1995738582509989</v>
      </c>
      <c r="J1134" s="5" t="s">
        <v>4401</v>
      </c>
    </row>
    <row r="1135" spans="1:12" ht="38.25" x14ac:dyDescent="0.2">
      <c r="A1135" s="1" t="s">
        <v>4</v>
      </c>
      <c r="B1135" s="2" t="s">
        <v>106</v>
      </c>
      <c r="C1135" s="1"/>
      <c r="D1135" s="5" t="s">
        <v>4253</v>
      </c>
      <c r="E1135" s="3">
        <v>75958</v>
      </c>
      <c r="F1135" s="3">
        <v>288858</v>
      </c>
      <c r="G1135" s="57">
        <v>2.8028647410411018</v>
      </c>
      <c r="J1135" s="5" t="s">
        <v>4252</v>
      </c>
    </row>
    <row r="1136" spans="1:12" ht="25.5" x14ac:dyDescent="0.2">
      <c r="A1136" s="13" t="s">
        <v>34</v>
      </c>
      <c r="B1136" s="12" t="s">
        <v>48</v>
      </c>
      <c r="C1136" s="13"/>
      <c r="D1136" s="7" t="s">
        <v>3744</v>
      </c>
      <c r="E1136" s="6">
        <v>92232</v>
      </c>
      <c r="F1136" s="6">
        <v>284767</v>
      </c>
      <c r="G1136" s="57">
        <v>2.0875075895567701</v>
      </c>
      <c r="H1136" s="21"/>
      <c r="I1136" s="21"/>
      <c r="J1136" s="7" t="s">
        <v>4179</v>
      </c>
      <c r="K1136" s="13"/>
      <c r="L1136" s="13"/>
    </row>
    <row r="1137" spans="1:12" ht="63.75" x14ac:dyDescent="0.2">
      <c r="A1137" s="1" t="s">
        <v>25</v>
      </c>
      <c r="B1137" s="2" t="s">
        <v>181</v>
      </c>
      <c r="C1137" s="5" t="s">
        <v>1476</v>
      </c>
      <c r="D1137" s="5" t="s">
        <v>450</v>
      </c>
      <c r="E1137" s="9">
        <v>270474</v>
      </c>
      <c r="F1137" s="9">
        <v>281666</v>
      </c>
      <c r="G1137" s="57">
        <v>4.1379208352743703E-2</v>
      </c>
      <c r="J1137" s="5" t="s">
        <v>3540</v>
      </c>
    </row>
    <row r="1138" spans="1:12" ht="102" x14ac:dyDescent="0.2">
      <c r="A1138" s="1" t="s">
        <v>4</v>
      </c>
      <c r="B1138" s="2" t="s">
        <v>319</v>
      </c>
      <c r="D1138" s="5" t="s">
        <v>922</v>
      </c>
      <c r="E1138" s="3">
        <v>108885</v>
      </c>
      <c r="F1138" s="3">
        <v>280432</v>
      </c>
      <c r="G1138" s="57">
        <v>1.5754879000780639</v>
      </c>
      <c r="J1138" s="5" t="s">
        <v>2792</v>
      </c>
    </row>
    <row r="1139" spans="1:12" ht="38.25" x14ac:dyDescent="0.2">
      <c r="A1139" s="1" t="s">
        <v>4</v>
      </c>
      <c r="B1139" s="2" t="s">
        <v>191</v>
      </c>
      <c r="D1139" s="5" t="s">
        <v>1447</v>
      </c>
      <c r="E1139" s="9">
        <v>96478</v>
      </c>
      <c r="F1139" s="9">
        <v>271992</v>
      </c>
      <c r="G1139" s="57">
        <v>1.8192126702460665</v>
      </c>
      <c r="J1139" s="5" t="s">
        <v>3496</v>
      </c>
    </row>
    <row r="1140" spans="1:12" ht="63.75" x14ac:dyDescent="0.2">
      <c r="A1140" s="13" t="s">
        <v>111</v>
      </c>
      <c r="B1140" s="12" t="s">
        <v>110</v>
      </c>
      <c r="C1140" s="13" t="s">
        <v>3886</v>
      </c>
      <c r="D1140" s="7" t="s">
        <v>855</v>
      </c>
      <c r="E1140" s="6">
        <v>154476</v>
      </c>
      <c r="F1140" s="6">
        <v>271771</v>
      </c>
      <c r="G1140" s="57">
        <v>0.75930888940676866</v>
      </c>
      <c r="H1140" s="21"/>
      <c r="I1140" s="21"/>
      <c r="J1140" s="7" t="s">
        <v>4261</v>
      </c>
      <c r="K1140" s="13"/>
      <c r="L1140" s="13"/>
    </row>
    <row r="1141" spans="1:12" ht="38.25" x14ac:dyDescent="0.2">
      <c r="A1141" s="1" t="s">
        <v>20</v>
      </c>
      <c r="B1141" s="2" t="s">
        <v>154</v>
      </c>
      <c r="C1141" s="1" t="s">
        <v>1615</v>
      </c>
      <c r="D1141" s="5" t="s">
        <v>450</v>
      </c>
      <c r="E1141" s="3">
        <v>267442</v>
      </c>
      <c r="F1141" s="3">
        <v>271060</v>
      </c>
      <c r="G1141" s="57">
        <v>1.3528166854869466E-2</v>
      </c>
      <c r="J1141" s="5" t="s">
        <v>4321</v>
      </c>
    </row>
    <row r="1142" spans="1:12" ht="38.25" x14ac:dyDescent="0.2">
      <c r="A1142" s="1" t="s">
        <v>25</v>
      </c>
      <c r="B1142" s="2" t="s">
        <v>209</v>
      </c>
      <c r="C1142" s="5" t="s">
        <v>1357</v>
      </c>
      <c r="D1142" s="5" t="s">
        <v>1358</v>
      </c>
      <c r="E1142" s="9">
        <v>268423</v>
      </c>
      <c r="F1142" s="9">
        <v>268475</v>
      </c>
      <c r="G1142" s="57">
        <v>1.9372408474683614E-4</v>
      </c>
      <c r="J1142" s="5" t="s">
        <v>3369</v>
      </c>
    </row>
    <row r="1143" spans="1:12" ht="25.5" x14ac:dyDescent="0.2">
      <c r="A1143" s="1" t="s">
        <v>20</v>
      </c>
      <c r="B1143" s="2" t="s">
        <v>374</v>
      </c>
      <c r="C1143" s="5" t="s">
        <v>745</v>
      </c>
      <c r="D1143" s="5" t="s">
        <v>450</v>
      </c>
      <c r="E1143" s="3">
        <v>267775</v>
      </c>
      <c r="F1143" s="3">
        <v>267775</v>
      </c>
      <c r="G1143" s="57">
        <v>0</v>
      </c>
      <c r="J1143" s="5" t="s">
        <v>2540</v>
      </c>
    </row>
    <row r="1144" spans="1:12" ht="38.25" x14ac:dyDescent="0.2">
      <c r="A1144" s="1" t="s">
        <v>4</v>
      </c>
      <c r="B1144" s="2" t="s">
        <v>319</v>
      </c>
      <c r="D1144" s="5" t="s">
        <v>507</v>
      </c>
      <c r="E1144" s="3">
        <v>108529</v>
      </c>
      <c r="F1144" s="3">
        <v>262588</v>
      </c>
      <c r="G1144" s="57">
        <v>1.4195192068479392</v>
      </c>
      <c r="J1144" s="5" t="s">
        <v>4415</v>
      </c>
    </row>
    <row r="1145" spans="1:12" ht="25.5" x14ac:dyDescent="0.2">
      <c r="A1145" s="13" t="s">
        <v>4</v>
      </c>
      <c r="B1145" s="12" t="s">
        <v>63</v>
      </c>
      <c r="C1145" s="13" t="s">
        <v>1878</v>
      </c>
      <c r="D1145" s="7" t="s">
        <v>450</v>
      </c>
      <c r="E1145" s="6">
        <v>258868</v>
      </c>
      <c r="F1145" s="6">
        <v>259104</v>
      </c>
      <c r="G1145" s="57">
        <v>9.1166154178963792E-4</v>
      </c>
      <c r="H1145" s="21"/>
      <c r="I1145" s="21"/>
      <c r="J1145" s="7" t="s">
        <v>4199</v>
      </c>
      <c r="K1145" s="13"/>
      <c r="L1145" s="13"/>
    </row>
    <row r="1146" spans="1:12" ht="38.25" x14ac:dyDescent="0.2">
      <c r="A1146" s="13" t="s">
        <v>25</v>
      </c>
      <c r="B1146" s="12" t="s">
        <v>37</v>
      </c>
      <c r="C1146" s="13" t="s">
        <v>1755</v>
      </c>
      <c r="D1146" s="7" t="s">
        <v>450</v>
      </c>
      <c r="E1146" s="36">
        <v>250627</v>
      </c>
      <c r="F1146" s="36">
        <v>258782</v>
      </c>
      <c r="G1146" s="57">
        <v>3.2538393708578882E-2</v>
      </c>
      <c r="H1146" s="21"/>
      <c r="I1146" s="21"/>
      <c r="J1146" s="7" t="s">
        <v>4144</v>
      </c>
      <c r="K1146" s="13"/>
      <c r="L1146" s="13"/>
    </row>
    <row r="1147" spans="1:12" ht="25.5" x14ac:dyDescent="0.2">
      <c r="A1147" s="1" t="s">
        <v>20</v>
      </c>
      <c r="B1147" s="2" t="s">
        <v>263</v>
      </c>
      <c r="C1147" s="5" t="s">
        <v>1150</v>
      </c>
      <c r="D1147" s="5" t="s">
        <v>450</v>
      </c>
      <c r="E1147" s="3">
        <v>263700</v>
      </c>
      <c r="F1147" s="3">
        <v>256900</v>
      </c>
      <c r="G1147" s="57">
        <v>-2.578687902919985E-2</v>
      </c>
      <c r="J1147" s="5" t="s">
        <v>3071</v>
      </c>
    </row>
    <row r="1148" spans="1:12" ht="38.25" x14ac:dyDescent="0.2">
      <c r="A1148" s="1" t="s">
        <v>1</v>
      </c>
      <c r="B1148" s="2" t="s">
        <v>168</v>
      </c>
      <c r="C1148" s="5" t="s">
        <v>1572</v>
      </c>
      <c r="D1148" s="5" t="s">
        <v>1573</v>
      </c>
      <c r="E1148" s="3">
        <v>95616</v>
      </c>
      <c r="F1148" s="3">
        <v>256530</v>
      </c>
      <c r="G1148" s="57">
        <v>1.6829191767068272</v>
      </c>
      <c r="J1148" s="5" t="s">
        <v>4344</v>
      </c>
    </row>
    <row r="1149" spans="1:12" ht="25.5" x14ac:dyDescent="0.2">
      <c r="A1149" s="1" t="s">
        <v>6</v>
      </c>
      <c r="B1149" s="2" t="s">
        <v>237</v>
      </c>
      <c r="D1149" s="14" t="s">
        <v>562</v>
      </c>
      <c r="E1149" s="10">
        <v>156994</v>
      </c>
      <c r="F1149" s="10">
        <v>256138</v>
      </c>
      <c r="G1149" s="57">
        <v>0.63151458017503859</v>
      </c>
      <c r="J1149" s="5" t="s">
        <v>3188</v>
      </c>
    </row>
    <row r="1150" spans="1:12" s="13" customFormat="1" ht="38.25" x14ac:dyDescent="0.2">
      <c r="A1150" s="1" t="s">
        <v>4</v>
      </c>
      <c r="B1150" s="2" t="s">
        <v>377</v>
      </c>
      <c r="C1150" s="5" t="s">
        <v>727</v>
      </c>
      <c r="D1150" s="5" t="s">
        <v>450</v>
      </c>
      <c r="E1150" s="3">
        <v>176073</v>
      </c>
      <c r="F1150" s="3">
        <v>253133</v>
      </c>
      <c r="G1150" s="57">
        <v>0.43765937991628473</v>
      </c>
      <c r="H1150" s="19"/>
      <c r="I1150" s="19"/>
      <c r="J1150" s="5" t="s">
        <v>4473</v>
      </c>
      <c r="K1150" s="1"/>
      <c r="L1150" s="1"/>
    </row>
    <row r="1151" spans="1:12" ht="51" x14ac:dyDescent="0.2">
      <c r="A1151" s="1" t="s">
        <v>4</v>
      </c>
      <c r="B1151" s="2" t="s">
        <v>182</v>
      </c>
      <c r="D1151" s="5" t="s">
        <v>1472</v>
      </c>
      <c r="E1151" s="9">
        <v>101832</v>
      </c>
      <c r="F1151" s="9">
        <v>253040</v>
      </c>
      <c r="G1151" s="57">
        <v>1.4848770524000314</v>
      </c>
      <c r="J1151" s="5" t="s">
        <v>3535</v>
      </c>
    </row>
    <row r="1152" spans="1:12" ht="38.25" x14ac:dyDescent="0.2">
      <c r="A1152" s="1" t="s">
        <v>111</v>
      </c>
      <c r="B1152" s="2" t="s">
        <v>166</v>
      </c>
      <c r="C1152" s="5" t="s">
        <v>1578</v>
      </c>
      <c r="D1152" s="5" t="s">
        <v>450</v>
      </c>
      <c r="E1152" s="3">
        <v>245581</v>
      </c>
      <c r="F1152" s="3">
        <v>252838</v>
      </c>
      <c r="G1152" s="57">
        <v>2.9550331662465745E-2</v>
      </c>
      <c r="J1152" s="5" t="s">
        <v>4051</v>
      </c>
    </row>
    <row r="1153" spans="1:12" x14ac:dyDescent="0.2">
      <c r="A1153" s="1" t="s">
        <v>39</v>
      </c>
      <c r="B1153" s="2" t="s">
        <v>335</v>
      </c>
      <c r="D1153" s="7" t="s">
        <v>464</v>
      </c>
      <c r="E1153" s="6" t="s">
        <v>465</v>
      </c>
      <c r="F1153" s="6">
        <v>252500</v>
      </c>
      <c r="G1153" s="57" t="s">
        <v>465</v>
      </c>
      <c r="H1153" s="21"/>
      <c r="I1153" s="21"/>
      <c r="J1153" s="5" t="s">
        <v>2742</v>
      </c>
    </row>
    <row r="1154" spans="1:12" s="13" customFormat="1" ht="25.5" x14ac:dyDescent="0.2">
      <c r="A1154" s="1" t="s">
        <v>25</v>
      </c>
      <c r="B1154" s="2" t="s">
        <v>26</v>
      </c>
      <c r="C1154" s="1" t="s">
        <v>1696</v>
      </c>
      <c r="D1154" s="5" t="s">
        <v>450</v>
      </c>
      <c r="E1154" s="3">
        <v>249210</v>
      </c>
      <c r="F1154" s="3">
        <v>250818</v>
      </c>
      <c r="G1154" s="57">
        <v>6.4523895509811004E-3</v>
      </c>
      <c r="H1154" s="19"/>
      <c r="I1154" s="19"/>
      <c r="J1154" s="5" t="s">
        <v>3662</v>
      </c>
      <c r="K1154" s="1"/>
      <c r="L1154" s="1"/>
    </row>
    <row r="1155" spans="1:12" s="13" customFormat="1" ht="25.5" x14ac:dyDescent="0.2">
      <c r="A1155" s="1" t="s">
        <v>20</v>
      </c>
      <c r="B1155" s="2" t="s">
        <v>194</v>
      </c>
      <c r="C1155" s="5" t="s">
        <v>1424</v>
      </c>
      <c r="D1155" s="5" t="s">
        <v>450</v>
      </c>
      <c r="E1155" s="9">
        <v>251190</v>
      </c>
      <c r="F1155" s="9">
        <v>250118</v>
      </c>
      <c r="G1155" s="57">
        <v>-4.2676858155181333E-3</v>
      </c>
      <c r="H1155" s="19"/>
      <c r="I1155" s="19"/>
      <c r="J1155" s="5" t="s">
        <v>3468</v>
      </c>
      <c r="K1155" s="1"/>
      <c r="L1155" s="1"/>
    </row>
    <row r="1156" spans="1:12" s="13" customFormat="1" ht="25.5" x14ac:dyDescent="0.2">
      <c r="A1156" s="1" t="s">
        <v>25</v>
      </c>
      <c r="B1156" s="2" t="s">
        <v>107</v>
      </c>
      <c r="C1156" s="1" t="s">
        <v>2187</v>
      </c>
      <c r="D1156" s="5" t="s">
        <v>450</v>
      </c>
      <c r="E1156" s="3">
        <v>246810</v>
      </c>
      <c r="F1156" s="3">
        <v>248362</v>
      </c>
      <c r="G1156" s="57">
        <v>6.2882379158056808E-3</v>
      </c>
      <c r="H1156" s="19"/>
      <c r="I1156" s="19"/>
      <c r="J1156" s="5" t="s">
        <v>3861</v>
      </c>
      <c r="K1156" s="1"/>
      <c r="L1156" s="1"/>
    </row>
    <row r="1157" spans="1:12" s="13" customFormat="1" x14ac:dyDescent="0.2">
      <c r="A1157" s="1" t="s">
        <v>25</v>
      </c>
      <c r="B1157" s="12" t="s">
        <v>24</v>
      </c>
      <c r="D1157" s="7" t="s">
        <v>464</v>
      </c>
      <c r="E1157" s="6" t="s">
        <v>465</v>
      </c>
      <c r="F1157" s="6">
        <v>247500</v>
      </c>
      <c r="G1157" s="57" t="s">
        <v>465</v>
      </c>
      <c r="H1157" s="21"/>
      <c r="I1157" s="21"/>
      <c r="J1157" s="7" t="s">
        <v>1241</v>
      </c>
    </row>
    <row r="1158" spans="1:12" s="13" customFormat="1" ht="25.5" x14ac:dyDescent="0.2">
      <c r="A1158" s="1" t="s">
        <v>4</v>
      </c>
      <c r="B1158" s="2" t="s">
        <v>182</v>
      </c>
      <c r="C1158" s="5" t="s">
        <v>1467</v>
      </c>
      <c r="D1158" s="5" t="s">
        <v>450</v>
      </c>
      <c r="E1158" s="9">
        <v>246648</v>
      </c>
      <c r="F1158" s="9">
        <v>246980</v>
      </c>
      <c r="G1158" s="57">
        <v>1.3460478090233856E-3</v>
      </c>
      <c r="H1158" s="19"/>
      <c r="I1158" s="19"/>
      <c r="J1158" s="5" t="s">
        <v>3529</v>
      </c>
      <c r="K1158" s="1"/>
      <c r="L1158" s="1"/>
    </row>
    <row r="1159" spans="1:12" s="13" customFormat="1" ht="25.5" x14ac:dyDescent="0.2">
      <c r="A1159" s="1" t="s">
        <v>25</v>
      </c>
      <c r="B1159" s="2" t="s">
        <v>217</v>
      </c>
      <c r="C1159" s="5" t="s">
        <v>1300</v>
      </c>
      <c r="D1159" s="5" t="s">
        <v>450</v>
      </c>
      <c r="E1159" s="3">
        <v>269836</v>
      </c>
      <c r="F1159" s="3">
        <v>246939</v>
      </c>
      <c r="G1159" s="57">
        <v>-8.4855245408322094E-2</v>
      </c>
      <c r="H1159" s="19"/>
      <c r="I1159" s="19"/>
      <c r="J1159" s="5" t="s">
        <v>3294</v>
      </c>
      <c r="K1159" s="1"/>
      <c r="L1159" s="1"/>
    </row>
    <row r="1160" spans="1:12" s="13" customFormat="1" ht="38.25" x14ac:dyDescent="0.2">
      <c r="A1160" s="1" t="s">
        <v>111</v>
      </c>
      <c r="B1160" s="2" t="s">
        <v>282</v>
      </c>
      <c r="C1160" s="5"/>
      <c r="D1160" s="5" t="s">
        <v>452</v>
      </c>
      <c r="E1160" s="9">
        <v>137845</v>
      </c>
      <c r="F1160" s="3">
        <v>246460</v>
      </c>
      <c r="G1160" s="57">
        <v>0.78795023395843156</v>
      </c>
      <c r="H1160" s="19"/>
      <c r="I1160" s="19"/>
      <c r="J1160" s="5" t="s">
        <v>4388</v>
      </c>
      <c r="K1160" s="1"/>
      <c r="L1160" s="1"/>
    </row>
    <row r="1161" spans="1:12" s="13" customFormat="1" ht="25.5" x14ac:dyDescent="0.2">
      <c r="A1161" s="1" t="s">
        <v>25</v>
      </c>
      <c r="B1161" s="2" t="s">
        <v>184</v>
      </c>
      <c r="C1161" s="5" t="s">
        <v>1462</v>
      </c>
      <c r="D1161" s="5" t="s">
        <v>764</v>
      </c>
      <c r="E1161" s="9">
        <v>282670</v>
      </c>
      <c r="F1161" s="9">
        <v>245800</v>
      </c>
      <c r="G1161" s="57">
        <v>-0.13043478260869565</v>
      </c>
      <c r="H1161" s="19"/>
      <c r="I1161" s="19"/>
      <c r="J1161" s="5" t="s">
        <v>2232</v>
      </c>
      <c r="K1161" s="1"/>
      <c r="L1161" s="1"/>
    </row>
    <row r="1162" spans="1:12" s="13" customFormat="1" ht="51" x14ac:dyDescent="0.2">
      <c r="A1162" s="1" t="s">
        <v>34</v>
      </c>
      <c r="B1162" s="2" t="s">
        <v>101</v>
      </c>
      <c r="C1162" s="1" t="s">
        <v>2210</v>
      </c>
      <c r="D1162" s="5" t="s">
        <v>450</v>
      </c>
      <c r="E1162" s="3">
        <v>238800</v>
      </c>
      <c r="F1162" s="3">
        <v>245342</v>
      </c>
      <c r="G1162" s="57">
        <v>2.739530988274707E-2</v>
      </c>
      <c r="H1162" s="19"/>
      <c r="I1162" s="19"/>
      <c r="J1162" s="5" t="s">
        <v>4238</v>
      </c>
      <c r="K1162" s="1"/>
      <c r="L1162" s="1"/>
    </row>
    <row r="1163" spans="1:12" s="13" customFormat="1" ht="38.25" x14ac:dyDescent="0.2">
      <c r="A1163" s="1" t="s">
        <v>8</v>
      </c>
      <c r="B1163" s="2" t="s">
        <v>113</v>
      </c>
      <c r="C1163" s="1"/>
      <c r="D1163" s="5" t="s">
        <v>529</v>
      </c>
      <c r="E1163" s="3" t="s">
        <v>465</v>
      </c>
      <c r="F1163" s="3">
        <v>243886</v>
      </c>
      <c r="G1163" s="57" t="s">
        <v>465</v>
      </c>
      <c r="H1163" s="19"/>
      <c r="I1163" s="19"/>
      <c r="J1163" s="5" t="s">
        <v>4619</v>
      </c>
      <c r="K1163" s="1"/>
      <c r="L1163" s="1"/>
    </row>
    <row r="1164" spans="1:12" s="13" customFormat="1" ht="25.5" x14ac:dyDescent="0.2">
      <c r="A1164" s="1" t="s">
        <v>111</v>
      </c>
      <c r="B1164" s="2" t="s">
        <v>128</v>
      </c>
      <c r="C1164" s="1" t="s">
        <v>2101</v>
      </c>
      <c r="D1164" s="5" t="s">
        <v>450</v>
      </c>
      <c r="E1164" s="3">
        <v>242485</v>
      </c>
      <c r="F1164" s="3">
        <v>243728</v>
      </c>
      <c r="G1164" s="57">
        <v>5.1260902736251727E-3</v>
      </c>
      <c r="H1164" s="19"/>
      <c r="I1164" s="19"/>
      <c r="J1164" s="5" t="s">
        <v>3941</v>
      </c>
      <c r="K1164" s="1"/>
      <c r="L1164" s="1"/>
    </row>
    <row r="1165" spans="1:12" s="13" customFormat="1" ht="25.5" x14ac:dyDescent="0.2">
      <c r="A1165" s="1" t="s">
        <v>20</v>
      </c>
      <c r="B1165" s="2" t="s">
        <v>263</v>
      </c>
      <c r="C1165" s="5" t="s">
        <v>1152</v>
      </c>
      <c r="D1165" s="5" t="s">
        <v>1153</v>
      </c>
      <c r="E1165" s="3">
        <v>161400</v>
      </c>
      <c r="F1165" s="3">
        <v>240100</v>
      </c>
      <c r="G1165" s="57">
        <v>0.48760842627013629</v>
      </c>
      <c r="H1165" s="19"/>
      <c r="I1165" s="19"/>
      <c r="J1165" s="5" t="s">
        <v>3073</v>
      </c>
      <c r="K1165" s="1"/>
      <c r="L1165" s="1"/>
    </row>
    <row r="1166" spans="1:12" s="13" customFormat="1" ht="38.25" x14ac:dyDescent="0.2">
      <c r="A1166" s="1" t="s">
        <v>8</v>
      </c>
      <c r="B1166" s="2" t="s">
        <v>345</v>
      </c>
      <c r="C1166" s="5"/>
      <c r="D1166" s="5" t="s">
        <v>468</v>
      </c>
      <c r="E1166" s="3">
        <v>99059</v>
      </c>
      <c r="F1166" s="3">
        <v>238575</v>
      </c>
      <c r="G1166" s="57">
        <v>1.4084131679100333</v>
      </c>
      <c r="H1166" s="19"/>
      <c r="I1166" s="19"/>
      <c r="J1166" s="5" t="s">
        <v>2695</v>
      </c>
      <c r="K1166" s="1"/>
      <c r="L1166" s="1"/>
    </row>
    <row r="1167" spans="1:12" s="13" customFormat="1" ht="25.5" x14ac:dyDescent="0.2">
      <c r="A1167" s="1" t="s">
        <v>6</v>
      </c>
      <c r="B1167" s="2" t="s">
        <v>426</v>
      </c>
      <c r="C1167" s="5" t="s">
        <v>527</v>
      </c>
      <c r="D1167" s="5" t="s">
        <v>450</v>
      </c>
      <c r="E1167" s="3">
        <v>228876</v>
      </c>
      <c r="F1167" s="3">
        <v>238258</v>
      </c>
      <c r="G1167" s="57">
        <v>4.0991628654817452E-2</v>
      </c>
      <c r="H1167" s="19"/>
      <c r="I1167" s="19"/>
      <c r="J1167" s="5" t="s">
        <v>4715</v>
      </c>
      <c r="K1167" s="1"/>
      <c r="L1167" s="1"/>
    </row>
    <row r="1168" spans="1:12" s="13" customFormat="1" ht="38.25" x14ac:dyDescent="0.2">
      <c r="A1168" s="1" t="s">
        <v>6</v>
      </c>
      <c r="B1168" s="12" t="s">
        <v>231</v>
      </c>
      <c r="C1168" s="5" t="s">
        <v>1246</v>
      </c>
      <c r="D1168" s="5" t="s">
        <v>529</v>
      </c>
      <c r="E1168" s="9">
        <v>212677</v>
      </c>
      <c r="F1168" s="9">
        <v>238153</v>
      </c>
      <c r="G1168" s="57">
        <v>0.11978728306304866</v>
      </c>
      <c r="H1168" s="19"/>
      <c r="I1168" s="19"/>
      <c r="J1168" s="5" t="s">
        <v>3220</v>
      </c>
      <c r="K1168" s="1"/>
      <c r="L1168" s="1"/>
    </row>
    <row r="1169" spans="1:12" s="13" customFormat="1" ht="25.5" x14ac:dyDescent="0.2">
      <c r="A1169" s="1" t="s">
        <v>39</v>
      </c>
      <c r="B1169" s="2" t="s">
        <v>434</v>
      </c>
      <c r="C1169" s="5"/>
      <c r="D1169" s="5" t="s">
        <v>479</v>
      </c>
      <c r="E1169" s="3">
        <v>92025</v>
      </c>
      <c r="F1169" s="3">
        <v>238034</v>
      </c>
      <c r="G1169" s="57">
        <v>1.5866232002173322</v>
      </c>
      <c r="H1169" s="19"/>
      <c r="I1169" s="19"/>
      <c r="J1169" s="5" t="s">
        <v>2276</v>
      </c>
      <c r="K1169" s="1"/>
      <c r="L1169" s="1"/>
    </row>
    <row r="1170" spans="1:12" s="13" customFormat="1" x14ac:dyDescent="0.2">
      <c r="A1170" s="1" t="s">
        <v>4</v>
      </c>
      <c r="B1170" s="2" t="s">
        <v>88</v>
      </c>
      <c r="C1170" s="1"/>
      <c r="D1170" s="5" t="s">
        <v>464</v>
      </c>
      <c r="E1170" s="3" t="s">
        <v>465</v>
      </c>
      <c r="F1170" s="3">
        <v>237500</v>
      </c>
      <c r="G1170" s="57" t="s">
        <v>465</v>
      </c>
      <c r="H1170" s="19"/>
      <c r="I1170" s="19"/>
      <c r="J1170" s="5" t="s">
        <v>2254</v>
      </c>
      <c r="K1170" s="1"/>
      <c r="L1170" s="1"/>
    </row>
    <row r="1171" spans="1:12" s="13" customFormat="1" x14ac:dyDescent="0.2">
      <c r="A1171" s="1" t="s">
        <v>4</v>
      </c>
      <c r="B1171" s="2" t="s">
        <v>88</v>
      </c>
      <c r="C1171" s="1"/>
      <c r="D1171" s="5" t="s">
        <v>464</v>
      </c>
      <c r="E1171" s="3" t="s">
        <v>465</v>
      </c>
      <c r="F1171" s="3">
        <v>237500</v>
      </c>
      <c r="G1171" s="57" t="s">
        <v>465</v>
      </c>
      <c r="H1171" s="19"/>
      <c r="I1171" s="19"/>
      <c r="J1171" s="5" t="s">
        <v>2254</v>
      </c>
      <c r="K1171" s="1"/>
      <c r="L1171" s="1"/>
    </row>
    <row r="1172" spans="1:12" s="13" customFormat="1" ht="38.25" x14ac:dyDescent="0.2">
      <c r="A1172" s="1" t="s">
        <v>4</v>
      </c>
      <c r="B1172" s="2" t="s">
        <v>191</v>
      </c>
      <c r="C1172" s="5"/>
      <c r="D1172" s="5" t="s">
        <v>1449</v>
      </c>
      <c r="E1172" s="9">
        <v>84961</v>
      </c>
      <c r="F1172" s="9">
        <v>237122</v>
      </c>
      <c r="G1172" s="57">
        <v>1.7909511422888149</v>
      </c>
      <c r="H1172" s="19"/>
      <c r="I1172" s="19"/>
      <c r="J1172" s="5" t="s">
        <v>3498</v>
      </c>
      <c r="K1172" s="1"/>
      <c r="L1172" s="1"/>
    </row>
    <row r="1173" spans="1:12" s="13" customFormat="1" ht="25.5" x14ac:dyDescent="0.2">
      <c r="A1173" s="1" t="s">
        <v>6</v>
      </c>
      <c r="B1173" s="2" t="s">
        <v>430</v>
      </c>
      <c r="C1173" s="5"/>
      <c r="D1173" s="5" t="s">
        <v>450</v>
      </c>
      <c r="E1173" s="3">
        <v>159188</v>
      </c>
      <c r="F1173" s="3">
        <v>237117</v>
      </c>
      <c r="G1173" s="57">
        <v>0.48954066889464032</v>
      </c>
      <c r="H1173" s="19"/>
      <c r="I1173" s="19"/>
      <c r="J1173" s="5" t="s">
        <v>4574</v>
      </c>
      <c r="K1173" s="1"/>
      <c r="L1173" s="1"/>
    </row>
    <row r="1174" spans="1:12" s="13" customFormat="1" x14ac:dyDescent="0.2">
      <c r="A1174" s="1" t="s">
        <v>25</v>
      </c>
      <c r="B1174" s="2" t="s">
        <v>70</v>
      </c>
      <c r="C1174" s="1" t="s">
        <v>3782</v>
      </c>
      <c r="D1174" s="5" t="s">
        <v>450</v>
      </c>
      <c r="E1174" s="19">
        <v>241440</v>
      </c>
      <c r="F1174" s="19">
        <v>236869</v>
      </c>
      <c r="G1174" s="57">
        <v>-1.8932239893969516E-2</v>
      </c>
      <c r="H1174" s="19"/>
      <c r="I1174" s="19"/>
      <c r="J1174" s="5" t="s">
        <v>1912</v>
      </c>
      <c r="K1174" s="1"/>
      <c r="L1174" s="1"/>
    </row>
    <row r="1175" spans="1:12" s="13" customFormat="1" ht="25.5" x14ac:dyDescent="0.2">
      <c r="A1175" s="1" t="s">
        <v>25</v>
      </c>
      <c r="B1175" s="2" t="s">
        <v>184</v>
      </c>
      <c r="C1175" s="5" t="s">
        <v>1463</v>
      </c>
      <c r="D1175" s="5" t="s">
        <v>450</v>
      </c>
      <c r="E1175" s="9">
        <v>19355</v>
      </c>
      <c r="F1175" s="9">
        <v>236263</v>
      </c>
      <c r="G1175" s="57">
        <v>11.20681994316714</v>
      </c>
      <c r="H1175" s="19"/>
      <c r="I1175" s="19"/>
      <c r="J1175" s="5" t="s">
        <v>2233</v>
      </c>
      <c r="K1175" s="1"/>
      <c r="L1175" s="1"/>
    </row>
    <row r="1176" spans="1:12" s="13" customFormat="1" x14ac:dyDescent="0.2">
      <c r="A1176" s="1" t="s">
        <v>6</v>
      </c>
      <c r="B1176" s="2" t="s">
        <v>86</v>
      </c>
      <c r="C1176" s="1" t="s">
        <v>2030</v>
      </c>
      <c r="D1176" s="5" t="s">
        <v>450</v>
      </c>
      <c r="E1176" s="3">
        <v>218000</v>
      </c>
      <c r="F1176" s="3">
        <v>235000</v>
      </c>
      <c r="G1176" s="57">
        <v>7.7981651376146793E-2</v>
      </c>
      <c r="H1176" s="19"/>
      <c r="I1176" s="19"/>
      <c r="J1176" s="5" t="s">
        <v>2031</v>
      </c>
      <c r="K1176" s="1"/>
      <c r="L1176" s="1"/>
    </row>
    <row r="1177" spans="1:12" s="13" customFormat="1" ht="25.5" x14ac:dyDescent="0.2">
      <c r="A1177" s="1" t="s">
        <v>25</v>
      </c>
      <c r="B1177" s="2" t="s">
        <v>259</v>
      </c>
      <c r="C1177" s="5" t="s">
        <v>1165</v>
      </c>
      <c r="D1177" s="5" t="s">
        <v>4372</v>
      </c>
      <c r="E1177" s="6">
        <v>198304</v>
      </c>
      <c r="F1177" s="3">
        <v>234783</v>
      </c>
      <c r="G1177" s="57">
        <v>0.18395493787316444</v>
      </c>
      <c r="H1177" s="19"/>
      <c r="I1177" s="19"/>
      <c r="J1177" s="5" t="s">
        <v>4371</v>
      </c>
      <c r="K1177" s="1"/>
      <c r="L1177" s="1"/>
    </row>
    <row r="1178" spans="1:12" s="13" customFormat="1" ht="38.25" x14ac:dyDescent="0.2">
      <c r="A1178" s="1" t="s">
        <v>1</v>
      </c>
      <c r="B1178" s="12" t="s">
        <v>420</v>
      </c>
      <c r="C1178" s="5" t="s">
        <v>3617</v>
      </c>
      <c r="D1178" s="5" t="s">
        <v>3622</v>
      </c>
      <c r="E1178" s="9">
        <v>92616</v>
      </c>
      <c r="F1178" s="9">
        <v>234364</v>
      </c>
      <c r="G1178" s="57">
        <v>1.5304914917508854</v>
      </c>
      <c r="H1178" s="19"/>
      <c r="I1178" s="19"/>
      <c r="J1178" s="5" t="s">
        <v>3623</v>
      </c>
      <c r="K1178" s="1"/>
      <c r="L1178" s="1"/>
    </row>
    <row r="1179" spans="1:12" s="13" customFormat="1" x14ac:dyDescent="0.2">
      <c r="A1179" s="1" t="s">
        <v>20</v>
      </c>
      <c r="B1179" s="2" t="s">
        <v>69</v>
      </c>
      <c r="C1179" s="1" t="s">
        <v>1903</v>
      </c>
      <c r="D1179" s="5" t="s">
        <v>450</v>
      </c>
      <c r="E1179" s="3">
        <v>230456</v>
      </c>
      <c r="F1179" s="3">
        <v>233200</v>
      </c>
      <c r="G1179" s="57">
        <v>1.1906828201478807E-2</v>
      </c>
      <c r="H1179" s="19"/>
      <c r="I1179" s="19"/>
      <c r="J1179" s="5" t="s">
        <v>1904</v>
      </c>
      <c r="K1179" s="1"/>
      <c r="L1179" s="1"/>
    </row>
    <row r="1180" spans="1:12" s="13" customFormat="1" ht="38.25" x14ac:dyDescent="0.2">
      <c r="A1180" s="1" t="s">
        <v>20</v>
      </c>
      <c r="B1180" s="2" t="s">
        <v>30</v>
      </c>
      <c r="C1180" s="1" t="s">
        <v>1731</v>
      </c>
      <c r="D1180" s="5" t="s">
        <v>450</v>
      </c>
      <c r="E1180" s="3">
        <v>227968</v>
      </c>
      <c r="F1180" s="3">
        <v>232820</v>
      </c>
      <c r="G1180" s="57">
        <v>2.1283688938798426E-2</v>
      </c>
      <c r="H1180" s="19"/>
      <c r="I1180" s="19"/>
      <c r="J1180" s="7" t="s">
        <v>4117</v>
      </c>
      <c r="K1180" s="1"/>
      <c r="L1180" s="1"/>
    </row>
    <row r="1181" spans="1:12" s="13" customFormat="1" x14ac:dyDescent="0.2">
      <c r="A1181" s="1" t="s">
        <v>25</v>
      </c>
      <c r="B1181" s="2" t="s">
        <v>53</v>
      </c>
      <c r="C1181" s="1" t="s">
        <v>1833</v>
      </c>
      <c r="D1181" s="5" t="s">
        <v>450</v>
      </c>
      <c r="E1181" s="3">
        <v>233870</v>
      </c>
      <c r="F1181" s="3">
        <v>232646</v>
      </c>
      <c r="G1181" s="57">
        <v>-5.2336768290075679E-3</v>
      </c>
      <c r="H1181" s="19"/>
      <c r="I1181" s="19"/>
      <c r="J1181" s="5" t="s">
        <v>1834</v>
      </c>
      <c r="K1181" s="1"/>
      <c r="L1181" s="1"/>
    </row>
    <row r="1182" spans="1:12" s="13" customFormat="1" ht="25.5" x14ac:dyDescent="0.2">
      <c r="A1182" s="1" t="s">
        <v>25</v>
      </c>
      <c r="B1182" s="2" t="s">
        <v>424</v>
      </c>
      <c r="C1182" s="5" t="s">
        <v>542</v>
      </c>
      <c r="D1182" s="5" t="s">
        <v>450</v>
      </c>
      <c r="E1182" s="3">
        <v>234500</v>
      </c>
      <c r="F1182" s="3">
        <v>232604</v>
      </c>
      <c r="G1182" s="57">
        <v>-8.0852878464818759E-3</v>
      </c>
      <c r="H1182" s="19"/>
      <c r="I1182" s="19"/>
      <c r="J1182" s="5" t="s">
        <v>2328</v>
      </c>
      <c r="K1182" s="1"/>
      <c r="L1182" s="1"/>
    </row>
    <row r="1183" spans="1:12" s="13" customFormat="1" ht="38.25" x14ac:dyDescent="0.2">
      <c r="A1183" s="1" t="s">
        <v>6</v>
      </c>
      <c r="B1183" s="2" t="s">
        <v>237</v>
      </c>
      <c r="C1183" s="5" t="s">
        <v>1224</v>
      </c>
      <c r="D1183" s="14" t="s">
        <v>1225</v>
      </c>
      <c r="E1183" s="10">
        <v>232326</v>
      </c>
      <c r="F1183" s="10">
        <v>232410</v>
      </c>
      <c r="G1183" s="57">
        <v>3.6156091010046231E-4</v>
      </c>
      <c r="H1183" s="19"/>
      <c r="I1183" s="19"/>
      <c r="J1183" s="5" t="s">
        <v>3186</v>
      </c>
      <c r="K1183" s="1"/>
      <c r="L1183" s="1"/>
    </row>
    <row r="1184" spans="1:12" s="13" customFormat="1" ht="76.5" x14ac:dyDescent="0.2">
      <c r="A1184" s="1" t="s">
        <v>25</v>
      </c>
      <c r="B1184" s="2" t="s">
        <v>150</v>
      </c>
      <c r="C1184" s="1" t="s">
        <v>1633</v>
      </c>
      <c r="D1184" s="5" t="s">
        <v>450</v>
      </c>
      <c r="E1184" s="3">
        <v>248441.54</v>
      </c>
      <c r="F1184" s="3">
        <v>231603.89</v>
      </c>
      <c r="G1184" s="57">
        <v>-6.7773086578033589E-2</v>
      </c>
      <c r="H1184" s="19"/>
      <c r="I1184" s="19"/>
      <c r="J1184" s="5" t="s">
        <v>4635</v>
      </c>
      <c r="K1184" s="1"/>
      <c r="L1184" s="1"/>
    </row>
    <row r="1185" spans="1:12" s="13" customFormat="1" ht="25.5" x14ac:dyDescent="0.2">
      <c r="A1185" s="1" t="s">
        <v>25</v>
      </c>
      <c r="B1185" s="2" t="s">
        <v>225</v>
      </c>
      <c r="C1185" s="5" t="s">
        <v>1255</v>
      </c>
      <c r="D1185" s="5" t="s">
        <v>450</v>
      </c>
      <c r="E1185" s="3">
        <v>229902</v>
      </c>
      <c r="F1185" s="3">
        <v>230864</v>
      </c>
      <c r="G1185" s="57">
        <v>4.1843916103383181E-3</v>
      </c>
      <c r="H1185" s="19"/>
      <c r="I1185" s="19"/>
      <c r="J1185" s="5" t="s">
        <v>3239</v>
      </c>
      <c r="K1185" s="1"/>
      <c r="L1185" s="1"/>
    </row>
    <row r="1186" spans="1:12" s="13" customFormat="1" ht="25.5" x14ac:dyDescent="0.2">
      <c r="A1186" s="1" t="s">
        <v>25</v>
      </c>
      <c r="B1186" s="2" t="s">
        <v>187</v>
      </c>
      <c r="C1186" s="5" t="s">
        <v>1456</v>
      </c>
      <c r="D1186" s="5" t="s">
        <v>450</v>
      </c>
      <c r="E1186" s="9">
        <v>219504</v>
      </c>
      <c r="F1186" s="9">
        <v>230822</v>
      </c>
      <c r="G1186" s="57">
        <v>5.1561702748013701E-2</v>
      </c>
      <c r="H1186" s="19"/>
      <c r="I1186" s="19"/>
      <c r="J1186" s="5" t="s">
        <v>3506</v>
      </c>
      <c r="K1186" s="1"/>
      <c r="L1186" s="1"/>
    </row>
    <row r="1187" spans="1:12" s="13" customFormat="1" ht="25.5" x14ac:dyDescent="0.2">
      <c r="A1187" s="1" t="s">
        <v>25</v>
      </c>
      <c r="B1187" s="2" t="s">
        <v>53</v>
      </c>
      <c r="C1187" s="1"/>
      <c r="D1187" s="5" t="s">
        <v>4170</v>
      </c>
      <c r="E1187" s="3">
        <v>161303</v>
      </c>
      <c r="F1187" s="3">
        <v>230342</v>
      </c>
      <c r="G1187" s="57">
        <v>0.42800815855873731</v>
      </c>
      <c r="H1187" s="19"/>
      <c r="I1187" s="19"/>
      <c r="J1187" s="5" t="s">
        <v>4171</v>
      </c>
      <c r="K1187" s="1"/>
      <c r="L1187" s="1"/>
    </row>
    <row r="1188" spans="1:12" s="13" customFormat="1" x14ac:dyDescent="0.2">
      <c r="A1188" s="13" t="s">
        <v>111</v>
      </c>
      <c r="B1188" s="2" t="s">
        <v>247</v>
      </c>
      <c r="C1188" s="5"/>
      <c r="D1188" s="5" t="s">
        <v>949</v>
      </c>
      <c r="E1188" s="3">
        <v>100479</v>
      </c>
      <c r="F1188" s="3">
        <v>230101</v>
      </c>
      <c r="G1188" s="57">
        <v>1.2900407050229401</v>
      </c>
      <c r="H1188" s="19"/>
      <c r="I1188" s="19"/>
      <c r="J1188" s="5" t="s">
        <v>3153</v>
      </c>
      <c r="K1188" s="1"/>
      <c r="L1188" s="1"/>
    </row>
    <row r="1189" spans="1:12" s="13" customFormat="1" ht="25.5" x14ac:dyDescent="0.2">
      <c r="A1189" s="1" t="s">
        <v>8</v>
      </c>
      <c r="B1189" s="2" t="s">
        <v>223</v>
      </c>
      <c r="C1189" s="5" t="s">
        <v>1265</v>
      </c>
      <c r="D1189" s="5" t="s">
        <v>450</v>
      </c>
      <c r="E1189" s="3">
        <v>231000</v>
      </c>
      <c r="F1189" s="3">
        <v>230000</v>
      </c>
      <c r="G1189" s="57">
        <v>-4.329004329004329E-3</v>
      </c>
      <c r="H1189" s="19"/>
      <c r="I1189" s="19"/>
      <c r="J1189" s="5" t="s">
        <v>3248</v>
      </c>
      <c r="K1189" s="1"/>
      <c r="L1189" s="1"/>
    </row>
    <row r="1190" spans="1:12" s="13" customFormat="1" ht="25.5" x14ac:dyDescent="0.2">
      <c r="A1190" s="1" t="s">
        <v>111</v>
      </c>
      <c r="B1190" s="2" t="s">
        <v>376</v>
      </c>
      <c r="C1190" s="5" t="s">
        <v>741</v>
      </c>
      <c r="D1190" s="5" t="s">
        <v>450</v>
      </c>
      <c r="E1190" s="3">
        <v>238967</v>
      </c>
      <c r="F1190" s="3">
        <v>229547</v>
      </c>
      <c r="G1190" s="57">
        <v>-3.9419668824565733E-2</v>
      </c>
      <c r="H1190" s="19"/>
      <c r="I1190" s="19"/>
      <c r="J1190" s="5" t="s">
        <v>2537</v>
      </c>
      <c r="K1190" s="1"/>
      <c r="L1190" s="1"/>
    </row>
    <row r="1191" spans="1:12" s="13" customFormat="1" ht="25.5" x14ac:dyDescent="0.2">
      <c r="A1191" s="1" t="s">
        <v>20</v>
      </c>
      <c r="B1191" s="2" t="s">
        <v>79</v>
      </c>
      <c r="C1191" s="1" t="s">
        <v>1980</v>
      </c>
      <c r="D1191" s="5" t="s">
        <v>450</v>
      </c>
      <c r="E1191" s="3">
        <v>98814</v>
      </c>
      <c r="F1191" s="3">
        <v>228770</v>
      </c>
      <c r="G1191" s="57">
        <v>1.3151577711660292</v>
      </c>
      <c r="H1191" s="19"/>
      <c r="I1191" s="19"/>
      <c r="J1191" s="5" t="s">
        <v>3812</v>
      </c>
      <c r="K1191" s="1"/>
      <c r="L1191" s="1"/>
    </row>
    <row r="1192" spans="1:12" s="13" customFormat="1" ht="25.5" x14ac:dyDescent="0.2">
      <c r="A1192" s="1" t="s">
        <v>6</v>
      </c>
      <c r="B1192" s="2" t="s">
        <v>430</v>
      </c>
      <c r="C1192" s="5"/>
      <c r="D1192" s="5" t="s">
        <v>509</v>
      </c>
      <c r="E1192" s="3">
        <v>126966</v>
      </c>
      <c r="F1192" s="3">
        <v>228746</v>
      </c>
      <c r="G1192" s="57">
        <v>0.80163193295842983</v>
      </c>
      <c r="H1192" s="19"/>
      <c r="I1192" s="19"/>
      <c r="J1192" s="5" t="s">
        <v>2298</v>
      </c>
      <c r="K1192" s="1"/>
      <c r="L1192" s="1"/>
    </row>
    <row r="1193" spans="1:12" s="13" customFormat="1" x14ac:dyDescent="0.2">
      <c r="A1193" s="1" t="s">
        <v>39</v>
      </c>
      <c r="B1193" s="2" t="s">
        <v>38</v>
      </c>
      <c r="C1193" s="1" t="s">
        <v>1764</v>
      </c>
      <c r="D1193" s="5" t="s">
        <v>450</v>
      </c>
      <c r="E1193" s="3">
        <v>233097</v>
      </c>
      <c r="F1193" s="3">
        <v>228490</v>
      </c>
      <c r="G1193" s="57">
        <v>-1.9764304130898296E-2</v>
      </c>
      <c r="H1193" s="19"/>
      <c r="I1193" s="19"/>
      <c r="J1193" s="5" t="s">
        <v>1765</v>
      </c>
      <c r="K1193" s="1"/>
      <c r="L1193" s="1"/>
    </row>
    <row r="1194" spans="1:12" s="13" customFormat="1" ht="51" x14ac:dyDescent="0.2">
      <c r="A1194" s="1" t="s">
        <v>25</v>
      </c>
      <c r="B1194" s="2" t="s">
        <v>26</v>
      </c>
      <c r="C1194" s="1"/>
      <c r="D1194" s="5" t="s">
        <v>1702</v>
      </c>
      <c r="E1194" s="6">
        <v>173365</v>
      </c>
      <c r="F1194" s="3">
        <v>228206</v>
      </c>
      <c r="G1194" s="57">
        <v>0.31633259308395584</v>
      </c>
      <c r="H1194" s="19"/>
      <c r="I1194" s="19"/>
      <c r="J1194" s="5" t="s">
        <v>4095</v>
      </c>
      <c r="K1194" s="1"/>
      <c r="L1194" s="1"/>
    </row>
    <row r="1195" spans="1:12" s="13" customFormat="1" ht="51" x14ac:dyDescent="0.2">
      <c r="A1195" s="1" t="s">
        <v>25</v>
      </c>
      <c r="B1195" s="2" t="s">
        <v>406</v>
      </c>
      <c r="C1195" s="5" t="s">
        <v>617</v>
      </c>
      <c r="D1195" s="5" t="s">
        <v>618</v>
      </c>
      <c r="E1195" s="9">
        <v>356891</v>
      </c>
      <c r="F1195" s="3">
        <v>227420</v>
      </c>
      <c r="G1195" s="57">
        <v>-0.36277462866813676</v>
      </c>
      <c r="H1195" s="19"/>
      <c r="I1195" s="19"/>
      <c r="J1195" s="5" t="s">
        <v>4521</v>
      </c>
      <c r="K1195" s="1"/>
      <c r="L1195" s="1"/>
    </row>
    <row r="1196" spans="1:12" s="13" customFormat="1" ht="25.5" x14ac:dyDescent="0.2">
      <c r="A1196" s="1" t="s">
        <v>28</v>
      </c>
      <c r="B1196" s="2" t="s">
        <v>50</v>
      </c>
      <c r="C1196" s="1" t="s">
        <v>1819</v>
      </c>
      <c r="D1196" s="5" t="s">
        <v>450</v>
      </c>
      <c r="E1196" s="3">
        <v>223760</v>
      </c>
      <c r="F1196" s="3">
        <v>227234</v>
      </c>
      <c r="G1196" s="57">
        <v>1.5525563103324992E-2</v>
      </c>
      <c r="H1196" s="19"/>
      <c r="I1196" s="19"/>
      <c r="J1196" s="5" t="s">
        <v>1820</v>
      </c>
      <c r="K1196" s="1"/>
      <c r="L1196" s="1"/>
    </row>
    <row r="1197" spans="1:12" s="13" customFormat="1" ht="25.5" x14ac:dyDescent="0.2">
      <c r="A1197" s="1" t="s">
        <v>39</v>
      </c>
      <c r="B1197" s="2" t="s">
        <v>404</v>
      </c>
      <c r="C1197" s="5" t="s">
        <v>645</v>
      </c>
      <c r="D1197" s="5" t="s">
        <v>450</v>
      </c>
      <c r="E1197" s="3">
        <v>213893</v>
      </c>
      <c r="F1197" s="3">
        <v>226582</v>
      </c>
      <c r="G1197" s="57">
        <v>5.9324054550639806E-2</v>
      </c>
      <c r="H1197" s="19"/>
      <c r="I1197" s="19"/>
      <c r="J1197" s="5" t="s">
        <v>4710</v>
      </c>
      <c r="K1197" s="1"/>
      <c r="L1197" s="1"/>
    </row>
    <row r="1198" spans="1:12" ht="51" x14ac:dyDescent="0.2">
      <c r="A1198" s="1" t="s">
        <v>39</v>
      </c>
      <c r="B1198" s="2" t="s">
        <v>370</v>
      </c>
      <c r="C1198" s="5" t="s">
        <v>760</v>
      </c>
      <c r="D1198" s="5" t="s">
        <v>450</v>
      </c>
      <c r="E1198" s="3">
        <v>58725</v>
      </c>
      <c r="F1198" s="3">
        <v>226575</v>
      </c>
      <c r="G1198" s="57">
        <v>2.8582375478927204</v>
      </c>
      <c r="J1198" s="5" t="s">
        <v>4469</v>
      </c>
    </row>
    <row r="1199" spans="1:12" ht="38.25" x14ac:dyDescent="0.2">
      <c r="A1199" s="1" t="s">
        <v>39</v>
      </c>
      <c r="B1199" s="2" t="s">
        <v>433</v>
      </c>
      <c r="D1199" s="5" t="s">
        <v>481</v>
      </c>
      <c r="E1199" s="3">
        <v>135493</v>
      </c>
      <c r="F1199" s="3">
        <v>226521</v>
      </c>
      <c r="G1199" s="57">
        <v>0.6718280649184829</v>
      </c>
      <c r="J1199" s="5" t="s">
        <v>2278</v>
      </c>
    </row>
    <row r="1200" spans="1:12" s="13" customFormat="1" x14ac:dyDescent="0.2">
      <c r="A1200" s="1" t="s">
        <v>6</v>
      </c>
      <c r="B1200" s="2" t="s">
        <v>85</v>
      </c>
      <c r="C1200" s="1" t="s">
        <v>2012</v>
      </c>
      <c r="D1200" s="5" t="s">
        <v>450</v>
      </c>
      <c r="E1200" s="6">
        <v>229291</v>
      </c>
      <c r="F1200" s="3">
        <v>226318</v>
      </c>
      <c r="G1200" s="57">
        <v>-1.2966056234217654E-2</v>
      </c>
      <c r="H1200" s="19"/>
      <c r="I1200" s="19"/>
      <c r="J1200" s="5" t="s">
        <v>2013</v>
      </c>
      <c r="K1200" s="1"/>
      <c r="L1200" s="1"/>
    </row>
    <row r="1201" spans="1:12" s="13" customFormat="1" ht="38.25" x14ac:dyDescent="0.2">
      <c r="A1201" s="1" t="s">
        <v>34</v>
      </c>
      <c r="B1201" s="12" t="s">
        <v>427</v>
      </c>
      <c r="C1201" s="5" t="s">
        <v>523</v>
      </c>
      <c r="D1201" s="5" t="s">
        <v>450</v>
      </c>
      <c r="E1201" s="3">
        <v>30021</v>
      </c>
      <c r="F1201" s="3">
        <v>225830</v>
      </c>
      <c r="G1201" s="57">
        <v>6.5224009859764829</v>
      </c>
      <c r="H1201" s="19"/>
      <c r="I1201" s="19"/>
      <c r="J1201" s="5" t="s">
        <v>4567</v>
      </c>
      <c r="K1201" s="1"/>
      <c r="L1201" s="1"/>
    </row>
    <row r="1202" spans="1:12" ht="25.5" x14ac:dyDescent="0.2">
      <c r="A1202" s="1" t="s">
        <v>39</v>
      </c>
      <c r="B1202" s="2" t="s">
        <v>364</v>
      </c>
      <c r="C1202" s="5" t="s">
        <v>781</v>
      </c>
      <c r="D1202" s="5" t="s">
        <v>450</v>
      </c>
      <c r="E1202" s="9" t="s">
        <v>465</v>
      </c>
      <c r="F1202" s="9">
        <v>224884</v>
      </c>
      <c r="G1202" s="57" t="s">
        <v>465</v>
      </c>
      <c r="J1202" s="5" t="s">
        <v>2604</v>
      </c>
    </row>
    <row r="1203" spans="1:12" x14ac:dyDescent="0.2">
      <c r="A1203" s="1" t="s">
        <v>25</v>
      </c>
      <c r="B1203" s="2" t="s">
        <v>175</v>
      </c>
      <c r="C1203" s="5" t="s">
        <v>1509</v>
      </c>
      <c r="D1203" s="5" t="s">
        <v>450</v>
      </c>
      <c r="E1203" s="9">
        <v>225150</v>
      </c>
      <c r="F1203" s="9">
        <v>224816.65</v>
      </c>
      <c r="G1203" s="57">
        <v>-1.4805685098823265E-3</v>
      </c>
      <c r="J1203" s="5" t="s">
        <v>3575</v>
      </c>
    </row>
    <row r="1204" spans="1:12" ht="25.5" x14ac:dyDescent="0.2">
      <c r="A1204" s="1" t="s">
        <v>6</v>
      </c>
      <c r="B1204" s="2" t="s">
        <v>216</v>
      </c>
      <c r="C1204" s="5" t="s">
        <v>1308</v>
      </c>
      <c r="D1204" s="5" t="s">
        <v>450</v>
      </c>
      <c r="E1204" s="3">
        <v>224772</v>
      </c>
      <c r="F1204" s="3">
        <v>224769</v>
      </c>
      <c r="G1204" s="57">
        <v>-1.3346858149591586E-5</v>
      </c>
      <c r="J1204" s="5" t="s">
        <v>3297</v>
      </c>
    </row>
    <row r="1205" spans="1:12" x14ac:dyDescent="0.2">
      <c r="A1205" s="1" t="s">
        <v>34</v>
      </c>
      <c r="B1205" s="2" t="s">
        <v>276</v>
      </c>
      <c r="C1205" s="5" t="s">
        <v>3001</v>
      </c>
      <c r="D1205" s="5" t="s">
        <v>450</v>
      </c>
      <c r="E1205" s="9" t="s">
        <v>465</v>
      </c>
      <c r="F1205" s="3">
        <v>224711</v>
      </c>
      <c r="G1205" s="57" t="s">
        <v>465</v>
      </c>
      <c r="J1205" s="5" t="s">
        <v>3013</v>
      </c>
    </row>
    <row r="1206" spans="1:12" ht="25.5" x14ac:dyDescent="0.2">
      <c r="A1206" s="1" t="s">
        <v>25</v>
      </c>
      <c r="B1206" s="2" t="s">
        <v>214</v>
      </c>
      <c r="C1206" s="5" t="s">
        <v>1320</v>
      </c>
      <c r="D1206" s="15" t="s">
        <v>450</v>
      </c>
      <c r="E1206" s="9">
        <v>222000</v>
      </c>
      <c r="F1206" s="9">
        <v>224000</v>
      </c>
      <c r="G1206" s="57">
        <v>9.0090090090090089E-3</v>
      </c>
      <c r="J1206" s="5" t="s">
        <v>3315</v>
      </c>
    </row>
    <row r="1207" spans="1:12" s="13" customFormat="1" ht="25.5" x14ac:dyDescent="0.2">
      <c r="A1207" s="1" t="s">
        <v>25</v>
      </c>
      <c r="B1207" s="2" t="s">
        <v>208</v>
      </c>
      <c r="C1207" s="5" t="s">
        <v>1373</v>
      </c>
      <c r="D1207" s="5" t="s">
        <v>450</v>
      </c>
      <c r="E1207" s="9">
        <v>222868</v>
      </c>
      <c r="F1207" s="9">
        <v>223834.75</v>
      </c>
      <c r="G1207" s="57">
        <v>4.3377694420015439E-3</v>
      </c>
      <c r="H1207" s="19"/>
      <c r="I1207" s="19"/>
      <c r="J1207" s="5" t="s">
        <v>3377</v>
      </c>
      <c r="K1207" s="1"/>
      <c r="L1207" s="1"/>
    </row>
    <row r="1208" spans="1:12" ht="25.5" x14ac:dyDescent="0.2">
      <c r="A1208" s="1" t="s">
        <v>25</v>
      </c>
      <c r="B1208" s="2" t="s">
        <v>304</v>
      </c>
      <c r="C1208" s="5" t="s">
        <v>966</v>
      </c>
      <c r="D1208" s="5" t="s">
        <v>450</v>
      </c>
      <c r="E1208" s="3">
        <v>223478</v>
      </c>
      <c r="F1208" s="3">
        <v>223478</v>
      </c>
      <c r="G1208" s="57">
        <v>0</v>
      </c>
      <c r="J1208" s="5" t="s">
        <v>2840</v>
      </c>
    </row>
    <row r="1209" spans="1:12" ht="38.25" x14ac:dyDescent="0.2">
      <c r="A1209" s="1" t="s">
        <v>6</v>
      </c>
      <c r="B1209" s="12" t="s">
        <v>231</v>
      </c>
      <c r="C1209" s="5" t="s">
        <v>1245</v>
      </c>
      <c r="D1209" s="5" t="s">
        <v>529</v>
      </c>
      <c r="E1209" s="9">
        <v>245026</v>
      </c>
      <c r="F1209" s="9">
        <v>223207</v>
      </c>
      <c r="G1209" s="57">
        <v>-8.9047692897896547E-2</v>
      </c>
      <c r="J1209" s="5" t="s">
        <v>3219</v>
      </c>
    </row>
    <row r="1210" spans="1:12" ht="51" x14ac:dyDescent="0.2">
      <c r="A1210" s="1" t="s">
        <v>28</v>
      </c>
      <c r="B1210" s="2" t="s">
        <v>213</v>
      </c>
      <c r="C1210" s="5" t="s">
        <v>1325</v>
      </c>
      <c r="D1210" s="5" t="s">
        <v>450</v>
      </c>
      <c r="E1210" s="9">
        <v>112777</v>
      </c>
      <c r="F1210" s="9">
        <v>222760</v>
      </c>
      <c r="G1210" s="57">
        <v>0.9752254449045461</v>
      </c>
      <c r="J1210" s="5" t="s">
        <v>4660</v>
      </c>
    </row>
    <row r="1211" spans="1:12" x14ac:dyDescent="0.2">
      <c r="A1211" s="1" t="s">
        <v>34</v>
      </c>
      <c r="B1211" s="2" t="s">
        <v>57</v>
      </c>
      <c r="C1211" s="1" t="s">
        <v>1856</v>
      </c>
      <c r="D1211" s="5" t="s">
        <v>450</v>
      </c>
      <c r="E1211" s="3">
        <v>220457</v>
      </c>
      <c r="F1211" s="3">
        <v>222133</v>
      </c>
      <c r="G1211" s="57">
        <v>7.6023895816417714E-3</v>
      </c>
      <c r="J1211" s="5" t="s">
        <v>1857</v>
      </c>
    </row>
    <row r="1212" spans="1:12" ht="38.25" x14ac:dyDescent="0.2">
      <c r="A1212" s="1" t="s">
        <v>34</v>
      </c>
      <c r="B1212" s="2" t="s">
        <v>338</v>
      </c>
      <c r="D1212" s="5" t="s">
        <v>589</v>
      </c>
      <c r="E1212" s="3">
        <v>139699.54</v>
      </c>
      <c r="F1212" s="3">
        <v>221364.7</v>
      </c>
      <c r="G1212" s="57">
        <v>0.58457715751963102</v>
      </c>
      <c r="J1212" s="5" t="s">
        <v>4450</v>
      </c>
    </row>
    <row r="1213" spans="1:12" ht="25.5" x14ac:dyDescent="0.2">
      <c r="A1213" s="1" t="s">
        <v>39</v>
      </c>
      <c r="B1213" s="2" t="s">
        <v>193</v>
      </c>
      <c r="C1213" s="5" t="s">
        <v>1441</v>
      </c>
      <c r="D1213" s="5" t="s">
        <v>450</v>
      </c>
      <c r="E1213" s="9">
        <v>219734</v>
      </c>
      <c r="F1213" s="9">
        <v>221203</v>
      </c>
      <c r="G1213" s="57">
        <v>6.6853559303521534E-3</v>
      </c>
      <c r="J1213" s="5" t="s">
        <v>3482</v>
      </c>
    </row>
    <row r="1214" spans="1:12" ht="25.5" x14ac:dyDescent="0.2">
      <c r="A1214" s="1" t="s">
        <v>25</v>
      </c>
      <c r="B1214" s="2" t="s">
        <v>311</v>
      </c>
      <c r="C1214" s="5" t="s">
        <v>936</v>
      </c>
      <c r="D1214" s="5" t="s">
        <v>450</v>
      </c>
      <c r="E1214" s="3">
        <v>215657</v>
      </c>
      <c r="F1214" s="3">
        <v>220859</v>
      </c>
      <c r="G1214" s="57">
        <v>2.4121637600448862E-2</v>
      </c>
      <c r="J1214" s="5" t="s">
        <v>2809</v>
      </c>
    </row>
    <row r="1215" spans="1:12" ht="38.25" x14ac:dyDescent="0.2">
      <c r="A1215" s="1" t="s">
        <v>25</v>
      </c>
      <c r="B1215" s="2" t="s">
        <v>197</v>
      </c>
      <c r="D1215" s="5" t="s">
        <v>1011</v>
      </c>
      <c r="E1215" s="9">
        <v>164192</v>
      </c>
      <c r="F1215" s="9">
        <v>220608</v>
      </c>
      <c r="G1215" s="57">
        <v>0.3435977392321185</v>
      </c>
      <c r="J1215" s="5" t="s">
        <v>3446</v>
      </c>
    </row>
    <row r="1216" spans="1:12" ht="25.5" x14ac:dyDescent="0.2">
      <c r="A1216" s="1" t="s">
        <v>28</v>
      </c>
      <c r="B1216" s="2" t="s">
        <v>403</v>
      </c>
      <c r="C1216" s="5" t="s">
        <v>653</v>
      </c>
      <c r="D1216" s="5" t="s">
        <v>450</v>
      </c>
      <c r="E1216" s="3">
        <v>222172</v>
      </c>
      <c r="F1216" s="3">
        <v>220451</v>
      </c>
      <c r="G1216" s="57">
        <v>-7.7462506526474982E-3</v>
      </c>
      <c r="J1216" s="5" t="s">
        <v>2425</v>
      </c>
    </row>
    <row r="1217" spans="1:12" ht="25.5" x14ac:dyDescent="0.2">
      <c r="A1217" s="1" t="s">
        <v>4</v>
      </c>
      <c r="B1217" s="2" t="s">
        <v>56</v>
      </c>
      <c r="C1217" s="1" t="s">
        <v>1849</v>
      </c>
      <c r="D1217" s="5" t="s">
        <v>450</v>
      </c>
      <c r="E1217" s="3">
        <v>107900</v>
      </c>
      <c r="F1217" s="3">
        <v>220100</v>
      </c>
      <c r="G1217" s="57">
        <v>1.0398517145505097</v>
      </c>
      <c r="J1217" s="5" t="s">
        <v>4429</v>
      </c>
    </row>
    <row r="1218" spans="1:12" ht="51" x14ac:dyDescent="0.2">
      <c r="A1218" s="1" t="s">
        <v>8</v>
      </c>
      <c r="B1218" s="2" t="s">
        <v>322</v>
      </c>
      <c r="D1218" s="5" t="s">
        <v>855</v>
      </c>
      <c r="E1218" s="3">
        <v>89005</v>
      </c>
      <c r="F1218" s="3">
        <v>219598</v>
      </c>
      <c r="G1218" s="57">
        <v>1.4672546486152462</v>
      </c>
      <c r="J1218" s="5" t="s">
        <v>4417</v>
      </c>
    </row>
    <row r="1219" spans="1:12" ht="25.5" x14ac:dyDescent="0.2">
      <c r="A1219" s="1" t="s">
        <v>20</v>
      </c>
      <c r="B1219" s="2" t="s">
        <v>374</v>
      </c>
      <c r="C1219" s="5" t="s">
        <v>748</v>
      </c>
      <c r="D1219" s="5" t="s">
        <v>749</v>
      </c>
      <c r="E1219" s="3">
        <v>154766</v>
      </c>
      <c r="F1219" s="3">
        <v>219114</v>
      </c>
      <c r="G1219" s="57">
        <v>0.41577607484848095</v>
      </c>
      <c r="J1219" s="5" t="s">
        <v>2542</v>
      </c>
    </row>
    <row r="1220" spans="1:12" ht="25.5" x14ac:dyDescent="0.2">
      <c r="A1220" s="1" t="s">
        <v>4</v>
      </c>
      <c r="B1220" s="2" t="s">
        <v>56</v>
      </c>
      <c r="C1220" s="1"/>
      <c r="D1220" s="5" t="s">
        <v>1853</v>
      </c>
      <c r="E1220" s="3">
        <v>126400</v>
      </c>
      <c r="F1220" s="3">
        <v>219100</v>
      </c>
      <c r="G1220" s="57">
        <v>0.73338607594936711</v>
      </c>
      <c r="J1220" s="5" t="s">
        <v>1854</v>
      </c>
    </row>
    <row r="1221" spans="1:12" ht="25.5" x14ac:dyDescent="0.2">
      <c r="A1221" s="1" t="s">
        <v>28</v>
      </c>
      <c r="B1221" s="2" t="s">
        <v>332</v>
      </c>
      <c r="C1221" s="5" t="s">
        <v>885</v>
      </c>
      <c r="D1221" s="5" t="s">
        <v>450</v>
      </c>
      <c r="E1221" s="3">
        <v>217814</v>
      </c>
      <c r="F1221" s="3">
        <v>217814</v>
      </c>
      <c r="G1221" s="57">
        <v>0</v>
      </c>
      <c r="J1221" s="5" t="s">
        <v>2750</v>
      </c>
    </row>
    <row r="1222" spans="1:12" ht="25.5" x14ac:dyDescent="0.2">
      <c r="A1222" s="1" t="s">
        <v>4</v>
      </c>
      <c r="B1222" s="2" t="s">
        <v>292</v>
      </c>
      <c r="C1222" s="5" t="s">
        <v>1015</v>
      </c>
      <c r="D1222" s="5" t="s">
        <v>450</v>
      </c>
      <c r="E1222" s="3">
        <v>225665</v>
      </c>
      <c r="F1222" s="3">
        <v>217640</v>
      </c>
      <c r="G1222" s="57">
        <v>-3.5561562493076022E-2</v>
      </c>
      <c r="J1222" s="5" t="s">
        <v>2909</v>
      </c>
    </row>
    <row r="1223" spans="1:12" ht="25.5" x14ac:dyDescent="0.2">
      <c r="A1223" s="1" t="s">
        <v>1</v>
      </c>
      <c r="B1223" s="12" t="s">
        <v>248</v>
      </c>
      <c r="C1223" s="7" t="s">
        <v>3143</v>
      </c>
      <c r="D1223" s="7" t="s">
        <v>452</v>
      </c>
      <c r="E1223" s="6">
        <v>116411</v>
      </c>
      <c r="F1223" s="6">
        <v>217469</v>
      </c>
      <c r="G1223" s="57">
        <v>0.8681138380393606</v>
      </c>
      <c r="H1223" s="21"/>
      <c r="I1223" s="21"/>
      <c r="J1223" s="7" t="s">
        <v>3145</v>
      </c>
      <c r="K1223" s="13"/>
      <c r="L1223" s="13"/>
    </row>
    <row r="1224" spans="1:12" ht="25.5" x14ac:dyDescent="0.2">
      <c r="A1224" s="1" t="s">
        <v>1</v>
      </c>
      <c r="B1224" s="2" t="s">
        <v>168</v>
      </c>
      <c r="C1224" s="5" t="s">
        <v>1556</v>
      </c>
      <c r="D1224" s="5" t="s">
        <v>450</v>
      </c>
      <c r="E1224" s="3">
        <v>217435</v>
      </c>
      <c r="F1224" s="3">
        <v>217419</v>
      </c>
      <c r="G1224" s="57">
        <v>-7.3585209372916039E-5</v>
      </c>
      <c r="J1224" s="5" t="s">
        <v>4056</v>
      </c>
    </row>
    <row r="1225" spans="1:12" ht="25.5" x14ac:dyDescent="0.2">
      <c r="A1225" s="1" t="s">
        <v>25</v>
      </c>
      <c r="B1225" s="2" t="s">
        <v>93</v>
      </c>
      <c r="C1225" s="1" t="s">
        <v>2226</v>
      </c>
      <c r="D1225" s="5" t="s">
        <v>2227</v>
      </c>
      <c r="E1225" s="3">
        <v>215000</v>
      </c>
      <c r="F1225" s="3">
        <v>217000</v>
      </c>
      <c r="G1225" s="57">
        <v>9.3023255813953487E-3</v>
      </c>
      <c r="J1225" s="5" t="s">
        <v>3838</v>
      </c>
    </row>
    <row r="1226" spans="1:12" x14ac:dyDescent="0.2">
      <c r="A1226" s="1" t="s">
        <v>39</v>
      </c>
      <c r="B1226" s="2" t="s">
        <v>435</v>
      </c>
      <c r="C1226" s="5" t="s">
        <v>474</v>
      </c>
      <c r="D1226" s="5" t="s">
        <v>450</v>
      </c>
      <c r="E1226" s="3">
        <v>216931</v>
      </c>
      <c r="F1226" s="3">
        <v>216999</v>
      </c>
      <c r="G1226" s="57">
        <v>3.1346372809787446E-4</v>
      </c>
      <c r="J1226" s="5" t="s">
        <v>2269</v>
      </c>
    </row>
    <row r="1227" spans="1:12" ht="25.5" x14ac:dyDescent="0.2">
      <c r="A1227" s="1" t="s">
        <v>39</v>
      </c>
      <c r="B1227" s="2" t="s">
        <v>103</v>
      </c>
      <c r="C1227" s="1" t="s">
        <v>2204</v>
      </c>
      <c r="D1227" s="5" t="s">
        <v>450</v>
      </c>
      <c r="E1227" s="3">
        <v>221949</v>
      </c>
      <c r="F1227" s="3">
        <v>216854</v>
      </c>
      <c r="G1227" s="57">
        <v>-2.2955724062735133E-2</v>
      </c>
      <c r="J1227" s="5" t="s">
        <v>4244</v>
      </c>
    </row>
    <row r="1228" spans="1:12" ht="25.5" x14ac:dyDescent="0.2">
      <c r="A1228" s="1" t="s">
        <v>8</v>
      </c>
      <c r="B1228" s="2" t="s">
        <v>285</v>
      </c>
      <c r="C1228" s="5" t="s">
        <v>1047</v>
      </c>
      <c r="D1228" s="5" t="s">
        <v>450</v>
      </c>
      <c r="E1228" s="3">
        <v>214643</v>
      </c>
      <c r="F1228" s="3">
        <v>216493</v>
      </c>
      <c r="G1228" s="57">
        <v>8.6189626496088849E-3</v>
      </c>
      <c r="J1228" s="5" t="s">
        <v>2959</v>
      </c>
    </row>
    <row r="1229" spans="1:12" ht="25.5" x14ac:dyDescent="0.2">
      <c r="A1229" s="1" t="s">
        <v>6</v>
      </c>
      <c r="B1229" s="2" t="s">
        <v>288</v>
      </c>
      <c r="C1229" s="5" t="s">
        <v>1036</v>
      </c>
      <c r="D1229" s="5" t="s">
        <v>1037</v>
      </c>
      <c r="E1229" s="3">
        <v>213000</v>
      </c>
      <c r="F1229" s="3">
        <v>216000</v>
      </c>
      <c r="G1229" s="57">
        <v>1.4084507042253521E-2</v>
      </c>
      <c r="J1229" s="5" t="s">
        <v>2948</v>
      </c>
    </row>
    <row r="1230" spans="1:12" ht="25.5" x14ac:dyDescent="0.2">
      <c r="A1230" s="1" t="s">
        <v>4</v>
      </c>
      <c r="B1230" s="2" t="s">
        <v>307</v>
      </c>
      <c r="D1230" s="5" t="s">
        <v>463</v>
      </c>
      <c r="E1230" s="3">
        <v>112000</v>
      </c>
      <c r="F1230" s="3">
        <v>216000</v>
      </c>
      <c r="G1230" s="57">
        <v>0.9285714285714286</v>
      </c>
      <c r="J1230" s="5" t="s">
        <v>2825</v>
      </c>
    </row>
    <row r="1231" spans="1:12" ht="25.5" x14ac:dyDescent="0.2">
      <c r="A1231" s="1" t="s">
        <v>25</v>
      </c>
      <c r="B1231" s="2" t="s">
        <v>398</v>
      </c>
      <c r="C1231" s="5" t="s">
        <v>664</v>
      </c>
      <c r="D1231" s="5" t="s">
        <v>450</v>
      </c>
      <c r="E1231" s="3">
        <v>204261</v>
      </c>
      <c r="F1231" s="3">
        <v>215583</v>
      </c>
      <c r="G1231" s="57">
        <v>5.5429083378618529E-2</v>
      </c>
      <c r="J1231" s="5" t="s">
        <v>2448</v>
      </c>
    </row>
    <row r="1232" spans="1:12" ht="25.5" x14ac:dyDescent="0.2">
      <c r="A1232" s="1" t="s">
        <v>25</v>
      </c>
      <c r="B1232" s="2" t="s">
        <v>26</v>
      </c>
      <c r="C1232" s="1"/>
      <c r="D1232" s="5" t="s">
        <v>1703</v>
      </c>
      <c r="E1232" s="6" t="s">
        <v>465</v>
      </c>
      <c r="F1232" s="3">
        <v>215349</v>
      </c>
      <c r="G1232" s="57" t="s">
        <v>465</v>
      </c>
      <c r="J1232" s="5" t="s">
        <v>3665</v>
      </c>
    </row>
    <row r="1233" spans="1:12" ht="38.25" x14ac:dyDescent="0.2">
      <c r="A1233" s="1" t="s">
        <v>4</v>
      </c>
      <c r="B1233" s="2" t="s">
        <v>182</v>
      </c>
      <c r="D1233" s="5" t="s">
        <v>1474</v>
      </c>
      <c r="E1233" s="9">
        <v>148113</v>
      </c>
      <c r="F1233" s="9">
        <v>215051</v>
      </c>
      <c r="G1233" s="57">
        <v>0.45193872246190409</v>
      </c>
      <c r="J1233" s="5" t="s">
        <v>3538</v>
      </c>
    </row>
    <row r="1234" spans="1:12" ht="38.25" x14ac:dyDescent="0.2">
      <c r="A1234" s="1" t="s">
        <v>6</v>
      </c>
      <c r="B1234" s="2" t="s">
        <v>288</v>
      </c>
      <c r="D1234" s="5" t="s">
        <v>1038</v>
      </c>
      <c r="E1234" s="3">
        <v>160000</v>
      </c>
      <c r="F1234" s="3">
        <v>215000</v>
      </c>
      <c r="G1234" s="57">
        <v>0.34375</v>
      </c>
      <c r="J1234" s="5" t="s">
        <v>2949</v>
      </c>
    </row>
    <row r="1235" spans="1:12" ht="76.5" x14ac:dyDescent="0.2">
      <c r="A1235" s="1" t="s">
        <v>4</v>
      </c>
      <c r="B1235" s="2" t="s">
        <v>144</v>
      </c>
      <c r="C1235" s="1" t="s">
        <v>1641</v>
      </c>
      <c r="D1235" s="5" t="s">
        <v>450</v>
      </c>
      <c r="E1235" s="3">
        <v>233239</v>
      </c>
      <c r="F1235" s="3">
        <v>213716</v>
      </c>
      <c r="G1235" s="57">
        <v>-8.3703840266850738E-2</v>
      </c>
      <c r="J1235" s="5" t="s">
        <v>4310</v>
      </c>
    </row>
    <row r="1236" spans="1:12" ht="25.5" x14ac:dyDescent="0.2">
      <c r="A1236" s="13" t="s">
        <v>111</v>
      </c>
      <c r="B1236" s="2" t="s">
        <v>247</v>
      </c>
      <c r="D1236" s="5" t="s">
        <v>1198</v>
      </c>
      <c r="E1236" s="3">
        <v>134863</v>
      </c>
      <c r="F1236" s="3">
        <v>212672</v>
      </c>
      <c r="G1236" s="57">
        <v>0.57694845880634427</v>
      </c>
      <c r="J1236" s="5" t="s">
        <v>3148</v>
      </c>
    </row>
    <row r="1237" spans="1:12" ht="25.5" x14ac:dyDescent="0.2">
      <c r="A1237" s="1" t="s">
        <v>39</v>
      </c>
      <c r="B1237" s="2" t="s">
        <v>335</v>
      </c>
      <c r="C1237" s="7" t="s">
        <v>880</v>
      </c>
      <c r="D1237" s="7" t="s">
        <v>450</v>
      </c>
      <c r="E1237" s="6">
        <v>104625</v>
      </c>
      <c r="F1237" s="6">
        <v>212520</v>
      </c>
      <c r="G1237" s="57">
        <v>1.0312544802867383</v>
      </c>
      <c r="H1237" s="21"/>
      <c r="I1237" s="21"/>
      <c r="J1237" s="7" t="s">
        <v>4596</v>
      </c>
    </row>
    <row r="1238" spans="1:12" x14ac:dyDescent="0.2">
      <c r="A1238" s="1" t="s">
        <v>4</v>
      </c>
      <c r="B1238" s="2" t="s">
        <v>210</v>
      </c>
      <c r="D1238" s="5" t="s">
        <v>464</v>
      </c>
      <c r="E1238" s="3" t="s">
        <v>465</v>
      </c>
      <c r="F1238" s="3">
        <v>212500</v>
      </c>
      <c r="G1238" s="57" t="s">
        <v>465</v>
      </c>
    </row>
    <row r="1239" spans="1:12" ht="38.25" x14ac:dyDescent="0.2">
      <c r="A1239" s="1" t="s">
        <v>1</v>
      </c>
      <c r="B1239" s="13" t="s">
        <v>0</v>
      </c>
      <c r="C1239" s="13" t="s">
        <v>3635</v>
      </c>
      <c r="D1239" s="7" t="s">
        <v>4074</v>
      </c>
      <c r="E1239" s="6">
        <v>82515</v>
      </c>
      <c r="F1239" s="6">
        <v>212425</v>
      </c>
      <c r="G1239" s="57">
        <v>1.5743804156819972</v>
      </c>
      <c r="H1239" s="21"/>
      <c r="I1239" s="21"/>
      <c r="J1239" s="7" t="s">
        <v>4075</v>
      </c>
      <c r="K1239" s="13"/>
      <c r="L1239" s="13"/>
    </row>
    <row r="1240" spans="1:12" ht="38.25" x14ac:dyDescent="0.2">
      <c r="A1240" s="1" t="s">
        <v>25</v>
      </c>
      <c r="B1240" s="2" t="s">
        <v>406</v>
      </c>
      <c r="C1240" s="5" t="s">
        <v>619</v>
      </c>
      <c r="D1240" s="5" t="s">
        <v>562</v>
      </c>
      <c r="E1240" s="9">
        <v>213788</v>
      </c>
      <c r="F1240" s="3">
        <v>212420</v>
      </c>
      <c r="G1240" s="57">
        <v>-6.3988624244578742E-3</v>
      </c>
      <c r="J1240" s="5" t="s">
        <v>2402</v>
      </c>
    </row>
    <row r="1241" spans="1:12" ht="25.5" x14ac:dyDescent="0.2">
      <c r="A1241" s="1" t="s">
        <v>25</v>
      </c>
      <c r="B1241" s="2" t="s">
        <v>259</v>
      </c>
      <c r="C1241" s="5" t="s">
        <v>1166</v>
      </c>
      <c r="D1241" s="5" t="s">
        <v>1167</v>
      </c>
      <c r="E1241" s="3">
        <v>134593</v>
      </c>
      <c r="F1241" s="3">
        <v>212329</v>
      </c>
      <c r="G1241" s="57">
        <v>0.57756346912543743</v>
      </c>
      <c r="J1241" s="5" t="s">
        <v>3086</v>
      </c>
    </row>
    <row r="1242" spans="1:12" x14ac:dyDescent="0.2">
      <c r="A1242" s="1" t="s">
        <v>25</v>
      </c>
      <c r="B1242" s="2" t="s">
        <v>243</v>
      </c>
      <c r="C1242" s="5" t="s">
        <v>1201</v>
      </c>
      <c r="D1242" s="5" t="s">
        <v>450</v>
      </c>
      <c r="E1242" s="3">
        <v>207689</v>
      </c>
      <c r="F1242" s="3">
        <v>212325</v>
      </c>
      <c r="G1242" s="57">
        <v>2.2321836977403715E-2</v>
      </c>
      <c r="J1242" s="5" t="s">
        <v>3156</v>
      </c>
    </row>
    <row r="1243" spans="1:12" ht="25.5" x14ac:dyDescent="0.2">
      <c r="A1243" s="13" t="s">
        <v>34</v>
      </c>
      <c r="B1243" s="12" t="s">
        <v>33</v>
      </c>
      <c r="C1243" s="13" t="s">
        <v>1736</v>
      </c>
      <c r="D1243" s="7" t="s">
        <v>450</v>
      </c>
      <c r="E1243" s="6">
        <v>211859</v>
      </c>
      <c r="F1243" s="6">
        <v>212186</v>
      </c>
      <c r="G1243" s="57">
        <v>1.5434793895940224E-3</v>
      </c>
      <c r="H1243" s="21"/>
      <c r="I1243" s="21"/>
      <c r="J1243" s="7" t="s">
        <v>4133</v>
      </c>
      <c r="K1243" s="13"/>
      <c r="L1243" s="13"/>
    </row>
    <row r="1244" spans="1:12" ht="38.25" x14ac:dyDescent="0.2">
      <c r="A1244" s="1" t="s">
        <v>20</v>
      </c>
      <c r="B1244" s="2" t="s">
        <v>341</v>
      </c>
      <c r="D1244" s="5" t="s">
        <v>450</v>
      </c>
      <c r="E1244" s="3">
        <v>157029</v>
      </c>
      <c r="F1244" s="3">
        <v>211817</v>
      </c>
      <c r="G1244" s="57">
        <v>0.34890370568493717</v>
      </c>
      <c r="J1244" s="5" t="s">
        <v>4427</v>
      </c>
    </row>
    <row r="1245" spans="1:12" x14ac:dyDescent="0.2">
      <c r="A1245" s="1" t="s">
        <v>34</v>
      </c>
      <c r="B1245" s="2" t="s">
        <v>91</v>
      </c>
      <c r="C1245" s="1"/>
      <c r="D1245" s="5" t="s">
        <v>3834</v>
      </c>
      <c r="E1245" s="3">
        <v>81919</v>
      </c>
      <c r="F1245" s="3">
        <v>211809</v>
      </c>
      <c r="G1245" s="57">
        <v>1.585590644417046</v>
      </c>
      <c r="J1245" s="5" t="s">
        <v>2074</v>
      </c>
    </row>
    <row r="1246" spans="1:12" ht="25.5" x14ac:dyDescent="0.2">
      <c r="A1246" s="1" t="s">
        <v>34</v>
      </c>
      <c r="B1246" s="2" t="s">
        <v>297</v>
      </c>
      <c r="C1246" s="5" t="s">
        <v>993</v>
      </c>
      <c r="D1246" s="5" t="s">
        <v>450</v>
      </c>
      <c r="E1246" s="3">
        <v>204297</v>
      </c>
      <c r="F1246" s="3">
        <v>211323</v>
      </c>
      <c r="G1246" s="57">
        <v>3.4391107064714606E-2</v>
      </c>
      <c r="J1246" s="5" t="s">
        <v>2867</v>
      </c>
    </row>
    <row r="1247" spans="1:12" ht="38.25" x14ac:dyDescent="0.2">
      <c r="A1247" s="1" t="s">
        <v>4</v>
      </c>
      <c r="B1247" s="2" t="s">
        <v>421</v>
      </c>
      <c r="D1247" s="5" t="s">
        <v>573</v>
      </c>
      <c r="E1247" s="3">
        <v>101812</v>
      </c>
      <c r="F1247" s="3">
        <v>211245</v>
      </c>
      <c r="G1247" s="57">
        <v>1.0748536518288609</v>
      </c>
      <c r="J1247" s="5" t="s">
        <v>2351</v>
      </c>
    </row>
    <row r="1248" spans="1:12" ht="38.25" x14ac:dyDescent="0.2">
      <c r="A1248" s="1" t="s">
        <v>25</v>
      </c>
      <c r="B1248" s="2" t="s">
        <v>405</v>
      </c>
      <c r="C1248" s="5" t="s">
        <v>640</v>
      </c>
      <c r="D1248" s="5" t="s">
        <v>4517</v>
      </c>
      <c r="E1248" s="6">
        <v>181889</v>
      </c>
      <c r="F1248" s="3">
        <v>210834</v>
      </c>
      <c r="G1248" s="57">
        <v>0.15913551671623902</v>
      </c>
      <c r="J1248" s="5" t="s">
        <v>4516</v>
      </c>
    </row>
    <row r="1249" spans="1:12" ht="38.25" x14ac:dyDescent="0.2">
      <c r="A1249" s="1" t="s">
        <v>25</v>
      </c>
      <c r="B1249" s="2" t="s">
        <v>406</v>
      </c>
      <c r="C1249" s="5" t="s">
        <v>620</v>
      </c>
      <c r="D1249" s="5" t="s">
        <v>621</v>
      </c>
      <c r="E1249" s="9">
        <v>193751</v>
      </c>
      <c r="F1249" s="3">
        <v>210753</v>
      </c>
      <c r="G1249" s="57">
        <v>8.7751805151973408E-2</v>
      </c>
      <c r="J1249" s="5" t="s">
        <v>4522</v>
      </c>
    </row>
    <row r="1250" spans="1:12" ht="25.5" x14ac:dyDescent="0.2">
      <c r="A1250" s="1" t="s">
        <v>6</v>
      </c>
      <c r="B1250" s="2" t="s">
        <v>324</v>
      </c>
      <c r="C1250" s="5" t="s">
        <v>913</v>
      </c>
      <c r="D1250" s="5" t="s">
        <v>450</v>
      </c>
      <c r="E1250" s="3">
        <v>208977</v>
      </c>
      <c r="F1250" s="3">
        <v>210392</v>
      </c>
      <c r="G1250" s="57">
        <v>6.7710800710125991E-3</v>
      </c>
      <c r="J1250" s="5" t="s">
        <v>2779</v>
      </c>
    </row>
    <row r="1251" spans="1:12" ht="38.25" x14ac:dyDescent="0.2">
      <c r="A1251" s="1" t="s">
        <v>25</v>
      </c>
      <c r="B1251" s="2" t="s">
        <v>406</v>
      </c>
      <c r="C1251" s="5" t="s">
        <v>622</v>
      </c>
      <c r="D1251" s="5" t="s">
        <v>623</v>
      </c>
      <c r="E1251" s="9">
        <v>252180</v>
      </c>
      <c r="F1251" s="3">
        <v>209707</v>
      </c>
      <c r="G1251" s="57">
        <v>-0.16842334840193512</v>
      </c>
      <c r="J1251" s="5" t="s">
        <v>2403</v>
      </c>
    </row>
    <row r="1252" spans="1:12" ht="51" x14ac:dyDescent="0.2">
      <c r="A1252" s="1" t="s">
        <v>28</v>
      </c>
      <c r="B1252" s="2" t="s">
        <v>120</v>
      </c>
      <c r="C1252" s="1"/>
      <c r="D1252" s="5" t="s">
        <v>3917</v>
      </c>
      <c r="E1252" s="3">
        <v>139375</v>
      </c>
      <c r="F1252" s="3">
        <v>209424</v>
      </c>
      <c r="G1252" s="57">
        <v>0.50259372197309415</v>
      </c>
      <c r="J1252" s="5" t="s">
        <v>4281</v>
      </c>
    </row>
    <row r="1253" spans="1:12" ht="25.5" x14ac:dyDescent="0.2">
      <c r="A1253" s="1" t="s">
        <v>25</v>
      </c>
      <c r="B1253" s="2" t="s">
        <v>192</v>
      </c>
      <c r="C1253" s="5" t="s">
        <v>1442</v>
      </c>
      <c r="D1253" s="5" t="s">
        <v>450</v>
      </c>
      <c r="E1253" s="9">
        <v>200215</v>
      </c>
      <c r="F1253" s="9">
        <v>208326</v>
      </c>
      <c r="G1253" s="57">
        <v>4.0511450191044629E-2</v>
      </c>
      <c r="J1253" s="5" t="s">
        <v>3490</v>
      </c>
    </row>
    <row r="1254" spans="1:12" ht="25.5" x14ac:dyDescent="0.2">
      <c r="A1254" s="1" t="s">
        <v>8</v>
      </c>
      <c r="B1254" s="2" t="s">
        <v>222</v>
      </c>
      <c r="C1254" s="5" t="s">
        <v>1276</v>
      </c>
      <c r="D1254" s="5" t="s">
        <v>450</v>
      </c>
      <c r="E1254" s="3">
        <v>208127</v>
      </c>
      <c r="F1254" s="3">
        <v>208322</v>
      </c>
      <c r="G1254" s="57">
        <v>9.3692793342526443E-4</v>
      </c>
      <c r="J1254" s="5" t="s">
        <v>4666</v>
      </c>
    </row>
    <row r="1255" spans="1:12" ht="25.5" x14ac:dyDescent="0.2">
      <c r="A1255" s="1" t="s">
        <v>4</v>
      </c>
      <c r="B1255" s="2" t="s">
        <v>423</v>
      </c>
      <c r="C1255" s="5" t="s">
        <v>551</v>
      </c>
      <c r="D1255" s="5" t="s">
        <v>450</v>
      </c>
      <c r="E1255" s="6">
        <v>183342</v>
      </c>
      <c r="F1255" s="3">
        <v>207693</v>
      </c>
      <c r="G1255" s="57">
        <v>0.13281735772490755</v>
      </c>
      <c r="J1255" s="5" t="s">
        <v>2334</v>
      </c>
    </row>
    <row r="1256" spans="1:12" x14ac:dyDescent="0.2">
      <c r="A1256" s="1" t="s">
        <v>25</v>
      </c>
      <c r="B1256" s="2" t="s">
        <v>178</v>
      </c>
      <c r="D1256" s="5" t="s">
        <v>464</v>
      </c>
      <c r="E1256" s="3" t="s">
        <v>465</v>
      </c>
      <c r="F1256" s="3">
        <v>207500</v>
      </c>
      <c r="G1256" s="57" t="s">
        <v>465</v>
      </c>
    </row>
    <row r="1257" spans="1:12" x14ac:dyDescent="0.2">
      <c r="A1257" s="1" t="s">
        <v>4</v>
      </c>
      <c r="B1257" s="2" t="s">
        <v>210</v>
      </c>
      <c r="D1257" s="5" t="s">
        <v>464</v>
      </c>
      <c r="E1257" s="3" t="s">
        <v>465</v>
      </c>
      <c r="F1257" s="3">
        <v>207500</v>
      </c>
      <c r="G1257" s="57" t="s">
        <v>465</v>
      </c>
    </row>
    <row r="1258" spans="1:12" x14ac:dyDescent="0.2">
      <c r="A1258" s="1" t="s">
        <v>6</v>
      </c>
      <c r="B1258" s="12" t="s">
        <v>231</v>
      </c>
      <c r="D1258" s="5" t="s">
        <v>464</v>
      </c>
      <c r="E1258" s="3" t="s">
        <v>465</v>
      </c>
      <c r="F1258" s="3">
        <v>207500</v>
      </c>
      <c r="G1258" s="57" t="s">
        <v>465</v>
      </c>
    </row>
    <row r="1259" spans="1:12" x14ac:dyDescent="0.2">
      <c r="A1259" s="1" t="s">
        <v>39</v>
      </c>
      <c r="B1259" s="2" t="s">
        <v>409</v>
      </c>
      <c r="D1259" s="5" t="s">
        <v>587</v>
      </c>
      <c r="E1259" s="3" t="s">
        <v>465</v>
      </c>
      <c r="F1259" s="3">
        <v>207500</v>
      </c>
      <c r="G1259" s="57" t="s">
        <v>465</v>
      </c>
      <c r="J1259" s="5" t="s">
        <v>540</v>
      </c>
    </row>
    <row r="1260" spans="1:12" ht="25.5" x14ac:dyDescent="0.2">
      <c r="A1260" s="1" t="s">
        <v>111</v>
      </c>
      <c r="B1260" s="2" t="s">
        <v>282</v>
      </c>
      <c r="C1260" s="5" t="s">
        <v>1062</v>
      </c>
      <c r="D1260" s="5" t="s">
        <v>1063</v>
      </c>
      <c r="E1260" s="9">
        <v>152092</v>
      </c>
      <c r="F1260" s="3">
        <v>207341</v>
      </c>
      <c r="G1260" s="57">
        <v>0.36326039502406438</v>
      </c>
      <c r="J1260" s="5" t="s">
        <v>2980</v>
      </c>
    </row>
    <row r="1261" spans="1:12" ht="25.5" x14ac:dyDescent="0.2">
      <c r="A1261" s="13" t="s">
        <v>25</v>
      </c>
      <c r="B1261" s="12" t="s">
        <v>37</v>
      </c>
      <c r="C1261" s="13" t="s">
        <v>1756</v>
      </c>
      <c r="D1261" s="7" t="s">
        <v>3697</v>
      </c>
      <c r="E1261" s="36">
        <v>210998</v>
      </c>
      <c r="F1261" s="36">
        <v>207265</v>
      </c>
      <c r="G1261" s="57">
        <v>-1.769211082569503E-2</v>
      </c>
      <c r="H1261" s="21"/>
      <c r="I1261" s="21"/>
      <c r="J1261" s="7" t="s">
        <v>3698</v>
      </c>
      <c r="K1261" s="13"/>
      <c r="L1261" s="13"/>
    </row>
    <row r="1262" spans="1:12" ht="25.5" x14ac:dyDescent="0.2">
      <c r="A1262" s="1" t="s">
        <v>8</v>
      </c>
      <c r="B1262" s="2" t="s">
        <v>229</v>
      </c>
      <c r="C1262" s="5" t="s">
        <v>1248</v>
      </c>
      <c r="D1262" s="5" t="s">
        <v>450</v>
      </c>
      <c r="E1262" s="3">
        <v>206059</v>
      </c>
      <c r="F1262" s="3">
        <v>207113</v>
      </c>
      <c r="G1262" s="57">
        <v>5.1150398672224944E-3</v>
      </c>
      <c r="J1262" s="5" t="s">
        <v>3225</v>
      </c>
    </row>
    <row r="1263" spans="1:12" ht="25.5" x14ac:dyDescent="0.2">
      <c r="A1263" s="13" t="s">
        <v>25</v>
      </c>
      <c r="B1263" s="12" t="s">
        <v>37</v>
      </c>
      <c r="C1263" s="13" t="s">
        <v>1757</v>
      </c>
      <c r="D1263" s="7" t="s">
        <v>1758</v>
      </c>
      <c r="E1263" s="36">
        <v>210818</v>
      </c>
      <c r="F1263" s="36">
        <v>206963</v>
      </c>
      <c r="G1263" s="57">
        <v>-1.8285914864954605E-2</v>
      </c>
      <c r="H1263" s="21"/>
      <c r="I1263" s="21"/>
      <c r="J1263" s="7" t="s">
        <v>3699</v>
      </c>
      <c r="K1263" s="13"/>
      <c r="L1263" s="13"/>
    </row>
    <row r="1264" spans="1:12" ht="25.5" x14ac:dyDescent="0.2">
      <c r="A1264" s="1" t="s">
        <v>25</v>
      </c>
      <c r="B1264" s="2" t="s">
        <v>26</v>
      </c>
      <c r="C1264" s="1" t="s">
        <v>1699</v>
      </c>
      <c r="D1264" s="5" t="s">
        <v>456</v>
      </c>
      <c r="E1264" s="3">
        <v>171021</v>
      </c>
      <c r="F1264" s="3">
        <v>206549</v>
      </c>
      <c r="G1264" s="57">
        <v>0.20774056987153625</v>
      </c>
      <c r="J1264" s="5" t="s">
        <v>4098</v>
      </c>
    </row>
    <row r="1265" spans="1:12" ht="25.5" x14ac:dyDescent="0.2">
      <c r="A1265" s="1" t="s">
        <v>25</v>
      </c>
      <c r="B1265" s="2" t="s">
        <v>181</v>
      </c>
      <c r="C1265" s="5" t="s">
        <v>1477</v>
      </c>
      <c r="D1265" s="5" t="s">
        <v>1478</v>
      </c>
      <c r="E1265" s="9">
        <v>203806</v>
      </c>
      <c r="F1265" s="9">
        <v>206133</v>
      </c>
      <c r="G1265" s="57">
        <v>1.1417720773676927E-2</v>
      </c>
      <c r="J1265" s="5" t="s">
        <v>3541</v>
      </c>
    </row>
    <row r="1266" spans="1:12" ht="25.5" x14ac:dyDescent="0.2">
      <c r="A1266" s="1" t="s">
        <v>25</v>
      </c>
      <c r="B1266" s="2" t="s">
        <v>26</v>
      </c>
      <c r="C1266" s="13" t="s">
        <v>3663</v>
      </c>
      <c r="D1266" s="7" t="s">
        <v>3664</v>
      </c>
      <c r="E1266" s="8" t="s">
        <v>465</v>
      </c>
      <c r="F1266" s="6">
        <v>206000</v>
      </c>
      <c r="G1266" s="57" t="s">
        <v>465</v>
      </c>
      <c r="H1266" s="21"/>
      <c r="I1266" s="21"/>
      <c r="J1266" s="7" t="s">
        <v>4092</v>
      </c>
      <c r="K1266" s="13"/>
      <c r="L1266" s="13"/>
    </row>
    <row r="1267" spans="1:12" ht="25.5" x14ac:dyDescent="0.2">
      <c r="A1267" s="1" t="s">
        <v>20</v>
      </c>
      <c r="B1267" s="2" t="s">
        <v>296</v>
      </c>
      <c r="C1267" s="5" t="s">
        <v>998</v>
      </c>
      <c r="D1267" s="5" t="s">
        <v>450</v>
      </c>
      <c r="E1267" s="3">
        <v>200084</v>
      </c>
      <c r="F1267" s="3">
        <v>205126</v>
      </c>
      <c r="G1267" s="57">
        <v>2.5199416245177027E-2</v>
      </c>
      <c r="J1267" s="5" t="s">
        <v>2873</v>
      </c>
    </row>
    <row r="1268" spans="1:12" ht="38.25" x14ac:dyDescent="0.2">
      <c r="A1268" s="1" t="s">
        <v>6</v>
      </c>
      <c r="B1268" s="2" t="s">
        <v>218</v>
      </c>
      <c r="C1268" s="5" t="s">
        <v>1294</v>
      </c>
      <c r="D1268" s="5" t="s">
        <v>450</v>
      </c>
      <c r="E1268" s="9">
        <v>266675</v>
      </c>
      <c r="F1268" s="9">
        <v>205048</v>
      </c>
      <c r="G1268" s="57">
        <v>-0.23109402831161527</v>
      </c>
      <c r="J1268" s="5" t="s">
        <v>3286</v>
      </c>
    </row>
    <row r="1269" spans="1:12" ht="51" x14ac:dyDescent="0.2">
      <c r="A1269" s="1" t="s">
        <v>6</v>
      </c>
      <c r="B1269" s="2" t="s">
        <v>399</v>
      </c>
      <c r="C1269" s="5" t="s">
        <v>2439</v>
      </c>
      <c r="D1269" s="5" t="s">
        <v>450</v>
      </c>
      <c r="E1269" s="3">
        <v>57000</v>
      </c>
      <c r="F1269" s="3">
        <v>205000</v>
      </c>
      <c r="G1269" s="57">
        <v>2.5964912280701755</v>
      </c>
      <c r="J1269" s="5" t="s">
        <v>4707</v>
      </c>
    </row>
    <row r="1270" spans="1:12" ht="63.75" x14ac:dyDescent="0.2">
      <c r="A1270" s="1" t="s">
        <v>28</v>
      </c>
      <c r="B1270" s="2" t="s">
        <v>403</v>
      </c>
      <c r="D1270" s="5" t="s">
        <v>657</v>
      </c>
      <c r="E1270" s="3">
        <v>120987</v>
      </c>
      <c r="F1270" s="3">
        <v>204244</v>
      </c>
      <c r="G1270" s="57">
        <v>0.68814831345516458</v>
      </c>
      <c r="J1270" s="5" t="s">
        <v>4709</v>
      </c>
    </row>
    <row r="1271" spans="1:12" ht="25.5" x14ac:dyDescent="0.2">
      <c r="A1271" s="1" t="s">
        <v>39</v>
      </c>
      <c r="B1271" s="2" t="s">
        <v>409</v>
      </c>
      <c r="C1271" s="5" t="s">
        <v>600</v>
      </c>
      <c r="D1271" s="5" t="s">
        <v>450</v>
      </c>
      <c r="E1271" s="3">
        <v>204242</v>
      </c>
      <c r="F1271" s="3">
        <v>204100</v>
      </c>
      <c r="G1271" s="57">
        <v>-6.9525366966637612E-4</v>
      </c>
      <c r="J1271" s="5" t="s">
        <v>2379</v>
      </c>
    </row>
    <row r="1272" spans="1:12" ht="25.5" x14ac:dyDescent="0.2">
      <c r="A1272" s="1" t="s">
        <v>25</v>
      </c>
      <c r="B1272" s="2" t="s">
        <v>197</v>
      </c>
      <c r="D1272" s="5" t="s">
        <v>1411</v>
      </c>
      <c r="E1272" s="9">
        <v>168328</v>
      </c>
      <c r="F1272" s="9">
        <v>204050</v>
      </c>
      <c r="G1272" s="57">
        <v>0.21221662468513855</v>
      </c>
      <c r="J1272" s="5" t="s">
        <v>3450</v>
      </c>
    </row>
    <row r="1273" spans="1:12" ht="38.25" x14ac:dyDescent="0.2">
      <c r="A1273" s="1" t="s">
        <v>25</v>
      </c>
      <c r="B1273" s="2" t="s">
        <v>178</v>
      </c>
      <c r="C1273" s="5" t="s">
        <v>1502</v>
      </c>
      <c r="D1273" s="5" t="s">
        <v>450</v>
      </c>
      <c r="E1273" s="9">
        <v>202805</v>
      </c>
      <c r="F1273" s="9">
        <v>203376</v>
      </c>
      <c r="G1273" s="57">
        <v>2.815512438056261E-3</v>
      </c>
      <c r="J1273" s="5" t="s">
        <v>3569</v>
      </c>
    </row>
    <row r="1274" spans="1:12" ht="38.25" x14ac:dyDescent="0.2">
      <c r="A1274" s="1" t="s">
        <v>25</v>
      </c>
      <c r="B1274" s="2" t="s">
        <v>107</v>
      </c>
      <c r="C1274" s="1" t="s">
        <v>2188</v>
      </c>
      <c r="D1274" s="5" t="s">
        <v>2189</v>
      </c>
      <c r="E1274" s="3">
        <v>195453</v>
      </c>
      <c r="F1274" s="3">
        <v>202940</v>
      </c>
      <c r="G1274" s="57">
        <v>3.8305884279084997E-2</v>
      </c>
      <c r="J1274" s="5" t="s">
        <v>3862</v>
      </c>
    </row>
    <row r="1275" spans="1:12" ht="51" x14ac:dyDescent="0.2">
      <c r="A1275" s="1" t="s">
        <v>39</v>
      </c>
      <c r="B1275" s="17" t="s">
        <v>4466</v>
      </c>
      <c r="C1275" s="5" t="s">
        <v>782</v>
      </c>
      <c r="D1275" s="5" t="s">
        <v>783</v>
      </c>
      <c r="E1275" s="3">
        <v>205039</v>
      </c>
      <c r="F1275" s="3">
        <v>202863</v>
      </c>
      <c r="G1275" s="57">
        <v>-1.0612615161018147E-2</v>
      </c>
      <c r="J1275" s="5" t="s">
        <v>2592</v>
      </c>
    </row>
    <row r="1276" spans="1:12" x14ac:dyDescent="0.2">
      <c r="A1276" s="1" t="s">
        <v>111</v>
      </c>
      <c r="B1276" s="2" t="s">
        <v>128</v>
      </c>
      <c r="C1276" s="1"/>
      <c r="D1276" s="5" t="s">
        <v>464</v>
      </c>
      <c r="E1276" s="3" t="s">
        <v>465</v>
      </c>
      <c r="F1276" s="3">
        <v>202500</v>
      </c>
      <c r="G1276" s="57" t="s">
        <v>465</v>
      </c>
    </row>
    <row r="1277" spans="1:12" x14ac:dyDescent="0.2">
      <c r="A1277" s="1" t="s">
        <v>20</v>
      </c>
      <c r="B1277" s="2" t="s">
        <v>35</v>
      </c>
      <c r="C1277" s="1" t="s">
        <v>1743</v>
      </c>
      <c r="D1277" s="5" t="s">
        <v>450</v>
      </c>
      <c r="E1277" s="3">
        <v>175145</v>
      </c>
      <c r="F1277" s="3">
        <v>202470</v>
      </c>
      <c r="G1277" s="57">
        <v>0.15601358874075766</v>
      </c>
      <c r="J1277" s="5" t="s">
        <v>1744</v>
      </c>
    </row>
    <row r="1278" spans="1:12" ht="25.5" x14ac:dyDescent="0.2">
      <c r="A1278" s="1" t="s">
        <v>6</v>
      </c>
      <c r="B1278" s="2" t="s">
        <v>426</v>
      </c>
      <c r="C1278" s="5" t="s">
        <v>528</v>
      </c>
      <c r="D1278" s="5" t="s">
        <v>531</v>
      </c>
      <c r="E1278" s="3">
        <v>157291</v>
      </c>
      <c r="F1278" s="6">
        <v>202462</v>
      </c>
      <c r="G1278" s="57">
        <v>0.28718108474102144</v>
      </c>
      <c r="J1278" s="5" t="s">
        <v>2322</v>
      </c>
    </row>
    <row r="1279" spans="1:12" ht="25.5" x14ac:dyDescent="0.2">
      <c r="A1279" s="1" t="s">
        <v>20</v>
      </c>
      <c r="B1279" s="2" t="s">
        <v>194</v>
      </c>
      <c r="C1279" s="5" t="s">
        <v>1425</v>
      </c>
      <c r="D1279" s="5" t="s">
        <v>1426</v>
      </c>
      <c r="E1279" s="9">
        <v>202191</v>
      </c>
      <c r="F1279" s="9">
        <v>202443</v>
      </c>
      <c r="G1279" s="57">
        <v>1.2463462765404988E-3</v>
      </c>
      <c r="J1279" s="5" t="s">
        <v>3469</v>
      </c>
    </row>
    <row r="1280" spans="1:12" x14ac:dyDescent="0.2">
      <c r="A1280" s="1" t="s">
        <v>25</v>
      </c>
      <c r="B1280" s="2" t="s">
        <v>59</v>
      </c>
      <c r="C1280" s="1" t="s">
        <v>1862</v>
      </c>
      <c r="D1280" s="5" t="s">
        <v>450</v>
      </c>
      <c r="E1280" s="3">
        <v>202760</v>
      </c>
      <c r="F1280" s="3">
        <v>202295</v>
      </c>
      <c r="G1280" s="57">
        <v>-2.2933517459064905E-3</v>
      </c>
      <c r="J1280" s="5" t="s">
        <v>1863</v>
      </c>
    </row>
    <row r="1281" spans="1:12" ht="25.5" x14ac:dyDescent="0.2">
      <c r="A1281" s="1" t="s">
        <v>28</v>
      </c>
      <c r="B1281" s="2" t="s">
        <v>142</v>
      </c>
      <c r="C1281" s="1" t="s">
        <v>1646</v>
      </c>
      <c r="D1281" s="5" t="s">
        <v>450</v>
      </c>
      <c r="E1281" s="3">
        <v>201000</v>
      </c>
      <c r="F1281" s="3">
        <v>202000</v>
      </c>
      <c r="G1281" s="57">
        <v>4.9751243781094526E-3</v>
      </c>
      <c r="J1281" s="5" t="s">
        <v>3979</v>
      </c>
    </row>
    <row r="1282" spans="1:12" ht="25.5" x14ac:dyDescent="0.2">
      <c r="A1282" s="1" t="s">
        <v>6</v>
      </c>
      <c r="B1282" s="2" t="s">
        <v>368</v>
      </c>
      <c r="C1282" s="5" t="s">
        <v>772</v>
      </c>
      <c r="D1282" s="5" t="s">
        <v>450</v>
      </c>
      <c r="E1282" s="3" t="s">
        <v>465</v>
      </c>
      <c r="F1282" s="3">
        <v>202000</v>
      </c>
      <c r="G1282" s="57" t="s">
        <v>465</v>
      </c>
      <c r="J1282" s="5" t="s">
        <v>4468</v>
      </c>
    </row>
    <row r="1283" spans="1:12" ht="25.5" x14ac:dyDescent="0.2">
      <c r="A1283" s="1" t="s">
        <v>6</v>
      </c>
      <c r="B1283" s="2" t="s">
        <v>108</v>
      </c>
      <c r="C1283" s="1" t="s">
        <v>2172</v>
      </c>
      <c r="D1283" s="5" t="s">
        <v>450</v>
      </c>
      <c r="E1283" s="6">
        <v>186705</v>
      </c>
      <c r="F1283" s="3">
        <v>201941</v>
      </c>
      <c r="G1283" s="57">
        <v>8.1604670469457172E-2</v>
      </c>
      <c r="J1283" s="5" t="s">
        <v>3865</v>
      </c>
    </row>
    <row r="1284" spans="1:12" ht="25.5" x14ac:dyDescent="0.2">
      <c r="A1284" s="1" t="s">
        <v>4</v>
      </c>
      <c r="B1284" s="2" t="s">
        <v>182</v>
      </c>
      <c r="C1284" s="5" t="s">
        <v>1468</v>
      </c>
      <c r="D1284" s="5" t="s">
        <v>1469</v>
      </c>
      <c r="E1284" s="9">
        <v>193541</v>
      </c>
      <c r="F1284" s="9">
        <v>201759</v>
      </c>
      <c r="G1284" s="57">
        <v>4.2461287272464232E-2</v>
      </c>
      <c r="J1284" s="5" t="s">
        <v>3530</v>
      </c>
    </row>
    <row r="1285" spans="1:12" ht="25.5" x14ac:dyDescent="0.2">
      <c r="A1285" s="1" t="s">
        <v>20</v>
      </c>
      <c r="B1285" s="2" t="s">
        <v>201</v>
      </c>
      <c r="C1285" s="5" t="s">
        <v>1393</v>
      </c>
      <c r="D1285" s="5" t="s">
        <v>450</v>
      </c>
      <c r="E1285" s="3">
        <v>206684</v>
      </c>
      <c r="F1285" s="3">
        <v>201524</v>
      </c>
      <c r="G1285" s="57">
        <v>-2.496564804242225E-2</v>
      </c>
      <c r="J1285" s="5" t="s">
        <v>3410</v>
      </c>
    </row>
    <row r="1286" spans="1:12" x14ac:dyDescent="0.2">
      <c r="A1286" s="1" t="s">
        <v>25</v>
      </c>
      <c r="B1286" s="2" t="s">
        <v>175</v>
      </c>
      <c r="C1286" s="5" t="s">
        <v>1510</v>
      </c>
      <c r="D1286" s="5" t="s">
        <v>455</v>
      </c>
      <c r="E1286" s="9">
        <v>196969.97</v>
      </c>
      <c r="F1286" s="9">
        <v>201450</v>
      </c>
      <c r="G1286" s="57">
        <v>2.2744736164604172E-2</v>
      </c>
      <c r="J1286" s="5" t="s">
        <v>3576</v>
      </c>
    </row>
    <row r="1287" spans="1:12" ht="38.25" x14ac:dyDescent="0.2">
      <c r="A1287" s="1" t="s">
        <v>39</v>
      </c>
      <c r="B1287" s="2" t="s">
        <v>433</v>
      </c>
      <c r="D1287" s="5" t="s">
        <v>482</v>
      </c>
      <c r="E1287" s="3">
        <v>153291</v>
      </c>
      <c r="F1287" s="3">
        <v>201377</v>
      </c>
      <c r="G1287" s="57">
        <v>0.31369095380681189</v>
      </c>
      <c r="J1287" s="5" t="s">
        <v>2279</v>
      </c>
    </row>
    <row r="1288" spans="1:12" ht="25.5" x14ac:dyDescent="0.2">
      <c r="A1288" s="1" t="s">
        <v>4</v>
      </c>
      <c r="B1288" s="2" t="s">
        <v>210</v>
      </c>
      <c r="C1288" s="5" t="s">
        <v>1345</v>
      </c>
      <c r="D1288" s="5" t="s">
        <v>4656</v>
      </c>
      <c r="E1288" s="9">
        <v>204862</v>
      </c>
      <c r="F1288" s="9">
        <v>201355</v>
      </c>
      <c r="G1288" s="57">
        <v>-1.7118840975876445E-2</v>
      </c>
      <c r="J1288" s="5" t="s">
        <v>3362</v>
      </c>
    </row>
    <row r="1289" spans="1:12" ht="25.5" x14ac:dyDescent="0.2">
      <c r="A1289" s="1" t="s">
        <v>34</v>
      </c>
      <c r="B1289" s="2" t="s">
        <v>121</v>
      </c>
      <c r="C1289" s="1" t="s">
        <v>2147</v>
      </c>
      <c r="D1289" s="5" t="s">
        <v>450</v>
      </c>
      <c r="E1289" s="3">
        <v>197000</v>
      </c>
      <c r="F1289" s="3">
        <v>201000</v>
      </c>
      <c r="G1289" s="57">
        <v>2.030456852791878E-2</v>
      </c>
      <c r="J1289" s="5" t="s">
        <v>3924</v>
      </c>
    </row>
    <row r="1290" spans="1:12" ht="25.5" x14ac:dyDescent="0.2">
      <c r="A1290" s="1" t="s">
        <v>34</v>
      </c>
      <c r="B1290" s="2" t="s">
        <v>132</v>
      </c>
      <c r="C1290" s="1" t="s">
        <v>2082</v>
      </c>
      <c r="D1290" s="5" t="s">
        <v>468</v>
      </c>
      <c r="E1290" s="3">
        <v>95875</v>
      </c>
      <c r="F1290" s="3">
        <v>200751</v>
      </c>
      <c r="G1290" s="57">
        <v>1.0938826597131681</v>
      </c>
      <c r="J1290" s="5" t="s">
        <v>3954</v>
      </c>
    </row>
    <row r="1291" spans="1:12" ht="38.25" x14ac:dyDescent="0.2">
      <c r="A1291" s="1" t="s">
        <v>34</v>
      </c>
      <c r="B1291" s="2" t="s">
        <v>132</v>
      </c>
      <c r="C1291" s="1" t="s">
        <v>2083</v>
      </c>
      <c r="D1291" s="5" t="s">
        <v>468</v>
      </c>
      <c r="E1291" s="3">
        <v>95999</v>
      </c>
      <c r="F1291" s="3">
        <v>200751</v>
      </c>
      <c r="G1291" s="57">
        <v>1.0911780331045116</v>
      </c>
      <c r="J1291" s="5" t="s">
        <v>4301</v>
      </c>
    </row>
    <row r="1292" spans="1:12" ht="38.25" x14ac:dyDescent="0.2">
      <c r="A1292" s="1" t="s">
        <v>25</v>
      </c>
      <c r="B1292" s="2" t="s">
        <v>406</v>
      </c>
      <c r="C1292" s="5" t="s">
        <v>624</v>
      </c>
      <c r="D1292" s="5" t="s">
        <v>625</v>
      </c>
      <c r="E1292" s="9">
        <v>197589</v>
      </c>
      <c r="F1292" s="3">
        <v>200253</v>
      </c>
      <c r="G1292" s="57">
        <v>1.3482531922323611E-2</v>
      </c>
      <c r="J1292" s="5" t="s">
        <v>2404</v>
      </c>
    </row>
    <row r="1293" spans="1:12" ht="38.25" x14ac:dyDescent="0.2">
      <c r="A1293" s="1" t="s">
        <v>25</v>
      </c>
      <c r="B1293" s="2" t="s">
        <v>406</v>
      </c>
      <c r="C1293" s="5" t="s">
        <v>626</v>
      </c>
      <c r="D1293" s="5" t="s">
        <v>627</v>
      </c>
      <c r="E1293" s="9">
        <v>197440</v>
      </c>
      <c r="F1293" s="3">
        <v>199856</v>
      </c>
      <c r="G1293" s="57">
        <v>1.2236628849270665E-2</v>
      </c>
      <c r="J1293" s="5" t="s">
        <v>2405</v>
      </c>
    </row>
    <row r="1294" spans="1:12" s="13" customFormat="1" ht="25.5" x14ac:dyDescent="0.2">
      <c r="A1294" s="1" t="s">
        <v>1</v>
      </c>
      <c r="B1294" s="2" t="s">
        <v>160</v>
      </c>
      <c r="C1294" s="5" t="s">
        <v>1586</v>
      </c>
      <c r="D1294" s="5" t="s">
        <v>450</v>
      </c>
      <c r="E1294" s="3">
        <v>193596</v>
      </c>
      <c r="F1294" s="3">
        <v>199349</v>
      </c>
      <c r="G1294" s="57">
        <v>2.9716523068658442E-2</v>
      </c>
      <c r="H1294" s="19"/>
      <c r="I1294" s="19"/>
      <c r="J1294" s="5" t="s">
        <v>4036</v>
      </c>
      <c r="K1294" s="1"/>
      <c r="L1294" s="1"/>
    </row>
    <row r="1295" spans="1:12" s="13" customFormat="1" ht="25.5" x14ac:dyDescent="0.2">
      <c r="A1295" s="1" t="s">
        <v>111</v>
      </c>
      <c r="B1295" s="2" t="s">
        <v>257</v>
      </c>
      <c r="C1295" s="5" t="s">
        <v>1177</v>
      </c>
      <c r="D1295" s="5" t="s">
        <v>450</v>
      </c>
      <c r="E1295" s="3">
        <v>183082</v>
      </c>
      <c r="F1295" s="3">
        <v>199101</v>
      </c>
      <c r="G1295" s="57">
        <v>8.7496313127451084E-2</v>
      </c>
      <c r="H1295" s="19"/>
      <c r="I1295" s="19"/>
      <c r="J1295" s="5" t="s">
        <v>3094</v>
      </c>
      <c r="K1295" s="1"/>
      <c r="L1295" s="1"/>
    </row>
    <row r="1296" spans="1:12" ht="25.5" x14ac:dyDescent="0.2">
      <c r="A1296" s="1" t="s">
        <v>4</v>
      </c>
      <c r="B1296" s="2" t="s">
        <v>144</v>
      </c>
      <c r="C1296" s="1" t="s">
        <v>1640</v>
      </c>
      <c r="D1296" s="5" t="s">
        <v>450</v>
      </c>
      <c r="E1296" s="3" t="s">
        <v>465</v>
      </c>
      <c r="F1296" s="3">
        <v>198747</v>
      </c>
      <c r="G1296" s="57" t="s">
        <v>465</v>
      </c>
      <c r="J1296" s="5" t="s">
        <v>3985</v>
      </c>
    </row>
    <row r="1297" spans="1:10" x14ac:dyDescent="0.2">
      <c r="A1297" s="1" t="s">
        <v>25</v>
      </c>
      <c r="B1297" s="2" t="s">
        <v>358</v>
      </c>
      <c r="C1297" s="5" t="s">
        <v>798</v>
      </c>
      <c r="D1297" s="5" t="s">
        <v>455</v>
      </c>
      <c r="E1297" s="9">
        <v>177475</v>
      </c>
      <c r="F1297" s="9">
        <v>198570</v>
      </c>
      <c r="G1297" s="57">
        <v>0.11886181152274969</v>
      </c>
      <c r="J1297" s="5" t="s">
        <v>2630</v>
      </c>
    </row>
    <row r="1298" spans="1:10" ht="25.5" x14ac:dyDescent="0.2">
      <c r="A1298" s="1" t="s">
        <v>6</v>
      </c>
      <c r="B1298" s="2" t="s">
        <v>407</v>
      </c>
      <c r="C1298" s="5" t="s">
        <v>605</v>
      </c>
      <c r="D1298" s="5" t="s">
        <v>450</v>
      </c>
      <c r="E1298" s="3">
        <v>191000</v>
      </c>
      <c r="F1298" s="3">
        <v>198519</v>
      </c>
      <c r="G1298" s="57">
        <v>3.9366492146596856E-2</v>
      </c>
      <c r="J1298" s="5" t="s">
        <v>2392</v>
      </c>
    </row>
    <row r="1299" spans="1:10" ht="25.5" x14ac:dyDescent="0.2">
      <c r="A1299" s="1" t="s">
        <v>34</v>
      </c>
      <c r="B1299" s="2" t="s">
        <v>382</v>
      </c>
      <c r="C1299" s="5" t="s">
        <v>709</v>
      </c>
      <c r="D1299" s="5" t="s">
        <v>450</v>
      </c>
      <c r="E1299" s="6">
        <v>206331</v>
      </c>
      <c r="F1299" s="3">
        <v>198393</v>
      </c>
      <c r="G1299" s="57">
        <v>-3.8472163659362867E-2</v>
      </c>
      <c r="J1299" s="5" t="s">
        <v>4697</v>
      </c>
    </row>
    <row r="1300" spans="1:10" ht="25.5" x14ac:dyDescent="0.2">
      <c r="A1300" s="1" t="s">
        <v>25</v>
      </c>
      <c r="B1300" s="2" t="s">
        <v>181</v>
      </c>
      <c r="C1300" s="5" t="s">
        <v>1482</v>
      </c>
      <c r="D1300" s="5" t="s">
        <v>562</v>
      </c>
      <c r="E1300" s="9">
        <v>192192</v>
      </c>
      <c r="F1300" s="9">
        <v>198367</v>
      </c>
      <c r="G1300" s="57">
        <v>3.2129329004329008E-2</v>
      </c>
      <c r="J1300" s="5" t="s">
        <v>3544</v>
      </c>
    </row>
    <row r="1301" spans="1:10" ht="25.5" x14ac:dyDescent="0.2">
      <c r="A1301" s="1" t="s">
        <v>4</v>
      </c>
      <c r="B1301" s="2" t="s">
        <v>210</v>
      </c>
      <c r="C1301" s="5" t="s">
        <v>1339</v>
      </c>
      <c r="D1301" s="5" t="s">
        <v>1340</v>
      </c>
      <c r="E1301" s="9"/>
      <c r="F1301" s="9">
        <v>198047</v>
      </c>
      <c r="G1301" s="57" t="s">
        <v>465</v>
      </c>
      <c r="J1301" s="5" t="s">
        <v>3359</v>
      </c>
    </row>
    <row r="1302" spans="1:10" x14ac:dyDescent="0.2">
      <c r="A1302" s="1" t="s">
        <v>25</v>
      </c>
      <c r="B1302" s="2" t="s">
        <v>187</v>
      </c>
      <c r="D1302" s="5" t="s">
        <v>464</v>
      </c>
      <c r="E1302" s="3" t="s">
        <v>465</v>
      </c>
      <c r="F1302" s="3">
        <v>197500</v>
      </c>
      <c r="G1302" s="57" t="s">
        <v>465</v>
      </c>
      <c r="J1302" s="1"/>
    </row>
    <row r="1303" spans="1:10" x14ac:dyDescent="0.2">
      <c r="A1303" s="1" t="s">
        <v>6</v>
      </c>
      <c r="B1303" s="2" t="s">
        <v>216</v>
      </c>
      <c r="D1303" s="5" t="s">
        <v>464</v>
      </c>
      <c r="E1303" s="3" t="s">
        <v>465</v>
      </c>
      <c r="F1303" s="3">
        <v>197500</v>
      </c>
      <c r="G1303" s="57" t="s">
        <v>465</v>
      </c>
    </row>
    <row r="1304" spans="1:10" ht="25.5" x14ac:dyDescent="0.2">
      <c r="A1304" s="1" t="s">
        <v>34</v>
      </c>
      <c r="B1304" s="2" t="s">
        <v>170</v>
      </c>
      <c r="C1304" s="5" t="s">
        <v>1553</v>
      </c>
      <c r="D1304" s="5" t="s">
        <v>450</v>
      </c>
      <c r="E1304" s="3">
        <v>195561</v>
      </c>
      <c r="F1304" s="3">
        <v>197317</v>
      </c>
      <c r="G1304" s="57">
        <v>8.9792954627967748E-3</v>
      </c>
      <c r="J1304" s="5" t="s">
        <v>4070</v>
      </c>
    </row>
    <row r="1305" spans="1:10" ht="38.25" x14ac:dyDescent="0.2">
      <c r="A1305" s="1" t="s">
        <v>4</v>
      </c>
      <c r="B1305" s="2" t="s">
        <v>191</v>
      </c>
      <c r="D1305" s="5" t="s">
        <v>1448</v>
      </c>
      <c r="E1305" s="9">
        <v>97214</v>
      </c>
      <c r="F1305" s="9">
        <v>197188</v>
      </c>
      <c r="G1305" s="57">
        <v>1.0283909724936737</v>
      </c>
      <c r="J1305" s="5" t="s">
        <v>3497</v>
      </c>
    </row>
    <row r="1306" spans="1:10" ht="25.5" x14ac:dyDescent="0.2">
      <c r="A1306" s="1" t="s">
        <v>111</v>
      </c>
      <c r="B1306" s="2" t="s">
        <v>189</v>
      </c>
      <c r="C1306" s="5" t="s">
        <v>1452</v>
      </c>
      <c r="D1306" s="5" t="s">
        <v>450</v>
      </c>
      <c r="E1306" s="9">
        <v>183565</v>
      </c>
      <c r="F1306" s="9">
        <v>196934</v>
      </c>
      <c r="G1306" s="57">
        <v>7.2829787813581015E-2</v>
      </c>
      <c r="J1306" s="5" t="s">
        <v>3501</v>
      </c>
    </row>
    <row r="1307" spans="1:10" x14ac:dyDescent="0.2">
      <c r="A1307" s="1" t="s">
        <v>6</v>
      </c>
      <c r="B1307" s="2" t="s">
        <v>46</v>
      </c>
      <c r="C1307" s="1" t="s">
        <v>1792</v>
      </c>
      <c r="D1307" s="5" t="s">
        <v>450</v>
      </c>
      <c r="E1307" s="3">
        <v>190647</v>
      </c>
      <c r="F1307" s="3">
        <v>196860</v>
      </c>
      <c r="G1307" s="57">
        <v>3.2589025791121815E-2</v>
      </c>
      <c r="J1307" s="5" t="s">
        <v>1793</v>
      </c>
    </row>
    <row r="1308" spans="1:10" ht="38.25" x14ac:dyDescent="0.2">
      <c r="A1308" s="1" t="s">
        <v>25</v>
      </c>
      <c r="B1308" s="2" t="s">
        <v>107</v>
      </c>
      <c r="C1308" s="1" t="s">
        <v>2190</v>
      </c>
      <c r="D1308" s="5" t="s">
        <v>2191</v>
      </c>
      <c r="E1308" s="3">
        <v>192672</v>
      </c>
      <c r="F1308" s="3">
        <v>196077</v>
      </c>
      <c r="G1308" s="57">
        <v>1.7672521175884404E-2</v>
      </c>
      <c r="J1308" s="5" t="s">
        <v>3863</v>
      </c>
    </row>
    <row r="1309" spans="1:10" ht="25.5" x14ac:dyDescent="0.2">
      <c r="A1309" s="1" t="s">
        <v>25</v>
      </c>
      <c r="B1309" s="2" t="s">
        <v>181</v>
      </c>
      <c r="C1309" s="5" t="s">
        <v>1479</v>
      </c>
      <c r="D1309" s="5" t="s">
        <v>1480</v>
      </c>
      <c r="E1309" s="9">
        <v>193612</v>
      </c>
      <c r="F1309" s="9">
        <v>195865</v>
      </c>
      <c r="G1309" s="57">
        <v>1.1636675412681033E-2</v>
      </c>
      <c r="J1309" s="5" t="s">
        <v>3542</v>
      </c>
    </row>
    <row r="1310" spans="1:10" ht="25.5" x14ac:dyDescent="0.2">
      <c r="A1310" s="1" t="s">
        <v>4</v>
      </c>
      <c r="B1310" s="2" t="s">
        <v>210</v>
      </c>
      <c r="C1310" s="5" t="s">
        <v>1343</v>
      </c>
      <c r="D1310" s="5" t="s">
        <v>1344</v>
      </c>
      <c r="E1310" s="9">
        <v>205515</v>
      </c>
      <c r="F1310" s="9">
        <v>195821</v>
      </c>
      <c r="G1310" s="57">
        <v>-4.7169306376663507E-2</v>
      </c>
      <c r="J1310" s="5" t="s">
        <v>3361</v>
      </c>
    </row>
    <row r="1311" spans="1:10" ht="38.25" x14ac:dyDescent="0.2">
      <c r="A1311" s="1" t="s">
        <v>39</v>
      </c>
      <c r="B1311" s="2" t="s">
        <v>439</v>
      </c>
      <c r="D1311" s="5" t="s">
        <v>454</v>
      </c>
      <c r="E1311" s="3">
        <v>78327</v>
      </c>
      <c r="F1311" s="3">
        <v>195720</v>
      </c>
      <c r="G1311" s="57">
        <v>1.4987552185070283</v>
      </c>
      <c r="J1311" s="5" t="s">
        <v>4586</v>
      </c>
    </row>
    <row r="1312" spans="1:10" ht="38.25" x14ac:dyDescent="0.2">
      <c r="A1312" s="1" t="s">
        <v>20</v>
      </c>
      <c r="B1312" s="2" t="s">
        <v>109</v>
      </c>
      <c r="C1312" s="1"/>
      <c r="D1312" s="5" t="s">
        <v>740</v>
      </c>
      <c r="E1312" s="3">
        <v>76092</v>
      </c>
      <c r="F1312" s="3">
        <v>195565</v>
      </c>
      <c r="G1312" s="57">
        <v>1.570112495400305</v>
      </c>
      <c r="J1312" s="5" t="s">
        <v>4616</v>
      </c>
    </row>
    <row r="1313" spans="1:12" s="13" customFormat="1" x14ac:dyDescent="0.2">
      <c r="A1313" s="1" t="s">
        <v>25</v>
      </c>
      <c r="B1313" s="2" t="s">
        <v>358</v>
      </c>
      <c r="C1313" s="5" t="s">
        <v>797</v>
      </c>
      <c r="D1313" s="5" t="s">
        <v>450</v>
      </c>
      <c r="E1313" s="9">
        <v>224736</v>
      </c>
      <c r="F1313" s="9">
        <v>195510</v>
      </c>
      <c r="G1313" s="57">
        <v>-0.13004592054677488</v>
      </c>
      <c r="H1313" s="19"/>
      <c r="I1313" s="19"/>
      <c r="J1313" s="5" t="s">
        <v>2629</v>
      </c>
      <c r="K1313" s="1"/>
      <c r="L1313" s="1"/>
    </row>
    <row r="1314" spans="1:12" s="13" customFormat="1" ht="38.25" x14ac:dyDescent="0.2">
      <c r="A1314" s="1" t="s">
        <v>6</v>
      </c>
      <c r="B1314" s="12" t="s">
        <v>42</v>
      </c>
      <c r="D1314" s="7" t="s">
        <v>3720</v>
      </c>
      <c r="E1314" s="6">
        <v>175995</v>
      </c>
      <c r="F1314" s="6">
        <v>195304</v>
      </c>
      <c r="G1314" s="57">
        <v>0.10971334412909457</v>
      </c>
      <c r="H1314" s="21"/>
      <c r="I1314" s="21"/>
      <c r="J1314" s="7" t="s">
        <v>4150</v>
      </c>
    </row>
    <row r="1315" spans="1:12" s="13" customFormat="1" ht="25.5" x14ac:dyDescent="0.2">
      <c r="A1315" s="1" t="s">
        <v>44</v>
      </c>
      <c r="B1315" s="2" t="s">
        <v>293</v>
      </c>
      <c r="C1315" s="5" t="s">
        <v>1010</v>
      </c>
      <c r="D1315" s="5" t="s">
        <v>450</v>
      </c>
      <c r="E1315" s="3">
        <v>190020</v>
      </c>
      <c r="F1315" s="3">
        <v>195164</v>
      </c>
      <c r="G1315" s="57">
        <v>2.7070834648984316E-2</v>
      </c>
      <c r="H1315" s="19"/>
      <c r="I1315" s="19"/>
      <c r="J1315" s="5" t="s">
        <v>2902</v>
      </c>
      <c r="K1315" s="1"/>
      <c r="L1315" s="1"/>
    </row>
    <row r="1316" spans="1:12" s="13" customFormat="1" ht="114.75" x14ac:dyDescent="0.2">
      <c r="A1316" s="1" t="s">
        <v>6</v>
      </c>
      <c r="B1316" s="2" t="s">
        <v>179</v>
      </c>
      <c r="C1316" s="5" t="s">
        <v>1489</v>
      </c>
      <c r="D1316" s="5" t="s">
        <v>450</v>
      </c>
      <c r="E1316" s="9">
        <v>194700</v>
      </c>
      <c r="F1316" s="9">
        <v>194700</v>
      </c>
      <c r="G1316" s="57">
        <v>0</v>
      </c>
      <c r="H1316" s="19"/>
      <c r="I1316" s="19"/>
      <c r="J1316" s="5" t="s">
        <v>3551</v>
      </c>
      <c r="K1316" s="1"/>
      <c r="L1316" s="1"/>
    </row>
    <row r="1317" spans="1:12" s="13" customFormat="1" ht="25.5" x14ac:dyDescent="0.2">
      <c r="A1317" s="1" t="s">
        <v>20</v>
      </c>
      <c r="B1317" s="2" t="s">
        <v>79</v>
      </c>
      <c r="C1317" s="1" t="s">
        <v>1984</v>
      </c>
      <c r="D1317" s="5" t="s">
        <v>1469</v>
      </c>
      <c r="E1317" s="3">
        <v>195925</v>
      </c>
      <c r="F1317" s="3">
        <v>194148</v>
      </c>
      <c r="G1317" s="57">
        <v>-9.0697971162434603E-3</v>
      </c>
      <c r="H1317" s="19"/>
      <c r="I1317" s="19"/>
      <c r="J1317" s="5" t="s">
        <v>1985</v>
      </c>
      <c r="K1317" s="1"/>
      <c r="L1317" s="1"/>
    </row>
    <row r="1318" spans="1:12" s="13" customFormat="1" ht="25.5" x14ac:dyDescent="0.2">
      <c r="A1318" s="1" t="s">
        <v>8</v>
      </c>
      <c r="B1318" s="2" t="s">
        <v>284</v>
      </c>
      <c r="C1318" s="5" t="s">
        <v>1053</v>
      </c>
      <c r="D1318" s="5" t="s">
        <v>450</v>
      </c>
      <c r="E1318" s="3">
        <v>193206</v>
      </c>
      <c r="F1318" s="3">
        <v>193929</v>
      </c>
      <c r="G1318" s="57">
        <v>3.7421198099437908E-3</v>
      </c>
      <c r="H1318" s="19"/>
      <c r="I1318" s="19"/>
      <c r="J1318" s="5" t="s">
        <v>2969</v>
      </c>
      <c r="K1318" s="1"/>
      <c r="L1318" s="1"/>
    </row>
    <row r="1319" spans="1:12" s="13" customFormat="1" ht="25.5" x14ac:dyDescent="0.2">
      <c r="A1319" s="1" t="s">
        <v>28</v>
      </c>
      <c r="B1319" s="2" t="s">
        <v>50</v>
      </c>
      <c r="C1319" s="1"/>
      <c r="D1319" s="5" t="s">
        <v>1825</v>
      </c>
      <c r="E1319" s="6">
        <v>139466</v>
      </c>
      <c r="F1319" s="3">
        <v>193807</v>
      </c>
      <c r="G1319" s="57">
        <v>0.38963618372936776</v>
      </c>
      <c r="H1319" s="19"/>
      <c r="I1319" s="19"/>
      <c r="J1319" s="5" t="s">
        <v>4159</v>
      </c>
      <c r="K1319" s="1"/>
      <c r="L1319" s="1"/>
    </row>
    <row r="1320" spans="1:12" s="13" customFormat="1" ht="38.25" x14ac:dyDescent="0.2">
      <c r="A1320" s="1" t="s">
        <v>39</v>
      </c>
      <c r="B1320" s="2" t="s">
        <v>372</v>
      </c>
      <c r="C1320" s="5"/>
      <c r="D1320" s="5" t="s">
        <v>758</v>
      </c>
      <c r="E1320" s="3">
        <v>97592</v>
      </c>
      <c r="F1320" s="3">
        <v>193153</v>
      </c>
      <c r="G1320" s="57">
        <v>0.97918886793999504</v>
      </c>
      <c r="H1320" s="19"/>
      <c r="I1320" s="19"/>
      <c r="J1320" s="5" t="s">
        <v>2550</v>
      </c>
      <c r="K1320" s="1"/>
      <c r="L1320" s="1"/>
    </row>
    <row r="1321" spans="1:12" s="13" customFormat="1" ht="51" x14ac:dyDescent="0.2">
      <c r="A1321" s="1" t="s">
        <v>25</v>
      </c>
      <c r="B1321" s="2" t="s">
        <v>24</v>
      </c>
      <c r="C1321" s="1" t="s">
        <v>1695</v>
      </c>
      <c r="D1321" s="5" t="s">
        <v>450</v>
      </c>
      <c r="E1321" s="3">
        <v>224046</v>
      </c>
      <c r="F1321" s="3">
        <v>192832</v>
      </c>
      <c r="G1321" s="57">
        <v>-0.13931960400989082</v>
      </c>
      <c r="H1321" s="19"/>
      <c r="I1321" s="19"/>
      <c r="J1321" s="5" t="s">
        <v>4091</v>
      </c>
      <c r="K1321" s="1"/>
      <c r="L1321" s="1"/>
    </row>
    <row r="1322" spans="1:12" s="13" customFormat="1" ht="76.5" x14ac:dyDescent="0.2">
      <c r="A1322" s="1" t="s">
        <v>25</v>
      </c>
      <c r="B1322" s="2" t="s">
        <v>70</v>
      </c>
      <c r="C1322" s="1"/>
      <c r="D1322" s="5" t="s">
        <v>451</v>
      </c>
      <c r="E1322" s="19" t="s">
        <v>465</v>
      </c>
      <c r="F1322" s="19">
        <v>192770</v>
      </c>
      <c r="G1322" s="57" t="s">
        <v>465</v>
      </c>
      <c r="H1322" s="19"/>
      <c r="I1322" s="19"/>
      <c r="J1322" s="5" t="s">
        <v>4220</v>
      </c>
      <c r="K1322" s="1"/>
      <c r="L1322" s="1"/>
    </row>
    <row r="1323" spans="1:12" s="13" customFormat="1" ht="38.25" x14ac:dyDescent="0.2">
      <c r="A1323" s="1" t="s">
        <v>25</v>
      </c>
      <c r="B1323" s="2" t="s">
        <v>424</v>
      </c>
      <c r="C1323" s="5" t="s">
        <v>543</v>
      </c>
      <c r="D1323" s="5" t="s">
        <v>544</v>
      </c>
      <c r="E1323" s="3">
        <v>53292</v>
      </c>
      <c r="F1323" s="3">
        <v>192617</v>
      </c>
      <c r="G1323" s="57">
        <v>2.6143698866621632</v>
      </c>
      <c r="H1323" s="19"/>
      <c r="I1323" s="19"/>
      <c r="J1323" s="5" t="s">
        <v>4563</v>
      </c>
      <c r="K1323" s="1"/>
      <c r="L1323" s="1"/>
    </row>
    <row r="1324" spans="1:12" s="13" customFormat="1" ht="25.5" x14ac:dyDescent="0.2">
      <c r="A1324" s="1" t="s">
        <v>25</v>
      </c>
      <c r="B1324" s="2" t="s">
        <v>259</v>
      </c>
      <c r="C1324" s="5" t="s">
        <v>1170</v>
      </c>
      <c r="D1324" s="5" t="s">
        <v>1171</v>
      </c>
      <c r="E1324" s="6" t="s">
        <v>465</v>
      </c>
      <c r="F1324" s="3">
        <v>192507</v>
      </c>
      <c r="G1324" s="57" t="s">
        <v>465</v>
      </c>
      <c r="H1324" s="19"/>
      <c r="I1324" s="19"/>
      <c r="J1324" s="5" t="s">
        <v>3088</v>
      </c>
      <c r="K1324" s="1"/>
      <c r="L1324" s="1"/>
    </row>
    <row r="1325" spans="1:12" s="13" customFormat="1" x14ac:dyDescent="0.2">
      <c r="A1325" s="1" t="s">
        <v>25</v>
      </c>
      <c r="B1325" s="2" t="s">
        <v>53</v>
      </c>
      <c r="C1325" s="1"/>
      <c r="D1325" s="5" t="s">
        <v>464</v>
      </c>
      <c r="E1325" s="3" t="s">
        <v>465</v>
      </c>
      <c r="F1325" s="3">
        <v>192500</v>
      </c>
      <c r="G1325" s="57" t="s">
        <v>465</v>
      </c>
      <c r="H1325" s="19"/>
      <c r="I1325" s="19"/>
      <c r="J1325" s="5"/>
      <c r="K1325" s="1"/>
      <c r="L1325" s="1"/>
    </row>
    <row r="1326" spans="1:12" s="13" customFormat="1" x14ac:dyDescent="0.2">
      <c r="A1326" s="1" t="s">
        <v>8</v>
      </c>
      <c r="B1326" s="2" t="s">
        <v>285</v>
      </c>
      <c r="C1326" s="5"/>
      <c r="D1326" s="5" t="s">
        <v>464</v>
      </c>
      <c r="E1326" s="3" t="s">
        <v>465</v>
      </c>
      <c r="F1326" s="3">
        <v>192500</v>
      </c>
      <c r="G1326" s="57" t="s">
        <v>465</v>
      </c>
      <c r="H1326" s="19"/>
      <c r="I1326" s="19"/>
      <c r="J1326" s="5"/>
      <c r="K1326" s="1"/>
      <c r="L1326" s="1"/>
    </row>
    <row r="1327" spans="1:12" s="13" customFormat="1" x14ac:dyDescent="0.2">
      <c r="A1327" s="1" t="s">
        <v>39</v>
      </c>
      <c r="B1327" s="2" t="s">
        <v>335</v>
      </c>
      <c r="C1327" s="5"/>
      <c r="D1327" s="7" t="s">
        <v>464</v>
      </c>
      <c r="E1327" s="6" t="s">
        <v>465</v>
      </c>
      <c r="F1327" s="6">
        <v>192500</v>
      </c>
      <c r="G1327" s="57" t="s">
        <v>465</v>
      </c>
      <c r="H1327" s="21"/>
      <c r="I1327" s="21"/>
      <c r="J1327" s="5"/>
      <c r="K1327" s="1"/>
      <c r="L1327" s="1"/>
    </row>
    <row r="1328" spans="1:12" x14ac:dyDescent="0.2">
      <c r="A1328" s="1" t="s">
        <v>39</v>
      </c>
      <c r="B1328" s="2" t="s">
        <v>388</v>
      </c>
      <c r="D1328" s="5" t="s">
        <v>464</v>
      </c>
      <c r="E1328" s="3" t="s">
        <v>465</v>
      </c>
      <c r="F1328" s="3">
        <v>192500</v>
      </c>
      <c r="G1328" s="57" t="s">
        <v>465</v>
      </c>
    </row>
    <row r="1329" spans="1:12" x14ac:dyDescent="0.2">
      <c r="A1329" s="1" t="s">
        <v>6</v>
      </c>
      <c r="B1329" s="2" t="s">
        <v>383</v>
      </c>
      <c r="C1329" s="5" t="s">
        <v>701</v>
      </c>
      <c r="D1329" s="5" t="s">
        <v>450</v>
      </c>
      <c r="E1329" s="3">
        <v>190800</v>
      </c>
      <c r="F1329" s="3">
        <v>192469</v>
      </c>
      <c r="G1329" s="57">
        <v>8.7473794549266255E-3</v>
      </c>
      <c r="J1329" s="5" t="s">
        <v>2498</v>
      </c>
    </row>
    <row r="1330" spans="1:12" x14ac:dyDescent="0.2">
      <c r="A1330" s="1" t="s">
        <v>20</v>
      </c>
      <c r="B1330" s="2" t="s">
        <v>194</v>
      </c>
      <c r="C1330" s="5" t="s">
        <v>1427</v>
      </c>
      <c r="D1330" s="5" t="s">
        <v>1428</v>
      </c>
      <c r="E1330" s="9">
        <v>192305</v>
      </c>
      <c r="F1330" s="9">
        <v>192305</v>
      </c>
      <c r="G1330" s="57">
        <v>0</v>
      </c>
      <c r="J1330" s="5" t="s">
        <v>3470</v>
      </c>
    </row>
    <row r="1331" spans="1:12" ht="38.25" x14ac:dyDescent="0.2">
      <c r="A1331" s="1" t="s">
        <v>1</v>
      </c>
      <c r="B1331" s="2" t="s">
        <v>196</v>
      </c>
      <c r="C1331" s="5" t="s">
        <v>1415</v>
      </c>
      <c r="D1331" s="5" t="s">
        <v>450</v>
      </c>
      <c r="E1331" s="6">
        <v>140112</v>
      </c>
      <c r="F1331" s="9">
        <v>192025</v>
      </c>
      <c r="G1331" s="57">
        <v>0.37051073426972708</v>
      </c>
      <c r="J1331" s="5" t="s">
        <v>3457</v>
      </c>
    </row>
    <row r="1332" spans="1:12" ht="25.5" x14ac:dyDescent="0.2">
      <c r="A1332" s="1" t="s">
        <v>25</v>
      </c>
      <c r="B1332" s="2" t="s">
        <v>209</v>
      </c>
      <c r="C1332" s="5" t="s">
        <v>1359</v>
      </c>
      <c r="D1332" s="5" t="s">
        <v>1360</v>
      </c>
      <c r="E1332" s="9">
        <v>179743</v>
      </c>
      <c r="F1332" s="9">
        <v>191487</v>
      </c>
      <c r="G1332" s="57">
        <v>6.5337732206539337E-2</v>
      </c>
      <c r="J1332" s="5" t="s">
        <v>3370</v>
      </c>
    </row>
    <row r="1333" spans="1:12" x14ac:dyDescent="0.2">
      <c r="A1333" s="1" t="s">
        <v>34</v>
      </c>
      <c r="B1333" s="2" t="s">
        <v>343</v>
      </c>
      <c r="C1333" s="5" t="s">
        <v>853</v>
      </c>
      <c r="D1333" s="5" t="s">
        <v>450</v>
      </c>
      <c r="E1333" s="3">
        <v>186590</v>
      </c>
      <c r="F1333" s="3">
        <v>191459</v>
      </c>
      <c r="G1333" s="57">
        <v>2.6094646015327724E-2</v>
      </c>
      <c r="J1333" s="5" t="s">
        <v>2699</v>
      </c>
    </row>
    <row r="1334" spans="1:12" ht="38.25" x14ac:dyDescent="0.2">
      <c r="A1334" s="1" t="s">
        <v>28</v>
      </c>
      <c r="B1334" s="2" t="s">
        <v>215</v>
      </c>
      <c r="D1334" s="5" t="s">
        <v>1318</v>
      </c>
      <c r="E1334" s="3">
        <v>117533</v>
      </c>
      <c r="F1334" s="3">
        <v>191003</v>
      </c>
      <c r="G1334" s="57">
        <v>0.62510103545387252</v>
      </c>
      <c r="J1334" s="5" t="s">
        <v>3311</v>
      </c>
    </row>
    <row r="1335" spans="1:12" ht="38.25" x14ac:dyDescent="0.2">
      <c r="A1335" s="1" t="s">
        <v>25</v>
      </c>
      <c r="B1335" s="2" t="s">
        <v>406</v>
      </c>
      <c r="C1335" s="5" t="s">
        <v>628</v>
      </c>
      <c r="D1335" s="5" t="s">
        <v>549</v>
      </c>
      <c r="E1335" s="9">
        <v>188721</v>
      </c>
      <c r="F1335" s="3">
        <v>189730</v>
      </c>
      <c r="G1335" s="57">
        <v>5.3465168158286572E-3</v>
      </c>
      <c r="J1335" s="5" t="s">
        <v>2406</v>
      </c>
    </row>
    <row r="1336" spans="1:12" ht="38.25" x14ac:dyDescent="0.2">
      <c r="A1336" s="1" t="s">
        <v>34</v>
      </c>
      <c r="B1336" s="2" t="s">
        <v>170</v>
      </c>
      <c r="D1336" s="5" t="s">
        <v>1551</v>
      </c>
      <c r="E1336" s="3">
        <v>150744</v>
      </c>
      <c r="F1336" s="3">
        <v>189720</v>
      </c>
      <c r="G1336" s="57">
        <v>0.2585575545295335</v>
      </c>
      <c r="J1336" s="5" t="s">
        <v>4069</v>
      </c>
    </row>
    <row r="1337" spans="1:12" ht="38.25" x14ac:dyDescent="0.2">
      <c r="A1337" s="1" t="s">
        <v>111</v>
      </c>
      <c r="B1337" s="2" t="s">
        <v>369</v>
      </c>
      <c r="C1337" s="5" t="s">
        <v>771</v>
      </c>
      <c r="D1337" s="5" t="s">
        <v>450</v>
      </c>
      <c r="E1337" s="3">
        <v>188211</v>
      </c>
      <c r="F1337" s="3">
        <v>189201</v>
      </c>
      <c r="G1337" s="57">
        <v>5.2600538757033325E-3</v>
      </c>
      <c r="J1337" s="5" t="s">
        <v>2563</v>
      </c>
    </row>
    <row r="1338" spans="1:12" x14ac:dyDescent="0.2">
      <c r="A1338" s="1" t="s">
        <v>44</v>
      </c>
      <c r="B1338" s="2" t="s">
        <v>75</v>
      </c>
      <c r="C1338" s="1" t="s">
        <v>1963</v>
      </c>
      <c r="D1338" s="5" t="s">
        <v>450</v>
      </c>
      <c r="E1338" s="3">
        <v>188018</v>
      </c>
      <c r="F1338" s="3">
        <v>189178</v>
      </c>
      <c r="G1338" s="57">
        <v>6.1696220574625838E-3</v>
      </c>
      <c r="J1338" s="5" t="s">
        <v>1964</v>
      </c>
    </row>
    <row r="1339" spans="1:12" ht="25.5" x14ac:dyDescent="0.2">
      <c r="A1339" s="1" t="s">
        <v>25</v>
      </c>
      <c r="B1339" s="2" t="s">
        <v>259</v>
      </c>
      <c r="C1339" s="5" t="s">
        <v>1172</v>
      </c>
      <c r="D1339" s="5" t="s">
        <v>450</v>
      </c>
      <c r="E1339" s="6">
        <v>281085</v>
      </c>
      <c r="F1339" s="3">
        <v>189108</v>
      </c>
      <c r="G1339" s="57">
        <v>-0.32722130316452319</v>
      </c>
      <c r="J1339" s="5" t="s">
        <v>4373</v>
      </c>
    </row>
    <row r="1340" spans="1:12" ht="38.25" x14ac:dyDescent="0.2">
      <c r="A1340" s="1" t="s">
        <v>6</v>
      </c>
      <c r="B1340" s="2" t="s">
        <v>329</v>
      </c>
      <c r="D1340" s="7" t="s">
        <v>892</v>
      </c>
      <c r="E1340" s="6">
        <v>134531</v>
      </c>
      <c r="F1340" s="6">
        <v>188905</v>
      </c>
      <c r="G1340" s="57">
        <v>0.40417450253101517</v>
      </c>
      <c r="J1340" s="5" t="s">
        <v>4420</v>
      </c>
    </row>
    <row r="1341" spans="1:12" ht="25.5" x14ac:dyDescent="0.2">
      <c r="A1341" s="1" t="s">
        <v>8</v>
      </c>
      <c r="B1341" s="2" t="s">
        <v>115</v>
      </c>
      <c r="C1341" s="1" t="s">
        <v>2157</v>
      </c>
      <c r="D1341" s="5" t="s">
        <v>450</v>
      </c>
      <c r="E1341" s="3">
        <v>128712</v>
      </c>
      <c r="F1341" s="3">
        <v>188798</v>
      </c>
      <c r="G1341" s="57">
        <v>0.46682516004723723</v>
      </c>
      <c r="J1341" s="5" t="s">
        <v>4271</v>
      </c>
    </row>
    <row r="1342" spans="1:12" ht="38.25" x14ac:dyDescent="0.2">
      <c r="A1342" s="1" t="s">
        <v>39</v>
      </c>
      <c r="B1342" s="2" t="s">
        <v>384</v>
      </c>
      <c r="D1342" s="5" t="s">
        <v>700</v>
      </c>
      <c r="E1342" s="3">
        <v>66781</v>
      </c>
      <c r="F1342" s="3">
        <v>188037</v>
      </c>
      <c r="G1342" s="57">
        <v>1.8157260298587923</v>
      </c>
      <c r="J1342" s="5" t="s">
        <v>2497</v>
      </c>
    </row>
    <row r="1343" spans="1:12" ht="38.25" x14ac:dyDescent="0.2">
      <c r="A1343" s="1" t="s">
        <v>4</v>
      </c>
      <c r="B1343" s="2" t="s">
        <v>303</v>
      </c>
      <c r="C1343" s="7" t="s">
        <v>974</v>
      </c>
      <c r="D1343" s="7" t="s">
        <v>975</v>
      </c>
      <c r="E1343" s="6">
        <v>131952</v>
      </c>
      <c r="F1343" s="6">
        <v>187683</v>
      </c>
      <c r="G1343" s="57">
        <v>0.42235813022917423</v>
      </c>
      <c r="J1343" s="5" t="s">
        <v>4402</v>
      </c>
    </row>
    <row r="1344" spans="1:12" ht="25.5" x14ac:dyDescent="0.2">
      <c r="A1344" s="13" t="s">
        <v>111</v>
      </c>
      <c r="B1344" s="12" t="s">
        <v>110</v>
      </c>
      <c r="C1344" s="13" t="s">
        <v>2166</v>
      </c>
      <c r="D1344" s="7" t="s">
        <v>450</v>
      </c>
      <c r="E1344" s="6">
        <v>188060</v>
      </c>
      <c r="F1344" s="6">
        <v>187573</v>
      </c>
      <c r="G1344" s="57">
        <v>-2.5895990641284696E-3</v>
      </c>
      <c r="H1344" s="21"/>
      <c r="I1344" s="21"/>
      <c r="J1344" s="7" t="s">
        <v>4617</v>
      </c>
      <c r="K1344" s="13"/>
      <c r="L1344" s="13"/>
    </row>
    <row r="1345" spans="1:12" x14ac:dyDescent="0.2">
      <c r="A1345" s="1" t="s">
        <v>4</v>
      </c>
      <c r="B1345" s="2" t="s">
        <v>210</v>
      </c>
      <c r="D1345" s="5" t="s">
        <v>464</v>
      </c>
      <c r="E1345" s="3" t="s">
        <v>465</v>
      </c>
      <c r="F1345" s="3">
        <v>187500</v>
      </c>
      <c r="G1345" s="57" t="s">
        <v>465</v>
      </c>
      <c r="H1345" s="4"/>
      <c r="I1345" s="4"/>
      <c r="J1345" s="1"/>
    </row>
    <row r="1346" spans="1:12" x14ac:dyDescent="0.2">
      <c r="A1346" s="1" t="s">
        <v>4</v>
      </c>
      <c r="B1346" s="2" t="s">
        <v>210</v>
      </c>
      <c r="D1346" s="5" t="s">
        <v>464</v>
      </c>
      <c r="E1346" s="3" t="s">
        <v>465</v>
      </c>
      <c r="F1346" s="3">
        <v>187500</v>
      </c>
      <c r="G1346" s="57" t="s">
        <v>465</v>
      </c>
    </row>
    <row r="1347" spans="1:12" x14ac:dyDescent="0.2">
      <c r="A1347" s="1" t="s">
        <v>25</v>
      </c>
      <c r="B1347" s="2" t="s">
        <v>243</v>
      </c>
      <c r="D1347" s="7" t="s">
        <v>464</v>
      </c>
      <c r="E1347" s="6" t="s">
        <v>465</v>
      </c>
      <c r="F1347" s="6">
        <v>187500</v>
      </c>
      <c r="G1347" s="57" t="s">
        <v>465</v>
      </c>
      <c r="H1347" s="21"/>
      <c r="I1347" s="21"/>
      <c r="J1347" s="7"/>
    </row>
    <row r="1348" spans="1:12" x14ac:dyDescent="0.2">
      <c r="A1348" s="1" t="s">
        <v>25</v>
      </c>
      <c r="B1348" s="2" t="s">
        <v>243</v>
      </c>
      <c r="D1348" s="7" t="s">
        <v>464</v>
      </c>
      <c r="E1348" s="6" t="s">
        <v>465</v>
      </c>
      <c r="F1348" s="6">
        <v>187500</v>
      </c>
      <c r="G1348" s="57" t="s">
        <v>465</v>
      </c>
      <c r="H1348" s="21"/>
      <c r="I1348" s="21"/>
      <c r="J1348" s="7" t="s">
        <v>539</v>
      </c>
    </row>
    <row r="1349" spans="1:12" x14ac:dyDescent="0.2">
      <c r="A1349" s="1" t="s">
        <v>111</v>
      </c>
      <c r="B1349" s="2" t="s">
        <v>282</v>
      </c>
      <c r="D1349" s="5" t="s">
        <v>464</v>
      </c>
      <c r="E1349" s="3" t="s">
        <v>465</v>
      </c>
      <c r="F1349" s="3">
        <v>187500</v>
      </c>
      <c r="G1349" s="57" t="s">
        <v>465</v>
      </c>
      <c r="J1349" s="5" t="s">
        <v>539</v>
      </c>
    </row>
    <row r="1350" spans="1:12" x14ac:dyDescent="0.2">
      <c r="A1350" s="1" t="s">
        <v>39</v>
      </c>
      <c r="B1350" s="2" t="s">
        <v>409</v>
      </c>
      <c r="D1350" s="5" t="s">
        <v>587</v>
      </c>
      <c r="E1350" s="3" t="s">
        <v>465</v>
      </c>
      <c r="F1350" s="3">
        <v>187500</v>
      </c>
      <c r="G1350" s="57" t="s">
        <v>465</v>
      </c>
      <c r="J1350" s="5" t="s">
        <v>540</v>
      </c>
    </row>
    <row r="1351" spans="1:12" x14ac:dyDescent="0.2">
      <c r="A1351" s="1" t="s">
        <v>28</v>
      </c>
      <c r="B1351" s="2" t="s">
        <v>317</v>
      </c>
      <c r="C1351" s="5" t="s">
        <v>924</v>
      </c>
      <c r="D1351" s="5" t="s">
        <v>450</v>
      </c>
      <c r="E1351" s="6">
        <v>81088.59</v>
      </c>
      <c r="F1351" s="6">
        <v>187359.96</v>
      </c>
      <c r="G1351" s="57">
        <v>1.3105588591440547</v>
      </c>
      <c r="H1351" s="21"/>
      <c r="I1351" s="21"/>
      <c r="J1351" s="7" t="s">
        <v>2797</v>
      </c>
    </row>
    <row r="1352" spans="1:12" ht="38.25" x14ac:dyDescent="0.2">
      <c r="A1352" s="1" t="s">
        <v>20</v>
      </c>
      <c r="B1352" s="2" t="s">
        <v>212</v>
      </c>
      <c r="D1352" s="5" t="s">
        <v>1336</v>
      </c>
      <c r="E1352" s="9">
        <v>80472</v>
      </c>
      <c r="F1352" s="9">
        <v>187319</v>
      </c>
      <c r="G1352" s="57">
        <v>1.3277537528581369</v>
      </c>
      <c r="J1352" s="5" t="s">
        <v>3347</v>
      </c>
    </row>
    <row r="1353" spans="1:12" s="13" customFormat="1" ht="25.5" x14ac:dyDescent="0.2">
      <c r="A1353" s="1" t="s">
        <v>4</v>
      </c>
      <c r="B1353" s="2" t="s">
        <v>49</v>
      </c>
      <c r="C1353" s="1" t="s">
        <v>1811</v>
      </c>
      <c r="D1353" s="5" t="s">
        <v>450</v>
      </c>
      <c r="E1353" s="3">
        <v>182600</v>
      </c>
      <c r="F1353" s="3">
        <v>187200</v>
      </c>
      <c r="G1353" s="57">
        <v>2.5191675794085433E-2</v>
      </c>
      <c r="H1353" s="19"/>
      <c r="I1353" s="19"/>
      <c r="J1353" s="5" t="s">
        <v>1812</v>
      </c>
      <c r="K1353" s="1"/>
      <c r="L1353" s="1"/>
    </row>
    <row r="1354" spans="1:12" ht="38.25" x14ac:dyDescent="0.2">
      <c r="A1354" s="1" t="s">
        <v>25</v>
      </c>
      <c r="B1354" s="2" t="s">
        <v>178</v>
      </c>
      <c r="C1354" s="5" t="s">
        <v>1503</v>
      </c>
      <c r="D1354" s="5" t="s">
        <v>1504</v>
      </c>
      <c r="E1354" s="9" t="s">
        <v>465</v>
      </c>
      <c r="F1354" s="9">
        <v>187111</v>
      </c>
      <c r="G1354" s="57" t="s">
        <v>465</v>
      </c>
      <c r="J1354" s="5" t="s">
        <v>3570</v>
      </c>
    </row>
    <row r="1355" spans="1:12" ht="25.5" x14ac:dyDescent="0.2">
      <c r="A1355" s="1" t="s">
        <v>20</v>
      </c>
      <c r="B1355" s="2" t="s">
        <v>195</v>
      </c>
      <c r="D1355" s="5" t="s">
        <v>450</v>
      </c>
      <c r="E1355" s="3">
        <v>184000</v>
      </c>
      <c r="F1355" s="3">
        <v>187000</v>
      </c>
      <c r="G1355" s="57">
        <v>1.6304347826086956E-2</v>
      </c>
      <c r="J1355" s="5" t="s">
        <v>3465</v>
      </c>
    </row>
    <row r="1356" spans="1:12" ht="38.25" x14ac:dyDescent="0.2">
      <c r="A1356" s="1" t="s">
        <v>8</v>
      </c>
      <c r="B1356" s="2" t="s">
        <v>281</v>
      </c>
      <c r="C1356" s="5" t="s">
        <v>1071</v>
      </c>
      <c r="D1356" s="5" t="s">
        <v>4593</v>
      </c>
      <c r="E1356" s="10">
        <v>160000</v>
      </c>
      <c r="F1356" s="3">
        <v>187000</v>
      </c>
      <c r="G1356" s="57">
        <v>0.16875000000000001</v>
      </c>
      <c r="J1356" s="5" t="s">
        <v>4383</v>
      </c>
    </row>
    <row r="1357" spans="1:12" ht="38.25" x14ac:dyDescent="0.2">
      <c r="A1357" s="1" t="s">
        <v>1</v>
      </c>
      <c r="B1357" s="2" t="s">
        <v>125</v>
      </c>
      <c r="C1357" s="1" t="s">
        <v>2130</v>
      </c>
      <c r="D1357" s="5" t="s">
        <v>2131</v>
      </c>
      <c r="E1357" s="3">
        <v>117620</v>
      </c>
      <c r="F1357" s="3">
        <v>186653</v>
      </c>
      <c r="G1357" s="57">
        <v>0.58691549056282943</v>
      </c>
      <c r="J1357" s="5" t="s">
        <v>4290</v>
      </c>
    </row>
    <row r="1358" spans="1:12" ht="25.5" x14ac:dyDescent="0.2">
      <c r="A1358" s="1" t="s">
        <v>1</v>
      </c>
      <c r="B1358" s="2" t="s">
        <v>348</v>
      </c>
      <c r="C1358" s="5" t="s">
        <v>842</v>
      </c>
      <c r="D1358" s="5" t="s">
        <v>450</v>
      </c>
      <c r="E1358" s="36">
        <v>191485</v>
      </c>
      <c r="F1358" s="3">
        <v>186653</v>
      </c>
      <c r="G1358" s="57">
        <v>-2.5234352560252762E-2</v>
      </c>
      <c r="J1358" s="5" t="s">
        <v>2682</v>
      </c>
    </row>
    <row r="1359" spans="1:12" ht="25.5" x14ac:dyDescent="0.2">
      <c r="A1359" s="1" t="s">
        <v>4</v>
      </c>
      <c r="B1359" s="2" t="s">
        <v>239</v>
      </c>
      <c r="D1359" s="5" t="s">
        <v>450</v>
      </c>
      <c r="E1359" s="3">
        <v>185146</v>
      </c>
      <c r="F1359" s="3">
        <v>186587</v>
      </c>
      <c r="G1359" s="57">
        <v>7.7830468927225002E-3</v>
      </c>
      <c r="J1359" s="5" t="s">
        <v>3172</v>
      </c>
    </row>
    <row r="1360" spans="1:12" ht="25.5" x14ac:dyDescent="0.2">
      <c r="A1360" s="1" t="s">
        <v>6</v>
      </c>
      <c r="B1360" s="2" t="s">
        <v>362</v>
      </c>
      <c r="C1360" s="5" t="s">
        <v>786</v>
      </c>
      <c r="D1360" s="5" t="s">
        <v>450</v>
      </c>
      <c r="E1360" s="3">
        <v>186000</v>
      </c>
      <c r="F1360" s="3">
        <v>186000</v>
      </c>
      <c r="G1360" s="57">
        <v>0</v>
      </c>
      <c r="J1360" s="5" t="s">
        <v>2612</v>
      </c>
    </row>
    <row r="1361" spans="1:10" ht="38.25" x14ac:dyDescent="0.2">
      <c r="A1361" s="1" t="s">
        <v>39</v>
      </c>
      <c r="B1361" s="2" t="s">
        <v>286</v>
      </c>
      <c r="D1361" s="5" t="s">
        <v>1045</v>
      </c>
      <c r="E1361" s="3">
        <v>67606</v>
      </c>
      <c r="F1361" s="3">
        <v>185221</v>
      </c>
      <c r="G1361" s="57">
        <v>1.7397124515575542</v>
      </c>
      <c r="J1361" s="5" t="s">
        <v>4393</v>
      </c>
    </row>
    <row r="1362" spans="1:10" ht="38.25" x14ac:dyDescent="0.2">
      <c r="A1362" s="1" t="s">
        <v>25</v>
      </c>
      <c r="B1362" s="2" t="s">
        <v>26</v>
      </c>
      <c r="C1362" s="1"/>
      <c r="D1362" s="5" t="s">
        <v>1704</v>
      </c>
      <c r="E1362" s="6">
        <v>106185</v>
      </c>
      <c r="F1362" s="3">
        <v>185108</v>
      </c>
      <c r="G1362" s="57">
        <v>0.74325940575410843</v>
      </c>
      <c r="J1362" s="5" t="s">
        <v>4096</v>
      </c>
    </row>
    <row r="1363" spans="1:10" ht="25.5" x14ac:dyDescent="0.2">
      <c r="A1363" s="1" t="s">
        <v>4</v>
      </c>
      <c r="B1363" s="2" t="s">
        <v>336</v>
      </c>
      <c r="C1363" s="5" t="s">
        <v>875</v>
      </c>
      <c r="D1363" s="5" t="s">
        <v>450</v>
      </c>
      <c r="E1363" s="3">
        <v>185890</v>
      </c>
      <c r="F1363" s="3">
        <v>185030</v>
      </c>
      <c r="G1363" s="57">
        <v>-4.6263919522298138E-3</v>
      </c>
      <c r="J1363" s="5" t="s">
        <v>2731</v>
      </c>
    </row>
    <row r="1364" spans="1:10" ht="25.5" x14ac:dyDescent="0.2">
      <c r="A1364" s="1" t="s">
        <v>8</v>
      </c>
      <c r="B1364" s="2" t="s">
        <v>211</v>
      </c>
      <c r="C1364" s="5" t="s">
        <v>1337</v>
      </c>
      <c r="D1364" s="5" t="s">
        <v>450</v>
      </c>
      <c r="E1364" s="3">
        <v>186000</v>
      </c>
      <c r="F1364" s="3">
        <v>185000</v>
      </c>
      <c r="G1364" s="57">
        <v>-5.3763440860215058E-3</v>
      </c>
      <c r="J1364" s="5" t="s">
        <v>3349</v>
      </c>
    </row>
    <row r="1365" spans="1:10" ht="25.5" x14ac:dyDescent="0.2">
      <c r="A1365" s="1" t="s">
        <v>28</v>
      </c>
      <c r="B1365" s="2" t="s">
        <v>221</v>
      </c>
      <c r="C1365" s="5" t="s">
        <v>1278</v>
      </c>
      <c r="D1365" s="5" t="s">
        <v>1279</v>
      </c>
      <c r="E1365" s="9">
        <v>44137</v>
      </c>
      <c r="F1365" s="9">
        <v>184686</v>
      </c>
      <c r="G1365" s="57">
        <v>3.1843804517751546</v>
      </c>
      <c r="J1365" s="5" t="s">
        <v>3273</v>
      </c>
    </row>
    <row r="1366" spans="1:10" ht="25.5" x14ac:dyDescent="0.2">
      <c r="A1366" s="1" t="s">
        <v>28</v>
      </c>
      <c r="B1366" s="2" t="s">
        <v>269</v>
      </c>
      <c r="C1366" s="5" t="s">
        <v>1138</v>
      </c>
      <c r="D1366" s="5" t="s">
        <v>450</v>
      </c>
      <c r="E1366" s="3">
        <v>183194</v>
      </c>
      <c r="F1366" s="3">
        <v>184667</v>
      </c>
      <c r="G1366" s="57">
        <v>8.0406563533740195E-3</v>
      </c>
      <c r="J1366" s="5" t="s">
        <v>3058</v>
      </c>
    </row>
    <row r="1367" spans="1:10" ht="25.5" x14ac:dyDescent="0.2">
      <c r="A1367" s="1" t="s">
        <v>4</v>
      </c>
      <c r="B1367" s="2" t="s">
        <v>210</v>
      </c>
      <c r="C1367" s="5" t="s">
        <v>1348</v>
      </c>
      <c r="D1367" s="5" t="s">
        <v>1349</v>
      </c>
      <c r="E1367" s="9">
        <v>183972</v>
      </c>
      <c r="F1367" s="9">
        <v>184650</v>
      </c>
      <c r="G1367" s="57">
        <v>3.6853434218250603E-3</v>
      </c>
      <c r="J1367" s="5" t="s">
        <v>3364</v>
      </c>
    </row>
    <row r="1368" spans="1:10" ht="38.25" x14ac:dyDescent="0.2">
      <c r="A1368" s="1" t="s">
        <v>1</v>
      </c>
      <c r="B1368" s="12" t="s">
        <v>420</v>
      </c>
      <c r="C1368" s="5" t="s">
        <v>3604</v>
      </c>
      <c r="D1368" s="5" t="s">
        <v>3605</v>
      </c>
      <c r="E1368" s="9">
        <v>106603</v>
      </c>
      <c r="F1368" s="9">
        <v>184335</v>
      </c>
      <c r="G1368" s="57">
        <v>0.72917272497021657</v>
      </c>
      <c r="J1368" s="5" t="s">
        <v>3633</v>
      </c>
    </row>
    <row r="1369" spans="1:10" ht="38.25" x14ac:dyDescent="0.2">
      <c r="A1369" s="1" t="s">
        <v>20</v>
      </c>
      <c r="B1369" s="2" t="s">
        <v>154</v>
      </c>
      <c r="C1369" s="1" t="s">
        <v>1614</v>
      </c>
      <c r="D1369" s="5" t="s">
        <v>1612</v>
      </c>
      <c r="E1369" s="3">
        <v>179722</v>
      </c>
      <c r="F1369" s="3">
        <v>184223</v>
      </c>
      <c r="G1369" s="57">
        <v>2.5044234985143722E-2</v>
      </c>
      <c r="J1369" s="5" t="s">
        <v>4004</v>
      </c>
    </row>
    <row r="1370" spans="1:10" ht="25.5" x14ac:dyDescent="0.2">
      <c r="A1370" s="1" t="s">
        <v>4</v>
      </c>
      <c r="B1370" s="2" t="s">
        <v>249</v>
      </c>
      <c r="C1370" s="5" t="s">
        <v>1190</v>
      </c>
      <c r="D1370" s="7" t="s">
        <v>450</v>
      </c>
      <c r="E1370" s="3">
        <v>128725</v>
      </c>
      <c r="F1370" s="3">
        <v>184201</v>
      </c>
      <c r="G1370" s="57">
        <v>0.43096523596814917</v>
      </c>
      <c r="J1370" s="5" t="s">
        <v>3132</v>
      </c>
    </row>
    <row r="1371" spans="1:10" ht="38.25" x14ac:dyDescent="0.2">
      <c r="A1371" s="1" t="s">
        <v>34</v>
      </c>
      <c r="B1371" s="2" t="s">
        <v>338</v>
      </c>
      <c r="C1371" s="5" t="s">
        <v>869</v>
      </c>
      <c r="D1371" s="5" t="s">
        <v>450</v>
      </c>
      <c r="E1371" s="3">
        <v>31015.88</v>
      </c>
      <c r="F1371" s="3">
        <v>184186.16</v>
      </c>
      <c r="G1371" s="57">
        <v>4.9384470148839883</v>
      </c>
      <c r="J1371" s="5" t="s">
        <v>4448</v>
      </c>
    </row>
    <row r="1372" spans="1:10" ht="25.5" x14ac:dyDescent="0.2">
      <c r="A1372" s="1" t="s">
        <v>4</v>
      </c>
      <c r="B1372" s="2" t="s">
        <v>206</v>
      </c>
      <c r="D1372" s="5" t="s">
        <v>450</v>
      </c>
      <c r="E1372" s="9">
        <v>183937</v>
      </c>
      <c r="F1372" s="9">
        <v>184116</v>
      </c>
      <c r="G1372" s="57">
        <v>9.7315928823455853E-4</v>
      </c>
      <c r="J1372" s="5" t="s">
        <v>3385</v>
      </c>
    </row>
    <row r="1373" spans="1:10" ht="25.5" x14ac:dyDescent="0.2">
      <c r="A1373" s="1" t="s">
        <v>25</v>
      </c>
      <c r="B1373" s="2" t="s">
        <v>129</v>
      </c>
      <c r="C1373" s="1" t="s">
        <v>2094</v>
      </c>
      <c r="D1373" s="5" t="s">
        <v>450</v>
      </c>
      <c r="E1373" s="3">
        <v>58636</v>
      </c>
      <c r="F1373" s="3">
        <v>183854</v>
      </c>
      <c r="G1373" s="57">
        <v>2.1355140186915889</v>
      </c>
      <c r="J1373" s="5" t="s">
        <v>4295</v>
      </c>
    </row>
    <row r="1374" spans="1:10" ht="38.25" x14ac:dyDescent="0.2">
      <c r="A1374" s="1" t="s">
        <v>20</v>
      </c>
      <c r="B1374" s="2" t="s">
        <v>154</v>
      </c>
      <c r="C1374" s="1" t="s">
        <v>1617</v>
      </c>
      <c r="D1374" s="5" t="s">
        <v>501</v>
      </c>
      <c r="E1374" s="3" t="s">
        <v>465</v>
      </c>
      <c r="F1374" s="3">
        <v>183832</v>
      </c>
      <c r="G1374" s="57" t="s">
        <v>465</v>
      </c>
      <c r="J1374" s="5" t="s">
        <v>4010</v>
      </c>
    </row>
    <row r="1375" spans="1:10" ht="25.5" x14ac:dyDescent="0.2">
      <c r="A1375" s="1" t="s">
        <v>25</v>
      </c>
      <c r="B1375" s="2" t="s">
        <v>107</v>
      </c>
      <c r="C1375" s="1" t="s">
        <v>2192</v>
      </c>
      <c r="D1375" s="5" t="s">
        <v>2193</v>
      </c>
      <c r="E1375" s="3">
        <v>175315</v>
      </c>
      <c r="F1375" s="3">
        <v>183757</v>
      </c>
      <c r="G1375" s="57">
        <v>4.8153324016769812E-2</v>
      </c>
      <c r="J1375" s="5" t="s">
        <v>3864</v>
      </c>
    </row>
    <row r="1376" spans="1:10" ht="25.5" x14ac:dyDescent="0.2">
      <c r="A1376" s="1" t="s">
        <v>4</v>
      </c>
      <c r="B1376" s="2" t="s">
        <v>377</v>
      </c>
      <c r="C1376" s="5" t="s">
        <v>728</v>
      </c>
      <c r="D1376" s="5" t="s">
        <v>729</v>
      </c>
      <c r="E1376" s="3">
        <v>216305</v>
      </c>
      <c r="F1376" s="3">
        <v>183547</v>
      </c>
      <c r="G1376" s="57">
        <v>-0.15144356348674326</v>
      </c>
      <c r="J1376" s="5" t="s">
        <v>4474</v>
      </c>
    </row>
    <row r="1377" spans="1:12" ht="25.5" x14ac:dyDescent="0.2">
      <c r="A1377" s="1" t="s">
        <v>4</v>
      </c>
      <c r="B1377" s="2" t="s">
        <v>144</v>
      </c>
      <c r="C1377" s="1" t="s">
        <v>1642</v>
      </c>
      <c r="D1377" s="5" t="s">
        <v>854</v>
      </c>
      <c r="E1377" s="3">
        <v>197046</v>
      </c>
      <c r="F1377" s="3">
        <v>183386</v>
      </c>
      <c r="G1377" s="57">
        <v>-6.93239142129249E-2</v>
      </c>
      <c r="J1377" s="5" t="s">
        <v>3986</v>
      </c>
    </row>
    <row r="1378" spans="1:12" ht="38.25" x14ac:dyDescent="0.2">
      <c r="A1378" s="1" t="s">
        <v>20</v>
      </c>
      <c r="B1378" s="2" t="s">
        <v>389</v>
      </c>
      <c r="D1378" s="5" t="s">
        <v>1874</v>
      </c>
      <c r="E1378" s="3">
        <v>145161</v>
      </c>
      <c r="F1378" s="3">
        <v>183254</v>
      </c>
      <c r="G1378" s="57">
        <v>0.26241896928238301</v>
      </c>
      <c r="J1378" s="5" t="s">
        <v>4487</v>
      </c>
    </row>
    <row r="1379" spans="1:12" x14ac:dyDescent="0.2">
      <c r="A1379" s="1" t="s">
        <v>25</v>
      </c>
      <c r="B1379" s="12" t="s">
        <v>197</v>
      </c>
      <c r="C1379" s="5" t="s">
        <v>1400</v>
      </c>
      <c r="D1379" s="5" t="s">
        <v>450</v>
      </c>
      <c r="E1379" s="9">
        <v>215206</v>
      </c>
      <c r="F1379" s="9">
        <v>183250</v>
      </c>
      <c r="G1379" s="57">
        <v>-0.14849028372814885</v>
      </c>
      <c r="J1379" s="5" t="s">
        <v>3433</v>
      </c>
    </row>
    <row r="1380" spans="1:12" ht="25.5" x14ac:dyDescent="0.2">
      <c r="A1380" s="1" t="s">
        <v>20</v>
      </c>
      <c r="B1380" s="2" t="s">
        <v>154</v>
      </c>
      <c r="C1380" s="1" t="s">
        <v>1616</v>
      </c>
      <c r="D1380" s="5" t="s">
        <v>4008</v>
      </c>
      <c r="E1380" s="3" t="s">
        <v>465</v>
      </c>
      <c r="F1380" s="3">
        <v>183197</v>
      </c>
      <c r="G1380" s="57" t="s">
        <v>465</v>
      </c>
      <c r="J1380" s="5" t="s">
        <v>4009</v>
      </c>
    </row>
    <row r="1381" spans="1:12" ht="25.5" x14ac:dyDescent="0.2">
      <c r="A1381" s="1" t="s">
        <v>20</v>
      </c>
      <c r="B1381" s="2" t="s">
        <v>154</v>
      </c>
      <c r="C1381" s="1" t="s">
        <v>1613</v>
      </c>
      <c r="D1381" s="5" t="s">
        <v>4637</v>
      </c>
      <c r="E1381" s="3">
        <v>198875</v>
      </c>
      <c r="F1381" s="3">
        <v>183162</v>
      </c>
      <c r="G1381" s="57">
        <v>-7.9009428032683848E-2</v>
      </c>
      <c r="J1381" s="5" t="s">
        <v>4007</v>
      </c>
    </row>
    <row r="1382" spans="1:12" ht="76.5" x14ac:dyDescent="0.2">
      <c r="A1382" s="1" t="s">
        <v>6</v>
      </c>
      <c r="B1382" s="2" t="s">
        <v>41</v>
      </c>
      <c r="C1382" s="1" t="s">
        <v>1771</v>
      </c>
      <c r="D1382" s="5" t="s">
        <v>4147</v>
      </c>
      <c r="E1382" s="6">
        <v>183000</v>
      </c>
      <c r="F1382" s="6">
        <v>183000</v>
      </c>
      <c r="G1382" s="57">
        <v>0</v>
      </c>
      <c r="J1382" s="5" t="s">
        <v>4149</v>
      </c>
    </row>
    <row r="1383" spans="1:12" x14ac:dyDescent="0.2">
      <c r="A1383" s="1" t="s">
        <v>34</v>
      </c>
      <c r="B1383" s="2" t="s">
        <v>91</v>
      </c>
      <c r="C1383" s="1"/>
      <c r="D1383" s="5" t="s">
        <v>450</v>
      </c>
      <c r="E1383" s="3">
        <v>100687</v>
      </c>
      <c r="F1383" s="3">
        <v>182960</v>
      </c>
      <c r="G1383" s="57">
        <v>0.8171164102615035</v>
      </c>
      <c r="J1383" s="5" t="s">
        <v>2072</v>
      </c>
    </row>
    <row r="1384" spans="1:12" ht="38.25" x14ac:dyDescent="0.2">
      <c r="A1384" s="1" t="s">
        <v>6</v>
      </c>
      <c r="B1384" s="12" t="s">
        <v>231</v>
      </c>
      <c r="C1384" s="5" t="s">
        <v>1243</v>
      </c>
      <c r="D1384" s="5" t="s">
        <v>450</v>
      </c>
      <c r="E1384" s="9">
        <v>278714</v>
      </c>
      <c r="F1384" s="9">
        <v>182727</v>
      </c>
      <c r="G1384" s="57">
        <v>-0.34439245965398224</v>
      </c>
      <c r="J1384" s="5" t="s">
        <v>3216</v>
      </c>
    </row>
    <row r="1385" spans="1:12" x14ac:dyDescent="0.2">
      <c r="A1385" s="1" t="s">
        <v>25</v>
      </c>
      <c r="B1385" s="2" t="s">
        <v>175</v>
      </c>
      <c r="C1385" s="5" t="s">
        <v>1511</v>
      </c>
      <c r="D1385" s="5" t="s">
        <v>1512</v>
      </c>
      <c r="E1385" s="9">
        <v>171825</v>
      </c>
      <c r="F1385" s="9">
        <v>182687.51</v>
      </c>
      <c r="G1385" s="57">
        <v>6.3218449003346486E-2</v>
      </c>
      <c r="J1385" s="5" t="s">
        <v>3577</v>
      </c>
    </row>
    <row r="1386" spans="1:12" x14ac:dyDescent="0.2">
      <c r="A1386" s="1" t="s">
        <v>25</v>
      </c>
      <c r="B1386" s="2" t="s">
        <v>93</v>
      </c>
      <c r="C1386" s="1"/>
      <c r="D1386" s="5" t="s">
        <v>464</v>
      </c>
      <c r="E1386" s="3" t="s">
        <v>465</v>
      </c>
      <c r="F1386" s="3">
        <v>182500</v>
      </c>
      <c r="G1386" s="57" t="s">
        <v>465</v>
      </c>
    </row>
    <row r="1387" spans="1:12" x14ac:dyDescent="0.2">
      <c r="A1387" s="1" t="s">
        <v>20</v>
      </c>
      <c r="B1387" s="2" t="s">
        <v>154</v>
      </c>
      <c r="C1387" s="1"/>
      <c r="D1387" s="5" t="s">
        <v>464</v>
      </c>
      <c r="E1387" s="3" t="s">
        <v>465</v>
      </c>
      <c r="F1387" s="3">
        <v>182500</v>
      </c>
      <c r="G1387" s="57" t="s">
        <v>465</v>
      </c>
    </row>
    <row r="1388" spans="1:12" x14ac:dyDescent="0.2">
      <c r="A1388" s="1" t="s">
        <v>25</v>
      </c>
      <c r="B1388" s="2" t="s">
        <v>398</v>
      </c>
      <c r="D1388" s="5" t="s">
        <v>464</v>
      </c>
      <c r="E1388" s="3" t="s">
        <v>465</v>
      </c>
      <c r="F1388" s="3">
        <v>182500</v>
      </c>
      <c r="G1388" s="57" t="s">
        <v>465</v>
      </c>
      <c r="J1388" s="5" t="s">
        <v>1241</v>
      </c>
    </row>
    <row r="1389" spans="1:12" x14ac:dyDescent="0.2">
      <c r="A1389" s="1" t="s">
        <v>25</v>
      </c>
      <c r="B1389" s="2" t="s">
        <v>405</v>
      </c>
      <c r="D1389" s="5" t="s">
        <v>464</v>
      </c>
      <c r="E1389" s="3" t="s">
        <v>465</v>
      </c>
      <c r="F1389" s="3">
        <v>182500</v>
      </c>
      <c r="G1389" s="57" t="s">
        <v>465</v>
      </c>
    </row>
    <row r="1390" spans="1:12" ht="38.25" x14ac:dyDescent="0.2">
      <c r="A1390" s="1" t="s">
        <v>25</v>
      </c>
      <c r="B1390" s="2" t="s">
        <v>181</v>
      </c>
      <c r="C1390" s="5" t="s">
        <v>1486</v>
      </c>
      <c r="D1390" s="5" t="s">
        <v>1487</v>
      </c>
      <c r="E1390" s="9" t="s">
        <v>465</v>
      </c>
      <c r="F1390" s="9">
        <v>182400</v>
      </c>
      <c r="G1390" s="57" t="s">
        <v>465</v>
      </c>
      <c r="J1390" s="5" t="s">
        <v>3548</v>
      </c>
    </row>
    <row r="1391" spans="1:12" ht="51" x14ac:dyDescent="0.2">
      <c r="A1391" s="1" t="s">
        <v>1</v>
      </c>
      <c r="B1391" s="12" t="s">
        <v>308</v>
      </c>
      <c r="C1391" s="5" t="s">
        <v>952</v>
      </c>
      <c r="D1391" s="5" t="s">
        <v>452</v>
      </c>
      <c r="E1391" s="6">
        <v>110134</v>
      </c>
      <c r="F1391" s="3">
        <v>182396</v>
      </c>
      <c r="G1391" s="57">
        <v>0.65612798954001494</v>
      </c>
      <c r="J1391" s="5" t="s">
        <v>4407</v>
      </c>
    </row>
    <row r="1392" spans="1:12" x14ac:dyDescent="0.2">
      <c r="A1392" s="1" t="s">
        <v>25</v>
      </c>
      <c r="B1392" s="12" t="s">
        <v>70</v>
      </c>
      <c r="C1392" s="13" t="s">
        <v>3783</v>
      </c>
      <c r="D1392" s="7" t="s">
        <v>1913</v>
      </c>
      <c r="E1392" s="21">
        <v>183229</v>
      </c>
      <c r="F1392" s="21">
        <v>182388</v>
      </c>
      <c r="G1392" s="57">
        <v>-4.5898847889799107E-3</v>
      </c>
      <c r="H1392" s="21"/>
      <c r="I1392" s="21"/>
      <c r="J1392" s="7" t="s">
        <v>1914</v>
      </c>
      <c r="K1392" s="13"/>
      <c r="L1392" s="13"/>
    </row>
    <row r="1393" spans="1:12" ht="38.25" x14ac:dyDescent="0.2">
      <c r="A1393" s="1" t="s">
        <v>8</v>
      </c>
      <c r="B1393" s="2" t="s">
        <v>342</v>
      </c>
      <c r="C1393" s="5" t="s">
        <v>859</v>
      </c>
      <c r="D1393" s="5" t="s">
        <v>452</v>
      </c>
      <c r="E1393" s="3">
        <v>104624</v>
      </c>
      <c r="F1393" s="3">
        <v>182334</v>
      </c>
      <c r="G1393" s="57">
        <v>0.742755008411072</v>
      </c>
      <c r="J1393" s="5" t="s">
        <v>2706</v>
      </c>
    </row>
    <row r="1394" spans="1:12" ht="38.25" x14ac:dyDescent="0.2">
      <c r="A1394" s="1" t="s">
        <v>111</v>
      </c>
      <c r="B1394" s="2" t="s">
        <v>305</v>
      </c>
      <c r="D1394" s="5" t="s">
        <v>451</v>
      </c>
      <c r="E1394" s="3">
        <v>115596</v>
      </c>
      <c r="F1394" s="3">
        <v>182055</v>
      </c>
      <c r="G1394" s="57">
        <v>0.57492473788020348</v>
      </c>
      <c r="J1394" s="5" t="s">
        <v>4403</v>
      </c>
    </row>
    <row r="1395" spans="1:12" ht="38.25" x14ac:dyDescent="0.2">
      <c r="A1395" s="1" t="s">
        <v>25</v>
      </c>
      <c r="B1395" s="2" t="s">
        <v>26</v>
      </c>
      <c r="C1395" s="1"/>
      <c r="D1395" s="5" t="s">
        <v>1705</v>
      </c>
      <c r="E1395" s="6" t="s">
        <v>465</v>
      </c>
      <c r="F1395" s="3">
        <v>181310</v>
      </c>
      <c r="G1395" s="57" t="s">
        <v>465</v>
      </c>
      <c r="J1395" s="5" t="s">
        <v>4097</v>
      </c>
    </row>
    <row r="1396" spans="1:12" ht="25.5" x14ac:dyDescent="0.2">
      <c r="A1396" s="1" t="s">
        <v>4</v>
      </c>
      <c r="B1396" s="2" t="s">
        <v>432</v>
      </c>
      <c r="C1396" s="5" t="s">
        <v>489</v>
      </c>
      <c r="D1396" s="5" t="s">
        <v>450</v>
      </c>
      <c r="E1396" s="3">
        <v>181101</v>
      </c>
      <c r="F1396" s="3">
        <v>181281</v>
      </c>
      <c r="G1396" s="57">
        <v>9.9392051948912481E-4</v>
      </c>
      <c r="J1396" s="5" t="s">
        <v>2286</v>
      </c>
    </row>
    <row r="1397" spans="1:12" ht="25.5" x14ac:dyDescent="0.2">
      <c r="A1397" s="1" t="s">
        <v>25</v>
      </c>
      <c r="B1397" s="2" t="s">
        <v>358</v>
      </c>
      <c r="C1397" s="5" t="s">
        <v>799</v>
      </c>
      <c r="D1397" s="5" t="s">
        <v>800</v>
      </c>
      <c r="E1397" s="9">
        <v>174855</v>
      </c>
      <c r="F1397" s="9">
        <v>181277</v>
      </c>
      <c r="G1397" s="57">
        <v>3.6727574275828546E-2</v>
      </c>
      <c r="J1397" s="5" t="s">
        <v>2631</v>
      </c>
    </row>
    <row r="1398" spans="1:12" ht="25.5" x14ac:dyDescent="0.2">
      <c r="A1398" s="1" t="s">
        <v>4</v>
      </c>
      <c r="B1398" s="2" t="s">
        <v>206</v>
      </c>
      <c r="D1398" s="5" t="s">
        <v>1379</v>
      </c>
      <c r="E1398" s="9">
        <v>185405</v>
      </c>
      <c r="F1398" s="9">
        <v>181121</v>
      </c>
      <c r="G1398" s="57">
        <v>-2.3106172972681426E-2</v>
      </c>
      <c r="J1398" s="5" t="s">
        <v>3389</v>
      </c>
    </row>
    <row r="1399" spans="1:12" ht="51" x14ac:dyDescent="0.2">
      <c r="A1399" s="1" t="s">
        <v>20</v>
      </c>
      <c r="B1399" s="2" t="s">
        <v>194</v>
      </c>
      <c r="C1399" s="5" t="s">
        <v>1429</v>
      </c>
      <c r="D1399" s="5" t="s">
        <v>1430</v>
      </c>
      <c r="E1399" s="9">
        <v>123165</v>
      </c>
      <c r="F1399" s="9">
        <v>181086</v>
      </c>
      <c r="G1399" s="57">
        <v>0.47027158689562781</v>
      </c>
      <c r="J1399" s="5" t="s">
        <v>3473</v>
      </c>
    </row>
    <row r="1400" spans="1:12" ht="38.25" x14ac:dyDescent="0.2">
      <c r="A1400" s="1" t="s">
        <v>39</v>
      </c>
      <c r="B1400" s="2" t="s">
        <v>124</v>
      </c>
      <c r="C1400" s="1" t="s">
        <v>2134</v>
      </c>
      <c r="D1400" s="5" t="s">
        <v>450</v>
      </c>
      <c r="E1400" s="3">
        <v>181000</v>
      </c>
      <c r="F1400" s="3">
        <v>181000</v>
      </c>
      <c r="G1400" s="57">
        <v>0</v>
      </c>
      <c r="J1400" s="5" t="s">
        <v>4287</v>
      </c>
    </row>
    <row r="1401" spans="1:12" ht="63.75" x14ac:dyDescent="0.2">
      <c r="A1401" s="1" t="s">
        <v>39</v>
      </c>
      <c r="B1401" s="2" t="s">
        <v>388</v>
      </c>
      <c r="C1401" s="5" t="s">
        <v>693</v>
      </c>
      <c r="D1401" s="5" t="s">
        <v>450</v>
      </c>
      <c r="E1401" s="3">
        <v>163635</v>
      </c>
      <c r="F1401" s="3">
        <v>180862</v>
      </c>
      <c r="G1401" s="57">
        <v>0.10527698841934793</v>
      </c>
      <c r="J1401" s="5" t="s">
        <v>4483</v>
      </c>
    </row>
    <row r="1402" spans="1:12" ht="25.5" x14ac:dyDescent="0.2">
      <c r="A1402" s="1" t="s">
        <v>25</v>
      </c>
      <c r="B1402" s="2" t="s">
        <v>181</v>
      </c>
      <c r="C1402" s="5" t="s">
        <v>1481</v>
      </c>
      <c r="D1402" s="5" t="s">
        <v>855</v>
      </c>
      <c r="E1402" s="9">
        <v>198298</v>
      </c>
      <c r="F1402" s="9">
        <v>180777</v>
      </c>
      <c r="G1402" s="57">
        <v>-8.8356917366791396E-2</v>
      </c>
      <c r="J1402" s="5" t="s">
        <v>3543</v>
      </c>
    </row>
    <row r="1403" spans="1:12" ht="25.5" x14ac:dyDescent="0.2">
      <c r="A1403" s="13" t="s">
        <v>4</v>
      </c>
      <c r="B1403" s="12" t="s">
        <v>63</v>
      </c>
      <c r="C1403" s="13"/>
      <c r="D1403" s="7" t="s">
        <v>3769</v>
      </c>
      <c r="E1403" s="6">
        <v>180460</v>
      </c>
      <c r="F1403" s="6">
        <v>180712</v>
      </c>
      <c r="G1403" s="57">
        <v>1.3964313421256788E-3</v>
      </c>
      <c r="H1403" s="21"/>
      <c r="I1403" s="21"/>
      <c r="J1403" s="7" t="s">
        <v>3770</v>
      </c>
      <c r="K1403" s="13"/>
      <c r="L1403" s="13"/>
    </row>
    <row r="1404" spans="1:12" ht="63.75" x14ac:dyDescent="0.2">
      <c r="A1404" s="1" t="s">
        <v>39</v>
      </c>
      <c r="B1404" s="2" t="s">
        <v>433</v>
      </c>
      <c r="C1404" s="5" t="s">
        <v>480</v>
      </c>
      <c r="D1404" s="5" t="s">
        <v>450</v>
      </c>
      <c r="E1404" s="3">
        <v>8122</v>
      </c>
      <c r="F1404" s="3">
        <v>180615</v>
      </c>
      <c r="G1404" s="57">
        <v>21.23774932282689</v>
      </c>
      <c r="J1404" s="5" t="s">
        <v>2277</v>
      </c>
    </row>
    <row r="1405" spans="1:12" ht="38.25" x14ac:dyDescent="0.2">
      <c r="A1405" s="1" t="s">
        <v>4</v>
      </c>
      <c r="B1405" s="2" t="s">
        <v>136</v>
      </c>
      <c r="C1405" s="1"/>
      <c r="D1405" s="5" t="s">
        <v>3961</v>
      </c>
      <c r="E1405" s="3">
        <v>91438</v>
      </c>
      <c r="F1405" s="3">
        <v>180404</v>
      </c>
      <c r="G1405" s="57">
        <v>0.97296528795467963</v>
      </c>
      <c r="J1405" s="5" t="s">
        <v>4306</v>
      </c>
    </row>
    <row r="1406" spans="1:12" x14ac:dyDescent="0.2">
      <c r="A1406" s="1" t="s">
        <v>20</v>
      </c>
      <c r="B1406" s="2" t="s">
        <v>77</v>
      </c>
      <c r="C1406" s="1" t="s">
        <v>1972</v>
      </c>
      <c r="D1406" s="5" t="s">
        <v>450</v>
      </c>
      <c r="E1406" s="3">
        <v>186293</v>
      </c>
      <c r="F1406" s="3">
        <v>180200</v>
      </c>
      <c r="G1406" s="57">
        <v>-3.2706542918950254E-2</v>
      </c>
      <c r="J1406" s="5" t="s">
        <v>1973</v>
      </c>
    </row>
    <row r="1407" spans="1:12" x14ac:dyDescent="0.2">
      <c r="A1407" s="1" t="s">
        <v>25</v>
      </c>
      <c r="B1407" s="2" t="s">
        <v>70</v>
      </c>
      <c r="C1407" s="1" t="s">
        <v>3785</v>
      </c>
      <c r="D1407" s="5" t="s">
        <v>507</v>
      </c>
      <c r="E1407" s="19">
        <v>180153</v>
      </c>
      <c r="F1407" s="19">
        <v>179030</v>
      </c>
      <c r="G1407" s="57">
        <v>-6.2335903371023519E-3</v>
      </c>
      <c r="J1407" s="5" t="s">
        <v>1917</v>
      </c>
    </row>
    <row r="1408" spans="1:12" x14ac:dyDescent="0.2">
      <c r="A1408" s="1" t="s">
        <v>25</v>
      </c>
      <c r="B1408" s="2" t="s">
        <v>70</v>
      </c>
      <c r="C1408" s="1" t="s">
        <v>3784</v>
      </c>
      <c r="D1408" s="5" t="s">
        <v>1915</v>
      </c>
      <c r="E1408" s="19">
        <v>179116</v>
      </c>
      <c r="F1408" s="19">
        <v>178974</v>
      </c>
      <c r="G1408" s="57">
        <v>-7.9278233100337208E-4</v>
      </c>
      <c r="J1408" s="5" t="s">
        <v>1916</v>
      </c>
    </row>
    <row r="1409" spans="1:12" ht="25.5" x14ac:dyDescent="0.2">
      <c r="A1409" s="13" t="s">
        <v>4</v>
      </c>
      <c r="B1409" s="12" t="s">
        <v>63</v>
      </c>
      <c r="C1409" s="13"/>
      <c r="D1409" s="7" t="s">
        <v>3772</v>
      </c>
      <c r="E1409" s="6" t="s">
        <v>465</v>
      </c>
      <c r="F1409" s="6">
        <v>178937</v>
      </c>
      <c r="G1409" s="57" t="s">
        <v>465</v>
      </c>
      <c r="H1409" s="21"/>
      <c r="I1409" s="21"/>
      <c r="J1409" s="7" t="s">
        <v>3773</v>
      </c>
      <c r="K1409" s="13"/>
      <c r="L1409" s="13"/>
    </row>
    <row r="1410" spans="1:12" x14ac:dyDescent="0.2">
      <c r="A1410" s="1" t="s">
        <v>8</v>
      </c>
      <c r="B1410" s="2" t="s">
        <v>116</v>
      </c>
      <c r="C1410" s="1" t="s">
        <v>2150</v>
      </c>
      <c r="D1410" s="5" t="s">
        <v>450</v>
      </c>
      <c r="E1410" s="3">
        <v>179644</v>
      </c>
      <c r="F1410" s="3">
        <v>178927</v>
      </c>
      <c r="G1410" s="57">
        <v>-3.9912270935850902E-3</v>
      </c>
      <c r="J1410" s="5" t="s">
        <v>3898</v>
      </c>
    </row>
    <row r="1411" spans="1:12" ht="38.25" x14ac:dyDescent="0.2">
      <c r="A1411" s="1" t="s">
        <v>6</v>
      </c>
      <c r="B1411" s="2" t="s">
        <v>407</v>
      </c>
      <c r="D1411" s="5" t="s">
        <v>616</v>
      </c>
      <c r="E1411" s="3">
        <v>106000</v>
      </c>
      <c r="F1411" s="3">
        <v>178741</v>
      </c>
      <c r="G1411" s="57">
        <v>0.68623584905660373</v>
      </c>
      <c r="J1411" s="5" t="s">
        <v>4534</v>
      </c>
    </row>
    <row r="1412" spans="1:12" ht="25.5" x14ac:dyDescent="0.2">
      <c r="A1412" s="1" t="s">
        <v>4</v>
      </c>
      <c r="B1412" s="2" t="s">
        <v>380</v>
      </c>
      <c r="D1412" s="5" t="s">
        <v>450</v>
      </c>
      <c r="E1412" s="3">
        <v>127757</v>
      </c>
      <c r="F1412" s="3">
        <v>178200</v>
      </c>
      <c r="G1412" s="57">
        <v>0.39483550803478479</v>
      </c>
      <c r="J1412" s="5" t="s">
        <v>2516</v>
      </c>
    </row>
    <row r="1413" spans="1:12" x14ac:dyDescent="0.2">
      <c r="A1413" s="1" t="s">
        <v>25</v>
      </c>
      <c r="B1413" s="2" t="s">
        <v>358</v>
      </c>
      <c r="C1413" s="5" t="s">
        <v>801</v>
      </c>
      <c r="D1413" s="5" t="s">
        <v>802</v>
      </c>
      <c r="E1413" s="9">
        <v>184281</v>
      </c>
      <c r="F1413" s="9">
        <v>177924</v>
      </c>
      <c r="G1413" s="57">
        <v>-3.4496231298940208E-2</v>
      </c>
      <c r="J1413" s="5" t="s">
        <v>2632</v>
      </c>
    </row>
    <row r="1414" spans="1:12" x14ac:dyDescent="0.2">
      <c r="A1414" s="1" t="s">
        <v>1</v>
      </c>
      <c r="B1414" s="2" t="s">
        <v>272</v>
      </c>
      <c r="C1414" s="5" t="s">
        <v>1118</v>
      </c>
      <c r="D1414" s="7" t="s">
        <v>450</v>
      </c>
      <c r="E1414" s="6">
        <v>178232</v>
      </c>
      <c r="F1414" s="6">
        <v>177830</v>
      </c>
      <c r="G1414" s="57">
        <v>-2.2554872301270255E-3</v>
      </c>
      <c r="H1414" s="21"/>
      <c r="I1414" s="21"/>
      <c r="J1414" s="7" t="s">
        <v>3048</v>
      </c>
    </row>
    <row r="1415" spans="1:12" x14ac:dyDescent="0.2">
      <c r="A1415" s="1" t="s">
        <v>25</v>
      </c>
      <c r="B1415" s="2" t="s">
        <v>175</v>
      </c>
      <c r="C1415" s="5" t="s">
        <v>1513</v>
      </c>
      <c r="D1415" s="5" t="s">
        <v>562</v>
      </c>
      <c r="E1415" s="9">
        <v>177750</v>
      </c>
      <c r="F1415" s="9">
        <v>177750</v>
      </c>
      <c r="G1415" s="57">
        <v>0</v>
      </c>
      <c r="J1415" s="5" t="s">
        <v>3578</v>
      </c>
    </row>
    <row r="1416" spans="1:12" x14ac:dyDescent="0.2">
      <c r="A1416" s="1" t="s">
        <v>25</v>
      </c>
      <c r="B1416" s="2" t="s">
        <v>200</v>
      </c>
      <c r="D1416" s="5" t="s">
        <v>855</v>
      </c>
      <c r="E1416" s="9">
        <v>172579</v>
      </c>
      <c r="F1416" s="9">
        <v>177684</v>
      </c>
      <c r="G1416" s="57">
        <v>2.9580655815597493E-2</v>
      </c>
      <c r="J1416" s="5" t="s">
        <v>3416</v>
      </c>
    </row>
    <row r="1417" spans="1:12" x14ac:dyDescent="0.2">
      <c r="A1417" s="1" t="s">
        <v>20</v>
      </c>
      <c r="B1417" s="2" t="s">
        <v>263</v>
      </c>
      <c r="D1417" s="7" t="s">
        <v>464</v>
      </c>
      <c r="E1417" s="6" t="s">
        <v>465</v>
      </c>
      <c r="F1417" s="6">
        <v>177500</v>
      </c>
      <c r="G1417" s="57" t="s">
        <v>465</v>
      </c>
      <c r="H1417" s="21"/>
      <c r="I1417" s="21"/>
    </row>
    <row r="1418" spans="1:12" x14ac:dyDescent="0.2">
      <c r="A1418" s="1" t="s">
        <v>1</v>
      </c>
      <c r="B1418" s="12" t="s">
        <v>308</v>
      </c>
      <c r="D1418" s="5" t="s">
        <v>464</v>
      </c>
      <c r="E1418" s="3" t="s">
        <v>465</v>
      </c>
      <c r="F1418" s="3">
        <v>177500</v>
      </c>
      <c r="G1418" s="57" t="s">
        <v>465</v>
      </c>
      <c r="J1418" s="5" t="s">
        <v>539</v>
      </c>
    </row>
    <row r="1419" spans="1:12" ht="38.25" x14ac:dyDescent="0.2">
      <c r="A1419" s="1" t="s">
        <v>20</v>
      </c>
      <c r="B1419" s="2" t="s">
        <v>154</v>
      </c>
      <c r="C1419" s="1" t="s">
        <v>1618</v>
      </c>
      <c r="D1419" s="5" t="s">
        <v>1619</v>
      </c>
      <c r="E1419" s="3" t="s">
        <v>465</v>
      </c>
      <c r="F1419" s="3">
        <v>177476</v>
      </c>
      <c r="G1419" s="57" t="s">
        <v>465</v>
      </c>
      <c r="J1419" s="5" t="s">
        <v>4011</v>
      </c>
    </row>
    <row r="1420" spans="1:12" ht="38.25" x14ac:dyDescent="0.2">
      <c r="A1420" s="1" t="s">
        <v>6</v>
      </c>
      <c r="B1420" s="2" t="s">
        <v>237</v>
      </c>
      <c r="C1420" s="5" t="s">
        <v>1226</v>
      </c>
      <c r="D1420" s="14" t="s">
        <v>1227</v>
      </c>
      <c r="E1420" s="10">
        <v>177382</v>
      </c>
      <c r="F1420" s="10">
        <v>177398</v>
      </c>
      <c r="G1420" s="57">
        <v>9.0200809552265729E-5</v>
      </c>
      <c r="J1420" s="5" t="s">
        <v>3187</v>
      </c>
    </row>
    <row r="1421" spans="1:12" x14ac:dyDescent="0.2">
      <c r="A1421" s="1" t="s">
        <v>4</v>
      </c>
      <c r="B1421" s="2" t="s">
        <v>299</v>
      </c>
      <c r="D1421" s="5" t="s">
        <v>450</v>
      </c>
      <c r="E1421" s="3">
        <v>176578</v>
      </c>
      <c r="F1421" s="3">
        <v>177322</v>
      </c>
      <c r="G1421" s="57">
        <v>4.2134354223062895E-3</v>
      </c>
      <c r="J1421" s="5" t="s">
        <v>2857</v>
      </c>
    </row>
    <row r="1422" spans="1:12" ht="25.5" x14ac:dyDescent="0.2">
      <c r="A1422" s="1" t="s">
        <v>8</v>
      </c>
      <c r="B1422" s="2" t="s">
        <v>280</v>
      </c>
      <c r="D1422" s="5" t="s">
        <v>450</v>
      </c>
      <c r="E1422" s="3">
        <v>172000</v>
      </c>
      <c r="F1422" s="3">
        <v>177000</v>
      </c>
      <c r="G1422" s="57">
        <v>2.9069767441860465E-2</v>
      </c>
      <c r="J1422" s="5" t="s">
        <v>2993</v>
      </c>
    </row>
    <row r="1423" spans="1:12" ht="25.5" x14ac:dyDescent="0.2">
      <c r="A1423" s="1" t="s">
        <v>25</v>
      </c>
      <c r="B1423" s="2" t="s">
        <v>217</v>
      </c>
      <c r="C1423" s="5" t="s">
        <v>1301</v>
      </c>
      <c r="D1423" s="5" t="s">
        <v>1302</v>
      </c>
      <c r="E1423" s="3">
        <v>176592</v>
      </c>
      <c r="F1423" s="3">
        <v>176592</v>
      </c>
      <c r="G1423" s="57">
        <v>0</v>
      </c>
      <c r="J1423" s="5" t="s">
        <v>3295</v>
      </c>
    </row>
    <row r="1424" spans="1:12" ht="25.5" x14ac:dyDescent="0.2">
      <c r="A1424" s="1" t="s">
        <v>25</v>
      </c>
      <c r="B1424" s="2" t="s">
        <v>217</v>
      </c>
      <c r="C1424" s="5" t="s">
        <v>1306</v>
      </c>
      <c r="D1424" s="5" t="s">
        <v>1307</v>
      </c>
      <c r="E1424" s="3">
        <v>176592</v>
      </c>
      <c r="F1424" s="3">
        <v>176592</v>
      </c>
      <c r="G1424" s="57">
        <v>0</v>
      </c>
      <c r="J1424" s="5" t="s">
        <v>3295</v>
      </c>
    </row>
    <row r="1425" spans="1:12" x14ac:dyDescent="0.2">
      <c r="A1425" s="1" t="s">
        <v>1</v>
      </c>
      <c r="B1425" s="2" t="s">
        <v>272</v>
      </c>
      <c r="C1425" s="5" t="s">
        <v>1119</v>
      </c>
      <c r="D1425" s="7" t="s">
        <v>451</v>
      </c>
      <c r="E1425" s="6">
        <v>110882</v>
      </c>
      <c r="F1425" s="6">
        <v>176513</v>
      </c>
      <c r="G1425" s="57">
        <v>0.5918994967623239</v>
      </c>
      <c r="H1425" s="21"/>
      <c r="I1425" s="21"/>
      <c r="J1425" s="7" t="s">
        <v>3049</v>
      </c>
    </row>
    <row r="1426" spans="1:12" ht="25.5" x14ac:dyDescent="0.2">
      <c r="A1426" s="13" t="s">
        <v>4</v>
      </c>
      <c r="B1426" s="12" t="s">
        <v>63</v>
      </c>
      <c r="C1426" s="13"/>
      <c r="D1426" s="7" t="s">
        <v>3767</v>
      </c>
      <c r="E1426" s="6">
        <v>176174</v>
      </c>
      <c r="F1426" s="6">
        <v>176253</v>
      </c>
      <c r="G1426" s="57">
        <v>4.4842031173725975E-4</v>
      </c>
      <c r="H1426" s="21"/>
      <c r="I1426" s="21"/>
      <c r="J1426" s="7" t="s">
        <v>3768</v>
      </c>
      <c r="K1426" s="13"/>
      <c r="L1426" s="13"/>
    </row>
    <row r="1427" spans="1:12" ht="25.5" x14ac:dyDescent="0.2">
      <c r="A1427" s="1" t="s">
        <v>1</v>
      </c>
      <c r="B1427" s="2" t="s">
        <v>125</v>
      </c>
      <c r="C1427" s="1" t="s">
        <v>2118</v>
      </c>
      <c r="D1427" s="5" t="s">
        <v>2119</v>
      </c>
      <c r="E1427" s="3">
        <v>108624</v>
      </c>
      <c r="F1427" s="3">
        <v>176134</v>
      </c>
      <c r="G1427" s="57">
        <v>0.62150169391662979</v>
      </c>
      <c r="J1427" s="5" t="s">
        <v>3930</v>
      </c>
    </row>
    <row r="1428" spans="1:12" x14ac:dyDescent="0.2">
      <c r="A1428" s="1" t="s">
        <v>20</v>
      </c>
      <c r="B1428" s="2" t="s">
        <v>79</v>
      </c>
      <c r="C1428" s="1" t="s">
        <v>1986</v>
      </c>
      <c r="D1428" s="5" t="s">
        <v>1966</v>
      </c>
      <c r="E1428" s="3">
        <v>176011</v>
      </c>
      <c r="F1428" s="3">
        <v>176080</v>
      </c>
      <c r="G1428" s="57">
        <v>3.9202095323587731E-4</v>
      </c>
      <c r="J1428" s="5" t="s">
        <v>1987</v>
      </c>
    </row>
    <row r="1429" spans="1:12" ht="25.5" x14ac:dyDescent="0.2">
      <c r="A1429" s="1" t="s">
        <v>8</v>
      </c>
      <c r="B1429" s="2" t="s">
        <v>223</v>
      </c>
      <c r="D1429" s="5" t="s">
        <v>854</v>
      </c>
      <c r="E1429" s="3">
        <v>176000</v>
      </c>
      <c r="F1429" s="3">
        <v>176000</v>
      </c>
      <c r="G1429" s="57">
        <v>0</v>
      </c>
      <c r="J1429" s="5" t="s">
        <v>3249</v>
      </c>
    </row>
    <row r="1430" spans="1:12" ht="25.5" x14ac:dyDescent="0.2">
      <c r="A1430" s="1" t="s">
        <v>20</v>
      </c>
      <c r="B1430" s="2" t="s">
        <v>374</v>
      </c>
      <c r="C1430" s="5" t="s">
        <v>754</v>
      </c>
      <c r="D1430" s="5" t="s">
        <v>755</v>
      </c>
      <c r="E1430" s="3">
        <v>114739</v>
      </c>
      <c r="F1430" s="3">
        <v>175666</v>
      </c>
      <c r="G1430" s="57">
        <v>0.53100515082055799</v>
      </c>
      <c r="J1430" s="5" t="s">
        <v>2545</v>
      </c>
    </row>
    <row r="1431" spans="1:12" ht="25.5" x14ac:dyDescent="0.2">
      <c r="A1431" s="13" t="s">
        <v>4</v>
      </c>
      <c r="B1431" s="12" t="s">
        <v>63</v>
      </c>
      <c r="C1431" s="13"/>
      <c r="D1431" s="7" t="s">
        <v>1823</v>
      </c>
      <c r="E1431" s="6">
        <v>176290</v>
      </c>
      <c r="F1431" s="6">
        <v>175647</v>
      </c>
      <c r="G1431" s="57">
        <v>-3.6473991718191617E-3</v>
      </c>
      <c r="H1431" s="21"/>
      <c r="I1431" s="21"/>
      <c r="J1431" s="7" t="s">
        <v>3771</v>
      </c>
      <c r="K1431" s="13"/>
      <c r="L1431" s="13"/>
    </row>
    <row r="1432" spans="1:12" ht="25.5" x14ac:dyDescent="0.2">
      <c r="A1432" s="1" t="s">
        <v>20</v>
      </c>
      <c r="B1432" s="2" t="s">
        <v>263</v>
      </c>
      <c r="C1432" s="5" t="s">
        <v>1151</v>
      </c>
      <c r="D1432" s="5" t="s">
        <v>562</v>
      </c>
      <c r="E1432" s="3">
        <v>175400</v>
      </c>
      <c r="F1432" s="3">
        <v>175600</v>
      </c>
      <c r="G1432" s="57">
        <v>1.1402508551881414E-3</v>
      </c>
      <c r="J1432" s="5" t="s">
        <v>3072</v>
      </c>
    </row>
    <row r="1433" spans="1:12" ht="25.5" x14ac:dyDescent="0.2">
      <c r="A1433" s="1" t="s">
        <v>4</v>
      </c>
      <c r="B1433" s="2" t="s">
        <v>56</v>
      </c>
      <c r="C1433" s="1"/>
      <c r="D1433" s="5" t="s">
        <v>1850</v>
      </c>
      <c r="E1433" s="3">
        <v>58500</v>
      </c>
      <c r="F1433" s="3">
        <v>175500</v>
      </c>
      <c r="G1433" s="57">
        <v>2</v>
      </c>
      <c r="J1433" s="5" t="s">
        <v>1851</v>
      </c>
    </row>
    <row r="1434" spans="1:12" ht="38.25" x14ac:dyDescent="0.2">
      <c r="A1434" s="1" t="s">
        <v>111</v>
      </c>
      <c r="B1434" s="2" t="s">
        <v>355</v>
      </c>
      <c r="C1434" s="5" t="s">
        <v>830</v>
      </c>
      <c r="D1434" s="5" t="s">
        <v>450</v>
      </c>
      <c r="E1434" s="3">
        <v>34764</v>
      </c>
      <c r="F1434" s="3">
        <v>175457</v>
      </c>
      <c r="G1434" s="57">
        <v>4.0470889425842822</v>
      </c>
      <c r="J1434" s="5" t="s">
        <v>2876</v>
      </c>
    </row>
    <row r="1435" spans="1:12" ht="25.5" x14ac:dyDescent="0.2">
      <c r="A1435" s="13" t="s">
        <v>25</v>
      </c>
      <c r="B1435" s="12" t="s">
        <v>37</v>
      </c>
      <c r="C1435" s="13"/>
      <c r="D1435" s="7" t="s">
        <v>1759</v>
      </c>
      <c r="E1435" s="36">
        <v>170073</v>
      </c>
      <c r="F1435" s="36">
        <v>175280</v>
      </c>
      <c r="G1435" s="57">
        <v>3.0616264780417821E-2</v>
      </c>
      <c r="H1435" s="21"/>
      <c r="I1435" s="21"/>
      <c r="J1435" s="7" t="s">
        <v>1760</v>
      </c>
      <c r="K1435" s="13"/>
      <c r="L1435" s="13"/>
    </row>
    <row r="1436" spans="1:12" ht="38.25" x14ac:dyDescent="0.2">
      <c r="A1436" s="1" t="s">
        <v>25</v>
      </c>
      <c r="B1436" s="2" t="s">
        <v>406</v>
      </c>
      <c r="D1436" s="5" t="s">
        <v>532</v>
      </c>
      <c r="E1436" s="9" t="s">
        <v>465</v>
      </c>
      <c r="F1436" s="3">
        <v>175234</v>
      </c>
      <c r="G1436" s="57" t="s">
        <v>465</v>
      </c>
      <c r="J1436" s="5" t="s">
        <v>2407</v>
      </c>
    </row>
    <row r="1437" spans="1:12" x14ac:dyDescent="0.2">
      <c r="A1437" s="1" t="s">
        <v>25</v>
      </c>
      <c r="B1437" s="2" t="s">
        <v>200</v>
      </c>
      <c r="D1437" s="5" t="s">
        <v>532</v>
      </c>
      <c r="E1437" s="9">
        <v>165880</v>
      </c>
      <c r="F1437" s="9">
        <v>175132</v>
      </c>
      <c r="G1437" s="57">
        <v>5.5775259223535087E-2</v>
      </c>
      <c r="J1437" s="5" t="s">
        <v>3418</v>
      </c>
    </row>
    <row r="1438" spans="1:12" ht="25.5" x14ac:dyDescent="0.2">
      <c r="A1438" s="1" t="s">
        <v>6</v>
      </c>
      <c r="B1438" s="2" t="s">
        <v>313</v>
      </c>
      <c r="C1438" s="5" t="s">
        <v>932</v>
      </c>
      <c r="D1438" s="5" t="s">
        <v>450</v>
      </c>
      <c r="E1438" s="6">
        <v>174000</v>
      </c>
      <c r="F1438" s="6">
        <v>175000</v>
      </c>
      <c r="G1438" s="57">
        <v>5.7471264367816091E-3</v>
      </c>
      <c r="H1438" s="21"/>
      <c r="I1438" s="21"/>
      <c r="J1438" s="7" t="s">
        <v>2803</v>
      </c>
    </row>
    <row r="1439" spans="1:12" ht="25.5" x14ac:dyDescent="0.2">
      <c r="A1439" s="1" t="s">
        <v>134</v>
      </c>
      <c r="B1439" s="2" t="s">
        <v>396</v>
      </c>
      <c r="C1439" s="5" t="s">
        <v>672</v>
      </c>
      <c r="D1439" s="5" t="s">
        <v>450</v>
      </c>
      <c r="E1439" s="3">
        <v>180000</v>
      </c>
      <c r="F1439" s="3">
        <v>175000</v>
      </c>
      <c r="G1439" s="57">
        <v>-2.7777777777777776E-2</v>
      </c>
      <c r="J1439" s="5" t="s">
        <v>2457</v>
      </c>
    </row>
    <row r="1440" spans="1:12" ht="51" x14ac:dyDescent="0.2">
      <c r="A1440" s="1" t="s">
        <v>25</v>
      </c>
      <c r="B1440" s="2" t="s">
        <v>70</v>
      </c>
      <c r="C1440" s="1"/>
      <c r="D1440" s="5" t="s">
        <v>4437</v>
      </c>
      <c r="E1440" s="19">
        <v>169637</v>
      </c>
      <c r="F1440" s="19">
        <v>174644</v>
      </c>
      <c r="G1440" s="57">
        <v>2.9515966445999398E-2</v>
      </c>
      <c r="J1440" s="5" t="s">
        <v>4438</v>
      </c>
    </row>
    <row r="1441" spans="1:12" ht="38.25" x14ac:dyDescent="0.2">
      <c r="A1441" s="1" t="s">
        <v>4</v>
      </c>
      <c r="B1441" s="2" t="s">
        <v>292</v>
      </c>
      <c r="D1441" s="5" t="s">
        <v>2925</v>
      </c>
      <c r="E1441" s="9">
        <v>102320</v>
      </c>
      <c r="F1441" s="3">
        <v>174606</v>
      </c>
      <c r="G1441" s="57">
        <v>0.70646989835809226</v>
      </c>
      <c r="J1441" s="5" t="s">
        <v>2924</v>
      </c>
    </row>
    <row r="1442" spans="1:12" ht="25.5" x14ac:dyDescent="0.2">
      <c r="A1442" s="1" t="s">
        <v>6</v>
      </c>
      <c r="B1442" s="2" t="s">
        <v>329</v>
      </c>
      <c r="C1442" s="5" t="s">
        <v>891</v>
      </c>
      <c r="D1442" s="5" t="s">
        <v>450</v>
      </c>
      <c r="E1442" s="3">
        <v>176465</v>
      </c>
      <c r="F1442" s="3">
        <v>174142</v>
      </c>
      <c r="G1442" s="57">
        <v>-1.3164083529311761E-2</v>
      </c>
      <c r="J1442" s="5" t="s">
        <v>2760</v>
      </c>
    </row>
    <row r="1443" spans="1:12" ht="38.25" x14ac:dyDescent="0.2">
      <c r="A1443" s="1" t="s">
        <v>4</v>
      </c>
      <c r="B1443" s="2" t="s">
        <v>292</v>
      </c>
      <c r="D1443" s="5" t="s">
        <v>2919</v>
      </c>
      <c r="E1443" s="9">
        <v>97988</v>
      </c>
      <c r="F1443" s="3">
        <v>174018</v>
      </c>
      <c r="G1443" s="57">
        <v>0.77591133608196927</v>
      </c>
      <c r="J1443" s="5" t="s">
        <v>2918</v>
      </c>
    </row>
    <row r="1444" spans="1:12" ht="25.5" x14ac:dyDescent="0.2">
      <c r="A1444" s="1" t="s">
        <v>4</v>
      </c>
      <c r="B1444" s="2" t="s">
        <v>18</v>
      </c>
      <c r="C1444" s="1" t="s">
        <v>3651</v>
      </c>
      <c r="D1444" s="5" t="s">
        <v>450</v>
      </c>
      <c r="E1444" s="3">
        <v>181000</v>
      </c>
      <c r="F1444" s="3">
        <v>174000</v>
      </c>
      <c r="G1444" s="57">
        <v>-3.8674033149171269E-2</v>
      </c>
      <c r="J1444" s="5" t="s">
        <v>3652</v>
      </c>
    </row>
    <row r="1445" spans="1:12" ht="25.5" x14ac:dyDescent="0.2">
      <c r="A1445" s="1" t="s">
        <v>6</v>
      </c>
      <c r="B1445" s="12" t="s">
        <v>41</v>
      </c>
      <c r="C1445" s="13"/>
      <c r="D1445" s="7" t="s">
        <v>1777</v>
      </c>
      <c r="E1445" s="6">
        <v>126000</v>
      </c>
      <c r="F1445" s="6">
        <v>174000</v>
      </c>
      <c r="G1445" s="57">
        <v>0.38095238095238093</v>
      </c>
      <c r="H1445" s="21"/>
      <c r="I1445" s="21"/>
      <c r="J1445" s="7" t="s">
        <v>3708</v>
      </c>
      <c r="K1445" s="13"/>
      <c r="L1445" s="13"/>
    </row>
    <row r="1446" spans="1:12" ht="25.5" x14ac:dyDescent="0.2">
      <c r="A1446" s="1" t="s">
        <v>6</v>
      </c>
      <c r="B1446" s="12" t="s">
        <v>65</v>
      </c>
      <c r="C1446" s="13" t="s">
        <v>1882</v>
      </c>
      <c r="D1446" s="7" t="s">
        <v>450</v>
      </c>
      <c r="E1446" s="6">
        <v>192982</v>
      </c>
      <c r="F1446" s="6">
        <v>173735</v>
      </c>
      <c r="G1446" s="57">
        <v>-9.9734690281995206E-2</v>
      </c>
      <c r="H1446" s="21"/>
      <c r="I1446" s="21"/>
      <c r="J1446" s="7" t="s">
        <v>4201</v>
      </c>
      <c r="K1446" s="13"/>
      <c r="L1446" s="13"/>
    </row>
    <row r="1447" spans="1:12" ht="25.5" x14ac:dyDescent="0.2">
      <c r="A1447" s="1" t="s">
        <v>25</v>
      </c>
      <c r="B1447" s="2" t="s">
        <v>26</v>
      </c>
      <c r="C1447" s="1"/>
      <c r="D1447" s="5" t="s">
        <v>1706</v>
      </c>
      <c r="E1447" s="6">
        <v>170535</v>
      </c>
      <c r="F1447" s="3">
        <v>173722</v>
      </c>
      <c r="G1447" s="57">
        <v>1.8688245814642155E-2</v>
      </c>
      <c r="J1447" s="5" t="s">
        <v>3666</v>
      </c>
    </row>
    <row r="1448" spans="1:12" ht="38.25" x14ac:dyDescent="0.2">
      <c r="A1448" s="1" t="s">
        <v>6</v>
      </c>
      <c r="B1448" s="2" t="s">
        <v>324</v>
      </c>
      <c r="D1448" s="5" t="s">
        <v>918</v>
      </c>
      <c r="E1448" s="3">
        <v>107198</v>
      </c>
      <c r="F1448" s="3">
        <v>173594</v>
      </c>
      <c r="G1448" s="57">
        <v>0.61937722718707433</v>
      </c>
      <c r="J1448" s="5" t="s">
        <v>4418</v>
      </c>
    </row>
    <row r="1449" spans="1:12" ht="25.5" x14ac:dyDescent="0.2">
      <c r="A1449" s="1" t="s">
        <v>25</v>
      </c>
      <c r="B1449" s="2" t="s">
        <v>184</v>
      </c>
      <c r="D1449" s="5" t="s">
        <v>854</v>
      </c>
      <c r="E1449" s="9">
        <v>173502</v>
      </c>
      <c r="F1449" s="9">
        <v>173505</v>
      </c>
      <c r="G1449" s="57">
        <v>1.7290866964069578E-5</v>
      </c>
      <c r="J1449" s="5" t="s">
        <v>3524</v>
      </c>
    </row>
    <row r="1450" spans="1:12" ht="25.5" x14ac:dyDescent="0.2">
      <c r="A1450" s="1" t="s">
        <v>25</v>
      </c>
      <c r="B1450" s="2" t="s">
        <v>26</v>
      </c>
      <c r="C1450" s="1"/>
      <c r="D1450" s="5" t="s">
        <v>790</v>
      </c>
      <c r="E1450" s="6" t="s">
        <v>465</v>
      </c>
      <c r="F1450" s="3">
        <v>173427</v>
      </c>
      <c r="G1450" s="57" t="s">
        <v>465</v>
      </c>
      <c r="J1450" s="5" t="s">
        <v>3667</v>
      </c>
    </row>
    <row r="1451" spans="1:12" ht="25.5" x14ac:dyDescent="0.2">
      <c r="A1451" s="1" t="s">
        <v>44</v>
      </c>
      <c r="B1451" s="2" t="s">
        <v>2429</v>
      </c>
      <c r="D1451" s="5" t="s">
        <v>450</v>
      </c>
      <c r="E1451" s="3">
        <v>175006</v>
      </c>
      <c r="F1451" s="3">
        <v>173230</v>
      </c>
      <c r="G1451" s="57">
        <v>-1.014822348948036E-2</v>
      </c>
      <c r="J1451" s="5" t="s">
        <v>2430</v>
      </c>
    </row>
    <row r="1452" spans="1:12" ht="25.5" x14ac:dyDescent="0.2">
      <c r="A1452" s="1" t="s">
        <v>6</v>
      </c>
      <c r="B1452" s="2" t="s">
        <v>362</v>
      </c>
      <c r="D1452" s="5" t="s">
        <v>793</v>
      </c>
      <c r="E1452" s="3">
        <v>116000</v>
      </c>
      <c r="F1452" s="3">
        <v>173000</v>
      </c>
      <c r="G1452" s="57">
        <v>0.49137931034482757</v>
      </c>
      <c r="J1452" s="5" t="s">
        <v>2618</v>
      </c>
    </row>
    <row r="1453" spans="1:12" ht="38.25" x14ac:dyDescent="0.2">
      <c r="A1453" s="1" t="s">
        <v>20</v>
      </c>
      <c r="B1453" s="2" t="s">
        <v>154</v>
      </c>
      <c r="C1453" s="1" t="s">
        <v>1620</v>
      </c>
      <c r="D1453" s="5" t="s">
        <v>1621</v>
      </c>
      <c r="E1453" s="3" t="s">
        <v>465</v>
      </c>
      <c r="F1453" s="3">
        <v>172878</v>
      </c>
      <c r="G1453" s="57" t="s">
        <v>465</v>
      </c>
      <c r="J1453" s="5" t="s">
        <v>4323</v>
      </c>
    </row>
    <row r="1454" spans="1:12" ht="25.5" x14ac:dyDescent="0.2">
      <c r="A1454" s="1" t="s">
        <v>34</v>
      </c>
      <c r="B1454" s="2" t="s">
        <v>119</v>
      </c>
      <c r="C1454" s="1"/>
      <c r="D1454" s="5" t="s">
        <v>450</v>
      </c>
      <c r="E1454" s="3">
        <v>179855</v>
      </c>
      <c r="F1454" s="3">
        <v>172720</v>
      </c>
      <c r="G1454" s="57">
        <v>-3.9670845959244951E-2</v>
      </c>
      <c r="J1454" s="5" t="s">
        <v>3913</v>
      </c>
    </row>
    <row r="1455" spans="1:12" ht="25.5" x14ac:dyDescent="0.2">
      <c r="A1455" s="1" t="s">
        <v>25</v>
      </c>
      <c r="B1455" s="12" t="s">
        <v>24</v>
      </c>
      <c r="C1455" s="1"/>
      <c r="D1455" s="5" t="s">
        <v>1505</v>
      </c>
      <c r="E1455" s="3">
        <v>42775</v>
      </c>
      <c r="F1455" s="3">
        <v>172550</v>
      </c>
      <c r="G1455" s="57">
        <v>3.0338983050847457</v>
      </c>
      <c r="J1455" s="5" t="s">
        <v>3659</v>
      </c>
      <c r="K1455" s="13"/>
      <c r="L1455" s="13"/>
    </row>
    <row r="1456" spans="1:12" ht="25.5" x14ac:dyDescent="0.2">
      <c r="A1456" s="1" t="s">
        <v>111</v>
      </c>
      <c r="B1456" s="2" t="s">
        <v>166</v>
      </c>
      <c r="D1456" s="5" t="s">
        <v>1579</v>
      </c>
      <c r="E1456" s="3">
        <v>165387</v>
      </c>
      <c r="F1456" s="3">
        <v>172513</v>
      </c>
      <c r="G1456" s="57">
        <v>4.3086820608633086E-2</v>
      </c>
      <c r="J1456" s="5" t="s">
        <v>4053</v>
      </c>
    </row>
    <row r="1457" spans="1:10" x14ac:dyDescent="0.2">
      <c r="A1457" s="1" t="s">
        <v>6</v>
      </c>
      <c r="B1457" s="2" t="s">
        <v>46</v>
      </c>
      <c r="C1457" s="1"/>
      <c r="D1457" s="5" t="s">
        <v>464</v>
      </c>
      <c r="E1457" s="3" t="s">
        <v>465</v>
      </c>
      <c r="F1457" s="3">
        <v>172500</v>
      </c>
      <c r="G1457" s="57" t="s">
        <v>465</v>
      </c>
    </row>
    <row r="1458" spans="1:10" x14ac:dyDescent="0.2">
      <c r="A1458" s="1" t="s">
        <v>6</v>
      </c>
      <c r="B1458" s="2" t="s">
        <v>85</v>
      </c>
      <c r="C1458" s="1"/>
      <c r="D1458" s="5" t="s">
        <v>464</v>
      </c>
      <c r="E1458" s="3" t="s">
        <v>465</v>
      </c>
      <c r="F1458" s="3">
        <v>172500</v>
      </c>
      <c r="G1458" s="57" t="s">
        <v>465</v>
      </c>
    </row>
    <row r="1459" spans="1:10" x14ac:dyDescent="0.2">
      <c r="A1459" s="1" t="s">
        <v>20</v>
      </c>
      <c r="B1459" s="2" t="s">
        <v>154</v>
      </c>
      <c r="C1459" s="1"/>
      <c r="D1459" s="5" t="s">
        <v>464</v>
      </c>
      <c r="E1459" s="3" t="s">
        <v>465</v>
      </c>
      <c r="F1459" s="3">
        <v>172500</v>
      </c>
      <c r="G1459" s="57" t="s">
        <v>465</v>
      </c>
    </row>
    <row r="1460" spans="1:10" x14ac:dyDescent="0.2">
      <c r="A1460" s="1" t="s">
        <v>4</v>
      </c>
      <c r="B1460" s="2" t="s">
        <v>210</v>
      </c>
      <c r="D1460" s="5" t="s">
        <v>464</v>
      </c>
      <c r="E1460" s="3" t="s">
        <v>465</v>
      </c>
      <c r="F1460" s="3">
        <v>172500</v>
      </c>
      <c r="G1460" s="57" t="s">
        <v>465</v>
      </c>
      <c r="H1460" s="4"/>
      <c r="I1460" s="4"/>
      <c r="J1460" s="1"/>
    </row>
    <row r="1461" spans="1:10" x14ac:dyDescent="0.2">
      <c r="A1461" s="1" t="s">
        <v>4</v>
      </c>
      <c r="B1461" s="2" t="s">
        <v>210</v>
      </c>
      <c r="D1461" s="5" t="s">
        <v>464</v>
      </c>
      <c r="E1461" s="3" t="s">
        <v>465</v>
      </c>
      <c r="F1461" s="3">
        <v>172500</v>
      </c>
      <c r="G1461" s="57" t="s">
        <v>465</v>
      </c>
      <c r="H1461" s="4"/>
      <c r="I1461" s="4"/>
      <c r="J1461" s="1"/>
    </row>
    <row r="1462" spans="1:10" x14ac:dyDescent="0.2">
      <c r="A1462" s="1" t="s">
        <v>6</v>
      </c>
      <c r="B1462" s="2" t="s">
        <v>216</v>
      </c>
      <c r="D1462" s="5" t="s">
        <v>464</v>
      </c>
      <c r="E1462" s="3" t="s">
        <v>465</v>
      </c>
      <c r="F1462" s="3">
        <v>172500</v>
      </c>
      <c r="G1462" s="57" t="s">
        <v>465</v>
      </c>
    </row>
    <row r="1463" spans="1:10" x14ac:dyDescent="0.2">
      <c r="A1463" s="1" t="s">
        <v>8</v>
      </c>
      <c r="B1463" s="2" t="s">
        <v>223</v>
      </c>
      <c r="D1463" s="5" t="s">
        <v>464</v>
      </c>
      <c r="E1463" s="3" t="s">
        <v>465</v>
      </c>
      <c r="F1463" s="3">
        <v>172500</v>
      </c>
      <c r="G1463" s="57" t="s">
        <v>465</v>
      </c>
      <c r="H1463" s="4"/>
      <c r="I1463" s="4"/>
      <c r="J1463" s="1"/>
    </row>
    <row r="1464" spans="1:10" x14ac:dyDescent="0.2">
      <c r="A1464" s="1" t="s">
        <v>8</v>
      </c>
      <c r="B1464" s="2" t="s">
        <v>229</v>
      </c>
      <c r="D1464" s="5" t="s">
        <v>464</v>
      </c>
      <c r="E1464" s="3" t="s">
        <v>465</v>
      </c>
      <c r="F1464" s="3">
        <v>172500</v>
      </c>
      <c r="G1464" s="57" t="s">
        <v>465</v>
      </c>
      <c r="J1464" s="5" t="s">
        <v>539</v>
      </c>
    </row>
    <row r="1465" spans="1:10" x14ac:dyDescent="0.2">
      <c r="A1465" s="1" t="s">
        <v>25</v>
      </c>
      <c r="B1465" s="2" t="s">
        <v>405</v>
      </c>
      <c r="D1465" s="5" t="s">
        <v>464</v>
      </c>
      <c r="E1465" s="3" t="s">
        <v>465</v>
      </c>
      <c r="F1465" s="3">
        <v>172500</v>
      </c>
      <c r="G1465" s="57" t="s">
        <v>465</v>
      </c>
    </row>
    <row r="1466" spans="1:10" x14ac:dyDescent="0.2">
      <c r="A1466" s="1" t="s">
        <v>111</v>
      </c>
      <c r="B1466" s="2" t="s">
        <v>282</v>
      </c>
      <c r="C1466" s="5" t="s">
        <v>1059</v>
      </c>
      <c r="D1466" s="5" t="s">
        <v>450</v>
      </c>
      <c r="E1466" s="9">
        <v>188458</v>
      </c>
      <c r="F1466" s="3">
        <v>172498</v>
      </c>
      <c r="G1466" s="57">
        <v>-8.4687304333060945E-2</v>
      </c>
      <c r="J1466" s="5" t="s">
        <v>2979</v>
      </c>
    </row>
    <row r="1467" spans="1:10" ht="25.5" x14ac:dyDescent="0.2">
      <c r="A1467" s="1" t="s">
        <v>25</v>
      </c>
      <c r="B1467" s="2" t="s">
        <v>129</v>
      </c>
      <c r="C1467" s="1" t="s">
        <v>2099</v>
      </c>
      <c r="D1467" s="5" t="s">
        <v>2100</v>
      </c>
      <c r="E1467" s="3">
        <v>163865</v>
      </c>
      <c r="F1467" s="3">
        <v>172383</v>
      </c>
      <c r="G1467" s="57">
        <v>5.1981814298355355E-2</v>
      </c>
      <c r="J1467" s="5" t="s">
        <v>4626</v>
      </c>
    </row>
    <row r="1468" spans="1:10" ht="38.25" x14ac:dyDescent="0.2">
      <c r="A1468" s="1" t="s">
        <v>1</v>
      </c>
      <c r="B1468" s="2" t="s">
        <v>125</v>
      </c>
      <c r="C1468" s="1" t="s">
        <v>2126</v>
      </c>
      <c r="D1468" s="5" t="s">
        <v>2127</v>
      </c>
      <c r="E1468" s="3">
        <v>103146</v>
      </c>
      <c r="F1468" s="3">
        <v>172285</v>
      </c>
      <c r="G1468" s="57">
        <v>0.67030228995792374</v>
      </c>
      <c r="J1468" s="5" t="s">
        <v>4289</v>
      </c>
    </row>
    <row r="1469" spans="1:10" ht="25.5" x14ac:dyDescent="0.2">
      <c r="A1469" s="1" t="s">
        <v>28</v>
      </c>
      <c r="B1469" s="2" t="s">
        <v>221</v>
      </c>
      <c r="C1469" s="5" t="s">
        <v>1283</v>
      </c>
      <c r="D1469" s="5" t="s">
        <v>1284</v>
      </c>
      <c r="E1469" s="9">
        <v>162203</v>
      </c>
      <c r="F1469" s="9">
        <v>172243</v>
      </c>
      <c r="G1469" s="57">
        <v>6.1897745417778954E-2</v>
      </c>
      <c r="J1469" s="5" t="s">
        <v>3270</v>
      </c>
    </row>
    <row r="1470" spans="1:10" ht="38.25" x14ac:dyDescent="0.2">
      <c r="A1470" s="1" t="s">
        <v>6</v>
      </c>
      <c r="B1470" s="2" t="s">
        <v>426</v>
      </c>
      <c r="C1470" s="5" t="s">
        <v>530</v>
      </c>
      <c r="D1470" s="5" t="s">
        <v>532</v>
      </c>
      <c r="E1470" s="3">
        <v>113360</v>
      </c>
      <c r="F1470" s="6">
        <v>172213</v>
      </c>
      <c r="G1470" s="57">
        <v>0.51916901905434021</v>
      </c>
      <c r="J1470" s="5" t="s">
        <v>2323</v>
      </c>
    </row>
    <row r="1471" spans="1:10" ht="25.5" x14ac:dyDescent="0.2">
      <c r="A1471" s="1" t="s">
        <v>39</v>
      </c>
      <c r="B1471" s="2" t="s">
        <v>337</v>
      </c>
      <c r="D1471" s="5" t="s">
        <v>450</v>
      </c>
      <c r="E1471" s="3">
        <v>152980</v>
      </c>
      <c r="F1471" s="3">
        <v>171958</v>
      </c>
      <c r="G1471" s="57">
        <v>0.12405543208262518</v>
      </c>
      <c r="J1471" s="5" t="s">
        <v>2726</v>
      </c>
    </row>
    <row r="1472" spans="1:10" x14ac:dyDescent="0.2">
      <c r="A1472" s="1" t="s">
        <v>25</v>
      </c>
      <c r="B1472" s="2" t="s">
        <v>175</v>
      </c>
      <c r="D1472" s="5" t="s">
        <v>507</v>
      </c>
      <c r="E1472" s="9">
        <v>171825</v>
      </c>
      <c r="F1472" s="9">
        <v>171825</v>
      </c>
      <c r="G1472" s="57">
        <v>0</v>
      </c>
      <c r="J1472" s="5" t="s">
        <v>3579</v>
      </c>
    </row>
    <row r="1473" spans="1:10" ht="38.25" x14ac:dyDescent="0.2">
      <c r="A1473" s="1" t="s">
        <v>4</v>
      </c>
      <c r="B1473" s="2" t="s">
        <v>429</v>
      </c>
      <c r="C1473" s="5" t="s">
        <v>511</v>
      </c>
      <c r="D1473" s="5" t="s">
        <v>450</v>
      </c>
      <c r="E1473" s="6">
        <v>184727</v>
      </c>
      <c r="F1473" s="6">
        <v>171755</v>
      </c>
      <c r="G1473" s="57">
        <v>-7.0222544619898547E-2</v>
      </c>
      <c r="H1473" s="21"/>
      <c r="I1473" s="21"/>
      <c r="J1473" s="7" t="s">
        <v>2304</v>
      </c>
    </row>
    <row r="1474" spans="1:10" x14ac:dyDescent="0.2">
      <c r="A1474" s="1" t="s">
        <v>34</v>
      </c>
      <c r="B1474" s="2" t="s">
        <v>275</v>
      </c>
      <c r="D1474" s="5" t="s">
        <v>450</v>
      </c>
      <c r="E1474" s="3">
        <v>170450</v>
      </c>
      <c r="F1474" s="3">
        <v>171753</v>
      </c>
      <c r="G1474" s="57">
        <v>7.644470519213846E-3</v>
      </c>
      <c r="J1474" s="5" t="s">
        <v>3028</v>
      </c>
    </row>
    <row r="1475" spans="1:10" ht="25.5" x14ac:dyDescent="0.2">
      <c r="A1475" s="1" t="s">
        <v>25</v>
      </c>
      <c r="B1475" s="2" t="s">
        <v>358</v>
      </c>
      <c r="C1475" s="5" t="s">
        <v>803</v>
      </c>
      <c r="D1475" s="5" t="s">
        <v>2628</v>
      </c>
      <c r="E1475" s="9">
        <v>156238</v>
      </c>
      <c r="F1475" s="9">
        <v>171728</v>
      </c>
      <c r="G1475" s="57">
        <v>9.9143614229572838E-2</v>
      </c>
      <c r="J1475" s="5" t="s">
        <v>2633</v>
      </c>
    </row>
    <row r="1476" spans="1:10" ht="25.5" x14ac:dyDescent="0.2">
      <c r="A1476" s="1" t="s">
        <v>44</v>
      </c>
      <c r="B1476" s="2" t="s">
        <v>161</v>
      </c>
      <c r="D1476" s="5" t="s">
        <v>450</v>
      </c>
      <c r="E1476" s="3">
        <v>167534</v>
      </c>
      <c r="F1476" s="3">
        <v>171703</v>
      </c>
      <c r="G1476" s="57">
        <v>2.4884501056501963E-2</v>
      </c>
      <c r="J1476" s="5" t="s">
        <v>4042</v>
      </c>
    </row>
    <row r="1477" spans="1:10" ht="25.5" x14ac:dyDescent="0.2">
      <c r="A1477" s="1" t="s">
        <v>20</v>
      </c>
      <c r="B1477" s="2" t="s">
        <v>35</v>
      </c>
      <c r="C1477" s="1"/>
      <c r="D1477" s="5" t="s">
        <v>825</v>
      </c>
      <c r="E1477" s="3">
        <v>128591</v>
      </c>
      <c r="F1477" s="3">
        <v>171365</v>
      </c>
      <c r="G1477" s="57">
        <v>0.33263603207067366</v>
      </c>
      <c r="J1477" s="5" t="s">
        <v>1748</v>
      </c>
    </row>
    <row r="1478" spans="1:10" ht="38.25" x14ac:dyDescent="0.2">
      <c r="A1478" s="1" t="s">
        <v>20</v>
      </c>
      <c r="B1478" s="2" t="s">
        <v>410</v>
      </c>
      <c r="D1478" s="5" t="s">
        <v>470</v>
      </c>
      <c r="E1478" s="3">
        <v>99281</v>
      </c>
      <c r="F1478" s="3">
        <v>171313</v>
      </c>
      <c r="G1478" s="57">
        <v>0.72553660821305188</v>
      </c>
      <c r="J1478" s="5" t="s">
        <v>4537</v>
      </c>
    </row>
    <row r="1479" spans="1:10" ht="38.25" x14ac:dyDescent="0.2">
      <c r="A1479" s="1" t="s">
        <v>20</v>
      </c>
      <c r="B1479" s="2" t="s">
        <v>69</v>
      </c>
      <c r="C1479" s="1"/>
      <c r="D1479" s="5" t="s">
        <v>4436</v>
      </c>
      <c r="E1479" s="3">
        <v>136904</v>
      </c>
      <c r="F1479" s="3">
        <v>171104</v>
      </c>
      <c r="G1479" s="57">
        <v>0.24981008589960849</v>
      </c>
      <c r="J1479" s="5" t="s">
        <v>4435</v>
      </c>
    </row>
    <row r="1480" spans="1:10" ht="38.25" x14ac:dyDescent="0.2">
      <c r="A1480" s="1" t="s">
        <v>39</v>
      </c>
      <c r="B1480" s="2" t="s">
        <v>370</v>
      </c>
      <c r="D1480" s="5" t="s">
        <v>761</v>
      </c>
      <c r="E1480" s="3" t="s">
        <v>465</v>
      </c>
      <c r="F1480" s="3">
        <v>171050</v>
      </c>
      <c r="G1480" s="57" t="s">
        <v>465</v>
      </c>
      <c r="J1480" s="5" t="s">
        <v>2559</v>
      </c>
    </row>
    <row r="1481" spans="1:10" ht="38.25" x14ac:dyDescent="0.2">
      <c r="A1481" s="1" t="s">
        <v>20</v>
      </c>
      <c r="B1481" s="2" t="s">
        <v>357</v>
      </c>
      <c r="C1481" s="5" t="s">
        <v>807</v>
      </c>
      <c r="D1481" s="15" t="s">
        <v>450</v>
      </c>
      <c r="E1481" s="9">
        <v>184209</v>
      </c>
      <c r="F1481" s="9">
        <v>171012</v>
      </c>
      <c r="G1481" s="57">
        <v>-7.164145074344902E-2</v>
      </c>
      <c r="J1481" s="5" t="s">
        <v>4688</v>
      </c>
    </row>
    <row r="1482" spans="1:10" x14ac:dyDescent="0.2">
      <c r="A1482" s="1" t="s">
        <v>44</v>
      </c>
      <c r="B1482" s="2" t="s">
        <v>309</v>
      </c>
      <c r="D1482" s="5" t="s">
        <v>450</v>
      </c>
      <c r="E1482" s="3">
        <v>171000</v>
      </c>
      <c r="F1482" s="3">
        <v>171000</v>
      </c>
      <c r="G1482" s="57">
        <v>0</v>
      </c>
      <c r="J1482" s="5" t="s">
        <v>2817</v>
      </c>
    </row>
    <row r="1483" spans="1:10" ht="25.5" x14ac:dyDescent="0.2">
      <c r="A1483" s="1" t="s">
        <v>111</v>
      </c>
      <c r="B1483" s="2" t="s">
        <v>128</v>
      </c>
      <c r="C1483" s="1"/>
      <c r="D1483" s="5" t="s">
        <v>2103</v>
      </c>
      <c r="E1483" s="3">
        <v>170163</v>
      </c>
      <c r="F1483" s="3">
        <v>170706</v>
      </c>
      <c r="G1483" s="57">
        <v>3.1910579855785335E-3</v>
      </c>
      <c r="J1483" s="5" t="s">
        <v>3943</v>
      </c>
    </row>
    <row r="1484" spans="1:10" ht="51" x14ac:dyDescent="0.2">
      <c r="A1484" s="1" t="s">
        <v>20</v>
      </c>
      <c r="B1484" s="2" t="s">
        <v>151</v>
      </c>
      <c r="C1484" s="1" t="s">
        <v>1631</v>
      </c>
      <c r="D1484" s="5" t="s">
        <v>450</v>
      </c>
      <c r="E1484" s="3">
        <v>171461</v>
      </c>
      <c r="F1484" s="3">
        <v>170660</v>
      </c>
      <c r="G1484" s="57">
        <v>-4.6716162859192466E-3</v>
      </c>
      <c r="J1484" s="5" t="s">
        <v>4319</v>
      </c>
    </row>
    <row r="1485" spans="1:10" ht="25.5" x14ac:dyDescent="0.2">
      <c r="A1485" s="1" t="s">
        <v>25</v>
      </c>
      <c r="B1485" s="2" t="s">
        <v>107</v>
      </c>
      <c r="C1485" s="1" t="s">
        <v>2196</v>
      </c>
      <c r="D1485" s="5" t="s">
        <v>2197</v>
      </c>
      <c r="E1485" s="3">
        <v>167569</v>
      </c>
      <c r="F1485" s="3">
        <v>170623</v>
      </c>
      <c r="G1485" s="57">
        <v>1.8225328073808403E-2</v>
      </c>
      <c r="J1485" s="5" t="s">
        <v>4255</v>
      </c>
    </row>
    <row r="1486" spans="1:10" ht="25.5" x14ac:dyDescent="0.2">
      <c r="A1486" s="1" t="s">
        <v>1</v>
      </c>
      <c r="B1486" s="2" t="s">
        <v>2</v>
      </c>
      <c r="C1486" s="1" t="s">
        <v>1676</v>
      </c>
      <c r="D1486" s="5" t="s">
        <v>450</v>
      </c>
      <c r="E1486" s="3">
        <v>159662</v>
      </c>
      <c r="F1486" s="3">
        <v>170600</v>
      </c>
      <c r="G1486" s="57">
        <v>6.8507221505430219E-2</v>
      </c>
      <c r="J1486" s="5" t="s">
        <v>3636</v>
      </c>
    </row>
    <row r="1487" spans="1:10" ht="38.25" x14ac:dyDescent="0.2">
      <c r="A1487" s="1" t="s">
        <v>8</v>
      </c>
      <c r="B1487" s="2" t="s">
        <v>167</v>
      </c>
      <c r="D1487" s="5" t="s">
        <v>450</v>
      </c>
      <c r="E1487" s="3">
        <v>116436</v>
      </c>
      <c r="F1487" s="3">
        <v>170466</v>
      </c>
      <c r="G1487" s="57">
        <v>0.46403174275997117</v>
      </c>
      <c r="J1487" s="5" t="s">
        <v>4338</v>
      </c>
    </row>
    <row r="1488" spans="1:10" ht="25.5" x14ac:dyDescent="0.2">
      <c r="A1488" s="1" t="s">
        <v>25</v>
      </c>
      <c r="B1488" s="2" t="s">
        <v>405</v>
      </c>
      <c r="D1488" s="5" t="s">
        <v>641</v>
      </c>
      <c r="E1488" s="3">
        <v>166508</v>
      </c>
      <c r="F1488" s="3">
        <v>170321</v>
      </c>
      <c r="G1488" s="57">
        <v>2.2899800610180893E-2</v>
      </c>
      <c r="J1488" s="5" t="s">
        <v>2414</v>
      </c>
    </row>
    <row r="1489" spans="1:12" ht="25.5" x14ac:dyDescent="0.2">
      <c r="A1489" s="1" t="s">
        <v>111</v>
      </c>
      <c r="B1489" s="2" t="s">
        <v>128</v>
      </c>
      <c r="C1489" s="1"/>
      <c r="D1489" s="5" t="s">
        <v>2104</v>
      </c>
      <c r="E1489" s="3">
        <v>169260</v>
      </c>
      <c r="F1489" s="3">
        <v>170189</v>
      </c>
      <c r="G1489" s="57">
        <v>5.4885974240812948E-3</v>
      </c>
      <c r="J1489" s="5" t="s">
        <v>3944</v>
      </c>
    </row>
    <row r="1490" spans="1:12" ht="25.5" x14ac:dyDescent="0.2">
      <c r="A1490" s="1" t="s">
        <v>4</v>
      </c>
      <c r="B1490" s="2" t="s">
        <v>303</v>
      </c>
      <c r="C1490" s="7" t="s">
        <v>4676</v>
      </c>
      <c r="D1490" s="7" t="s">
        <v>450</v>
      </c>
      <c r="E1490" s="6">
        <v>165213</v>
      </c>
      <c r="F1490" s="6">
        <v>170188</v>
      </c>
      <c r="G1490" s="57">
        <v>3.0112642467602427E-2</v>
      </c>
      <c r="J1490" s="5" t="s">
        <v>2846</v>
      </c>
    </row>
    <row r="1491" spans="1:12" ht="25.5" x14ac:dyDescent="0.2">
      <c r="A1491" s="1" t="s">
        <v>25</v>
      </c>
      <c r="B1491" s="2" t="s">
        <v>184</v>
      </c>
      <c r="D1491" s="5" t="s">
        <v>1464</v>
      </c>
      <c r="E1491" s="9">
        <v>177497</v>
      </c>
      <c r="F1491" s="9">
        <v>170159</v>
      </c>
      <c r="G1491" s="57">
        <v>-4.1341543800740295E-2</v>
      </c>
      <c r="J1491" s="5" t="s">
        <v>3523</v>
      </c>
    </row>
    <row r="1492" spans="1:12" ht="38.25" x14ac:dyDescent="0.2">
      <c r="A1492" s="1" t="s">
        <v>25</v>
      </c>
      <c r="B1492" s="2" t="s">
        <v>197</v>
      </c>
      <c r="D1492" s="5" t="s">
        <v>1404</v>
      </c>
      <c r="E1492" s="9">
        <v>167710</v>
      </c>
      <c r="F1492" s="9">
        <v>170111</v>
      </c>
      <c r="G1492" s="57">
        <v>1.4316379464551904E-2</v>
      </c>
      <c r="J1492" s="5" t="s">
        <v>3440</v>
      </c>
    </row>
    <row r="1493" spans="1:12" ht="25.5" x14ac:dyDescent="0.2">
      <c r="A1493" s="1" t="s">
        <v>111</v>
      </c>
      <c r="B1493" s="2" t="s">
        <v>128</v>
      </c>
      <c r="C1493" s="1"/>
      <c r="D1493" s="5" t="s">
        <v>2105</v>
      </c>
      <c r="E1493" s="3">
        <v>169624</v>
      </c>
      <c r="F1493" s="3">
        <v>170030</v>
      </c>
      <c r="G1493" s="57">
        <v>2.3935292175635524E-3</v>
      </c>
      <c r="J1493" s="5" t="s">
        <v>3945</v>
      </c>
    </row>
    <row r="1494" spans="1:12" ht="25.5" x14ac:dyDescent="0.2">
      <c r="A1494" s="1" t="s">
        <v>25</v>
      </c>
      <c r="B1494" s="2" t="s">
        <v>304</v>
      </c>
      <c r="D1494" s="5" t="s">
        <v>967</v>
      </c>
      <c r="E1494" s="3">
        <v>172094</v>
      </c>
      <c r="F1494" s="3">
        <v>170003</v>
      </c>
      <c r="G1494" s="57">
        <v>-1.2150336444036399E-2</v>
      </c>
      <c r="J1494" s="5" t="s">
        <v>2841</v>
      </c>
    </row>
    <row r="1495" spans="1:12" ht="25.5" x14ac:dyDescent="0.2">
      <c r="A1495" s="1" t="s">
        <v>28</v>
      </c>
      <c r="B1495" s="2" t="s">
        <v>67</v>
      </c>
      <c r="C1495" s="1"/>
      <c r="D1495" s="5" t="s">
        <v>450</v>
      </c>
      <c r="E1495" s="3">
        <v>166000</v>
      </c>
      <c r="F1495" s="3">
        <v>170000</v>
      </c>
      <c r="G1495" s="57">
        <v>2.4096385542168676E-2</v>
      </c>
      <c r="J1495" s="5" t="s">
        <v>1892</v>
      </c>
    </row>
    <row r="1496" spans="1:12" ht="25.5" x14ac:dyDescent="0.2">
      <c r="A1496" s="1" t="s">
        <v>28</v>
      </c>
      <c r="B1496" s="12" t="s">
        <v>50</v>
      </c>
      <c r="C1496" s="13"/>
      <c r="D1496" s="7" t="s">
        <v>4158</v>
      </c>
      <c r="E1496" s="6" t="s">
        <v>465</v>
      </c>
      <c r="F1496" s="6">
        <v>169997</v>
      </c>
      <c r="G1496" s="57" t="s">
        <v>465</v>
      </c>
      <c r="H1496" s="21"/>
      <c r="I1496" s="21"/>
      <c r="J1496" s="7" t="s">
        <v>3750</v>
      </c>
      <c r="K1496" s="13"/>
      <c r="L1496" s="13"/>
    </row>
    <row r="1497" spans="1:12" ht="25.5" x14ac:dyDescent="0.2">
      <c r="A1497" s="1" t="s">
        <v>8</v>
      </c>
      <c r="B1497" s="2" t="s">
        <v>284</v>
      </c>
      <c r="D1497" s="5" t="s">
        <v>1693</v>
      </c>
      <c r="E1497" s="3">
        <v>169107</v>
      </c>
      <c r="F1497" s="3">
        <v>169969</v>
      </c>
      <c r="G1497" s="57">
        <v>5.0973643905929383E-3</v>
      </c>
      <c r="J1497" s="5" t="s">
        <v>2965</v>
      </c>
    </row>
    <row r="1498" spans="1:12" ht="25.5" x14ac:dyDescent="0.2">
      <c r="A1498" s="1" t="s">
        <v>20</v>
      </c>
      <c r="B1498" s="2" t="s">
        <v>283</v>
      </c>
      <c r="D1498" s="5" t="s">
        <v>1058</v>
      </c>
      <c r="E1498" s="3">
        <v>86721</v>
      </c>
      <c r="F1498" s="3">
        <v>169849</v>
      </c>
      <c r="G1498" s="57">
        <v>0.95856828219231793</v>
      </c>
      <c r="J1498" s="5" t="s">
        <v>2977</v>
      </c>
    </row>
    <row r="1499" spans="1:12" ht="25.5" x14ac:dyDescent="0.2">
      <c r="A1499" s="1" t="s">
        <v>25</v>
      </c>
      <c r="B1499" s="2" t="s">
        <v>209</v>
      </c>
      <c r="C1499" s="5" t="s">
        <v>1365</v>
      </c>
      <c r="D1499" s="5" t="s">
        <v>1366</v>
      </c>
      <c r="E1499" s="9">
        <v>166440</v>
      </c>
      <c r="F1499" s="9">
        <v>169772</v>
      </c>
      <c r="G1499" s="57">
        <v>2.0019226147560683E-2</v>
      </c>
      <c r="J1499" s="5" t="s">
        <v>3373</v>
      </c>
    </row>
    <row r="1500" spans="1:12" ht="25.5" x14ac:dyDescent="0.2">
      <c r="A1500" s="1" t="s">
        <v>25</v>
      </c>
      <c r="B1500" s="2" t="s">
        <v>129</v>
      </c>
      <c r="C1500" s="1" t="s">
        <v>2097</v>
      </c>
      <c r="D1500" s="5" t="s">
        <v>2098</v>
      </c>
      <c r="E1500" s="3">
        <v>178369</v>
      </c>
      <c r="F1500" s="3">
        <v>169722</v>
      </c>
      <c r="G1500" s="57">
        <v>-4.8478154836322458E-2</v>
      </c>
      <c r="J1500" s="5" t="s">
        <v>3948</v>
      </c>
    </row>
    <row r="1501" spans="1:12" ht="25.5" x14ac:dyDescent="0.2">
      <c r="A1501" s="13" t="s">
        <v>1</v>
      </c>
      <c r="B1501" s="12" t="s">
        <v>92</v>
      </c>
      <c r="C1501" s="1" t="s">
        <v>2247</v>
      </c>
      <c r="D1501" s="5" t="s">
        <v>4613</v>
      </c>
      <c r="E1501" s="3">
        <v>164693</v>
      </c>
      <c r="F1501" s="3">
        <v>169655</v>
      </c>
      <c r="G1501" s="57">
        <v>3.0128785072832481E-2</v>
      </c>
      <c r="J1501" s="30" t="s">
        <v>3835</v>
      </c>
    </row>
    <row r="1502" spans="1:12" x14ac:dyDescent="0.2">
      <c r="A1502" s="1" t="s">
        <v>39</v>
      </c>
      <c r="B1502" s="2" t="s">
        <v>38</v>
      </c>
      <c r="C1502" s="1"/>
      <c r="D1502" s="5" t="s">
        <v>3703</v>
      </c>
      <c r="E1502" s="3">
        <v>165488</v>
      </c>
      <c r="F1502" s="3">
        <v>169530</v>
      </c>
      <c r="G1502" s="57">
        <v>2.4424731702600792E-2</v>
      </c>
      <c r="J1502" s="5" t="s">
        <v>1766</v>
      </c>
    </row>
    <row r="1503" spans="1:12" x14ac:dyDescent="0.2">
      <c r="A1503" s="1" t="s">
        <v>25</v>
      </c>
      <c r="B1503" s="2" t="s">
        <v>259</v>
      </c>
      <c r="D1503" s="5" t="s">
        <v>1174</v>
      </c>
      <c r="E1503" s="3">
        <v>121095</v>
      </c>
      <c r="F1503" s="3">
        <v>169519</v>
      </c>
      <c r="G1503" s="57">
        <v>0.39988438829018541</v>
      </c>
      <c r="J1503" s="5" t="s">
        <v>3089</v>
      </c>
    </row>
    <row r="1504" spans="1:12" ht="25.5" x14ac:dyDescent="0.2">
      <c r="A1504" s="1" t="s">
        <v>44</v>
      </c>
      <c r="B1504" s="2" t="s">
        <v>55</v>
      </c>
      <c r="C1504" s="1"/>
      <c r="D1504" s="5" t="s">
        <v>450</v>
      </c>
      <c r="E1504" s="3">
        <v>170310</v>
      </c>
      <c r="F1504" s="3">
        <v>169469</v>
      </c>
      <c r="G1504" s="57">
        <v>-4.9380541365744816E-3</v>
      </c>
      <c r="J1504" s="5" t="s">
        <v>1839</v>
      </c>
    </row>
    <row r="1505" spans="1:12" x14ac:dyDescent="0.2">
      <c r="A1505" s="1" t="s">
        <v>39</v>
      </c>
      <c r="B1505" s="2" t="s">
        <v>38</v>
      </c>
      <c r="C1505" s="1"/>
      <c r="D1505" s="5" t="s">
        <v>3705</v>
      </c>
      <c r="E1505" s="3">
        <v>165445</v>
      </c>
      <c r="F1505" s="3">
        <v>169436</v>
      </c>
      <c r="G1505" s="57">
        <v>2.4122820272598145E-2</v>
      </c>
      <c r="J1505" s="5" t="s">
        <v>1768</v>
      </c>
    </row>
    <row r="1506" spans="1:12" ht="25.5" x14ac:dyDescent="0.2">
      <c r="A1506" s="1" t="s">
        <v>25</v>
      </c>
      <c r="B1506" s="2" t="s">
        <v>209</v>
      </c>
      <c r="C1506" s="5" t="s">
        <v>1371</v>
      </c>
      <c r="D1506" s="5" t="s">
        <v>1372</v>
      </c>
      <c r="E1506" s="9">
        <v>166639</v>
      </c>
      <c r="F1506" s="9">
        <v>169398</v>
      </c>
      <c r="G1506" s="57">
        <v>1.6556748420237761E-2</v>
      </c>
      <c r="J1506" s="5" t="s">
        <v>3376</v>
      </c>
    </row>
    <row r="1507" spans="1:12" ht="25.5" x14ac:dyDescent="0.2">
      <c r="A1507" s="1" t="s">
        <v>6</v>
      </c>
      <c r="B1507" s="2" t="s">
        <v>42</v>
      </c>
      <c r="C1507" s="1"/>
      <c r="D1507" s="5" t="s">
        <v>450</v>
      </c>
      <c r="E1507" s="3">
        <v>168039</v>
      </c>
      <c r="F1507" s="3">
        <v>169350</v>
      </c>
      <c r="G1507" s="57">
        <v>7.8017603056433332E-3</v>
      </c>
      <c r="J1507" s="5" t="s">
        <v>1784</v>
      </c>
    </row>
    <row r="1508" spans="1:12" ht="25.5" x14ac:dyDescent="0.2">
      <c r="A1508" s="1" t="s">
        <v>25</v>
      </c>
      <c r="B1508" s="2" t="s">
        <v>225</v>
      </c>
      <c r="D1508" s="5" t="s">
        <v>1257</v>
      </c>
      <c r="E1508" s="3">
        <v>168642</v>
      </c>
      <c r="F1508" s="3">
        <v>169348</v>
      </c>
      <c r="G1508" s="57">
        <v>4.1863829888165466E-3</v>
      </c>
      <c r="J1508" s="5" t="s">
        <v>3240</v>
      </c>
    </row>
    <row r="1509" spans="1:12" ht="25.5" x14ac:dyDescent="0.2">
      <c r="A1509" s="1" t="s">
        <v>25</v>
      </c>
      <c r="B1509" s="2" t="s">
        <v>225</v>
      </c>
      <c r="D1509" s="5" t="s">
        <v>1256</v>
      </c>
      <c r="E1509" s="3">
        <v>168642</v>
      </c>
      <c r="F1509" s="3">
        <v>169348</v>
      </c>
      <c r="G1509" s="57">
        <v>4.1863829888165466E-3</v>
      </c>
      <c r="J1509" s="5" t="s">
        <v>3240</v>
      </c>
    </row>
    <row r="1510" spans="1:12" ht="25.5" x14ac:dyDescent="0.2">
      <c r="A1510" s="1" t="s">
        <v>25</v>
      </c>
      <c r="B1510" s="2" t="s">
        <v>225</v>
      </c>
      <c r="D1510" s="5" t="s">
        <v>1258</v>
      </c>
      <c r="E1510" s="3">
        <v>165502</v>
      </c>
      <c r="F1510" s="3">
        <v>169348</v>
      </c>
      <c r="G1510" s="57">
        <v>2.3238389868400381E-2</v>
      </c>
      <c r="J1510" s="5" t="s">
        <v>3240</v>
      </c>
    </row>
    <row r="1511" spans="1:12" x14ac:dyDescent="0.2">
      <c r="A1511" s="1" t="s">
        <v>39</v>
      </c>
      <c r="B1511" s="12" t="s">
        <v>38</v>
      </c>
      <c r="C1511" s="13"/>
      <c r="D1511" s="7" t="s">
        <v>3704</v>
      </c>
      <c r="E1511" s="6">
        <v>169597</v>
      </c>
      <c r="F1511" s="6">
        <v>168955</v>
      </c>
      <c r="G1511" s="57">
        <v>-3.7854443180009079E-3</v>
      </c>
      <c r="H1511" s="21"/>
      <c r="I1511" s="21"/>
      <c r="J1511" s="7" t="s">
        <v>1767</v>
      </c>
      <c r="K1511" s="13"/>
      <c r="L1511" s="13"/>
    </row>
    <row r="1512" spans="1:12" ht="25.5" x14ac:dyDescent="0.2">
      <c r="A1512" s="1" t="s">
        <v>25</v>
      </c>
      <c r="B1512" s="2" t="s">
        <v>187</v>
      </c>
      <c r="D1512" s="5" t="s">
        <v>1457</v>
      </c>
      <c r="E1512" s="9">
        <v>167814</v>
      </c>
      <c r="F1512" s="9">
        <v>168712</v>
      </c>
      <c r="G1512" s="57">
        <v>5.3511625966844245E-3</v>
      </c>
      <c r="J1512" s="5" t="s">
        <v>3507</v>
      </c>
    </row>
    <row r="1513" spans="1:12" ht="25.5" x14ac:dyDescent="0.2">
      <c r="A1513" s="1" t="s">
        <v>25</v>
      </c>
      <c r="B1513" s="2" t="s">
        <v>174</v>
      </c>
      <c r="C1513" s="5" t="s">
        <v>1520</v>
      </c>
      <c r="D1513" s="5" t="s">
        <v>1521</v>
      </c>
      <c r="E1513" s="9">
        <v>163701</v>
      </c>
      <c r="F1513" s="9">
        <v>168677</v>
      </c>
      <c r="G1513" s="57">
        <v>3.0396882120451312E-2</v>
      </c>
      <c r="J1513" s="5" t="s">
        <v>3584</v>
      </c>
    </row>
    <row r="1514" spans="1:12" ht="25.5" x14ac:dyDescent="0.2">
      <c r="A1514" s="1" t="s">
        <v>4</v>
      </c>
      <c r="B1514" s="2" t="s">
        <v>291</v>
      </c>
      <c r="D1514" s="5" t="s">
        <v>450</v>
      </c>
      <c r="E1514" s="3">
        <v>169519</v>
      </c>
      <c r="F1514" s="3">
        <v>168280</v>
      </c>
      <c r="G1514" s="57">
        <v>-7.308915224842053E-3</v>
      </c>
      <c r="J1514" s="5" t="s">
        <v>2940</v>
      </c>
    </row>
    <row r="1515" spans="1:12" ht="63.75" x14ac:dyDescent="0.2">
      <c r="A1515" s="1" t="s">
        <v>25</v>
      </c>
      <c r="B1515" s="2" t="s">
        <v>93</v>
      </c>
      <c r="C1515" s="1" t="s">
        <v>2221</v>
      </c>
      <c r="D1515" s="5" t="s">
        <v>1358</v>
      </c>
      <c r="E1515" s="3">
        <v>158000</v>
      </c>
      <c r="F1515" s="3">
        <v>168000</v>
      </c>
      <c r="G1515" s="57">
        <v>6.3291139240506333E-2</v>
      </c>
      <c r="J1515" s="5" t="s">
        <v>4230</v>
      </c>
    </row>
    <row r="1516" spans="1:12" ht="25.5" x14ac:dyDescent="0.2">
      <c r="A1516" s="1" t="s">
        <v>4</v>
      </c>
      <c r="B1516" s="2" t="s">
        <v>307</v>
      </c>
      <c r="D1516" s="5" t="s">
        <v>962</v>
      </c>
      <c r="E1516" s="3" t="s">
        <v>465</v>
      </c>
      <c r="F1516" s="3">
        <v>168000</v>
      </c>
      <c r="G1516" s="57" t="s">
        <v>465</v>
      </c>
      <c r="J1516" s="5" t="s">
        <v>2828</v>
      </c>
    </row>
    <row r="1517" spans="1:12" ht="25.5" x14ac:dyDescent="0.2">
      <c r="A1517" s="1" t="s">
        <v>28</v>
      </c>
      <c r="B1517" s="2" t="s">
        <v>403</v>
      </c>
      <c r="D1517" s="5" t="s">
        <v>656</v>
      </c>
      <c r="E1517" s="3">
        <v>167069</v>
      </c>
      <c r="F1517" s="3">
        <v>167916</v>
      </c>
      <c r="G1517" s="57">
        <v>5.0697615955084428E-3</v>
      </c>
      <c r="J1517" s="5" t="s">
        <v>2427</v>
      </c>
    </row>
    <row r="1518" spans="1:12" ht="25.5" x14ac:dyDescent="0.2">
      <c r="A1518" s="1" t="s">
        <v>4</v>
      </c>
      <c r="B1518" s="2" t="s">
        <v>210</v>
      </c>
      <c r="D1518" s="5" t="s">
        <v>507</v>
      </c>
      <c r="E1518" s="9">
        <v>167847</v>
      </c>
      <c r="F1518" s="9">
        <v>167847</v>
      </c>
      <c r="G1518" s="57">
        <v>0</v>
      </c>
      <c r="J1518" s="5" t="s">
        <v>3353</v>
      </c>
    </row>
    <row r="1519" spans="1:12" ht="38.25" x14ac:dyDescent="0.2">
      <c r="A1519" s="1" t="s">
        <v>34</v>
      </c>
      <c r="B1519" s="2" t="s">
        <v>338</v>
      </c>
      <c r="D1519" s="5" t="s">
        <v>872</v>
      </c>
      <c r="E1519" s="3">
        <v>94618.85</v>
      </c>
      <c r="F1519" s="3">
        <v>167682.9</v>
      </c>
      <c r="G1519" s="57">
        <v>0.77219338429921713</v>
      </c>
      <c r="J1519" s="5" t="s">
        <v>4426</v>
      </c>
    </row>
    <row r="1520" spans="1:12" x14ac:dyDescent="0.2">
      <c r="A1520" s="1" t="s">
        <v>25</v>
      </c>
      <c r="B1520" s="2" t="s">
        <v>192</v>
      </c>
      <c r="D1520" s="5" t="s">
        <v>1443</v>
      </c>
      <c r="E1520" s="9">
        <v>167620</v>
      </c>
      <c r="F1520" s="9">
        <v>167620</v>
      </c>
      <c r="G1520" s="57">
        <v>0</v>
      </c>
      <c r="J1520" s="5" t="s">
        <v>3491</v>
      </c>
    </row>
    <row r="1521" spans="1:12" ht="25.5" x14ac:dyDescent="0.2">
      <c r="A1521" s="1" t="s">
        <v>25</v>
      </c>
      <c r="B1521" s="12" t="s">
        <v>197</v>
      </c>
      <c r="D1521" s="5" t="s">
        <v>1401</v>
      </c>
      <c r="E1521" s="9">
        <v>165000</v>
      </c>
      <c r="F1521" s="9">
        <v>167561</v>
      </c>
      <c r="G1521" s="57">
        <v>1.5521212121212121E-2</v>
      </c>
      <c r="J1521" s="5" t="s">
        <v>3434</v>
      </c>
    </row>
    <row r="1522" spans="1:12" x14ac:dyDescent="0.2">
      <c r="A1522" s="1" t="s">
        <v>39</v>
      </c>
      <c r="B1522" s="2" t="s">
        <v>103</v>
      </c>
      <c r="C1522" s="1"/>
      <c r="D1522" s="5" t="s">
        <v>464</v>
      </c>
      <c r="E1522" s="3" t="s">
        <v>465</v>
      </c>
      <c r="F1522" s="3">
        <v>167500</v>
      </c>
      <c r="G1522" s="57" t="s">
        <v>465</v>
      </c>
    </row>
    <row r="1523" spans="1:12" x14ac:dyDescent="0.2">
      <c r="A1523" s="1" t="s">
        <v>4</v>
      </c>
      <c r="B1523" s="2" t="s">
        <v>144</v>
      </c>
      <c r="C1523" s="1"/>
      <c r="D1523" s="5" t="s">
        <v>464</v>
      </c>
      <c r="E1523" s="3" t="s">
        <v>465</v>
      </c>
      <c r="F1523" s="3">
        <v>167500</v>
      </c>
      <c r="G1523" s="57" t="s">
        <v>465</v>
      </c>
    </row>
    <row r="1524" spans="1:12" x14ac:dyDescent="0.2">
      <c r="A1524" s="1" t="s">
        <v>39</v>
      </c>
      <c r="B1524" s="2" t="s">
        <v>370</v>
      </c>
      <c r="D1524" s="5" t="s">
        <v>464</v>
      </c>
      <c r="E1524" s="3" t="s">
        <v>465</v>
      </c>
      <c r="F1524" s="3">
        <v>167500</v>
      </c>
      <c r="G1524" s="57" t="s">
        <v>465</v>
      </c>
      <c r="J1524" s="5" t="s">
        <v>539</v>
      </c>
    </row>
    <row r="1525" spans="1:12" x14ac:dyDescent="0.2">
      <c r="A1525" s="1" t="s">
        <v>39</v>
      </c>
      <c r="B1525" s="2" t="s">
        <v>370</v>
      </c>
      <c r="D1525" s="5" t="s">
        <v>464</v>
      </c>
      <c r="E1525" s="3" t="s">
        <v>465</v>
      </c>
      <c r="F1525" s="3">
        <v>167500</v>
      </c>
      <c r="G1525" s="57" t="s">
        <v>465</v>
      </c>
      <c r="J1525" s="5" t="s">
        <v>539</v>
      </c>
    </row>
    <row r="1526" spans="1:12" x14ac:dyDescent="0.2">
      <c r="A1526" s="1" t="s">
        <v>39</v>
      </c>
      <c r="B1526" s="2" t="s">
        <v>370</v>
      </c>
      <c r="D1526" s="5" t="s">
        <v>464</v>
      </c>
      <c r="E1526" s="3" t="s">
        <v>465</v>
      </c>
      <c r="F1526" s="3">
        <v>167500</v>
      </c>
      <c r="G1526" s="57" t="s">
        <v>465</v>
      </c>
    </row>
    <row r="1527" spans="1:12" x14ac:dyDescent="0.2">
      <c r="A1527" s="1" t="s">
        <v>6</v>
      </c>
      <c r="B1527" s="2" t="s">
        <v>407</v>
      </c>
      <c r="D1527" s="5" t="s">
        <v>464</v>
      </c>
      <c r="E1527" s="3" t="s">
        <v>465</v>
      </c>
      <c r="F1527" s="3">
        <v>167500</v>
      </c>
      <c r="G1527" s="57" t="s">
        <v>465</v>
      </c>
      <c r="J1527" s="5" t="s">
        <v>651</v>
      </c>
    </row>
    <row r="1528" spans="1:12" x14ac:dyDescent="0.2">
      <c r="A1528" s="1" t="s">
        <v>6</v>
      </c>
      <c r="B1528" s="2" t="s">
        <v>407</v>
      </c>
      <c r="D1528" s="5" t="s">
        <v>464</v>
      </c>
      <c r="E1528" s="3" t="s">
        <v>465</v>
      </c>
      <c r="F1528" s="3">
        <v>167500</v>
      </c>
      <c r="G1528" s="57" t="s">
        <v>465</v>
      </c>
      <c r="J1528" s="5" t="s">
        <v>651</v>
      </c>
    </row>
    <row r="1529" spans="1:12" x14ac:dyDescent="0.2">
      <c r="A1529" s="13" t="s">
        <v>111</v>
      </c>
      <c r="B1529" s="12" t="s">
        <v>247</v>
      </c>
      <c r="C1529" s="7"/>
      <c r="D1529" s="7" t="s">
        <v>450</v>
      </c>
      <c r="E1529" s="6">
        <v>155644</v>
      </c>
      <c r="F1529" s="6">
        <v>167471</v>
      </c>
      <c r="G1529" s="57">
        <v>7.5987509958623523E-2</v>
      </c>
      <c r="H1529" s="21"/>
      <c r="I1529" s="21"/>
      <c r="J1529" s="7" t="s">
        <v>3147</v>
      </c>
      <c r="K1529" s="13"/>
      <c r="L1529" s="13"/>
    </row>
    <row r="1530" spans="1:12" ht="25.5" x14ac:dyDescent="0.2">
      <c r="A1530" s="1" t="s">
        <v>111</v>
      </c>
      <c r="B1530" s="2" t="s">
        <v>305</v>
      </c>
      <c r="D1530" s="5" t="s">
        <v>450</v>
      </c>
      <c r="E1530" s="3">
        <v>168146</v>
      </c>
      <c r="F1530" s="3">
        <v>167329</v>
      </c>
      <c r="G1530" s="57">
        <v>-4.8588726463906365E-3</v>
      </c>
      <c r="J1530" s="5" t="s">
        <v>2831</v>
      </c>
    </row>
    <row r="1531" spans="1:12" ht="25.5" x14ac:dyDescent="0.2">
      <c r="A1531" s="1" t="s">
        <v>25</v>
      </c>
      <c r="B1531" s="2" t="s">
        <v>379</v>
      </c>
      <c r="C1531" s="5" t="s">
        <v>721</v>
      </c>
      <c r="D1531" s="5" t="s">
        <v>505</v>
      </c>
      <c r="E1531" s="3">
        <v>158680</v>
      </c>
      <c r="F1531" s="3">
        <v>167325</v>
      </c>
      <c r="G1531" s="57">
        <v>5.4480715906226371E-2</v>
      </c>
      <c r="J1531" s="5" t="s">
        <v>4477</v>
      </c>
    </row>
    <row r="1532" spans="1:12" ht="25.5" x14ac:dyDescent="0.2">
      <c r="A1532" s="1" t="s">
        <v>34</v>
      </c>
      <c r="B1532" s="2" t="s">
        <v>101</v>
      </c>
      <c r="C1532" s="1"/>
      <c r="D1532" s="5" t="s">
        <v>2212</v>
      </c>
      <c r="E1532" s="3">
        <v>167160</v>
      </c>
      <c r="F1532" s="3">
        <v>167257</v>
      </c>
      <c r="G1532" s="57">
        <v>5.8028236420196221E-4</v>
      </c>
      <c r="J1532" s="5" t="s">
        <v>3854</v>
      </c>
    </row>
    <row r="1533" spans="1:12" ht="25.5" x14ac:dyDescent="0.2">
      <c r="A1533" s="1" t="s">
        <v>1</v>
      </c>
      <c r="B1533" s="2" t="s">
        <v>126</v>
      </c>
      <c r="C1533" s="1" t="s">
        <v>2106</v>
      </c>
      <c r="D1533" s="5" t="s">
        <v>450</v>
      </c>
      <c r="E1533" s="3">
        <v>140074</v>
      </c>
      <c r="F1533" s="3">
        <v>167114</v>
      </c>
      <c r="G1533" s="57">
        <v>0.19304082128018046</v>
      </c>
      <c r="J1533" s="5" t="s">
        <v>4293</v>
      </c>
    </row>
    <row r="1534" spans="1:12" ht="25.5" x14ac:dyDescent="0.2">
      <c r="A1534" s="1" t="s">
        <v>8</v>
      </c>
      <c r="B1534" s="2" t="s">
        <v>284</v>
      </c>
      <c r="D1534" s="5" t="s">
        <v>1054</v>
      </c>
      <c r="E1534" s="3">
        <v>168980</v>
      </c>
      <c r="F1534" s="3">
        <v>167074</v>
      </c>
      <c r="G1534" s="57">
        <v>-1.1279441354006391E-2</v>
      </c>
      <c r="J1534" s="5" t="s">
        <v>2964</v>
      </c>
    </row>
    <row r="1535" spans="1:12" ht="38.25" x14ac:dyDescent="0.2">
      <c r="A1535" s="1" t="s">
        <v>20</v>
      </c>
      <c r="B1535" s="12" t="s">
        <v>30</v>
      </c>
      <c r="C1535" s="13"/>
      <c r="D1535" s="7" t="s">
        <v>529</v>
      </c>
      <c r="E1535" s="6">
        <v>155612</v>
      </c>
      <c r="F1535" s="6">
        <v>167035</v>
      </c>
      <c r="G1535" s="57">
        <v>7.3406935197799658E-2</v>
      </c>
      <c r="H1535" s="21"/>
      <c r="I1535" s="21"/>
      <c r="J1535" s="7" t="s">
        <v>4119</v>
      </c>
      <c r="K1535" s="13"/>
      <c r="L1535" s="13"/>
    </row>
    <row r="1536" spans="1:12" ht="25.5" x14ac:dyDescent="0.2">
      <c r="A1536" s="1" t="s">
        <v>25</v>
      </c>
      <c r="B1536" s="2" t="s">
        <v>184</v>
      </c>
      <c r="D1536" s="5" t="s">
        <v>1465</v>
      </c>
      <c r="E1536" s="9">
        <v>171402</v>
      </c>
      <c r="F1536" s="9">
        <v>167035</v>
      </c>
      <c r="G1536" s="57">
        <v>-2.5478115774611731E-2</v>
      </c>
      <c r="J1536" s="5" t="s">
        <v>3525</v>
      </c>
    </row>
    <row r="1537" spans="1:10" ht="25.5" x14ac:dyDescent="0.2">
      <c r="A1537" s="1" t="s">
        <v>28</v>
      </c>
      <c r="B1537" s="2" t="s">
        <v>332</v>
      </c>
      <c r="D1537" s="5" t="s">
        <v>4684</v>
      </c>
      <c r="E1537" s="3">
        <v>167172</v>
      </c>
      <c r="F1537" s="3">
        <v>167012</v>
      </c>
      <c r="G1537" s="57">
        <v>-9.570980786256072E-4</v>
      </c>
      <c r="J1537" s="5" t="s">
        <v>2755</v>
      </c>
    </row>
    <row r="1538" spans="1:10" ht="25.5" x14ac:dyDescent="0.2">
      <c r="A1538" s="1" t="s">
        <v>28</v>
      </c>
      <c r="B1538" s="2" t="s">
        <v>27</v>
      </c>
      <c r="C1538" s="1"/>
      <c r="D1538" s="5" t="s">
        <v>450</v>
      </c>
      <c r="E1538" s="3">
        <v>161000</v>
      </c>
      <c r="F1538" s="3">
        <v>167000</v>
      </c>
      <c r="G1538" s="57">
        <v>3.7267080745341616E-2</v>
      </c>
      <c r="J1538" s="7" t="s">
        <v>4111</v>
      </c>
    </row>
    <row r="1539" spans="1:10" ht="25.5" x14ac:dyDescent="0.2">
      <c r="A1539" s="1" t="s">
        <v>28</v>
      </c>
      <c r="B1539" s="2" t="s">
        <v>221</v>
      </c>
      <c r="D1539" s="5" t="s">
        <v>1282</v>
      </c>
      <c r="E1539" s="9">
        <v>162194</v>
      </c>
      <c r="F1539" s="9">
        <v>166865</v>
      </c>
      <c r="G1539" s="57">
        <v>2.879884582660271E-2</v>
      </c>
      <c r="J1539" s="5" t="s">
        <v>3269</v>
      </c>
    </row>
    <row r="1540" spans="1:10" ht="25.5" x14ac:dyDescent="0.2">
      <c r="A1540" s="1" t="s">
        <v>25</v>
      </c>
      <c r="B1540" s="2" t="s">
        <v>181</v>
      </c>
      <c r="C1540" s="5" t="s">
        <v>1483</v>
      </c>
      <c r="D1540" s="5" t="s">
        <v>1484</v>
      </c>
      <c r="E1540" s="9">
        <v>185153</v>
      </c>
      <c r="F1540" s="9">
        <v>166802</v>
      </c>
      <c r="G1540" s="57">
        <v>-9.9112625774359586E-2</v>
      </c>
      <c r="J1540" s="5" t="s">
        <v>3545</v>
      </c>
    </row>
    <row r="1541" spans="1:10" ht="25.5" x14ac:dyDescent="0.2">
      <c r="A1541" s="1" t="s">
        <v>25</v>
      </c>
      <c r="B1541" s="2" t="s">
        <v>304</v>
      </c>
      <c r="D1541" s="5" t="s">
        <v>968</v>
      </c>
      <c r="E1541" s="3">
        <v>166524</v>
      </c>
      <c r="F1541" s="3">
        <v>166608</v>
      </c>
      <c r="G1541" s="57">
        <v>5.0443179361533475E-4</v>
      </c>
      <c r="J1541" s="5" t="s">
        <v>2842</v>
      </c>
    </row>
    <row r="1542" spans="1:10" x14ac:dyDescent="0.2">
      <c r="A1542" s="1" t="s">
        <v>25</v>
      </c>
      <c r="B1542" s="2" t="s">
        <v>358</v>
      </c>
      <c r="C1542" s="5" t="s">
        <v>804</v>
      </c>
      <c r="D1542" s="5" t="s">
        <v>517</v>
      </c>
      <c r="E1542" s="9">
        <v>182696</v>
      </c>
      <c r="F1542" s="9">
        <v>166367</v>
      </c>
      <c r="G1542" s="57">
        <v>-8.9377983097604766E-2</v>
      </c>
      <c r="J1542" s="5" t="s">
        <v>2634</v>
      </c>
    </row>
    <row r="1543" spans="1:10" ht="25.5" x14ac:dyDescent="0.2">
      <c r="A1543" s="1" t="s">
        <v>25</v>
      </c>
      <c r="B1543" s="2" t="s">
        <v>225</v>
      </c>
      <c r="D1543" s="5" t="s">
        <v>1259</v>
      </c>
      <c r="E1543" s="3">
        <v>162361</v>
      </c>
      <c r="F1543" s="3">
        <v>166194</v>
      </c>
      <c r="G1543" s="57">
        <v>2.3607886130289909E-2</v>
      </c>
      <c r="J1543" s="5" t="s">
        <v>3241</v>
      </c>
    </row>
    <row r="1544" spans="1:10" x14ac:dyDescent="0.2">
      <c r="A1544" s="1" t="s">
        <v>39</v>
      </c>
      <c r="B1544" s="2" t="s">
        <v>38</v>
      </c>
      <c r="C1544" s="1"/>
      <c r="D1544" s="5" t="s">
        <v>3706</v>
      </c>
      <c r="E1544" s="3">
        <v>162622</v>
      </c>
      <c r="F1544" s="3">
        <v>166176</v>
      </c>
      <c r="G1544" s="57">
        <v>2.1854361648485445E-2</v>
      </c>
      <c r="J1544" s="5" t="s">
        <v>3707</v>
      </c>
    </row>
    <row r="1545" spans="1:10" x14ac:dyDescent="0.2">
      <c r="A1545" s="1" t="s">
        <v>25</v>
      </c>
      <c r="B1545" s="2" t="s">
        <v>200</v>
      </c>
      <c r="D1545" s="5" t="s">
        <v>507</v>
      </c>
      <c r="E1545" s="9">
        <v>156630</v>
      </c>
      <c r="F1545" s="9">
        <v>165880</v>
      </c>
      <c r="G1545" s="57">
        <v>5.9056374896252317E-2</v>
      </c>
      <c r="J1545" s="5" t="s">
        <v>3414</v>
      </c>
    </row>
    <row r="1546" spans="1:10" x14ac:dyDescent="0.2">
      <c r="A1546" s="1" t="s">
        <v>25</v>
      </c>
      <c r="B1546" s="2" t="s">
        <v>200</v>
      </c>
      <c r="D1546" s="5" t="s">
        <v>562</v>
      </c>
      <c r="E1546" s="9">
        <v>154077</v>
      </c>
      <c r="F1546" s="9">
        <v>165880</v>
      </c>
      <c r="G1546" s="57">
        <v>7.6604554865424432E-2</v>
      </c>
      <c r="J1546" s="5" t="s">
        <v>3414</v>
      </c>
    </row>
    <row r="1547" spans="1:10" ht="38.25" x14ac:dyDescent="0.2">
      <c r="A1547" s="1" t="s">
        <v>25</v>
      </c>
      <c r="B1547" s="2" t="s">
        <v>187</v>
      </c>
      <c r="D1547" s="5" t="s">
        <v>1458</v>
      </c>
      <c r="E1547" s="9">
        <v>145884</v>
      </c>
      <c r="F1547" s="9">
        <v>165790</v>
      </c>
      <c r="G1547" s="57">
        <v>0.13645087878040085</v>
      </c>
      <c r="J1547" s="5" t="s">
        <v>3508</v>
      </c>
    </row>
    <row r="1548" spans="1:10" ht="25.5" x14ac:dyDescent="0.2">
      <c r="A1548" s="1" t="s">
        <v>20</v>
      </c>
      <c r="B1548" s="2" t="s">
        <v>194</v>
      </c>
      <c r="C1548" s="5" t="s">
        <v>1431</v>
      </c>
      <c r="D1548" s="5" t="s">
        <v>1432</v>
      </c>
      <c r="E1548" s="9">
        <v>166787</v>
      </c>
      <c r="F1548" s="9">
        <v>165760</v>
      </c>
      <c r="G1548" s="57">
        <v>-6.1575542458345072E-3</v>
      </c>
      <c r="J1548" s="5" t="s">
        <v>3474</v>
      </c>
    </row>
    <row r="1549" spans="1:10" ht="63.75" x14ac:dyDescent="0.2">
      <c r="A1549" s="1" t="s">
        <v>39</v>
      </c>
      <c r="B1549" s="2" t="s">
        <v>409</v>
      </c>
      <c r="D1549" s="5" t="s">
        <v>604</v>
      </c>
      <c r="E1549" s="3" t="s">
        <v>465</v>
      </c>
      <c r="F1549" s="3">
        <v>165675</v>
      </c>
      <c r="G1549" s="57" t="s">
        <v>465</v>
      </c>
      <c r="J1549" s="5" t="s">
        <v>4536</v>
      </c>
    </row>
    <row r="1550" spans="1:10" ht="25.5" x14ac:dyDescent="0.2">
      <c r="A1550" s="1" t="s">
        <v>25</v>
      </c>
      <c r="B1550" s="2" t="s">
        <v>178</v>
      </c>
      <c r="D1550" s="5" t="s">
        <v>1506</v>
      </c>
      <c r="E1550" s="9">
        <v>165589</v>
      </c>
      <c r="F1550" s="9">
        <v>165589</v>
      </c>
      <c r="G1550" s="57">
        <v>0</v>
      </c>
      <c r="J1550" s="5" t="s">
        <v>3565</v>
      </c>
    </row>
    <row r="1551" spans="1:10" ht="51" x14ac:dyDescent="0.2">
      <c r="A1551" s="1" t="s">
        <v>4</v>
      </c>
      <c r="B1551" s="2" t="s">
        <v>144</v>
      </c>
      <c r="C1551" s="1"/>
      <c r="D1551" s="5" t="s">
        <v>562</v>
      </c>
      <c r="E1551" s="3">
        <v>173600</v>
      </c>
      <c r="F1551" s="3">
        <v>165564</v>
      </c>
      <c r="G1551" s="57">
        <v>-4.6290322580645159E-2</v>
      </c>
      <c r="J1551" s="5" t="s">
        <v>4311</v>
      </c>
    </row>
    <row r="1552" spans="1:10" ht="38.25" x14ac:dyDescent="0.2">
      <c r="A1552" s="1" t="s">
        <v>4</v>
      </c>
      <c r="B1552" s="2" t="s">
        <v>182</v>
      </c>
      <c r="D1552" s="5" t="s">
        <v>942</v>
      </c>
      <c r="E1552" s="9">
        <v>166124</v>
      </c>
      <c r="F1552" s="9">
        <v>165401</v>
      </c>
      <c r="G1552" s="57">
        <v>-4.3521706676940119E-3</v>
      </c>
      <c r="J1552" s="5" t="s">
        <v>3534</v>
      </c>
    </row>
    <row r="1553" spans="1:12" ht="25.5" x14ac:dyDescent="0.2">
      <c r="A1553" s="1" t="s">
        <v>4</v>
      </c>
      <c r="B1553" s="2" t="s">
        <v>182</v>
      </c>
      <c r="D1553" s="5" t="s">
        <v>1473</v>
      </c>
      <c r="E1553" s="9">
        <v>165590</v>
      </c>
      <c r="F1553" s="9">
        <v>165401</v>
      </c>
      <c r="G1553" s="57">
        <v>-1.1413732713328099E-3</v>
      </c>
      <c r="J1553" s="5" t="s">
        <v>3536</v>
      </c>
    </row>
    <row r="1554" spans="1:12" ht="25.5" x14ac:dyDescent="0.2">
      <c r="A1554" s="1" t="s">
        <v>25</v>
      </c>
      <c r="B1554" s="2" t="s">
        <v>26</v>
      </c>
      <c r="C1554" s="1"/>
      <c r="D1554" s="5" t="s">
        <v>457</v>
      </c>
      <c r="E1554" s="6" t="s">
        <v>465</v>
      </c>
      <c r="F1554" s="3">
        <v>165335</v>
      </c>
      <c r="G1554" s="57" t="s">
        <v>465</v>
      </c>
      <c r="J1554" s="5" t="s">
        <v>3668</v>
      </c>
    </row>
    <row r="1555" spans="1:12" ht="25.5" x14ac:dyDescent="0.2">
      <c r="A1555" s="1" t="s">
        <v>25</v>
      </c>
      <c r="B1555" s="2" t="s">
        <v>26</v>
      </c>
      <c r="C1555" s="1"/>
      <c r="D1555" s="5" t="s">
        <v>1271</v>
      </c>
      <c r="E1555" s="6">
        <v>164275</v>
      </c>
      <c r="F1555" s="3">
        <v>165335</v>
      </c>
      <c r="G1555" s="57">
        <v>6.4525947344392029E-3</v>
      </c>
      <c r="J1555" s="5" t="s">
        <v>3668</v>
      </c>
    </row>
    <row r="1556" spans="1:12" x14ac:dyDescent="0.2">
      <c r="A1556" s="1" t="s">
        <v>4</v>
      </c>
      <c r="B1556" s="2" t="s">
        <v>377</v>
      </c>
      <c r="C1556" s="5" t="s">
        <v>730</v>
      </c>
      <c r="D1556" s="5" t="s">
        <v>731</v>
      </c>
      <c r="E1556" s="3">
        <v>165140</v>
      </c>
      <c r="F1556" s="3">
        <v>165140</v>
      </c>
      <c r="G1556" s="57">
        <v>0</v>
      </c>
      <c r="J1556" s="5" t="s">
        <v>2530</v>
      </c>
    </row>
    <row r="1557" spans="1:12" ht="25.5" x14ac:dyDescent="0.2">
      <c r="A1557" s="1" t="s">
        <v>25</v>
      </c>
      <c r="B1557" s="2" t="s">
        <v>424</v>
      </c>
      <c r="D1557" s="5" t="s">
        <v>549</v>
      </c>
      <c r="E1557" s="3">
        <v>168756</v>
      </c>
      <c r="F1557" s="3">
        <v>165133</v>
      </c>
      <c r="G1557" s="57">
        <v>-2.1468866292161465E-2</v>
      </c>
      <c r="J1557" s="5" t="s">
        <v>4712</v>
      </c>
    </row>
    <row r="1558" spans="1:12" ht="25.5" x14ac:dyDescent="0.2">
      <c r="A1558" s="1" t="s">
        <v>8</v>
      </c>
      <c r="B1558" s="2" t="s">
        <v>81</v>
      </c>
      <c r="C1558" s="1" t="s">
        <v>3817</v>
      </c>
      <c r="D1558" s="5" t="s">
        <v>1995</v>
      </c>
      <c r="E1558" s="3">
        <v>83826</v>
      </c>
      <c r="F1558" s="3">
        <v>165078</v>
      </c>
      <c r="G1558" s="57">
        <v>0.96929353661155249</v>
      </c>
      <c r="J1558" s="5" t="s">
        <v>3818</v>
      </c>
    </row>
    <row r="1559" spans="1:12" ht="38.25" x14ac:dyDescent="0.2">
      <c r="A1559" s="1" t="s">
        <v>6</v>
      </c>
      <c r="B1559" s="12" t="s">
        <v>231</v>
      </c>
      <c r="D1559" s="5" t="s">
        <v>451</v>
      </c>
      <c r="E1559" s="9">
        <v>176690</v>
      </c>
      <c r="F1559" s="9">
        <v>164780</v>
      </c>
      <c r="G1559" s="57">
        <v>-6.7406191635067073E-2</v>
      </c>
      <c r="J1559" s="5" t="s">
        <v>3222</v>
      </c>
    </row>
    <row r="1560" spans="1:12" ht="25.5" x14ac:dyDescent="0.2">
      <c r="A1560" s="13" t="s">
        <v>1</v>
      </c>
      <c r="B1560" s="12" t="s">
        <v>92</v>
      </c>
      <c r="C1560" s="13" t="s">
        <v>2246</v>
      </c>
      <c r="D1560" s="7" t="s">
        <v>450</v>
      </c>
      <c r="E1560" s="6">
        <v>190291</v>
      </c>
      <c r="F1560" s="6">
        <v>164717</v>
      </c>
      <c r="G1560" s="57">
        <v>-0.1343941647266555</v>
      </c>
      <c r="H1560" s="21"/>
      <c r="I1560" s="21"/>
      <c r="J1560" s="17" t="s">
        <v>4229</v>
      </c>
      <c r="K1560" s="13"/>
      <c r="L1560" s="13"/>
    </row>
    <row r="1561" spans="1:12" ht="25.5" x14ac:dyDescent="0.2">
      <c r="A1561" s="1" t="s">
        <v>25</v>
      </c>
      <c r="B1561" s="2" t="s">
        <v>208</v>
      </c>
      <c r="D1561" s="5" t="s">
        <v>1061</v>
      </c>
      <c r="E1561" s="9">
        <v>166279</v>
      </c>
      <c r="F1561" s="9">
        <v>164662</v>
      </c>
      <c r="G1561" s="57">
        <v>-9.7246194648753E-3</v>
      </c>
      <c r="J1561" s="5" t="s">
        <v>3379</v>
      </c>
    </row>
    <row r="1562" spans="1:12" ht="25.5" x14ac:dyDescent="0.2">
      <c r="A1562" s="1" t="s">
        <v>25</v>
      </c>
      <c r="B1562" s="2" t="s">
        <v>129</v>
      </c>
      <c r="C1562" s="1" t="s">
        <v>2095</v>
      </c>
      <c r="D1562" s="5" t="s">
        <v>2096</v>
      </c>
      <c r="E1562" s="3">
        <v>133418</v>
      </c>
      <c r="F1562" s="3">
        <v>164624</v>
      </c>
      <c r="G1562" s="57">
        <v>0.23389647573790642</v>
      </c>
      <c r="J1562" s="5" t="s">
        <v>3947</v>
      </c>
    </row>
    <row r="1563" spans="1:12" ht="25.5" x14ac:dyDescent="0.2">
      <c r="A1563" s="1" t="s">
        <v>25</v>
      </c>
      <c r="B1563" s="2" t="s">
        <v>187</v>
      </c>
      <c r="D1563" s="5" t="s">
        <v>1459</v>
      </c>
      <c r="E1563" s="9">
        <v>151756</v>
      </c>
      <c r="F1563" s="9">
        <v>164480</v>
      </c>
      <c r="G1563" s="57">
        <v>8.3845119797569784E-2</v>
      </c>
      <c r="J1563" s="5" t="s">
        <v>3513</v>
      </c>
    </row>
    <row r="1564" spans="1:12" x14ac:dyDescent="0.2">
      <c r="A1564" s="1" t="s">
        <v>25</v>
      </c>
      <c r="B1564" s="2" t="s">
        <v>424</v>
      </c>
      <c r="C1564" s="5" t="s">
        <v>545</v>
      </c>
      <c r="D1564" s="5" t="s">
        <v>546</v>
      </c>
      <c r="E1564" s="3">
        <v>262800</v>
      </c>
      <c r="F1564" s="3">
        <v>164426</v>
      </c>
      <c r="G1564" s="57">
        <v>-0.37433028919330291</v>
      </c>
      <c r="J1564" s="5" t="s">
        <v>2332</v>
      </c>
    </row>
    <row r="1565" spans="1:12" ht="76.5" x14ac:dyDescent="0.2">
      <c r="A1565" s="1" t="s">
        <v>25</v>
      </c>
      <c r="B1565" s="2" t="s">
        <v>405</v>
      </c>
      <c r="D1565" s="5" t="s">
        <v>642</v>
      </c>
      <c r="E1565" s="3" t="s">
        <v>465</v>
      </c>
      <c r="F1565" s="3">
        <v>164371</v>
      </c>
      <c r="G1565" s="57" t="s">
        <v>465</v>
      </c>
      <c r="J1565" s="5" t="s">
        <v>4711</v>
      </c>
    </row>
    <row r="1566" spans="1:12" ht="25.5" x14ac:dyDescent="0.2">
      <c r="A1566" s="1" t="s">
        <v>25</v>
      </c>
      <c r="B1566" s="2" t="s">
        <v>424</v>
      </c>
      <c r="D1566" s="5" t="s">
        <v>550</v>
      </c>
      <c r="E1566" s="3">
        <v>167619</v>
      </c>
      <c r="F1566" s="3">
        <v>164288</v>
      </c>
      <c r="G1566" s="57">
        <v>-1.9872448827400236E-2</v>
      </c>
      <c r="J1566" s="5" t="s">
        <v>4713</v>
      </c>
    </row>
    <row r="1567" spans="1:12" ht="25.5" x14ac:dyDescent="0.2">
      <c r="A1567" s="1" t="s">
        <v>4</v>
      </c>
      <c r="B1567" s="2" t="s">
        <v>292</v>
      </c>
      <c r="D1567" s="5" t="s">
        <v>1019</v>
      </c>
      <c r="E1567" s="9">
        <v>19528</v>
      </c>
      <c r="F1567" s="3">
        <v>164038</v>
      </c>
      <c r="G1567" s="57">
        <v>7.4001433838590742</v>
      </c>
      <c r="J1567" s="5" t="s">
        <v>2913</v>
      </c>
    </row>
    <row r="1568" spans="1:12" ht="25.5" x14ac:dyDescent="0.2">
      <c r="A1568" s="1" t="s">
        <v>1</v>
      </c>
      <c r="B1568" s="12" t="s">
        <v>308</v>
      </c>
      <c r="C1568" s="5" t="s">
        <v>950</v>
      </c>
      <c r="D1568" s="5" t="s">
        <v>450</v>
      </c>
      <c r="E1568" s="6">
        <v>140167</v>
      </c>
      <c r="F1568" s="3">
        <v>163840</v>
      </c>
      <c r="G1568" s="57">
        <v>0.16889139383735116</v>
      </c>
      <c r="J1568" s="5" t="s">
        <v>4406</v>
      </c>
    </row>
    <row r="1569" spans="1:10" x14ac:dyDescent="0.2">
      <c r="A1569" s="1" t="s">
        <v>25</v>
      </c>
      <c r="B1569" s="2" t="s">
        <v>358</v>
      </c>
      <c r="C1569" s="5" t="s">
        <v>805</v>
      </c>
      <c r="D1569" s="5" t="s">
        <v>806</v>
      </c>
      <c r="E1569" s="9">
        <v>159844</v>
      </c>
      <c r="F1569" s="9">
        <v>163770</v>
      </c>
      <c r="G1569" s="57">
        <v>2.4561447411225946E-2</v>
      </c>
      <c r="J1569" s="5" t="s">
        <v>2635</v>
      </c>
    </row>
    <row r="1570" spans="1:10" ht="25.5" x14ac:dyDescent="0.2">
      <c r="A1570" s="1" t="s">
        <v>28</v>
      </c>
      <c r="B1570" s="2" t="s">
        <v>273</v>
      </c>
      <c r="D1570" s="5" t="s">
        <v>450</v>
      </c>
      <c r="E1570" s="3">
        <v>169801</v>
      </c>
      <c r="F1570" s="3">
        <v>163762</v>
      </c>
      <c r="G1570" s="57">
        <v>-3.556516157148662E-2</v>
      </c>
      <c r="J1570" s="5" t="s">
        <v>3035</v>
      </c>
    </row>
    <row r="1571" spans="1:10" ht="25.5" x14ac:dyDescent="0.2">
      <c r="A1571" s="1" t="s">
        <v>44</v>
      </c>
      <c r="B1571" s="2" t="s">
        <v>43</v>
      </c>
      <c r="C1571" s="1"/>
      <c r="D1571" s="5" t="s">
        <v>450</v>
      </c>
      <c r="E1571" s="3">
        <v>141175</v>
      </c>
      <c r="F1571" s="3">
        <v>163624</v>
      </c>
      <c r="G1571" s="57">
        <v>0.15901540641048345</v>
      </c>
      <c r="J1571" s="5" t="s">
        <v>1789</v>
      </c>
    </row>
    <row r="1572" spans="1:10" ht="25.5" x14ac:dyDescent="0.2">
      <c r="A1572" s="1" t="s">
        <v>25</v>
      </c>
      <c r="B1572" s="2" t="s">
        <v>398</v>
      </c>
      <c r="D1572" s="5" t="s">
        <v>2447</v>
      </c>
      <c r="E1572" s="3">
        <v>162768</v>
      </c>
      <c r="F1572" s="3">
        <v>163356</v>
      </c>
      <c r="G1572" s="57">
        <v>3.6125036862282513E-3</v>
      </c>
      <c r="J1572" s="5" t="s">
        <v>2450</v>
      </c>
    </row>
    <row r="1573" spans="1:10" ht="25.5" x14ac:dyDescent="0.2">
      <c r="A1573" s="1" t="s">
        <v>39</v>
      </c>
      <c r="B1573" s="2" t="s">
        <v>433</v>
      </c>
      <c r="D1573" s="5" t="s">
        <v>483</v>
      </c>
      <c r="E1573" s="3">
        <v>162764</v>
      </c>
      <c r="F1573" s="3">
        <v>163096</v>
      </c>
      <c r="G1573" s="57">
        <v>2.0397630925757539E-3</v>
      </c>
      <c r="J1573" s="5" t="s">
        <v>2280</v>
      </c>
    </row>
    <row r="1574" spans="1:10" ht="51" x14ac:dyDescent="0.2">
      <c r="A1574" s="1" t="s">
        <v>34</v>
      </c>
      <c r="B1574" s="2" t="s">
        <v>101</v>
      </c>
      <c r="C1574" s="1"/>
      <c r="D1574" s="5" t="s">
        <v>2214</v>
      </c>
      <c r="E1574" s="3">
        <v>155220</v>
      </c>
      <c r="F1574" s="3">
        <v>162967</v>
      </c>
      <c r="G1574" s="57">
        <v>4.9909805437443631E-2</v>
      </c>
      <c r="J1574" s="5" t="s">
        <v>4615</v>
      </c>
    </row>
    <row r="1575" spans="1:10" ht="51" x14ac:dyDescent="0.2">
      <c r="A1575" s="1" t="s">
        <v>28</v>
      </c>
      <c r="B1575" s="2" t="s">
        <v>213</v>
      </c>
      <c r="D1575" s="5" t="s">
        <v>1326</v>
      </c>
      <c r="E1575" s="9">
        <v>185045</v>
      </c>
      <c r="F1575" s="9">
        <v>162837</v>
      </c>
      <c r="G1575" s="57">
        <v>-0.12001405063633171</v>
      </c>
      <c r="J1575" s="5" t="s">
        <v>4661</v>
      </c>
    </row>
    <row r="1576" spans="1:10" x14ac:dyDescent="0.2">
      <c r="A1576" s="1" t="s">
        <v>20</v>
      </c>
      <c r="B1576" s="2" t="s">
        <v>296</v>
      </c>
      <c r="D1576" s="5" t="s">
        <v>1001</v>
      </c>
      <c r="E1576" s="3">
        <v>160991</v>
      </c>
      <c r="F1576" s="3">
        <v>162650</v>
      </c>
      <c r="G1576" s="57">
        <v>1.0304923877732295E-2</v>
      </c>
      <c r="J1576" s="5" t="s">
        <v>2875</v>
      </c>
    </row>
    <row r="1577" spans="1:10" x14ac:dyDescent="0.2">
      <c r="A1577" s="1" t="s">
        <v>8</v>
      </c>
      <c r="B1577" s="2" t="s">
        <v>115</v>
      </c>
      <c r="C1577" s="1"/>
      <c r="D1577" s="5" t="s">
        <v>464</v>
      </c>
      <c r="E1577" s="3" t="s">
        <v>465</v>
      </c>
      <c r="F1577" s="3">
        <v>162500</v>
      </c>
      <c r="G1577" s="57" t="s">
        <v>465</v>
      </c>
      <c r="J1577" s="1"/>
    </row>
    <row r="1578" spans="1:10" x14ac:dyDescent="0.2">
      <c r="A1578" s="1" t="s">
        <v>28</v>
      </c>
      <c r="B1578" s="2" t="s">
        <v>120</v>
      </c>
      <c r="C1578" s="1"/>
      <c r="D1578" s="5" t="s">
        <v>464</v>
      </c>
      <c r="E1578" s="3" t="s">
        <v>465</v>
      </c>
      <c r="F1578" s="3">
        <v>162500</v>
      </c>
      <c r="G1578" s="57" t="s">
        <v>465</v>
      </c>
    </row>
    <row r="1579" spans="1:10" x14ac:dyDescent="0.2">
      <c r="A1579" s="1" t="s">
        <v>25</v>
      </c>
      <c r="B1579" s="2" t="s">
        <v>178</v>
      </c>
      <c r="D1579" s="5" t="s">
        <v>464</v>
      </c>
      <c r="E1579" s="3" t="s">
        <v>465</v>
      </c>
      <c r="F1579" s="3">
        <v>162500</v>
      </c>
      <c r="G1579" s="57" t="s">
        <v>465</v>
      </c>
    </row>
    <row r="1580" spans="1:10" x14ac:dyDescent="0.2">
      <c r="A1580" s="1" t="s">
        <v>4</v>
      </c>
      <c r="B1580" s="2" t="s">
        <v>210</v>
      </c>
      <c r="D1580" s="5" t="s">
        <v>464</v>
      </c>
      <c r="E1580" s="3" t="s">
        <v>465</v>
      </c>
      <c r="F1580" s="3">
        <v>162500</v>
      </c>
      <c r="G1580" s="57" t="s">
        <v>465</v>
      </c>
      <c r="H1580" s="4"/>
      <c r="I1580" s="4"/>
      <c r="J1580" s="1"/>
    </row>
    <row r="1581" spans="1:10" x14ac:dyDescent="0.2">
      <c r="A1581" s="1" t="s">
        <v>6</v>
      </c>
      <c r="B1581" s="2" t="s">
        <v>216</v>
      </c>
      <c r="D1581" s="5" t="s">
        <v>464</v>
      </c>
      <c r="E1581" s="3" t="s">
        <v>465</v>
      </c>
      <c r="F1581" s="3">
        <v>162500</v>
      </c>
      <c r="G1581" s="57" t="s">
        <v>465</v>
      </c>
    </row>
    <row r="1582" spans="1:10" x14ac:dyDescent="0.2">
      <c r="A1582" s="1" t="s">
        <v>111</v>
      </c>
      <c r="B1582" s="2" t="s">
        <v>282</v>
      </c>
      <c r="D1582" s="5" t="s">
        <v>464</v>
      </c>
      <c r="E1582" s="3" t="s">
        <v>465</v>
      </c>
      <c r="F1582" s="3">
        <v>162500</v>
      </c>
      <c r="G1582" s="57" t="s">
        <v>465</v>
      </c>
      <c r="J1582" s="5" t="s">
        <v>539</v>
      </c>
    </row>
    <row r="1583" spans="1:10" x14ac:dyDescent="0.2">
      <c r="A1583" s="1" t="s">
        <v>8</v>
      </c>
      <c r="B1583" s="2" t="s">
        <v>285</v>
      </c>
      <c r="D1583" s="5" t="s">
        <v>464</v>
      </c>
      <c r="E1583" s="3" t="s">
        <v>465</v>
      </c>
      <c r="F1583" s="3">
        <v>162500</v>
      </c>
      <c r="G1583" s="57" t="s">
        <v>465</v>
      </c>
    </row>
    <row r="1584" spans="1:10" x14ac:dyDescent="0.2">
      <c r="A1584" s="1" t="s">
        <v>6</v>
      </c>
      <c r="B1584" s="2" t="s">
        <v>288</v>
      </c>
      <c r="D1584" s="5" t="s">
        <v>464</v>
      </c>
      <c r="E1584" s="3" t="s">
        <v>465</v>
      </c>
      <c r="F1584" s="3">
        <v>162500</v>
      </c>
      <c r="G1584" s="57" t="s">
        <v>465</v>
      </c>
      <c r="H1584" s="4"/>
      <c r="I1584" s="4"/>
      <c r="J1584" s="1"/>
    </row>
    <row r="1585" spans="1:12" x14ac:dyDescent="0.2">
      <c r="A1585" s="1" t="s">
        <v>39</v>
      </c>
      <c r="B1585" s="2" t="s">
        <v>325</v>
      </c>
      <c r="D1585" s="5" t="s">
        <v>464</v>
      </c>
      <c r="F1585" s="3">
        <v>162500</v>
      </c>
      <c r="G1585" s="57" t="s">
        <v>465</v>
      </c>
      <c r="J1585" s="5" t="s">
        <v>1241</v>
      </c>
    </row>
    <row r="1586" spans="1:12" x14ac:dyDescent="0.2">
      <c r="A1586" s="1" t="s">
        <v>28</v>
      </c>
      <c r="B1586" s="2" t="s">
        <v>332</v>
      </c>
      <c r="D1586" s="5" t="s">
        <v>464</v>
      </c>
      <c r="E1586" s="3" t="s">
        <v>465</v>
      </c>
      <c r="F1586" s="3">
        <v>162500</v>
      </c>
      <c r="G1586" s="57" t="s">
        <v>465</v>
      </c>
    </row>
    <row r="1587" spans="1:12" ht="25.5" x14ac:dyDescent="0.2">
      <c r="A1587" s="1" t="s">
        <v>4</v>
      </c>
      <c r="B1587" s="2" t="s">
        <v>438</v>
      </c>
      <c r="C1587" s="5" t="s">
        <v>469</v>
      </c>
      <c r="D1587" s="5" t="s">
        <v>450</v>
      </c>
      <c r="E1587" s="3">
        <v>174204</v>
      </c>
      <c r="F1587" s="3">
        <v>162458</v>
      </c>
      <c r="G1587" s="57">
        <v>-6.7426695139032405E-2</v>
      </c>
      <c r="J1587" s="5" t="s">
        <v>2260</v>
      </c>
    </row>
    <row r="1588" spans="1:12" ht="51" x14ac:dyDescent="0.2">
      <c r="A1588" s="1" t="s">
        <v>4</v>
      </c>
      <c r="B1588" s="2" t="s">
        <v>292</v>
      </c>
      <c r="D1588" s="5" t="s">
        <v>2926</v>
      </c>
      <c r="E1588" s="9">
        <v>95833</v>
      </c>
      <c r="F1588" s="3">
        <v>162316</v>
      </c>
      <c r="G1588" s="57">
        <v>0.69373806517587888</v>
      </c>
      <c r="J1588" s="5" t="s">
        <v>2927</v>
      </c>
    </row>
    <row r="1589" spans="1:12" ht="25.5" x14ac:dyDescent="0.2">
      <c r="A1589" s="1" t="s">
        <v>34</v>
      </c>
      <c r="B1589" s="2" t="s">
        <v>382</v>
      </c>
      <c r="D1589" s="5" t="s">
        <v>2505</v>
      </c>
      <c r="E1589" s="6">
        <v>161945</v>
      </c>
      <c r="F1589" s="3">
        <v>161930</v>
      </c>
      <c r="G1589" s="57">
        <v>-9.2624039025595106E-5</v>
      </c>
      <c r="J1589" s="5" t="s">
        <v>4700</v>
      </c>
    </row>
    <row r="1590" spans="1:12" ht="25.5" x14ac:dyDescent="0.2">
      <c r="A1590" s="1" t="s">
        <v>8</v>
      </c>
      <c r="B1590" s="2" t="s">
        <v>198</v>
      </c>
      <c r="C1590" s="5" t="s">
        <v>1399</v>
      </c>
      <c r="D1590" s="5" t="s">
        <v>450</v>
      </c>
      <c r="E1590" s="3">
        <v>161851</v>
      </c>
      <c r="F1590" s="3">
        <v>161851</v>
      </c>
      <c r="G1590" s="57">
        <v>0</v>
      </c>
      <c r="J1590" s="5" t="s">
        <v>3429</v>
      </c>
    </row>
    <row r="1591" spans="1:12" ht="25.5" x14ac:dyDescent="0.2">
      <c r="A1591" s="1" t="s">
        <v>8</v>
      </c>
      <c r="B1591" s="2" t="s">
        <v>81</v>
      </c>
      <c r="C1591" s="1"/>
      <c r="D1591" s="5" t="s">
        <v>1996</v>
      </c>
      <c r="E1591" s="3">
        <v>82166</v>
      </c>
      <c r="F1591" s="3">
        <v>161796</v>
      </c>
      <c r="G1591" s="57">
        <v>0.9691356522162452</v>
      </c>
      <c r="J1591" s="5" t="s">
        <v>3819</v>
      </c>
    </row>
    <row r="1592" spans="1:12" ht="51" x14ac:dyDescent="0.2">
      <c r="A1592" s="1" t="s">
        <v>44</v>
      </c>
      <c r="B1592" s="2" t="s">
        <v>114</v>
      </c>
      <c r="C1592" s="1"/>
      <c r="D1592" s="5" t="s">
        <v>589</v>
      </c>
      <c r="E1592" s="3">
        <v>104092</v>
      </c>
      <c r="F1592" s="3">
        <v>161746</v>
      </c>
      <c r="G1592" s="57">
        <v>0.55387541789955042</v>
      </c>
      <c r="J1592" s="5" t="s">
        <v>4269</v>
      </c>
    </row>
    <row r="1593" spans="1:12" ht="38.25" x14ac:dyDescent="0.2">
      <c r="A1593" s="1" t="s">
        <v>39</v>
      </c>
      <c r="B1593" s="2" t="s">
        <v>372</v>
      </c>
      <c r="D1593" s="5" t="s">
        <v>759</v>
      </c>
      <c r="E1593" s="3">
        <v>96638</v>
      </c>
      <c r="F1593" s="3">
        <v>161672</v>
      </c>
      <c r="G1593" s="57">
        <v>0.6729650861979759</v>
      </c>
      <c r="J1593" s="5" t="s">
        <v>2551</v>
      </c>
    </row>
    <row r="1594" spans="1:12" ht="25.5" x14ac:dyDescent="0.2">
      <c r="A1594" s="1" t="s">
        <v>25</v>
      </c>
      <c r="B1594" s="2" t="s">
        <v>304</v>
      </c>
      <c r="D1594" s="5" t="s">
        <v>562</v>
      </c>
      <c r="E1594" s="3">
        <v>159050</v>
      </c>
      <c r="F1594" s="3">
        <v>161513</v>
      </c>
      <c r="G1594" s="57">
        <v>1.5485696321911348E-2</v>
      </c>
      <c r="J1594" s="5" t="s">
        <v>2843</v>
      </c>
    </row>
    <row r="1595" spans="1:12" ht="38.25" x14ac:dyDescent="0.2">
      <c r="A1595" s="1" t="s">
        <v>25</v>
      </c>
      <c r="B1595" s="12" t="s">
        <v>26</v>
      </c>
      <c r="C1595" s="13"/>
      <c r="D1595" s="7" t="s">
        <v>452</v>
      </c>
      <c r="E1595" s="6" t="s">
        <v>465</v>
      </c>
      <c r="F1595" s="6">
        <v>161491</v>
      </c>
      <c r="G1595" s="57" t="s">
        <v>465</v>
      </c>
      <c r="H1595" s="21"/>
      <c r="I1595" s="21"/>
      <c r="J1595" s="7" t="s">
        <v>4101</v>
      </c>
      <c r="K1595" s="13"/>
      <c r="L1595" s="13"/>
    </row>
    <row r="1596" spans="1:12" ht="25.5" x14ac:dyDescent="0.2">
      <c r="A1596" s="1" t="s">
        <v>25</v>
      </c>
      <c r="B1596" s="2" t="s">
        <v>424</v>
      </c>
      <c r="D1596" s="5" t="s">
        <v>515</v>
      </c>
      <c r="E1596" s="3">
        <v>167157</v>
      </c>
      <c r="F1596" s="3">
        <v>161479</v>
      </c>
      <c r="G1596" s="57">
        <v>-3.3968065949975174E-2</v>
      </c>
      <c r="J1596" s="5" t="s">
        <v>2331</v>
      </c>
    </row>
    <row r="1597" spans="1:12" ht="25.5" x14ac:dyDescent="0.2">
      <c r="A1597" s="1" t="s">
        <v>25</v>
      </c>
      <c r="B1597" s="2" t="s">
        <v>398</v>
      </c>
      <c r="D1597" s="5" t="s">
        <v>666</v>
      </c>
      <c r="E1597" s="3">
        <v>156544</v>
      </c>
      <c r="F1597" s="3">
        <v>161363</v>
      </c>
      <c r="G1597" s="57">
        <v>3.0783677432542927E-2</v>
      </c>
      <c r="J1597" s="5" t="s">
        <v>2451</v>
      </c>
    </row>
    <row r="1598" spans="1:12" x14ac:dyDescent="0.2">
      <c r="A1598" s="1" t="s">
        <v>25</v>
      </c>
      <c r="B1598" s="2" t="s">
        <v>53</v>
      </c>
      <c r="C1598" s="1"/>
      <c r="D1598" s="5" t="s">
        <v>977</v>
      </c>
      <c r="E1598" s="3">
        <v>161303</v>
      </c>
      <c r="F1598" s="3">
        <v>161303</v>
      </c>
      <c r="G1598" s="57">
        <v>0</v>
      </c>
      <c r="J1598" s="5" t="s">
        <v>1835</v>
      </c>
    </row>
    <row r="1599" spans="1:12" ht="25.5" x14ac:dyDescent="0.2">
      <c r="A1599" s="1" t="s">
        <v>25</v>
      </c>
      <c r="B1599" s="2" t="s">
        <v>53</v>
      </c>
      <c r="C1599" s="1"/>
      <c r="D1599" s="5" t="s">
        <v>4175</v>
      </c>
      <c r="E1599" s="3">
        <v>161303</v>
      </c>
      <c r="F1599" s="3">
        <v>161303</v>
      </c>
      <c r="G1599" s="57">
        <v>0</v>
      </c>
      <c r="J1599" s="5" t="s">
        <v>1835</v>
      </c>
    </row>
    <row r="1600" spans="1:12" ht="25.5" x14ac:dyDescent="0.2">
      <c r="A1600" s="1" t="s">
        <v>25</v>
      </c>
      <c r="B1600" s="2" t="s">
        <v>259</v>
      </c>
      <c r="D1600" s="5" t="s">
        <v>1173</v>
      </c>
      <c r="E1600" s="3" t="s">
        <v>465</v>
      </c>
      <c r="F1600" s="3">
        <v>161221</v>
      </c>
      <c r="G1600" s="57" t="s">
        <v>465</v>
      </c>
      <c r="J1600" s="5" t="s">
        <v>4374</v>
      </c>
    </row>
    <row r="1601" spans="1:12" ht="25.5" x14ac:dyDescent="0.2">
      <c r="A1601" s="1" t="s">
        <v>25</v>
      </c>
      <c r="B1601" s="2" t="s">
        <v>187</v>
      </c>
      <c r="D1601" s="5" t="s">
        <v>1460</v>
      </c>
      <c r="E1601" s="9">
        <v>158262</v>
      </c>
      <c r="F1601" s="9">
        <v>161086</v>
      </c>
      <c r="G1601" s="57">
        <v>1.7843828588037559E-2</v>
      </c>
      <c r="J1601" s="5" t="s">
        <v>3509</v>
      </c>
    </row>
    <row r="1602" spans="1:12" ht="25.5" x14ac:dyDescent="0.2">
      <c r="A1602" s="1" t="s">
        <v>4</v>
      </c>
      <c r="B1602" s="2" t="s">
        <v>249</v>
      </c>
      <c r="D1602" s="5" t="s">
        <v>1187</v>
      </c>
      <c r="E1602" s="3">
        <v>149017</v>
      </c>
      <c r="F1602" s="3">
        <v>161017</v>
      </c>
      <c r="G1602" s="57">
        <v>8.0527725024661614E-2</v>
      </c>
      <c r="J1602" s="5" t="s">
        <v>3123</v>
      </c>
    </row>
    <row r="1603" spans="1:12" x14ac:dyDescent="0.2">
      <c r="A1603" s="1" t="s">
        <v>4</v>
      </c>
      <c r="B1603" s="2" t="s">
        <v>72</v>
      </c>
      <c r="C1603" s="1"/>
      <c r="D1603" s="5" t="s">
        <v>450</v>
      </c>
      <c r="E1603" s="3">
        <v>146000</v>
      </c>
      <c r="F1603" s="3">
        <v>161000</v>
      </c>
      <c r="G1603" s="57">
        <v>0.10273972602739725</v>
      </c>
      <c r="J1603" s="5" t="s">
        <v>1943</v>
      </c>
    </row>
    <row r="1604" spans="1:12" ht="25.5" x14ac:dyDescent="0.2">
      <c r="A1604" s="1" t="s">
        <v>8</v>
      </c>
      <c r="B1604" s="2" t="s">
        <v>281</v>
      </c>
      <c r="C1604" s="5" t="s">
        <v>1072</v>
      </c>
      <c r="D1604" s="5" t="s">
        <v>1073</v>
      </c>
      <c r="E1604" s="10">
        <v>160000</v>
      </c>
      <c r="F1604" s="3">
        <v>161000</v>
      </c>
      <c r="G1604" s="57">
        <v>6.2500000000000003E-3</v>
      </c>
      <c r="J1604" s="5" t="s">
        <v>2986</v>
      </c>
    </row>
    <row r="1605" spans="1:12" ht="25.5" x14ac:dyDescent="0.2">
      <c r="A1605" s="1" t="s">
        <v>8</v>
      </c>
      <c r="B1605" s="2" t="s">
        <v>281</v>
      </c>
      <c r="C1605" s="5" t="s">
        <v>1074</v>
      </c>
      <c r="D1605" s="5" t="s">
        <v>1075</v>
      </c>
      <c r="E1605" s="10">
        <v>159000</v>
      </c>
      <c r="F1605" s="3">
        <v>161000</v>
      </c>
      <c r="G1605" s="57">
        <v>1.2578616352201259E-2</v>
      </c>
      <c r="J1605" s="5" t="s">
        <v>2986</v>
      </c>
    </row>
    <row r="1606" spans="1:12" x14ac:dyDescent="0.2">
      <c r="A1606" s="1" t="s">
        <v>20</v>
      </c>
      <c r="B1606" s="2" t="s">
        <v>79</v>
      </c>
      <c r="C1606" s="1" t="s">
        <v>1981</v>
      </c>
      <c r="D1606" s="5" t="s">
        <v>1982</v>
      </c>
      <c r="E1606" s="3">
        <v>153477</v>
      </c>
      <c r="F1606" s="3">
        <v>160967</v>
      </c>
      <c r="G1606" s="57">
        <v>4.8802100640486845E-2</v>
      </c>
      <c r="J1606" s="5" t="s">
        <v>1983</v>
      </c>
    </row>
    <row r="1607" spans="1:12" ht="38.25" x14ac:dyDescent="0.2">
      <c r="A1607" s="1" t="s">
        <v>6</v>
      </c>
      <c r="B1607" s="2" t="s">
        <v>218</v>
      </c>
      <c r="D1607" s="5" t="s">
        <v>1295</v>
      </c>
      <c r="E1607" s="9">
        <v>158582</v>
      </c>
      <c r="F1607" s="9">
        <v>160962</v>
      </c>
      <c r="G1607" s="57">
        <v>1.5008008475110668E-2</v>
      </c>
      <c r="J1607" s="5" t="s">
        <v>3287</v>
      </c>
    </row>
    <row r="1608" spans="1:12" ht="25.5" x14ac:dyDescent="0.2">
      <c r="A1608" s="1" t="s">
        <v>4</v>
      </c>
      <c r="B1608" s="2" t="s">
        <v>182</v>
      </c>
      <c r="D1608" s="5" t="s">
        <v>658</v>
      </c>
      <c r="E1608" s="9">
        <v>161668</v>
      </c>
      <c r="F1608" s="9">
        <v>160727</v>
      </c>
      <c r="G1608" s="57">
        <v>-5.8205705519954474E-3</v>
      </c>
      <c r="J1608" s="5" t="s">
        <v>3537</v>
      </c>
    </row>
    <row r="1609" spans="1:12" ht="51" x14ac:dyDescent="0.2">
      <c r="A1609" s="1" t="s">
        <v>39</v>
      </c>
      <c r="B1609" s="2" t="s">
        <v>370</v>
      </c>
      <c r="C1609" s="5" t="s">
        <v>766</v>
      </c>
      <c r="D1609" s="5" t="s">
        <v>765</v>
      </c>
      <c r="E1609" s="3">
        <v>177967</v>
      </c>
      <c r="F1609" s="3">
        <v>160725</v>
      </c>
      <c r="G1609" s="57">
        <v>-9.6883130018486571E-2</v>
      </c>
      <c r="J1609" s="5" t="s">
        <v>4470</v>
      </c>
    </row>
    <row r="1610" spans="1:12" ht="38.25" x14ac:dyDescent="0.2">
      <c r="A1610" s="1" t="s">
        <v>4</v>
      </c>
      <c r="B1610" s="2" t="s">
        <v>429</v>
      </c>
      <c r="C1610" s="5" t="s">
        <v>512</v>
      </c>
      <c r="D1610" s="5" t="s">
        <v>513</v>
      </c>
      <c r="E1610" s="3">
        <v>163293</v>
      </c>
      <c r="F1610" s="3">
        <v>160704</v>
      </c>
      <c r="G1610" s="57">
        <v>-1.585493560654774E-2</v>
      </c>
      <c r="J1610" s="5" t="s">
        <v>2305</v>
      </c>
    </row>
    <row r="1611" spans="1:12" ht="25.5" x14ac:dyDescent="0.2">
      <c r="A1611" s="1" t="s">
        <v>44</v>
      </c>
      <c r="B1611" s="2" t="s">
        <v>114</v>
      </c>
      <c r="C1611" s="1"/>
      <c r="D1611" s="5" t="s">
        <v>450</v>
      </c>
      <c r="E1611" s="3">
        <v>140742</v>
      </c>
      <c r="F1611" s="3">
        <v>160414</v>
      </c>
      <c r="G1611" s="57">
        <v>0.13977348623722841</v>
      </c>
      <c r="J1611" s="5" t="s">
        <v>4262</v>
      </c>
    </row>
    <row r="1612" spans="1:12" ht="51" x14ac:dyDescent="0.2">
      <c r="A1612" s="1" t="s">
        <v>34</v>
      </c>
      <c r="B1612" s="12" t="s">
        <v>57</v>
      </c>
      <c r="C1612" s="13"/>
      <c r="D1612" s="7" t="s">
        <v>4186</v>
      </c>
      <c r="E1612" s="6" t="s">
        <v>465</v>
      </c>
      <c r="F1612" s="6">
        <v>160235</v>
      </c>
      <c r="G1612" s="57" t="s">
        <v>465</v>
      </c>
      <c r="H1612" s="21"/>
      <c r="I1612" s="21"/>
      <c r="J1612" s="7" t="s">
        <v>4185</v>
      </c>
      <c r="K1612" s="13"/>
      <c r="L1612" s="13"/>
    </row>
    <row r="1613" spans="1:12" ht="25.5" x14ac:dyDescent="0.2">
      <c r="A1613" s="1" t="s">
        <v>34</v>
      </c>
      <c r="B1613" s="2" t="s">
        <v>382</v>
      </c>
      <c r="D1613" s="5" t="s">
        <v>710</v>
      </c>
      <c r="E1613" s="6">
        <v>159406</v>
      </c>
      <c r="F1613" s="3">
        <v>160180</v>
      </c>
      <c r="G1613" s="57">
        <v>4.8555261407977118E-3</v>
      </c>
      <c r="J1613" s="5" t="s">
        <v>4698</v>
      </c>
    </row>
    <row r="1614" spans="1:12" x14ac:dyDescent="0.2">
      <c r="A1614" s="1" t="s">
        <v>25</v>
      </c>
      <c r="B1614" s="2" t="s">
        <v>259</v>
      </c>
      <c r="C1614" s="5" t="s">
        <v>1168</v>
      </c>
      <c r="D1614" s="5" t="s">
        <v>1169</v>
      </c>
      <c r="E1614" s="6">
        <v>176725</v>
      </c>
      <c r="F1614" s="3">
        <v>160002</v>
      </c>
      <c r="G1614" s="57">
        <v>-9.4627245720752581E-2</v>
      </c>
      <c r="J1614" s="5" t="s">
        <v>3087</v>
      </c>
    </row>
    <row r="1615" spans="1:12" ht="25.5" x14ac:dyDescent="0.2">
      <c r="A1615" s="1" t="s">
        <v>6</v>
      </c>
      <c r="B1615" s="12" t="s">
        <v>41</v>
      </c>
      <c r="C1615" s="13"/>
      <c r="D1615" s="7" t="s">
        <v>1778</v>
      </c>
      <c r="E1615" s="6">
        <v>126000</v>
      </c>
      <c r="F1615" s="6">
        <v>160000</v>
      </c>
      <c r="G1615" s="57">
        <v>0.26984126984126983</v>
      </c>
      <c r="H1615" s="21"/>
      <c r="I1615" s="21"/>
      <c r="J1615" s="7" t="s">
        <v>3709</v>
      </c>
      <c r="K1615" s="13"/>
      <c r="L1615" s="13"/>
    </row>
    <row r="1616" spans="1:12" ht="25.5" x14ac:dyDescent="0.2">
      <c r="A1616" s="1" t="s">
        <v>34</v>
      </c>
      <c r="B1616" s="2" t="s">
        <v>121</v>
      </c>
      <c r="C1616" s="1" t="s">
        <v>2145</v>
      </c>
      <c r="D1616" s="5" t="s">
        <v>2146</v>
      </c>
      <c r="E1616" s="3">
        <v>157000</v>
      </c>
      <c r="F1616" s="3">
        <v>160000</v>
      </c>
      <c r="G1616" s="57">
        <v>1.9108280254777069E-2</v>
      </c>
      <c r="J1616" s="5" t="s">
        <v>3923</v>
      </c>
    </row>
    <row r="1617" spans="1:10" ht="25.5" x14ac:dyDescent="0.2">
      <c r="A1617" s="1" t="s">
        <v>8</v>
      </c>
      <c r="B1617" s="2" t="s">
        <v>281</v>
      </c>
      <c r="C1617" s="5" t="s">
        <v>1076</v>
      </c>
      <c r="D1617" s="5" t="s">
        <v>1077</v>
      </c>
      <c r="E1617" s="10">
        <v>159000</v>
      </c>
      <c r="F1617" s="3">
        <v>160000</v>
      </c>
      <c r="G1617" s="57">
        <v>6.2893081761006293E-3</v>
      </c>
      <c r="J1617" s="5" t="s">
        <v>2987</v>
      </c>
    </row>
    <row r="1618" spans="1:10" ht="25.5" x14ac:dyDescent="0.2">
      <c r="A1618" s="1" t="s">
        <v>6</v>
      </c>
      <c r="B1618" s="2" t="s">
        <v>288</v>
      </c>
      <c r="D1618" s="5" t="s">
        <v>1039</v>
      </c>
      <c r="E1618" s="3">
        <v>156000</v>
      </c>
      <c r="F1618" s="3">
        <v>160000</v>
      </c>
      <c r="G1618" s="57">
        <v>2.564102564102564E-2</v>
      </c>
      <c r="J1618" s="5" t="s">
        <v>2950</v>
      </c>
    </row>
    <row r="1619" spans="1:10" x14ac:dyDescent="0.2">
      <c r="A1619" s="1" t="s">
        <v>4</v>
      </c>
      <c r="B1619" s="2" t="s">
        <v>336</v>
      </c>
      <c r="D1619" s="5" t="s">
        <v>464</v>
      </c>
      <c r="E1619" s="3" t="s">
        <v>465</v>
      </c>
      <c r="F1619" s="3">
        <v>160000</v>
      </c>
      <c r="G1619" s="57" t="s">
        <v>465</v>
      </c>
    </row>
    <row r="1620" spans="1:10" ht="25.5" x14ac:dyDescent="0.2">
      <c r="A1620" s="1" t="s">
        <v>8</v>
      </c>
      <c r="B1620" s="2" t="s">
        <v>222</v>
      </c>
      <c r="D1620" s="5" t="s">
        <v>1275</v>
      </c>
      <c r="E1620" s="3">
        <v>161022</v>
      </c>
      <c r="F1620" s="3">
        <v>159977</v>
      </c>
      <c r="G1620" s="57">
        <v>-6.4897964253331844E-3</v>
      </c>
      <c r="J1620" s="5" t="s">
        <v>3263</v>
      </c>
    </row>
    <row r="1621" spans="1:10" ht="25.5" x14ac:dyDescent="0.2">
      <c r="A1621" s="1" t="s">
        <v>6</v>
      </c>
      <c r="B1621" s="2" t="s">
        <v>294</v>
      </c>
      <c r="D1621" s="5" t="s">
        <v>450</v>
      </c>
      <c r="E1621" s="3">
        <v>158169</v>
      </c>
      <c r="F1621" s="3">
        <v>159960</v>
      </c>
      <c r="G1621" s="57">
        <v>1.1323331373404397E-2</v>
      </c>
      <c r="J1621" s="5" t="s">
        <v>2898</v>
      </c>
    </row>
    <row r="1622" spans="1:10" ht="38.25" x14ac:dyDescent="0.2">
      <c r="A1622" s="1" t="s">
        <v>8</v>
      </c>
      <c r="B1622" s="2" t="s">
        <v>285</v>
      </c>
      <c r="D1622" s="5" t="s">
        <v>1051</v>
      </c>
      <c r="E1622" s="3">
        <v>141773</v>
      </c>
      <c r="F1622" s="3">
        <v>159798</v>
      </c>
      <c r="G1622" s="57">
        <v>0.12713986443116815</v>
      </c>
      <c r="J1622" s="5" t="s">
        <v>4391</v>
      </c>
    </row>
    <row r="1623" spans="1:10" ht="51" x14ac:dyDescent="0.2">
      <c r="A1623" s="1" t="s">
        <v>28</v>
      </c>
      <c r="B1623" s="2" t="s">
        <v>332</v>
      </c>
      <c r="D1623" s="5" t="s">
        <v>455</v>
      </c>
      <c r="E1623" s="3">
        <v>153928</v>
      </c>
      <c r="F1623" s="3">
        <v>159734</v>
      </c>
      <c r="G1623" s="57">
        <v>3.7718933527363441E-2</v>
      </c>
      <c r="J1623" s="5" t="s">
        <v>2751</v>
      </c>
    </row>
    <row r="1624" spans="1:10" x14ac:dyDescent="0.2">
      <c r="A1624" s="1" t="s">
        <v>25</v>
      </c>
      <c r="B1624" s="2" t="s">
        <v>59</v>
      </c>
      <c r="C1624" s="1"/>
      <c r="D1624" s="5" t="s">
        <v>1864</v>
      </c>
      <c r="E1624" s="3">
        <v>155570</v>
      </c>
      <c r="F1624" s="3">
        <v>159361</v>
      </c>
      <c r="G1624" s="57">
        <v>2.4368451500932056E-2</v>
      </c>
      <c r="J1624" s="5" t="s">
        <v>1865</v>
      </c>
    </row>
    <row r="1625" spans="1:10" x14ac:dyDescent="0.2">
      <c r="A1625" s="1" t="s">
        <v>44</v>
      </c>
      <c r="B1625" s="2" t="s">
        <v>73</v>
      </c>
      <c r="C1625" s="1"/>
      <c r="D1625" s="5" t="s">
        <v>1944</v>
      </c>
      <c r="E1625" s="3" t="s">
        <v>465</v>
      </c>
      <c r="F1625" s="3">
        <v>159263</v>
      </c>
      <c r="G1625" s="57" t="s">
        <v>465</v>
      </c>
      <c r="J1625" s="5" t="s">
        <v>1945</v>
      </c>
    </row>
    <row r="1626" spans="1:10" x14ac:dyDescent="0.2">
      <c r="A1626" s="1" t="s">
        <v>25</v>
      </c>
      <c r="B1626" s="2" t="s">
        <v>200</v>
      </c>
      <c r="D1626" s="5" t="s">
        <v>452</v>
      </c>
      <c r="E1626" s="9">
        <v>147378</v>
      </c>
      <c r="F1626" s="9">
        <v>159182</v>
      </c>
      <c r="G1626" s="57">
        <v>8.0093365359823046E-2</v>
      </c>
      <c r="J1626" s="5" t="s">
        <v>3415</v>
      </c>
    </row>
    <row r="1627" spans="1:10" ht="25.5" x14ac:dyDescent="0.2">
      <c r="A1627" s="1" t="s">
        <v>111</v>
      </c>
      <c r="B1627" s="2" t="s">
        <v>276</v>
      </c>
      <c r="D1627" s="5" t="s">
        <v>1093</v>
      </c>
      <c r="E1627" s="9">
        <v>155172</v>
      </c>
      <c r="F1627" s="3">
        <v>159105</v>
      </c>
      <c r="G1627" s="57">
        <v>2.5346067589513573E-2</v>
      </c>
      <c r="J1627" s="5" t="s">
        <v>3015</v>
      </c>
    </row>
    <row r="1628" spans="1:10" ht="25.5" x14ac:dyDescent="0.2">
      <c r="A1628" s="1" t="s">
        <v>6</v>
      </c>
      <c r="B1628" s="2" t="s">
        <v>65</v>
      </c>
      <c r="C1628" s="1"/>
      <c r="D1628" s="5" t="s">
        <v>455</v>
      </c>
      <c r="E1628" s="3">
        <v>141870</v>
      </c>
      <c r="F1628" s="3">
        <v>159040</v>
      </c>
      <c r="G1628" s="57">
        <v>0.12102629167547754</v>
      </c>
      <c r="J1628" s="5" t="s">
        <v>3778</v>
      </c>
    </row>
    <row r="1629" spans="1:10" ht="25.5" x14ac:dyDescent="0.2">
      <c r="A1629" s="1" t="s">
        <v>39</v>
      </c>
      <c r="B1629" s="2" t="s">
        <v>433</v>
      </c>
      <c r="D1629" s="5" t="s">
        <v>484</v>
      </c>
      <c r="E1629" s="3">
        <v>133166</v>
      </c>
      <c r="F1629" s="3">
        <v>159040</v>
      </c>
      <c r="G1629" s="57">
        <v>0.19429884505053843</v>
      </c>
      <c r="J1629" s="5" t="s">
        <v>2281</v>
      </c>
    </row>
    <row r="1630" spans="1:10" ht="25.5" x14ac:dyDescent="0.2">
      <c r="A1630" s="1" t="s">
        <v>6</v>
      </c>
      <c r="B1630" s="2" t="s">
        <v>368</v>
      </c>
      <c r="D1630" s="5" t="s">
        <v>773</v>
      </c>
      <c r="E1630" s="3">
        <v>155000</v>
      </c>
      <c r="F1630" s="3">
        <v>159000</v>
      </c>
      <c r="G1630" s="57">
        <v>2.5806451612903226E-2</v>
      </c>
      <c r="J1630" s="5" t="s">
        <v>2570</v>
      </c>
    </row>
    <row r="1631" spans="1:10" x14ac:dyDescent="0.2">
      <c r="A1631" s="1" t="s">
        <v>44</v>
      </c>
      <c r="B1631" s="2" t="s">
        <v>73</v>
      </c>
      <c r="C1631" s="1"/>
      <c r="D1631" s="5" t="s">
        <v>1946</v>
      </c>
      <c r="E1631" s="3">
        <v>158990</v>
      </c>
      <c r="F1631" s="3">
        <v>158965</v>
      </c>
      <c r="G1631" s="57">
        <v>-1.5724259387382854E-4</v>
      </c>
      <c r="J1631" s="5" t="s">
        <v>1947</v>
      </c>
    </row>
    <row r="1632" spans="1:10" ht="25.5" x14ac:dyDescent="0.2">
      <c r="A1632" s="1" t="s">
        <v>4</v>
      </c>
      <c r="B1632" s="2" t="s">
        <v>423</v>
      </c>
      <c r="C1632" s="5" t="s">
        <v>557</v>
      </c>
      <c r="D1632" s="5" t="s">
        <v>558</v>
      </c>
      <c r="E1632" s="6">
        <v>140333</v>
      </c>
      <c r="F1632" s="3">
        <v>158808</v>
      </c>
      <c r="G1632" s="57">
        <v>0.1316511440644752</v>
      </c>
      <c r="J1632" s="5" t="s">
        <v>2338</v>
      </c>
    </row>
    <row r="1633" spans="1:10" ht="25.5" x14ac:dyDescent="0.2">
      <c r="A1633" s="1" t="s">
        <v>20</v>
      </c>
      <c r="B1633" s="2" t="s">
        <v>263</v>
      </c>
      <c r="C1633" s="5" t="s">
        <v>1154</v>
      </c>
      <c r="D1633" s="5" t="s">
        <v>549</v>
      </c>
      <c r="E1633" s="3">
        <v>157900</v>
      </c>
      <c r="F1633" s="3">
        <v>158800</v>
      </c>
      <c r="G1633" s="57">
        <v>5.699810006333122E-3</v>
      </c>
      <c r="J1633" s="5" t="s">
        <v>3074</v>
      </c>
    </row>
    <row r="1634" spans="1:10" ht="25.5" x14ac:dyDescent="0.2">
      <c r="A1634" s="1" t="s">
        <v>25</v>
      </c>
      <c r="B1634" s="2" t="s">
        <v>424</v>
      </c>
      <c r="D1634" s="5" t="s">
        <v>547</v>
      </c>
      <c r="E1634" s="3">
        <v>148328</v>
      </c>
      <c r="F1634" s="3">
        <v>158733</v>
      </c>
      <c r="G1634" s="57">
        <v>7.0148589612210779E-2</v>
      </c>
      <c r="J1634" s="5" t="s">
        <v>2329</v>
      </c>
    </row>
    <row r="1635" spans="1:10" ht="25.5" x14ac:dyDescent="0.2">
      <c r="A1635" s="1" t="s">
        <v>4</v>
      </c>
      <c r="B1635" s="2" t="s">
        <v>415</v>
      </c>
      <c r="D1635" s="5" t="s">
        <v>450</v>
      </c>
      <c r="E1635" s="3">
        <v>158431</v>
      </c>
      <c r="F1635" s="3">
        <v>158697</v>
      </c>
      <c r="G1635" s="57">
        <v>1.6789643440993239E-3</v>
      </c>
      <c r="J1635" s="5" t="s">
        <v>2358</v>
      </c>
    </row>
    <row r="1636" spans="1:10" ht="25.5" x14ac:dyDescent="0.2">
      <c r="A1636" s="1" t="s">
        <v>25</v>
      </c>
      <c r="B1636" s="2" t="s">
        <v>311</v>
      </c>
      <c r="C1636" s="5" t="s">
        <v>943</v>
      </c>
      <c r="D1636" s="5" t="s">
        <v>4677</v>
      </c>
      <c r="E1636" s="3">
        <v>152324</v>
      </c>
      <c r="F1636" s="3">
        <v>158596</v>
      </c>
      <c r="G1636" s="57">
        <v>4.1175389301751526E-2</v>
      </c>
      <c r="J1636" s="5" t="s">
        <v>2813</v>
      </c>
    </row>
    <row r="1637" spans="1:10" ht="25.5" x14ac:dyDescent="0.2">
      <c r="A1637" s="1" t="s">
        <v>39</v>
      </c>
      <c r="B1637" s="2" t="s">
        <v>335</v>
      </c>
      <c r="D1637" s="5" t="s">
        <v>2600</v>
      </c>
      <c r="E1637" s="3">
        <v>151450</v>
      </c>
      <c r="F1637" s="3">
        <v>158470</v>
      </c>
      <c r="G1637" s="57">
        <v>4.63519313304721E-2</v>
      </c>
      <c r="J1637" s="5" t="s">
        <v>2740</v>
      </c>
    </row>
    <row r="1638" spans="1:10" ht="25.5" x14ac:dyDescent="0.2">
      <c r="A1638" s="1" t="s">
        <v>25</v>
      </c>
      <c r="B1638" s="2" t="s">
        <v>150</v>
      </c>
      <c r="C1638" s="1"/>
      <c r="D1638" s="5" t="s">
        <v>1635</v>
      </c>
      <c r="E1638" s="3">
        <v>155171.29</v>
      </c>
      <c r="F1638" s="3">
        <v>158425.04999999999</v>
      </c>
      <c r="G1638" s="57">
        <v>2.0968827416463318E-2</v>
      </c>
      <c r="J1638" s="5" t="s">
        <v>3999</v>
      </c>
    </row>
    <row r="1639" spans="1:10" ht="25.5" x14ac:dyDescent="0.2">
      <c r="A1639" s="1" t="s">
        <v>20</v>
      </c>
      <c r="B1639" s="2" t="s">
        <v>375</v>
      </c>
      <c r="D1639" s="5" t="s">
        <v>450</v>
      </c>
      <c r="E1639" s="3">
        <v>157518</v>
      </c>
      <c r="F1639" s="3">
        <v>158395</v>
      </c>
      <c r="G1639" s="57">
        <v>5.5676176690917867E-3</v>
      </c>
      <c r="J1639" s="5" t="s">
        <v>2547</v>
      </c>
    </row>
    <row r="1640" spans="1:10" ht="25.5" x14ac:dyDescent="0.2">
      <c r="A1640" s="1" t="s">
        <v>8</v>
      </c>
      <c r="B1640" s="2" t="s">
        <v>285</v>
      </c>
      <c r="D1640" s="5" t="s">
        <v>1048</v>
      </c>
      <c r="E1640" s="3">
        <v>157701</v>
      </c>
      <c r="F1640" s="3">
        <v>158394</v>
      </c>
      <c r="G1640" s="57">
        <v>4.3943919188844712E-3</v>
      </c>
      <c r="J1640" s="5" t="s">
        <v>2960</v>
      </c>
    </row>
    <row r="1641" spans="1:10" ht="51" x14ac:dyDescent="0.2">
      <c r="A1641" s="1" t="s">
        <v>34</v>
      </c>
      <c r="B1641" s="2" t="s">
        <v>387</v>
      </c>
      <c r="D1641" s="5" t="s">
        <v>4482</v>
      </c>
      <c r="E1641" s="3">
        <v>133427</v>
      </c>
      <c r="F1641" s="3">
        <v>158380</v>
      </c>
      <c r="G1641" s="57">
        <v>0.18701612117487465</v>
      </c>
      <c r="J1641" s="5" t="s">
        <v>4704</v>
      </c>
    </row>
    <row r="1642" spans="1:10" ht="38.25" x14ac:dyDescent="0.2">
      <c r="A1642" s="1" t="s">
        <v>20</v>
      </c>
      <c r="B1642" s="2" t="s">
        <v>131</v>
      </c>
      <c r="C1642" s="1"/>
      <c r="D1642" s="5" t="s">
        <v>450</v>
      </c>
      <c r="E1642" s="3">
        <v>153539</v>
      </c>
      <c r="F1642" s="3">
        <v>158365</v>
      </c>
      <c r="G1642" s="57">
        <v>3.1431753495854475E-2</v>
      </c>
      <c r="J1642" s="5" t="s">
        <v>3952</v>
      </c>
    </row>
    <row r="1643" spans="1:10" x14ac:dyDescent="0.2">
      <c r="A1643" s="1" t="s">
        <v>20</v>
      </c>
      <c r="B1643" s="2" t="s">
        <v>283</v>
      </c>
      <c r="D1643" s="5" t="s">
        <v>783</v>
      </c>
      <c r="E1643" s="3">
        <v>156626</v>
      </c>
      <c r="F1643" s="3">
        <v>158360</v>
      </c>
      <c r="G1643" s="57">
        <v>1.1070958844636268E-2</v>
      </c>
      <c r="J1643" s="5" t="s">
        <v>2973</v>
      </c>
    </row>
    <row r="1644" spans="1:10" x14ac:dyDescent="0.2">
      <c r="A1644" s="1" t="s">
        <v>20</v>
      </c>
      <c r="B1644" s="2" t="s">
        <v>79</v>
      </c>
      <c r="C1644" s="1" t="s">
        <v>1976</v>
      </c>
      <c r="D1644" s="5" t="s">
        <v>683</v>
      </c>
      <c r="E1644" s="3">
        <v>152306</v>
      </c>
      <c r="F1644" s="3">
        <v>158358</v>
      </c>
      <c r="G1644" s="57">
        <v>3.9735795044187359E-2</v>
      </c>
      <c r="J1644" s="5" t="s">
        <v>1977</v>
      </c>
    </row>
    <row r="1645" spans="1:10" ht="38.25" x14ac:dyDescent="0.2">
      <c r="A1645" s="1" t="s">
        <v>6</v>
      </c>
      <c r="B1645" s="2" t="s">
        <v>218</v>
      </c>
      <c r="D1645" s="5" t="s">
        <v>1296</v>
      </c>
      <c r="E1645" s="9">
        <v>157265</v>
      </c>
      <c r="F1645" s="9">
        <v>158324</v>
      </c>
      <c r="G1645" s="57">
        <v>6.7338568657997651E-3</v>
      </c>
      <c r="J1645" s="5" t="s">
        <v>3288</v>
      </c>
    </row>
    <row r="1646" spans="1:10" ht="25.5" x14ac:dyDescent="0.2">
      <c r="A1646" s="1" t="s">
        <v>25</v>
      </c>
      <c r="B1646" s="2" t="s">
        <v>379</v>
      </c>
      <c r="D1646" s="5" t="s">
        <v>722</v>
      </c>
      <c r="E1646" s="3">
        <v>158318</v>
      </c>
      <c r="F1646" s="3">
        <v>158223</v>
      </c>
      <c r="G1646" s="57">
        <v>-6.0005811089073886E-4</v>
      </c>
      <c r="J1646" s="5" t="s">
        <v>2518</v>
      </c>
    </row>
    <row r="1647" spans="1:10" ht="25.5" x14ac:dyDescent="0.2">
      <c r="A1647" s="1" t="s">
        <v>34</v>
      </c>
      <c r="B1647" s="2" t="s">
        <v>119</v>
      </c>
      <c r="C1647" s="1"/>
      <c r="D1647" s="5" t="s">
        <v>455</v>
      </c>
      <c r="E1647" s="3">
        <v>152843</v>
      </c>
      <c r="F1647" s="3">
        <v>158217</v>
      </c>
      <c r="G1647" s="57">
        <v>3.5160262491576326E-2</v>
      </c>
      <c r="J1647" s="5" t="s">
        <v>3914</v>
      </c>
    </row>
    <row r="1648" spans="1:10" ht="25.5" x14ac:dyDescent="0.2">
      <c r="A1648" s="1" t="s">
        <v>4</v>
      </c>
      <c r="B1648" s="2" t="s">
        <v>331</v>
      </c>
      <c r="D1648" s="5" t="s">
        <v>450</v>
      </c>
      <c r="E1648" s="3">
        <v>160390</v>
      </c>
      <c r="F1648" s="3">
        <v>158156</v>
      </c>
      <c r="G1648" s="57">
        <v>-1.3928549161419041E-2</v>
      </c>
      <c r="J1648" s="5" t="s">
        <v>2756</v>
      </c>
    </row>
    <row r="1649" spans="1:10" ht="25.5" x14ac:dyDescent="0.2">
      <c r="A1649" s="1" t="s">
        <v>4</v>
      </c>
      <c r="B1649" s="2" t="s">
        <v>377</v>
      </c>
      <c r="C1649" s="5" t="s">
        <v>734</v>
      </c>
      <c r="D1649" s="5" t="s">
        <v>735</v>
      </c>
      <c r="E1649" s="3">
        <v>138620</v>
      </c>
      <c r="F1649" s="3">
        <v>158128</v>
      </c>
      <c r="G1649" s="57">
        <v>0.14073005338335018</v>
      </c>
      <c r="J1649" s="5" t="s">
        <v>2883</v>
      </c>
    </row>
    <row r="1650" spans="1:10" ht="25.5" x14ac:dyDescent="0.2">
      <c r="A1650" s="1" t="s">
        <v>4</v>
      </c>
      <c r="B1650" s="2" t="s">
        <v>239</v>
      </c>
      <c r="D1650" s="5" t="s">
        <v>562</v>
      </c>
      <c r="E1650" s="3">
        <v>153005</v>
      </c>
      <c r="F1650" s="3">
        <v>158097</v>
      </c>
      <c r="G1650" s="57">
        <v>3.3279958171301589E-2</v>
      </c>
      <c r="J1650" s="5" t="s">
        <v>3173</v>
      </c>
    </row>
    <row r="1651" spans="1:10" ht="38.25" x14ac:dyDescent="0.2">
      <c r="A1651" s="1" t="s">
        <v>6</v>
      </c>
      <c r="B1651" s="2" t="s">
        <v>218</v>
      </c>
      <c r="D1651" s="5" t="s">
        <v>1297</v>
      </c>
      <c r="E1651" s="9">
        <v>154387</v>
      </c>
      <c r="F1651" s="9">
        <v>158043</v>
      </c>
      <c r="G1651" s="57">
        <v>2.3680750322242157E-2</v>
      </c>
      <c r="J1651" s="5" t="s">
        <v>3289</v>
      </c>
    </row>
    <row r="1652" spans="1:10" ht="25.5" x14ac:dyDescent="0.2">
      <c r="A1652" s="1" t="s">
        <v>39</v>
      </c>
      <c r="B1652" s="2" t="s">
        <v>409</v>
      </c>
      <c r="D1652" s="5" t="s">
        <v>601</v>
      </c>
      <c r="E1652" s="3">
        <v>156859</v>
      </c>
      <c r="F1652" s="3">
        <v>158037</v>
      </c>
      <c r="G1652" s="57">
        <v>7.5099292995620274E-3</v>
      </c>
      <c r="J1652" s="5" t="s">
        <v>2380</v>
      </c>
    </row>
    <row r="1653" spans="1:10" ht="51" x14ac:dyDescent="0.2">
      <c r="A1653" s="1" t="s">
        <v>28</v>
      </c>
      <c r="B1653" s="2" t="s">
        <v>120</v>
      </c>
      <c r="C1653" s="1" t="s">
        <v>2148</v>
      </c>
      <c r="D1653" s="5" t="s">
        <v>450</v>
      </c>
      <c r="E1653" s="3" t="s">
        <v>465</v>
      </c>
      <c r="F1653" s="3">
        <v>158016</v>
      </c>
      <c r="G1653" s="57" t="s">
        <v>465</v>
      </c>
      <c r="J1653" s="5" t="s">
        <v>4280</v>
      </c>
    </row>
    <row r="1654" spans="1:10" x14ac:dyDescent="0.2">
      <c r="A1654" s="1" t="s">
        <v>6</v>
      </c>
      <c r="B1654" s="2" t="s">
        <v>90</v>
      </c>
      <c r="C1654" s="1"/>
      <c r="D1654" s="5" t="s">
        <v>1874</v>
      </c>
      <c r="E1654" s="3">
        <v>157144</v>
      </c>
      <c r="F1654" s="3">
        <v>158004</v>
      </c>
      <c r="G1654" s="57">
        <v>5.472687471363845E-3</v>
      </c>
      <c r="J1654" s="5" t="s">
        <v>2066</v>
      </c>
    </row>
    <row r="1655" spans="1:10" ht="25.5" x14ac:dyDescent="0.2">
      <c r="A1655" s="1" t="s">
        <v>8</v>
      </c>
      <c r="B1655" s="2" t="s">
        <v>223</v>
      </c>
      <c r="D1655" s="5" t="s">
        <v>1267</v>
      </c>
      <c r="E1655" s="3">
        <v>157000</v>
      </c>
      <c r="F1655" s="3">
        <v>158000</v>
      </c>
      <c r="G1655" s="57">
        <v>6.369426751592357E-3</v>
      </c>
      <c r="J1655" s="5" t="s">
        <v>3251</v>
      </c>
    </row>
    <row r="1656" spans="1:10" ht="25.5" x14ac:dyDescent="0.2">
      <c r="A1656" s="1" t="s">
        <v>1</v>
      </c>
      <c r="B1656" s="2" t="s">
        <v>168</v>
      </c>
      <c r="C1656" s="5" t="s">
        <v>1557</v>
      </c>
      <c r="D1656" s="5" t="s">
        <v>1558</v>
      </c>
      <c r="E1656" s="3">
        <v>156046</v>
      </c>
      <c r="F1656" s="3">
        <v>157993</v>
      </c>
      <c r="G1656" s="57">
        <v>1.2477090088819963E-2</v>
      </c>
      <c r="J1656" s="5" t="s">
        <v>4057</v>
      </c>
    </row>
    <row r="1657" spans="1:10" ht="25.5" x14ac:dyDescent="0.2">
      <c r="A1657" s="1" t="s">
        <v>4</v>
      </c>
      <c r="B1657" s="2" t="s">
        <v>210</v>
      </c>
      <c r="D1657" s="5" t="s">
        <v>1351</v>
      </c>
      <c r="E1657" s="9">
        <v>172570</v>
      </c>
      <c r="F1657" s="9">
        <v>157900</v>
      </c>
      <c r="G1657" s="57">
        <v>-8.5008981862432637E-2</v>
      </c>
      <c r="J1657" s="5" t="s">
        <v>3354</v>
      </c>
    </row>
    <row r="1658" spans="1:10" ht="51" x14ac:dyDescent="0.2">
      <c r="A1658" s="1" t="s">
        <v>6</v>
      </c>
      <c r="B1658" s="2" t="s">
        <v>218</v>
      </c>
      <c r="D1658" s="5" t="s">
        <v>1299</v>
      </c>
      <c r="E1658" s="9">
        <v>153817</v>
      </c>
      <c r="F1658" s="9">
        <v>157881</v>
      </c>
      <c r="G1658" s="57">
        <v>2.6421006780784958E-2</v>
      </c>
      <c r="J1658" s="5" t="s">
        <v>3292</v>
      </c>
    </row>
    <row r="1659" spans="1:10" ht="25.5" x14ac:dyDescent="0.2">
      <c r="A1659" s="1" t="s">
        <v>4</v>
      </c>
      <c r="B1659" s="2" t="s">
        <v>149</v>
      </c>
      <c r="C1659" s="1"/>
      <c r="D1659" s="5" t="s">
        <v>3995</v>
      </c>
      <c r="E1659" s="3">
        <v>162893.44</v>
      </c>
      <c r="F1659" s="3">
        <v>157877.17000000001</v>
      </c>
      <c r="G1659" s="57">
        <v>-3.07947944373941E-2</v>
      </c>
      <c r="J1659" s="5" t="s">
        <v>3996</v>
      </c>
    </row>
    <row r="1660" spans="1:10" ht="51" x14ac:dyDescent="0.2">
      <c r="A1660" s="1" t="s">
        <v>20</v>
      </c>
      <c r="B1660" s="2" t="s">
        <v>314</v>
      </c>
      <c r="D1660" s="5" t="s">
        <v>455</v>
      </c>
      <c r="E1660" s="3">
        <v>104087</v>
      </c>
      <c r="F1660" s="3">
        <v>157856</v>
      </c>
      <c r="G1660" s="57">
        <v>0.51657747845552282</v>
      </c>
      <c r="J1660" s="5" t="s">
        <v>4681</v>
      </c>
    </row>
    <row r="1661" spans="1:10" ht="25.5" x14ac:dyDescent="0.2">
      <c r="A1661" s="1" t="s">
        <v>25</v>
      </c>
      <c r="B1661" s="2" t="s">
        <v>379</v>
      </c>
      <c r="D1661" s="5" t="s">
        <v>723</v>
      </c>
      <c r="E1661" s="3">
        <v>144716</v>
      </c>
      <c r="F1661" s="3">
        <v>157622</v>
      </c>
      <c r="G1661" s="57">
        <v>8.9181569418723572E-2</v>
      </c>
      <c r="J1661" s="5" t="s">
        <v>2521</v>
      </c>
    </row>
    <row r="1662" spans="1:10" ht="38.25" x14ac:dyDescent="0.2">
      <c r="A1662" s="1" t="s">
        <v>25</v>
      </c>
      <c r="B1662" s="2" t="s">
        <v>178</v>
      </c>
      <c r="D1662" s="5" t="s">
        <v>3562</v>
      </c>
      <c r="E1662" s="9">
        <v>147017</v>
      </c>
      <c r="F1662" s="9">
        <v>157580</v>
      </c>
      <c r="G1662" s="57">
        <v>7.1848833808335094E-2</v>
      </c>
      <c r="J1662" s="5" t="s">
        <v>3561</v>
      </c>
    </row>
    <row r="1663" spans="1:10" x14ac:dyDescent="0.2">
      <c r="A1663" s="1" t="s">
        <v>4</v>
      </c>
      <c r="B1663" s="2" t="s">
        <v>15</v>
      </c>
      <c r="C1663" s="1"/>
      <c r="D1663" s="5" t="s">
        <v>464</v>
      </c>
      <c r="E1663" s="3" t="s">
        <v>465</v>
      </c>
      <c r="F1663" s="3">
        <v>157500</v>
      </c>
      <c r="G1663" s="57" t="s">
        <v>465</v>
      </c>
      <c r="J1663" s="5" t="s">
        <v>1241</v>
      </c>
    </row>
    <row r="1664" spans="1:10" x14ac:dyDescent="0.2">
      <c r="A1664" s="1" t="s">
        <v>34</v>
      </c>
      <c r="B1664" s="2" t="s">
        <v>57</v>
      </c>
      <c r="C1664" s="1"/>
      <c r="D1664" s="5" t="s">
        <v>464</v>
      </c>
      <c r="E1664" s="3" t="s">
        <v>465</v>
      </c>
      <c r="F1664" s="3">
        <v>157500</v>
      </c>
      <c r="G1664" s="57" t="s">
        <v>465</v>
      </c>
    </row>
    <row r="1665" spans="1:12" x14ac:dyDescent="0.2">
      <c r="A1665" s="1" t="s">
        <v>111</v>
      </c>
      <c r="B1665" s="2" t="s">
        <v>128</v>
      </c>
      <c r="C1665" s="1"/>
      <c r="D1665" s="5" t="s">
        <v>464</v>
      </c>
      <c r="E1665" s="3" t="s">
        <v>465</v>
      </c>
      <c r="F1665" s="3">
        <v>157500</v>
      </c>
      <c r="G1665" s="57" t="s">
        <v>465</v>
      </c>
      <c r="J1665" s="1"/>
    </row>
    <row r="1666" spans="1:12" x14ac:dyDescent="0.2">
      <c r="A1666" s="1" t="s">
        <v>28</v>
      </c>
      <c r="B1666" s="2" t="s">
        <v>221</v>
      </c>
      <c r="D1666" s="5" t="s">
        <v>464</v>
      </c>
      <c r="E1666" s="3" t="s">
        <v>465</v>
      </c>
      <c r="F1666" s="3">
        <v>157500</v>
      </c>
      <c r="G1666" s="57" t="s">
        <v>465</v>
      </c>
    </row>
    <row r="1667" spans="1:12" x14ac:dyDescent="0.2">
      <c r="A1667" s="1" t="s">
        <v>8</v>
      </c>
      <c r="B1667" s="2" t="s">
        <v>285</v>
      </c>
      <c r="D1667" s="5" t="s">
        <v>464</v>
      </c>
      <c r="E1667" s="3" t="s">
        <v>465</v>
      </c>
      <c r="F1667" s="3">
        <v>157500</v>
      </c>
      <c r="G1667" s="57" t="s">
        <v>465</v>
      </c>
    </row>
    <row r="1668" spans="1:12" x14ac:dyDescent="0.2">
      <c r="A1668" s="1" t="s">
        <v>20</v>
      </c>
      <c r="B1668" s="2" t="s">
        <v>296</v>
      </c>
      <c r="D1668" s="5" t="s">
        <v>464</v>
      </c>
      <c r="E1668" s="3" t="s">
        <v>465</v>
      </c>
      <c r="F1668" s="3">
        <v>157500</v>
      </c>
      <c r="G1668" s="57" t="s">
        <v>465</v>
      </c>
    </row>
    <row r="1669" spans="1:12" x14ac:dyDescent="0.2">
      <c r="A1669" s="1" t="s">
        <v>39</v>
      </c>
      <c r="B1669" s="2" t="s">
        <v>325</v>
      </c>
      <c r="D1669" s="5" t="s">
        <v>464</v>
      </c>
      <c r="F1669" s="3">
        <v>157500</v>
      </c>
      <c r="G1669" s="57" t="s">
        <v>465</v>
      </c>
      <c r="J1669" s="5" t="s">
        <v>1241</v>
      </c>
    </row>
    <row r="1670" spans="1:12" x14ac:dyDescent="0.2">
      <c r="A1670" s="1" t="s">
        <v>39</v>
      </c>
      <c r="B1670" s="2" t="s">
        <v>325</v>
      </c>
      <c r="D1670" s="5" t="s">
        <v>464</v>
      </c>
      <c r="F1670" s="3">
        <v>157500</v>
      </c>
      <c r="G1670" s="57" t="s">
        <v>465</v>
      </c>
      <c r="J1670" s="5" t="s">
        <v>1241</v>
      </c>
    </row>
    <row r="1671" spans="1:12" x14ac:dyDescent="0.2">
      <c r="A1671" s="1" t="s">
        <v>34</v>
      </c>
      <c r="B1671" s="2" t="s">
        <v>343</v>
      </c>
      <c r="D1671" s="5" t="s">
        <v>464</v>
      </c>
      <c r="E1671" s="3" t="s">
        <v>465</v>
      </c>
      <c r="F1671" s="3">
        <v>157500</v>
      </c>
      <c r="G1671" s="57" t="s">
        <v>465</v>
      </c>
    </row>
    <row r="1672" spans="1:12" x14ac:dyDescent="0.2">
      <c r="A1672" s="1" t="s">
        <v>39</v>
      </c>
      <c r="B1672" s="2" t="s">
        <v>370</v>
      </c>
      <c r="D1672" s="5" t="s">
        <v>464</v>
      </c>
      <c r="E1672" s="3" t="s">
        <v>465</v>
      </c>
      <c r="F1672" s="3">
        <v>157500</v>
      </c>
      <c r="G1672" s="57" t="s">
        <v>465</v>
      </c>
      <c r="J1672" s="5" t="s">
        <v>539</v>
      </c>
    </row>
    <row r="1673" spans="1:12" x14ac:dyDescent="0.2">
      <c r="A1673" s="1" t="s">
        <v>25</v>
      </c>
      <c r="B1673" s="2" t="s">
        <v>398</v>
      </c>
      <c r="D1673" s="5" t="s">
        <v>464</v>
      </c>
      <c r="E1673" s="3" t="s">
        <v>465</v>
      </c>
      <c r="F1673" s="3">
        <v>157500</v>
      </c>
      <c r="G1673" s="57" t="s">
        <v>465</v>
      </c>
      <c r="J1673" s="5" t="s">
        <v>1241</v>
      </c>
    </row>
    <row r="1674" spans="1:12" x14ac:dyDescent="0.2">
      <c r="A1674" s="1" t="s">
        <v>39</v>
      </c>
      <c r="B1674" s="2" t="s">
        <v>433</v>
      </c>
      <c r="D1674" s="5" t="s">
        <v>464</v>
      </c>
      <c r="E1674" s="3" t="s">
        <v>465</v>
      </c>
      <c r="F1674" s="3">
        <v>157500</v>
      </c>
      <c r="G1674" s="57" t="s">
        <v>465</v>
      </c>
      <c r="J1674" s="5" t="s">
        <v>539</v>
      </c>
    </row>
    <row r="1675" spans="1:12" ht="51" x14ac:dyDescent="0.2">
      <c r="A1675" s="1" t="s">
        <v>8</v>
      </c>
      <c r="B1675" s="2" t="s">
        <v>345</v>
      </c>
      <c r="D1675" s="5" t="s">
        <v>468</v>
      </c>
      <c r="E1675" s="3">
        <v>99241</v>
      </c>
      <c r="F1675" s="3">
        <v>157495</v>
      </c>
      <c r="G1675" s="57">
        <v>0.58699529428361263</v>
      </c>
      <c r="J1675" s="5" t="s">
        <v>4459</v>
      </c>
    </row>
    <row r="1676" spans="1:12" ht="25.5" x14ac:dyDescent="0.2">
      <c r="A1676" s="1" t="s">
        <v>8</v>
      </c>
      <c r="B1676" s="2" t="s">
        <v>138</v>
      </c>
      <c r="C1676" s="1" t="s">
        <v>1660</v>
      </c>
      <c r="D1676" s="5" t="s">
        <v>450</v>
      </c>
      <c r="E1676" s="3">
        <v>159838</v>
      </c>
      <c r="F1676" s="3">
        <v>157371</v>
      </c>
      <c r="G1676" s="57">
        <v>-1.5434377307023361E-2</v>
      </c>
      <c r="J1676" s="5" t="s">
        <v>3965</v>
      </c>
    </row>
    <row r="1677" spans="1:12" ht="25.5" x14ac:dyDescent="0.2">
      <c r="A1677" s="1" t="s">
        <v>25</v>
      </c>
      <c r="B1677" s="2" t="s">
        <v>24</v>
      </c>
      <c r="C1677" s="1"/>
      <c r="D1677" s="5" t="s">
        <v>1693</v>
      </c>
      <c r="E1677" s="3">
        <v>149529</v>
      </c>
      <c r="F1677" s="3">
        <v>157321</v>
      </c>
      <c r="G1677" s="57">
        <v>5.2110292986644734E-2</v>
      </c>
      <c r="J1677" s="5" t="s">
        <v>3657</v>
      </c>
    </row>
    <row r="1678" spans="1:12" ht="25.5" x14ac:dyDescent="0.2">
      <c r="A1678" s="1" t="s">
        <v>28</v>
      </c>
      <c r="B1678" s="12" t="s">
        <v>50</v>
      </c>
      <c r="C1678" s="13"/>
      <c r="D1678" s="7" t="s">
        <v>3749</v>
      </c>
      <c r="E1678" s="6" t="s">
        <v>465</v>
      </c>
      <c r="F1678" s="6">
        <v>157294</v>
      </c>
      <c r="G1678" s="57" t="s">
        <v>465</v>
      </c>
      <c r="H1678" s="21"/>
      <c r="I1678" s="21"/>
      <c r="J1678" s="7" t="s">
        <v>1824</v>
      </c>
      <c r="K1678" s="13"/>
      <c r="L1678" s="13"/>
    </row>
    <row r="1679" spans="1:12" ht="25.5" x14ac:dyDescent="0.2">
      <c r="A1679" s="1" t="s">
        <v>25</v>
      </c>
      <c r="B1679" s="2" t="s">
        <v>311</v>
      </c>
      <c r="C1679" s="5" t="s">
        <v>937</v>
      </c>
      <c r="D1679" s="5" t="s">
        <v>938</v>
      </c>
      <c r="E1679" s="3">
        <v>153374</v>
      </c>
      <c r="F1679" s="3">
        <v>157048</v>
      </c>
      <c r="G1679" s="57">
        <v>2.3954516410864945E-2</v>
      </c>
      <c r="J1679" s="5" t="s">
        <v>2810</v>
      </c>
    </row>
    <row r="1680" spans="1:12" ht="51" x14ac:dyDescent="0.2">
      <c r="A1680" s="1" t="s">
        <v>25</v>
      </c>
      <c r="B1680" s="2" t="s">
        <v>93</v>
      </c>
      <c r="C1680" s="1" t="s">
        <v>2224</v>
      </c>
      <c r="D1680" s="5" t="s">
        <v>2225</v>
      </c>
      <c r="E1680" s="3">
        <v>222000</v>
      </c>
      <c r="F1680" s="3">
        <v>157000</v>
      </c>
      <c r="G1680" s="57">
        <v>-0.2927927927927928</v>
      </c>
      <c r="J1680" s="5" t="s">
        <v>4232</v>
      </c>
    </row>
    <row r="1681" spans="1:10" ht="25.5" x14ac:dyDescent="0.2">
      <c r="A1681" s="1" t="s">
        <v>8</v>
      </c>
      <c r="B1681" s="2" t="s">
        <v>223</v>
      </c>
      <c r="C1681" s="5" t="s">
        <v>1270</v>
      </c>
      <c r="D1681" s="5" t="s">
        <v>1266</v>
      </c>
      <c r="E1681" s="3">
        <v>198000</v>
      </c>
      <c r="F1681" s="3">
        <v>157000</v>
      </c>
      <c r="G1681" s="57">
        <v>-0.20707070707070707</v>
      </c>
      <c r="J1681" s="5" t="s">
        <v>3250</v>
      </c>
    </row>
    <row r="1682" spans="1:10" ht="25.5" x14ac:dyDescent="0.2">
      <c r="A1682" s="1" t="s">
        <v>44</v>
      </c>
      <c r="B1682" s="2" t="s">
        <v>300</v>
      </c>
      <c r="D1682" s="5" t="s">
        <v>450</v>
      </c>
      <c r="E1682" s="3">
        <v>153000</v>
      </c>
      <c r="F1682" s="3">
        <v>157000</v>
      </c>
      <c r="G1682" s="57">
        <v>2.6143790849673203E-2</v>
      </c>
      <c r="J1682" s="5" t="s">
        <v>2853</v>
      </c>
    </row>
    <row r="1683" spans="1:10" ht="25.5" x14ac:dyDescent="0.2">
      <c r="A1683" s="1" t="s">
        <v>8</v>
      </c>
      <c r="B1683" s="2" t="s">
        <v>229</v>
      </c>
      <c r="D1683" s="5" t="s">
        <v>1249</v>
      </c>
      <c r="E1683" s="3">
        <v>150975</v>
      </c>
      <c r="F1683" s="3">
        <v>156938</v>
      </c>
      <c r="G1683" s="57">
        <v>3.949660539824474E-2</v>
      </c>
      <c r="J1683" s="5" t="s">
        <v>3228</v>
      </c>
    </row>
    <row r="1684" spans="1:10" ht="25.5" x14ac:dyDescent="0.2">
      <c r="A1684" s="1" t="s">
        <v>20</v>
      </c>
      <c r="B1684" s="2" t="s">
        <v>35</v>
      </c>
      <c r="C1684" s="1"/>
      <c r="D1684" s="5" t="s">
        <v>4602</v>
      </c>
      <c r="E1684" s="3">
        <v>139854</v>
      </c>
      <c r="F1684" s="3">
        <v>156813</v>
      </c>
      <c r="G1684" s="57">
        <v>0.12126217340941267</v>
      </c>
      <c r="J1684" s="5" t="s">
        <v>1745</v>
      </c>
    </row>
    <row r="1685" spans="1:10" ht="25.5" x14ac:dyDescent="0.2">
      <c r="A1685" s="1" t="s">
        <v>20</v>
      </c>
      <c r="B1685" s="2" t="s">
        <v>35</v>
      </c>
      <c r="C1685" s="1"/>
      <c r="D1685" s="5" t="s">
        <v>1746</v>
      </c>
      <c r="E1685" s="3">
        <v>138849</v>
      </c>
      <c r="F1685" s="3">
        <v>156800</v>
      </c>
      <c r="G1685" s="57">
        <v>0.12928433045970802</v>
      </c>
      <c r="J1685" s="5" t="s">
        <v>1747</v>
      </c>
    </row>
    <row r="1686" spans="1:10" ht="25.5" x14ac:dyDescent="0.2">
      <c r="A1686" s="1" t="s">
        <v>25</v>
      </c>
      <c r="B1686" s="2" t="s">
        <v>398</v>
      </c>
      <c r="D1686" s="5" t="s">
        <v>668</v>
      </c>
      <c r="E1686" s="3">
        <v>157356</v>
      </c>
      <c r="F1686" s="3">
        <v>156722</v>
      </c>
      <c r="G1686" s="57">
        <v>-4.0290805561910576E-3</v>
      </c>
      <c r="J1686" s="5" t="s">
        <v>2453</v>
      </c>
    </row>
    <row r="1687" spans="1:10" ht="63.75" x14ac:dyDescent="0.2">
      <c r="A1687" s="1" t="s">
        <v>25</v>
      </c>
      <c r="B1687" s="2" t="s">
        <v>150</v>
      </c>
      <c r="C1687" s="1"/>
      <c r="D1687" s="5" t="s">
        <v>1634</v>
      </c>
      <c r="E1687" s="3">
        <v>155716.07999999999</v>
      </c>
      <c r="F1687" s="3">
        <v>156644.81</v>
      </c>
      <c r="G1687" s="57">
        <v>5.9642523752204048E-3</v>
      </c>
      <c r="J1687" s="5" t="s">
        <v>4315</v>
      </c>
    </row>
    <row r="1688" spans="1:10" ht="25.5" x14ac:dyDescent="0.2">
      <c r="A1688" s="1" t="s">
        <v>25</v>
      </c>
      <c r="B1688" s="2" t="s">
        <v>187</v>
      </c>
      <c r="D1688" s="5" t="s">
        <v>2720</v>
      </c>
      <c r="E1688" s="9">
        <v>165569</v>
      </c>
      <c r="F1688" s="9">
        <v>156637</v>
      </c>
      <c r="G1688" s="57">
        <v>-5.3947296897366055E-2</v>
      </c>
      <c r="J1688" s="5" t="s">
        <v>3510</v>
      </c>
    </row>
    <row r="1689" spans="1:10" x14ac:dyDescent="0.2">
      <c r="A1689" s="1" t="s">
        <v>25</v>
      </c>
      <c r="B1689" s="2" t="s">
        <v>200</v>
      </c>
      <c r="D1689" s="5" t="s">
        <v>942</v>
      </c>
      <c r="E1689" s="9">
        <v>147378</v>
      </c>
      <c r="F1689" s="9">
        <v>156630</v>
      </c>
      <c r="G1689" s="57">
        <v>6.277734804380572E-2</v>
      </c>
      <c r="J1689" s="5" t="s">
        <v>3417</v>
      </c>
    </row>
    <row r="1690" spans="1:10" ht="51" x14ac:dyDescent="0.2">
      <c r="A1690" s="1" t="s">
        <v>34</v>
      </c>
      <c r="B1690" s="2" t="s">
        <v>101</v>
      </c>
      <c r="C1690" s="1"/>
      <c r="D1690" s="5" t="s">
        <v>2211</v>
      </c>
      <c r="E1690" s="3">
        <v>143280</v>
      </c>
      <c r="F1690" s="3">
        <v>156618</v>
      </c>
      <c r="G1690" s="57">
        <v>9.3090452261306536E-2</v>
      </c>
      <c r="J1690" s="5" t="s">
        <v>4614</v>
      </c>
    </row>
    <row r="1691" spans="1:10" ht="38.25" x14ac:dyDescent="0.2">
      <c r="A1691" s="1" t="s">
        <v>4</v>
      </c>
      <c r="B1691" s="2" t="s">
        <v>206</v>
      </c>
      <c r="D1691" s="5" t="s">
        <v>1377</v>
      </c>
      <c r="E1691" s="9">
        <v>33932</v>
      </c>
      <c r="F1691" s="9">
        <v>156564</v>
      </c>
      <c r="G1691" s="57">
        <v>3.614051632677119</v>
      </c>
      <c r="J1691" s="5" t="s">
        <v>3386</v>
      </c>
    </row>
    <row r="1692" spans="1:10" ht="38.25" x14ac:dyDescent="0.2">
      <c r="A1692" s="1" t="s">
        <v>8</v>
      </c>
      <c r="B1692" s="2" t="s">
        <v>345</v>
      </c>
      <c r="D1692" s="5" t="s">
        <v>852</v>
      </c>
      <c r="E1692" s="3">
        <v>71200</v>
      </c>
      <c r="F1692" s="3">
        <v>156355</v>
      </c>
      <c r="G1692" s="57">
        <v>1.1959971910112359</v>
      </c>
      <c r="J1692" s="5" t="s">
        <v>2696</v>
      </c>
    </row>
    <row r="1693" spans="1:10" ht="25.5" x14ac:dyDescent="0.2">
      <c r="A1693" s="1" t="s">
        <v>25</v>
      </c>
      <c r="B1693" s="2" t="s">
        <v>24</v>
      </c>
      <c r="C1693" s="1"/>
      <c r="D1693" s="5" t="s">
        <v>1692</v>
      </c>
      <c r="E1693" s="3">
        <v>155863</v>
      </c>
      <c r="F1693" s="3">
        <v>156286</v>
      </c>
      <c r="G1693" s="57">
        <v>2.7139218416173177E-3</v>
      </c>
      <c r="J1693" s="5" t="s">
        <v>3656</v>
      </c>
    </row>
    <row r="1694" spans="1:10" ht="38.25" x14ac:dyDescent="0.2">
      <c r="A1694" s="1" t="s">
        <v>25</v>
      </c>
      <c r="B1694" s="2" t="s">
        <v>406</v>
      </c>
      <c r="D1694" s="5" t="s">
        <v>629</v>
      </c>
      <c r="E1694" s="9">
        <v>153912</v>
      </c>
      <c r="F1694" s="3">
        <v>156049</v>
      </c>
      <c r="G1694" s="57">
        <v>1.3884557409428764E-2</v>
      </c>
      <c r="J1694" s="5" t="s">
        <v>2408</v>
      </c>
    </row>
    <row r="1695" spans="1:10" ht="25.5" x14ac:dyDescent="0.2">
      <c r="A1695" s="1" t="s">
        <v>8</v>
      </c>
      <c r="B1695" s="2" t="s">
        <v>223</v>
      </c>
      <c r="D1695" s="5" t="s">
        <v>1268</v>
      </c>
      <c r="E1695" s="3">
        <v>157000</v>
      </c>
      <c r="F1695" s="3">
        <v>156000</v>
      </c>
      <c r="G1695" s="57">
        <v>-6.369426751592357E-3</v>
      </c>
      <c r="J1695" s="5" t="s">
        <v>3252</v>
      </c>
    </row>
    <row r="1696" spans="1:10" ht="25.5" x14ac:dyDescent="0.2">
      <c r="A1696" s="1" t="s">
        <v>28</v>
      </c>
      <c r="B1696" s="2" t="s">
        <v>441</v>
      </c>
      <c r="D1696" s="5" t="s">
        <v>450</v>
      </c>
      <c r="E1696" s="3">
        <v>75000</v>
      </c>
      <c r="F1696" s="3">
        <v>156000</v>
      </c>
      <c r="G1696" s="57">
        <v>1.08</v>
      </c>
      <c r="J1696" s="5" t="s">
        <v>4585</v>
      </c>
    </row>
    <row r="1697" spans="1:12" ht="25.5" x14ac:dyDescent="0.2">
      <c r="A1697" s="1" t="s">
        <v>1</v>
      </c>
      <c r="B1697" s="2" t="s">
        <v>168</v>
      </c>
      <c r="C1697" s="5" t="s">
        <v>1562</v>
      </c>
      <c r="D1697" s="5" t="s">
        <v>1563</v>
      </c>
      <c r="E1697" s="3">
        <v>154782</v>
      </c>
      <c r="F1697" s="3">
        <v>155993</v>
      </c>
      <c r="G1697" s="57">
        <v>7.8239071726686569E-3</v>
      </c>
      <c r="J1697" s="5" t="s">
        <v>4059</v>
      </c>
    </row>
    <row r="1698" spans="1:12" ht="25.5" x14ac:dyDescent="0.2">
      <c r="A1698" s="1" t="s">
        <v>20</v>
      </c>
      <c r="B1698" s="2" t="s">
        <v>137</v>
      </c>
      <c r="C1698" s="1"/>
      <c r="D1698" s="5" t="s">
        <v>450</v>
      </c>
      <c r="E1698" s="3">
        <v>194278</v>
      </c>
      <c r="F1698" s="3">
        <v>155936</v>
      </c>
      <c r="G1698" s="57">
        <v>-0.19735636562039963</v>
      </c>
      <c r="J1698" s="5" t="s">
        <v>3962</v>
      </c>
    </row>
    <row r="1699" spans="1:12" ht="25.5" x14ac:dyDescent="0.2">
      <c r="A1699" s="13" t="s">
        <v>1</v>
      </c>
      <c r="B1699" s="12" t="s">
        <v>156</v>
      </c>
      <c r="C1699" s="13" t="s">
        <v>1601</v>
      </c>
      <c r="D1699" s="7" t="s">
        <v>450</v>
      </c>
      <c r="E1699" s="6">
        <v>157369</v>
      </c>
      <c r="F1699" s="6">
        <v>155912</v>
      </c>
      <c r="G1699" s="57">
        <v>-9.2584943667431332E-3</v>
      </c>
      <c r="H1699" s="21"/>
      <c r="I1699" s="21"/>
      <c r="J1699" s="7" t="s">
        <v>4023</v>
      </c>
      <c r="K1699" s="13"/>
      <c r="L1699" s="13"/>
    </row>
    <row r="1700" spans="1:12" ht="25.5" x14ac:dyDescent="0.2">
      <c r="A1700" s="1" t="s">
        <v>1</v>
      </c>
      <c r="B1700" s="2" t="s">
        <v>125</v>
      </c>
      <c r="C1700" s="1" t="s">
        <v>2115</v>
      </c>
      <c r="D1700" s="5" t="s">
        <v>450</v>
      </c>
      <c r="E1700" s="3">
        <v>105252</v>
      </c>
      <c r="F1700" s="3">
        <v>155859</v>
      </c>
      <c r="G1700" s="57">
        <v>0.48081746665146508</v>
      </c>
      <c r="J1700" s="5" t="s">
        <v>4623</v>
      </c>
    </row>
    <row r="1701" spans="1:12" ht="25.5" x14ac:dyDescent="0.2">
      <c r="A1701" s="1" t="s">
        <v>20</v>
      </c>
      <c r="B1701" s="2" t="s">
        <v>194</v>
      </c>
      <c r="C1701" s="5" t="s">
        <v>1433</v>
      </c>
      <c r="D1701" s="5" t="s">
        <v>1434</v>
      </c>
      <c r="E1701" s="9">
        <v>155499</v>
      </c>
      <c r="F1701" s="9">
        <v>155720</v>
      </c>
      <c r="G1701" s="57">
        <v>1.4212310047009948E-3</v>
      </c>
      <c r="J1701" s="5" t="s">
        <v>3475</v>
      </c>
    </row>
    <row r="1702" spans="1:12" ht="38.25" x14ac:dyDescent="0.2">
      <c r="A1702" s="1" t="s">
        <v>111</v>
      </c>
      <c r="B1702" s="2" t="s">
        <v>369</v>
      </c>
      <c r="D1702" s="5" t="s">
        <v>767</v>
      </c>
      <c r="E1702" s="3">
        <v>153859</v>
      </c>
      <c r="F1702" s="3">
        <v>155533</v>
      </c>
      <c r="G1702" s="57">
        <v>1.0880091512358718E-2</v>
      </c>
      <c r="J1702" s="5" t="s">
        <v>2564</v>
      </c>
    </row>
    <row r="1703" spans="1:12" ht="25.5" x14ac:dyDescent="0.2">
      <c r="A1703" s="13" t="s">
        <v>34</v>
      </c>
      <c r="B1703" s="12" t="s">
        <v>33</v>
      </c>
      <c r="C1703" s="13"/>
      <c r="D1703" s="7" t="s">
        <v>1737</v>
      </c>
      <c r="E1703" s="6">
        <v>155102</v>
      </c>
      <c r="F1703" s="6">
        <v>155526</v>
      </c>
      <c r="G1703" s="57">
        <v>2.733684929917087E-3</v>
      </c>
      <c r="H1703" s="21"/>
      <c r="I1703" s="21"/>
      <c r="J1703" s="7" t="s">
        <v>4601</v>
      </c>
      <c r="K1703" s="13"/>
      <c r="L1703" s="13"/>
    </row>
    <row r="1704" spans="1:12" ht="25.5" x14ac:dyDescent="0.2">
      <c r="A1704" s="1" t="s">
        <v>4</v>
      </c>
      <c r="B1704" s="2" t="s">
        <v>249</v>
      </c>
      <c r="D1704" s="5" t="s">
        <v>3133</v>
      </c>
      <c r="E1704" s="3">
        <v>110684</v>
      </c>
      <c r="F1704" s="3">
        <v>155473</v>
      </c>
      <c r="G1704" s="57">
        <v>0.40465649958440242</v>
      </c>
      <c r="J1704" s="5" t="s">
        <v>3131</v>
      </c>
    </row>
    <row r="1705" spans="1:12" ht="51" x14ac:dyDescent="0.2">
      <c r="A1705" s="1" t="s">
        <v>28</v>
      </c>
      <c r="B1705" s="2" t="s">
        <v>215</v>
      </c>
      <c r="D1705" s="5" t="s">
        <v>4358</v>
      </c>
      <c r="E1705" s="3">
        <v>107570</v>
      </c>
      <c r="F1705" s="3">
        <v>155468</v>
      </c>
      <c r="G1705" s="57">
        <v>0.44527284558891883</v>
      </c>
      <c r="J1705" s="5" t="s">
        <v>3314</v>
      </c>
    </row>
    <row r="1706" spans="1:12" ht="38.25" x14ac:dyDescent="0.2">
      <c r="A1706" s="1" t="s">
        <v>20</v>
      </c>
      <c r="B1706" s="12" t="s">
        <v>30</v>
      </c>
      <c r="C1706" s="13"/>
      <c r="D1706" s="7" t="s">
        <v>529</v>
      </c>
      <c r="E1706" s="6">
        <v>156581</v>
      </c>
      <c r="F1706" s="6">
        <v>155462</v>
      </c>
      <c r="G1706" s="57">
        <v>-7.1464609371507401E-3</v>
      </c>
      <c r="H1706" s="21"/>
      <c r="I1706" s="21"/>
      <c r="J1706" s="7" t="s">
        <v>4118</v>
      </c>
      <c r="K1706" s="13"/>
      <c r="L1706" s="13"/>
    </row>
    <row r="1707" spans="1:12" ht="25.5" x14ac:dyDescent="0.2">
      <c r="A1707" s="1" t="s">
        <v>25</v>
      </c>
      <c r="B1707" s="2" t="s">
        <v>187</v>
      </c>
      <c r="D1707" s="5" t="s">
        <v>1461</v>
      </c>
      <c r="E1707" s="9">
        <v>158178</v>
      </c>
      <c r="F1707" s="9">
        <v>155373</v>
      </c>
      <c r="G1707" s="57">
        <v>-1.773318666312635E-2</v>
      </c>
      <c r="J1707" s="5" t="s">
        <v>3511</v>
      </c>
    </row>
    <row r="1708" spans="1:12" ht="25.5" x14ac:dyDescent="0.2">
      <c r="A1708" s="1" t="s">
        <v>25</v>
      </c>
      <c r="B1708" s="2" t="s">
        <v>24</v>
      </c>
      <c r="C1708" s="1"/>
      <c r="D1708" s="5" t="s">
        <v>1694</v>
      </c>
      <c r="E1708" s="3">
        <v>157388</v>
      </c>
      <c r="F1708" s="3">
        <v>155313</v>
      </c>
      <c r="G1708" s="57">
        <v>-1.3183978448166316E-2</v>
      </c>
      <c r="J1708" s="5" t="s">
        <v>3658</v>
      </c>
    </row>
    <row r="1709" spans="1:12" ht="25.5" x14ac:dyDescent="0.2">
      <c r="A1709" s="1" t="s">
        <v>20</v>
      </c>
      <c r="B1709" s="2" t="s">
        <v>185</v>
      </c>
      <c r="D1709" s="5" t="s">
        <v>450</v>
      </c>
      <c r="E1709" s="9">
        <v>138992</v>
      </c>
      <c r="F1709" s="9">
        <v>155306</v>
      </c>
      <c r="G1709" s="57">
        <v>0.11737366179348452</v>
      </c>
      <c r="J1709" s="5" t="s">
        <v>3521</v>
      </c>
    </row>
    <row r="1710" spans="1:12" ht="25.5" x14ac:dyDescent="0.2">
      <c r="A1710" s="1" t="s">
        <v>6</v>
      </c>
      <c r="B1710" s="2" t="s">
        <v>108</v>
      </c>
      <c r="C1710" s="1" t="s">
        <v>2173</v>
      </c>
      <c r="D1710" s="5" t="s">
        <v>666</v>
      </c>
      <c r="E1710" s="6">
        <v>150566</v>
      </c>
      <c r="F1710" s="3">
        <v>155173</v>
      </c>
      <c r="G1710" s="57">
        <v>3.0597877342826402E-2</v>
      </c>
      <c r="J1710" s="5" t="s">
        <v>3866</v>
      </c>
    </row>
    <row r="1711" spans="1:12" x14ac:dyDescent="0.2">
      <c r="A1711" s="1" t="s">
        <v>25</v>
      </c>
      <c r="B1711" s="2" t="s">
        <v>243</v>
      </c>
      <c r="C1711" s="5" t="s">
        <v>1203</v>
      </c>
      <c r="D1711" s="5" t="s">
        <v>1204</v>
      </c>
      <c r="E1711" s="3">
        <v>155489</v>
      </c>
      <c r="F1711" s="3">
        <v>155149</v>
      </c>
      <c r="G1711" s="57">
        <v>-2.1866498594755898E-3</v>
      </c>
      <c r="J1711" s="5" t="s">
        <v>3158</v>
      </c>
    </row>
    <row r="1712" spans="1:12" ht="25.5" x14ac:dyDescent="0.2">
      <c r="A1712" s="1" t="s">
        <v>28</v>
      </c>
      <c r="B1712" s="2" t="s">
        <v>215</v>
      </c>
      <c r="D1712" s="5" t="s">
        <v>1315</v>
      </c>
      <c r="E1712" s="3">
        <v>156587</v>
      </c>
      <c r="F1712" s="3">
        <v>155084</v>
      </c>
      <c r="G1712" s="57">
        <v>-9.5984979596007332E-3</v>
      </c>
      <c r="J1712" s="5" t="s">
        <v>3307</v>
      </c>
    </row>
    <row r="1713" spans="1:12" ht="25.5" x14ac:dyDescent="0.2">
      <c r="A1713" s="1" t="s">
        <v>25</v>
      </c>
      <c r="B1713" s="2" t="s">
        <v>214</v>
      </c>
      <c r="D1713" s="15" t="s">
        <v>1321</v>
      </c>
      <c r="E1713" s="9">
        <v>87000</v>
      </c>
      <c r="F1713" s="9">
        <v>155000</v>
      </c>
      <c r="G1713" s="57">
        <v>0.7816091954022989</v>
      </c>
      <c r="J1713" s="5" t="s">
        <v>3318</v>
      </c>
    </row>
    <row r="1714" spans="1:12" ht="25.5" x14ac:dyDescent="0.2">
      <c r="A1714" s="13" t="s">
        <v>4</v>
      </c>
      <c r="B1714" s="2" t="s">
        <v>250</v>
      </c>
      <c r="D1714" s="5" t="s">
        <v>520</v>
      </c>
      <c r="E1714" s="3">
        <v>74158</v>
      </c>
      <c r="F1714" s="3">
        <v>154903</v>
      </c>
      <c r="G1714" s="57">
        <v>1.0888238625637152</v>
      </c>
      <c r="J1714" s="5" t="s">
        <v>3120</v>
      </c>
    </row>
    <row r="1715" spans="1:12" ht="25.5" x14ac:dyDescent="0.2">
      <c r="A1715" s="1" t="s">
        <v>4</v>
      </c>
      <c r="B1715" s="12" t="s">
        <v>56</v>
      </c>
      <c r="C1715" s="13"/>
      <c r="D1715" s="7" t="s">
        <v>1852</v>
      </c>
      <c r="E1715" s="6">
        <v>110500</v>
      </c>
      <c r="F1715" s="6">
        <v>154800</v>
      </c>
      <c r="G1715" s="57">
        <v>0.40090497737556563</v>
      </c>
      <c r="H1715" s="21"/>
      <c r="I1715" s="21"/>
      <c r="J1715" s="7" t="s">
        <v>3760</v>
      </c>
      <c r="K1715" s="13"/>
      <c r="L1715" s="13"/>
    </row>
    <row r="1716" spans="1:12" ht="25.5" x14ac:dyDescent="0.2">
      <c r="A1716" s="1" t="s">
        <v>34</v>
      </c>
      <c r="B1716" s="2" t="s">
        <v>170</v>
      </c>
      <c r="D1716" s="5" t="s">
        <v>1549</v>
      </c>
      <c r="E1716" s="3">
        <v>145310</v>
      </c>
      <c r="F1716" s="3">
        <v>154715</v>
      </c>
      <c r="G1716" s="57">
        <v>6.4723694171082508E-2</v>
      </c>
      <c r="J1716" s="5" t="s">
        <v>4068</v>
      </c>
    </row>
    <row r="1717" spans="1:12" ht="25.5" x14ac:dyDescent="0.2">
      <c r="A1717" s="1" t="s">
        <v>20</v>
      </c>
      <c r="B1717" s="2" t="s">
        <v>263</v>
      </c>
      <c r="C1717" s="5" t="s">
        <v>1155</v>
      </c>
      <c r="D1717" s="5" t="s">
        <v>1156</v>
      </c>
      <c r="E1717" s="3">
        <v>149800</v>
      </c>
      <c r="F1717" s="3">
        <v>154600</v>
      </c>
      <c r="G1717" s="57">
        <v>3.2042723631508681E-2</v>
      </c>
      <c r="J1717" s="5" t="s">
        <v>3075</v>
      </c>
    </row>
    <row r="1718" spans="1:12" ht="25.5" x14ac:dyDescent="0.2">
      <c r="A1718" s="1" t="s">
        <v>44</v>
      </c>
      <c r="B1718" s="2" t="s">
        <v>254</v>
      </c>
      <c r="C1718" s="5" t="s">
        <v>1182</v>
      </c>
      <c r="D1718" s="5" t="s">
        <v>450</v>
      </c>
      <c r="E1718" s="3">
        <v>75601</v>
      </c>
      <c r="F1718" s="3">
        <v>154525</v>
      </c>
      <c r="G1718" s="57">
        <v>1.0439544450470233</v>
      </c>
      <c r="J1718" s="5" t="s">
        <v>3109</v>
      </c>
    </row>
    <row r="1719" spans="1:12" ht="25.5" x14ac:dyDescent="0.2">
      <c r="A1719" s="1" t="s">
        <v>25</v>
      </c>
      <c r="B1719" s="12" t="s">
        <v>59</v>
      </c>
      <c r="C1719" s="13"/>
      <c r="D1719" s="7" t="s">
        <v>1797</v>
      </c>
      <c r="E1719" s="6">
        <v>153934</v>
      </c>
      <c r="F1719" s="6">
        <v>154455</v>
      </c>
      <c r="G1719" s="57">
        <v>3.3845674120077437E-3</v>
      </c>
      <c r="H1719" s="21"/>
      <c r="I1719" s="21"/>
      <c r="J1719" s="7" t="s">
        <v>3764</v>
      </c>
      <c r="K1719" s="13"/>
      <c r="L1719" s="13"/>
    </row>
    <row r="1720" spans="1:12" ht="25.5" x14ac:dyDescent="0.2">
      <c r="A1720" s="1" t="s">
        <v>20</v>
      </c>
      <c r="B1720" s="2" t="s">
        <v>212</v>
      </c>
      <c r="D1720" s="5" t="s">
        <v>1140</v>
      </c>
      <c r="E1720" s="9">
        <v>78528</v>
      </c>
      <c r="F1720" s="9">
        <v>154377</v>
      </c>
      <c r="G1720" s="57">
        <v>0.96588477995110023</v>
      </c>
      <c r="J1720" s="5" t="s">
        <v>3348</v>
      </c>
    </row>
    <row r="1721" spans="1:12" ht="38.25" x14ac:dyDescent="0.2">
      <c r="A1721" s="1" t="s">
        <v>1</v>
      </c>
      <c r="B1721" s="12" t="s">
        <v>420</v>
      </c>
      <c r="C1721" s="5" t="s">
        <v>578</v>
      </c>
      <c r="D1721" s="5" t="s">
        <v>3601</v>
      </c>
      <c r="E1721" s="9">
        <v>130586</v>
      </c>
      <c r="F1721" s="9">
        <v>154284</v>
      </c>
      <c r="G1721" s="57">
        <v>0.18147427748763267</v>
      </c>
      <c r="J1721" s="5" t="s">
        <v>3602</v>
      </c>
    </row>
    <row r="1722" spans="1:12" x14ac:dyDescent="0.2">
      <c r="A1722" s="1" t="s">
        <v>25</v>
      </c>
      <c r="B1722" s="2" t="s">
        <v>59</v>
      </c>
      <c r="C1722" s="1"/>
      <c r="D1722" s="5" t="s">
        <v>1872</v>
      </c>
      <c r="E1722" s="3">
        <v>154201</v>
      </c>
      <c r="F1722" s="3">
        <v>154138</v>
      </c>
      <c r="G1722" s="57">
        <v>-4.085576617531663E-4</v>
      </c>
      <c r="J1722" s="5" t="s">
        <v>1873</v>
      </c>
    </row>
    <row r="1723" spans="1:12" ht="25.5" x14ac:dyDescent="0.2">
      <c r="A1723" s="1" t="s">
        <v>25</v>
      </c>
      <c r="B1723" s="2" t="s">
        <v>174</v>
      </c>
      <c r="C1723" s="5" t="s">
        <v>1522</v>
      </c>
      <c r="D1723" s="5" t="s">
        <v>886</v>
      </c>
      <c r="E1723" s="9">
        <v>154479</v>
      </c>
      <c r="F1723" s="9">
        <v>154029</v>
      </c>
      <c r="G1723" s="57">
        <v>-2.9130173033227818E-3</v>
      </c>
      <c r="J1723" s="5" t="s">
        <v>3585</v>
      </c>
    </row>
    <row r="1724" spans="1:12" ht="25.5" x14ac:dyDescent="0.2">
      <c r="A1724" s="1" t="s">
        <v>25</v>
      </c>
      <c r="B1724" s="2" t="s">
        <v>93</v>
      </c>
      <c r="C1724" s="1"/>
      <c r="D1724" s="5" t="s">
        <v>2230</v>
      </c>
      <c r="E1724" s="3">
        <v>153000</v>
      </c>
      <c r="F1724" s="3">
        <v>154000</v>
      </c>
      <c r="G1724" s="57">
        <v>6.5359477124183009E-3</v>
      </c>
      <c r="J1724" s="5" t="s">
        <v>3841</v>
      </c>
    </row>
    <row r="1725" spans="1:12" ht="25.5" x14ac:dyDescent="0.2">
      <c r="A1725" s="1" t="s">
        <v>25</v>
      </c>
      <c r="B1725" s="2" t="s">
        <v>208</v>
      </c>
      <c r="D1725" s="5" t="s">
        <v>1376</v>
      </c>
      <c r="E1725" s="9">
        <v>148615</v>
      </c>
      <c r="F1725" s="9">
        <v>153931</v>
      </c>
      <c r="G1725" s="57">
        <v>3.5770278908589311E-2</v>
      </c>
      <c r="J1725" s="5" t="s">
        <v>3381</v>
      </c>
    </row>
    <row r="1726" spans="1:12" ht="25.5" x14ac:dyDescent="0.2">
      <c r="A1726" s="1" t="s">
        <v>28</v>
      </c>
      <c r="B1726" s="2" t="s">
        <v>279</v>
      </c>
      <c r="D1726" s="5" t="s">
        <v>1089</v>
      </c>
      <c r="E1726" s="3">
        <v>153977</v>
      </c>
      <c r="F1726" s="3">
        <v>153903</v>
      </c>
      <c r="G1726" s="57">
        <v>-4.8059125713580602E-4</v>
      </c>
      <c r="J1726" s="5" t="s">
        <v>3005</v>
      </c>
    </row>
    <row r="1727" spans="1:12" x14ac:dyDescent="0.2">
      <c r="A1727" s="1" t="s">
        <v>25</v>
      </c>
      <c r="B1727" s="2" t="s">
        <v>243</v>
      </c>
      <c r="C1727" s="5" t="s">
        <v>1202</v>
      </c>
      <c r="D1727" s="5" t="s">
        <v>452</v>
      </c>
      <c r="E1727" s="3">
        <v>157560</v>
      </c>
      <c r="F1727" s="3">
        <v>153900</v>
      </c>
      <c r="G1727" s="57">
        <v>-2.3229246001523228E-2</v>
      </c>
      <c r="J1727" s="5" t="s">
        <v>3157</v>
      </c>
    </row>
    <row r="1728" spans="1:12" ht="25.5" x14ac:dyDescent="0.2">
      <c r="A1728" s="1" t="s">
        <v>25</v>
      </c>
      <c r="B1728" s="2" t="s">
        <v>304</v>
      </c>
      <c r="D1728" s="5" t="s">
        <v>524</v>
      </c>
      <c r="E1728" s="3">
        <v>156873</v>
      </c>
      <c r="F1728" s="3">
        <v>153817</v>
      </c>
      <c r="G1728" s="57">
        <v>-1.9480726447508496E-2</v>
      </c>
      <c r="J1728" s="7" t="s">
        <v>2845</v>
      </c>
    </row>
    <row r="1729" spans="1:10" ht="25.5" x14ac:dyDescent="0.2">
      <c r="A1729" s="1" t="s">
        <v>25</v>
      </c>
      <c r="B1729" s="2" t="s">
        <v>304</v>
      </c>
      <c r="D1729" s="5" t="s">
        <v>970</v>
      </c>
      <c r="E1729" s="3">
        <v>152457</v>
      </c>
      <c r="F1729" s="3">
        <v>153817</v>
      </c>
      <c r="G1729" s="57">
        <v>8.9205480889693479E-3</v>
      </c>
      <c r="J1729" s="5" t="s">
        <v>2845</v>
      </c>
    </row>
    <row r="1730" spans="1:10" ht="38.25" x14ac:dyDescent="0.2">
      <c r="A1730" s="1" t="s">
        <v>4</v>
      </c>
      <c r="B1730" s="2" t="s">
        <v>385</v>
      </c>
      <c r="C1730" s="5" t="s">
        <v>697</v>
      </c>
      <c r="D1730" s="5" t="s">
        <v>450</v>
      </c>
      <c r="E1730" s="3">
        <v>152837</v>
      </c>
      <c r="F1730" s="3">
        <v>153775</v>
      </c>
      <c r="G1730" s="57">
        <v>6.1372573395185722E-3</v>
      </c>
      <c r="J1730" s="5" t="s">
        <v>2492</v>
      </c>
    </row>
    <row r="1731" spans="1:10" ht="25.5" x14ac:dyDescent="0.2">
      <c r="A1731" s="1" t="s">
        <v>4</v>
      </c>
      <c r="B1731" s="2" t="s">
        <v>239</v>
      </c>
      <c r="D1731" s="5" t="s">
        <v>1214</v>
      </c>
      <c r="E1731" s="3">
        <v>147219</v>
      </c>
      <c r="F1731" s="3">
        <v>153708</v>
      </c>
      <c r="G1731" s="57">
        <v>4.4077191123428359E-2</v>
      </c>
      <c r="J1731" s="5" t="s">
        <v>3174</v>
      </c>
    </row>
    <row r="1732" spans="1:10" ht="25.5" x14ac:dyDescent="0.2">
      <c r="A1732" s="1" t="s">
        <v>4</v>
      </c>
      <c r="B1732" s="12" t="s">
        <v>412</v>
      </c>
      <c r="D1732" s="5" t="s">
        <v>450</v>
      </c>
      <c r="E1732" s="3">
        <v>154386</v>
      </c>
      <c r="F1732" s="3">
        <v>153673</v>
      </c>
      <c r="G1732" s="57">
        <v>-4.6182944049330899E-3</v>
      </c>
      <c r="J1732" s="5" t="s">
        <v>2374</v>
      </c>
    </row>
    <row r="1733" spans="1:10" ht="25.5" x14ac:dyDescent="0.2">
      <c r="A1733" s="1" t="s">
        <v>6</v>
      </c>
      <c r="B1733" s="2" t="s">
        <v>383</v>
      </c>
      <c r="D1733" s="5" t="s">
        <v>702</v>
      </c>
      <c r="E1733" s="3">
        <v>150316</v>
      </c>
      <c r="F1733" s="3">
        <v>153668</v>
      </c>
      <c r="G1733" s="57">
        <v>2.229968865589824E-2</v>
      </c>
      <c r="J1733" s="5" t="s">
        <v>2499</v>
      </c>
    </row>
    <row r="1734" spans="1:10" ht="25.5" x14ac:dyDescent="0.2">
      <c r="A1734" s="1" t="s">
        <v>20</v>
      </c>
      <c r="B1734" s="2" t="s">
        <v>109</v>
      </c>
      <c r="C1734" s="1"/>
      <c r="D1734" s="5" t="s">
        <v>450</v>
      </c>
      <c r="E1734" s="3">
        <v>151152</v>
      </c>
      <c r="F1734" s="3">
        <v>153528</v>
      </c>
      <c r="G1734" s="57">
        <v>1.571927596062242E-2</v>
      </c>
      <c r="J1734" s="5" t="s">
        <v>3876</v>
      </c>
    </row>
    <row r="1735" spans="1:10" ht="38.25" x14ac:dyDescent="0.2">
      <c r="A1735" s="1" t="s">
        <v>4</v>
      </c>
      <c r="B1735" s="2" t="s">
        <v>356</v>
      </c>
      <c r="C1735" s="5" t="s">
        <v>824</v>
      </c>
      <c r="D1735" s="5" t="s">
        <v>825</v>
      </c>
      <c r="E1735" s="3">
        <v>149481</v>
      </c>
      <c r="F1735" s="3">
        <v>153471</v>
      </c>
      <c r="G1735" s="57">
        <v>2.6692355550203706E-2</v>
      </c>
      <c r="J1735" s="5" t="s">
        <v>2650</v>
      </c>
    </row>
    <row r="1736" spans="1:10" x14ac:dyDescent="0.2">
      <c r="A1736" s="1" t="s">
        <v>6</v>
      </c>
      <c r="B1736" s="2" t="s">
        <v>46</v>
      </c>
      <c r="C1736" s="1"/>
      <c r="D1736" s="5" t="s">
        <v>854</v>
      </c>
      <c r="E1736" s="3">
        <v>151039</v>
      </c>
      <c r="F1736" s="3">
        <v>153435</v>
      </c>
      <c r="G1736" s="57">
        <v>1.5863452485781818E-2</v>
      </c>
      <c r="J1736" s="5" t="s">
        <v>1794</v>
      </c>
    </row>
    <row r="1737" spans="1:10" ht="25.5" x14ac:dyDescent="0.2">
      <c r="A1737" s="1" t="s">
        <v>25</v>
      </c>
      <c r="B1737" s="2" t="s">
        <v>243</v>
      </c>
      <c r="C1737" s="5" t="s">
        <v>1207</v>
      </c>
      <c r="D1737" s="5" t="s">
        <v>1208</v>
      </c>
      <c r="E1737" s="3">
        <v>107202</v>
      </c>
      <c r="F1737" s="3">
        <v>153393</v>
      </c>
      <c r="G1737" s="57">
        <v>0.43087815525829742</v>
      </c>
      <c r="J1737" s="5" t="s">
        <v>3160</v>
      </c>
    </row>
    <row r="1738" spans="1:10" ht="38.25" x14ac:dyDescent="0.2">
      <c r="A1738" s="1" t="s">
        <v>25</v>
      </c>
      <c r="B1738" s="2" t="s">
        <v>209</v>
      </c>
      <c r="C1738" s="5" t="s">
        <v>1363</v>
      </c>
      <c r="D1738" s="5" t="s">
        <v>1364</v>
      </c>
      <c r="E1738" s="9">
        <v>149738</v>
      </c>
      <c r="F1738" s="9">
        <v>153383</v>
      </c>
      <c r="G1738" s="57">
        <v>2.4342518265236614E-2</v>
      </c>
      <c r="J1738" s="5" t="s">
        <v>3372</v>
      </c>
    </row>
    <row r="1739" spans="1:10" ht="25.5" x14ac:dyDescent="0.2">
      <c r="A1739" s="1" t="s">
        <v>6</v>
      </c>
      <c r="B1739" s="2" t="s">
        <v>426</v>
      </c>
      <c r="C1739" s="5" t="s">
        <v>533</v>
      </c>
      <c r="D1739" s="5" t="s">
        <v>529</v>
      </c>
      <c r="E1739" s="3">
        <v>148048</v>
      </c>
      <c r="F1739" s="3">
        <v>153326</v>
      </c>
      <c r="G1739" s="57">
        <v>3.5650599805468496E-2</v>
      </c>
      <c r="J1739" s="5" t="s">
        <v>2324</v>
      </c>
    </row>
    <row r="1740" spans="1:10" ht="25.5" x14ac:dyDescent="0.2">
      <c r="A1740" s="1" t="s">
        <v>4</v>
      </c>
      <c r="B1740" s="2" t="s">
        <v>144</v>
      </c>
      <c r="C1740" s="1"/>
      <c r="D1740" s="5" t="s">
        <v>1643</v>
      </c>
      <c r="E1740" s="3">
        <v>145378</v>
      </c>
      <c r="F1740" s="3">
        <v>153306</v>
      </c>
      <c r="G1740" s="57">
        <v>5.4533698358761297E-2</v>
      </c>
      <c r="J1740" s="5" t="s">
        <v>3988</v>
      </c>
    </row>
    <row r="1741" spans="1:10" ht="25.5" x14ac:dyDescent="0.2">
      <c r="A1741" s="1" t="s">
        <v>28</v>
      </c>
      <c r="B1741" s="2" t="s">
        <v>120</v>
      </c>
      <c r="C1741" s="1"/>
      <c r="D1741" s="5" t="s">
        <v>764</v>
      </c>
      <c r="E1741" s="3">
        <v>25484</v>
      </c>
      <c r="F1741" s="3">
        <v>153163</v>
      </c>
      <c r="G1741" s="57">
        <v>5.010163239679799</v>
      </c>
      <c r="J1741" s="5" t="s">
        <v>3916</v>
      </c>
    </row>
    <row r="1742" spans="1:10" ht="25.5" x14ac:dyDescent="0.2">
      <c r="A1742" s="1" t="s">
        <v>4</v>
      </c>
      <c r="B1742" s="2" t="s">
        <v>172</v>
      </c>
      <c r="D1742" s="5" t="s">
        <v>450</v>
      </c>
      <c r="E1742" s="9">
        <v>147962</v>
      </c>
      <c r="F1742" s="9">
        <v>153140</v>
      </c>
      <c r="G1742" s="57">
        <v>3.4995471810329679E-2</v>
      </c>
      <c r="J1742" s="5" t="s">
        <v>3594</v>
      </c>
    </row>
    <row r="1743" spans="1:10" ht="25.5" x14ac:dyDescent="0.2">
      <c r="A1743" s="1" t="s">
        <v>111</v>
      </c>
      <c r="B1743" s="2" t="s">
        <v>128</v>
      </c>
      <c r="C1743" s="1"/>
      <c r="D1743" s="5" t="s">
        <v>2102</v>
      </c>
      <c r="E1743" s="3">
        <v>149129</v>
      </c>
      <c r="F1743" s="3">
        <v>153081</v>
      </c>
      <c r="G1743" s="57">
        <v>2.6500546506715662E-2</v>
      </c>
      <c r="J1743" s="5" t="s">
        <v>3942</v>
      </c>
    </row>
    <row r="1744" spans="1:10" ht="25.5" x14ac:dyDescent="0.2">
      <c r="A1744" s="1" t="s">
        <v>28</v>
      </c>
      <c r="B1744" s="2" t="s">
        <v>142</v>
      </c>
      <c r="C1744" s="1"/>
      <c r="D1744" s="5" t="s">
        <v>1647</v>
      </c>
      <c r="E1744" s="3">
        <v>152000</v>
      </c>
      <c r="F1744" s="3">
        <v>153000</v>
      </c>
      <c r="G1744" s="57">
        <v>6.5789473684210523E-3</v>
      </c>
      <c r="J1744" s="5" t="s">
        <v>3980</v>
      </c>
    </row>
    <row r="1745" spans="1:12" ht="25.5" x14ac:dyDescent="0.2">
      <c r="A1745" s="1" t="s">
        <v>25</v>
      </c>
      <c r="B1745" s="2" t="s">
        <v>214</v>
      </c>
      <c r="D1745" s="15" t="s">
        <v>942</v>
      </c>
      <c r="E1745" s="9">
        <v>150000</v>
      </c>
      <c r="F1745" s="9">
        <v>153000</v>
      </c>
      <c r="G1745" s="57">
        <v>0.02</v>
      </c>
      <c r="J1745" s="5" t="s">
        <v>3317</v>
      </c>
    </row>
    <row r="1746" spans="1:12" ht="25.5" x14ac:dyDescent="0.2">
      <c r="A1746" s="1" t="s">
        <v>25</v>
      </c>
      <c r="B1746" s="2" t="s">
        <v>214</v>
      </c>
      <c r="D1746" s="15" t="s">
        <v>1322</v>
      </c>
      <c r="E1746" s="9">
        <v>150000</v>
      </c>
      <c r="F1746" s="9">
        <v>153000</v>
      </c>
      <c r="G1746" s="57">
        <v>0.02</v>
      </c>
      <c r="J1746" s="5" t="s">
        <v>3317</v>
      </c>
    </row>
    <row r="1747" spans="1:12" ht="25.5" x14ac:dyDescent="0.2">
      <c r="A1747" s="1" t="s">
        <v>6</v>
      </c>
      <c r="B1747" s="2" t="s">
        <v>288</v>
      </c>
      <c r="D1747" s="5" t="s">
        <v>1040</v>
      </c>
      <c r="E1747" s="3">
        <v>155000</v>
      </c>
      <c r="F1747" s="3">
        <v>153000</v>
      </c>
      <c r="G1747" s="57">
        <v>-1.2903225806451613E-2</v>
      </c>
      <c r="J1747" s="5" t="s">
        <v>2951</v>
      </c>
    </row>
    <row r="1748" spans="1:12" ht="25.5" x14ac:dyDescent="0.2">
      <c r="A1748" s="1" t="s">
        <v>28</v>
      </c>
      <c r="B1748" s="2" t="s">
        <v>269</v>
      </c>
      <c r="D1748" s="5" t="s">
        <v>455</v>
      </c>
      <c r="E1748" s="3">
        <v>151936</v>
      </c>
      <c r="F1748" s="3">
        <v>152970</v>
      </c>
      <c r="G1748" s="57">
        <v>6.8054970513900586E-3</v>
      </c>
      <c r="J1748" s="5" t="s">
        <v>3059</v>
      </c>
    </row>
    <row r="1749" spans="1:12" ht="25.5" x14ac:dyDescent="0.2">
      <c r="A1749" s="1" t="s">
        <v>4</v>
      </c>
      <c r="B1749" s="2" t="s">
        <v>292</v>
      </c>
      <c r="D1749" s="5" t="s">
        <v>1018</v>
      </c>
      <c r="E1749" s="9">
        <v>152935</v>
      </c>
      <c r="F1749" s="3">
        <v>152935</v>
      </c>
      <c r="G1749" s="57">
        <v>0</v>
      </c>
      <c r="J1749" s="5" t="s">
        <v>2912</v>
      </c>
    </row>
    <row r="1750" spans="1:12" ht="25.5" x14ac:dyDescent="0.2">
      <c r="A1750" s="1" t="s">
        <v>4</v>
      </c>
      <c r="B1750" s="2" t="s">
        <v>292</v>
      </c>
      <c r="D1750" s="5" t="s">
        <v>1020</v>
      </c>
      <c r="E1750" s="9">
        <v>152935</v>
      </c>
      <c r="F1750" s="3">
        <v>152935</v>
      </c>
      <c r="G1750" s="57">
        <v>0</v>
      </c>
      <c r="J1750" s="5" t="s">
        <v>2912</v>
      </c>
    </row>
    <row r="1751" spans="1:12" ht="25.5" x14ac:dyDescent="0.2">
      <c r="A1751" s="1" t="s">
        <v>6</v>
      </c>
      <c r="B1751" s="12" t="s">
        <v>86</v>
      </c>
      <c r="C1751" s="13"/>
      <c r="D1751" s="7" t="s">
        <v>4611</v>
      </c>
      <c r="E1751" s="6">
        <v>152436</v>
      </c>
      <c r="F1751" s="6">
        <v>152585</v>
      </c>
      <c r="G1751" s="57">
        <v>9.77459392794353E-4</v>
      </c>
      <c r="H1751" s="21"/>
      <c r="I1751" s="21"/>
      <c r="J1751" s="7" t="s">
        <v>3827</v>
      </c>
      <c r="K1751" s="13"/>
      <c r="L1751" s="13"/>
    </row>
    <row r="1752" spans="1:12" ht="38.25" x14ac:dyDescent="0.2">
      <c r="A1752" s="13" t="s">
        <v>25</v>
      </c>
      <c r="B1752" s="12" t="s">
        <v>37</v>
      </c>
      <c r="C1752" s="13"/>
      <c r="D1752" s="7" t="s">
        <v>1761</v>
      </c>
      <c r="E1752" s="36">
        <v>140629</v>
      </c>
      <c r="F1752" s="36">
        <v>152561</v>
      </c>
      <c r="G1752" s="57">
        <v>8.4847364341636505E-2</v>
      </c>
      <c r="H1752" s="21"/>
      <c r="I1752" s="21"/>
      <c r="J1752" s="7" t="s">
        <v>3700</v>
      </c>
      <c r="K1752" s="13"/>
      <c r="L1752" s="13"/>
    </row>
    <row r="1753" spans="1:12" x14ac:dyDescent="0.2">
      <c r="A1753" s="1" t="s">
        <v>8</v>
      </c>
      <c r="B1753" s="2" t="s">
        <v>115</v>
      </c>
      <c r="C1753" s="1"/>
      <c r="D1753" s="5" t="s">
        <v>464</v>
      </c>
      <c r="E1753" s="3" t="s">
        <v>465</v>
      </c>
      <c r="F1753" s="3">
        <v>152500</v>
      </c>
      <c r="G1753" s="57" t="s">
        <v>465</v>
      </c>
      <c r="J1753" s="1"/>
    </row>
    <row r="1754" spans="1:12" x14ac:dyDescent="0.2">
      <c r="A1754" s="1" t="s">
        <v>4</v>
      </c>
      <c r="B1754" s="2" t="s">
        <v>144</v>
      </c>
      <c r="C1754" s="1"/>
      <c r="D1754" s="5" t="s">
        <v>464</v>
      </c>
      <c r="E1754" s="3" t="s">
        <v>465</v>
      </c>
      <c r="F1754" s="3">
        <v>152500</v>
      </c>
      <c r="G1754" s="57" t="s">
        <v>465</v>
      </c>
    </row>
    <row r="1755" spans="1:12" x14ac:dyDescent="0.2">
      <c r="A1755" s="1" t="s">
        <v>20</v>
      </c>
      <c r="B1755" s="2" t="s">
        <v>154</v>
      </c>
      <c r="C1755" s="1"/>
      <c r="D1755" s="5" t="s">
        <v>464</v>
      </c>
      <c r="E1755" s="3" t="s">
        <v>465</v>
      </c>
      <c r="F1755" s="3">
        <v>152500</v>
      </c>
      <c r="G1755" s="57" t="s">
        <v>465</v>
      </c>
      <c r="J1755" s="1"/>
    </row>
    <row r="1756" spans="1:12" x14ac:dyDescent="0.2">
      <c r="A1756" s="1" t="s">
        <v>25</v>
      </c>
      <c r="B1756" s="2" t="s">
        <v>178</v>
      </c>
      <c r="D1756" s="5" t="s">
        <v>464</v>
      </c>
      <c r="E1756" s="3" t="s">
        <v>465</v>
      </c>
      <c r="F1756" s="3">
        <v>152500</v>
      </c>
      <c r="G1756" s="57" t="s">
        <v>465</v>
      </c>
    </row>
    <row r="1757" spans="1:12" x14ac:dyDescent="0.2">
      <c r="A1757" s="1" t="s">
        <v>4</v>
      </c>
      <c r="B1757" s="2" t="s">
        <v>210</v>
      </c>
      <c r="D1757" s="5" t="s">
        <v>464</v>
      </c>
      <c r="E1757" s="3" t="s">
        <v>465</v>
      </c>
      <c r="F1757" s="3">
        <v>152500</v>
      </c>
      <c r="G1757" s="57" t="s">
        <v>465</v>
      </c>
      <c r="H1757" s="4"/>
      <c r="I1757" s="4"/>
      <c r="J1757" s="1"/>
    </row>
    <row r="1758" spans="1:12" x14ac:dyDescent="0.2">
      <c r="A1758" s="1" t="s">
        <v>8</v>
      </c>
      <c r="B1758" s="2" t="s">
        <v>285</v>
      </c>
      <c r="D1758" s="5" t="s">
        <v>464</v>
      </c>
      <c r="E1758" s="3" t="s">
        <v>465</v>
      </c>
      <c r="F1758" s="3">
        <v>152500</v>
      </c>
      <c r="G1758" s="57" t="s">
        <v>465</v>
      </c>
    </row>
    <row r="1759" spans="1:12" x14ac:dyDescent="0.2">
      <c r="A1759" s="1" t="s">
        <v>8</v>
      </c>
      <c r="B1759" s="2" t="s">
        <v>285</v>
      </c>
      <c r="D1759" s="5" t="s">
        <v>464</v>
      </c>
      <c r="E1759" s="3" t="s">
        <v>465</v>
      </c>
      <c r="F1759" s="3">
        <v>152500</v>
      </c>
      <c r="G1759" s="57" t="s">
        <v>465</v>
      </c>
    </row>
    <row r="1760" spans="1:12" x14ac:dyDescent="0.2">
      <c r="A1760" s="1" t="s">
        <v>44</v>
      </c>
      <c r="B1760" s="2" t="s">
        <v>309</v>
      </c>
      <c r="D1760" s="5" t="s">
        <v>464</v>
      </c>
      <c r="E1760" s="3" t="s">
        <v>465</v>
      </c>
      <c r="F1760" s="3">
        <v>152500</v>
      </c>
      <c r="G1760" s="57" t="s">
        <v>465</v>
      </c>
      <c r="J1760" s="5" t="s">
        <v>539</v>
      </c>
    </row>
    <row r="1761" spans="1:10" x14ac:dyDescent="0.2">
      <c r="A1761" s="1" t="s">
        <v>39</v>
      </c>
      <c r="B1761" s="2" t="s">
        <v>325</v>
      </c>
      <c r="D1761" s="5" t="s">
        <v>464</v>
      </c>
      <c r="F1761" s="3">
        <v>152500</v>
      </c>
      <c r="G1761" s="57" t="s">
        <v>465</v>
      </c>
      <c r="J1761" s="5" t="s">
        <v>1241</v>
      </c>
    </row>
    <row r="1762" spans="1:10" x14ac:dyDescent="0.2">
      <c r="A1762" s="1" t="s">
        <v>39</v>
      </c>
      <c r="B1762" s="2" t="s">
        <v>335</v>
      </c>
      <c r="D1762" s="7" t="s">
        <v>464</v>
      </c>
      <c r="E1762" s="6" t="s">
        <v>465</v>
      </c>
      <c r="F1762" s="6">
        <v>152500</v>
      </c>
      <c r="G1762" s="57" t="s">
        <v>465</v>
      </c>
      <c r="H1762" s="21"/>
      <c r="I1762" s="21"/>
      <c r="J1762" s="5" t="s">
        <v>2742</v>
      </c>
    </row>
    <row r="1763" spans="1:10" x14ac:dyDescent="0.2">
      <c r="A1763" s="1" t="s">
        <v>39</v>
      </c>
      <c r="B1763" s="2" t="s">
        <v>364</v>
      </c>
      <c r="D1763" s="5" t="s">
        <v>464</v>
      </c>
      <c r="E1763" s="3" t="s">
        <v>465</v>
      </c>
      <c r="F1763" s="3">
        <v>152500</v>
      </c>
      <c r="G1763" s="57" t="s">
        <v>465</v>
      </c>
      <c r="J1763" s="5" t="s">
        <v>539</v>
      </c>
    </row>
    <row r="1764" spans="1:10" x14ac:dyDescent="0.2">
      <c r="A1764" s="1" t="s">
        <v>39</v>
      </c>
      <c r="B1764" s="2" t="s">
        <v>370</v>
      </c>
      <c r="D1764" s="5" t="s">
        <v>464</v>
      </c>
      <c r="E1764" s="3" t="s">
        <v>465</v>
      </c>
      <c r="F1764" s="3">
        <v>152500</v>
      </c>
      <c r="G1764" s="57" t="s">
        <v>465</v>
      </c>
      <c r="J1764" s="5" t="s">
        <v>539</v>
      </c>
    </row>
    <row r="1765" spans="1:10" x14ac:dyDescent="0.2">
      <c r="A1765" s="1" t="s">
        <v>39</v>
      </c>
      <c r="B1765" s="2" t="s">
        <v>409</v>
      </c>
      <c r="D1765" s="5" t="s">
        <v>587</v>
      </c>
      <c r="E1765" s="3" t="s">
        <v>465</v>
      </c>
      <c r="F1765" s="3">
        <v>152500</v>
      </c>
      <c r="G1765" s="57" t="s">
        <v>465</v>
      </c>
      <c r="J1765" s="5" t="s">
        <v>540</v>
      </c>
    </row>
    <row r="1766" spans="1:10" ht="38.25" x14ac:dyDescent="0.2">
      <c r="A1766" s="1" t="s">
        <v>28</v>
      </c>
      <c r="B1766" s="2" t="s">
        <v>332</v>
      </c>
      <c r="D1766" s="5" t="s">
        <v>888</v>
      </c>
      <c r="E1766" s="3">
        <v>93299</v>
      </c>
      <c r="F1766" s="3">
        <v>152476</v>
      </c>
      <c r="G1766" s="57">
        <v>0.63427260742344505</v>
      </c>
      <c r="J1766" s="5" t="s">
        <v>2754</v>
      </c>
    </row>
    <row r="1767" spans="1:10" ht="38.25" x14ac:dyDescent="0.2">
      <c r="A1767" s="1" t="s">
        <v>39</v>
      </c>
      <c r="B1767" s="2" t="s">
        <v>439</v>
      </c>
      <c r="D1767" s="5" t="s">
        <v>455</v>
      </c>
      <c r="E1767" s="3">
        <v>100974</v>
      </c>
      <c r="F1767" s="3">
        <v>152473</v>
      </c>
      <c r="G1767" s="57">
        <v>0.51002238199932659</v>
      </c>
      <c r="J1767" s="5" t="s">
        <v>4588</v>
      </c>
    </row>
    <row r="1768" spans="1:10" ht="25.5" x14ac:dyDescent="0.2">
      <c r="A1768" s="1" t="s">
        <v>25</v>
      </c>
      <c r="B1768" s="2" t="s">
        <v>26</v>
      </c>
      <c r="C1768" s="1"/>
      <c r="D1768" s="5" t="s">
        <v>1707</v>
      </c>
      <c r="E1768" s="3" t="s">
        <v>465</v>
      </c>
      <c r="F1768" s="3">
        <v>152273</v>
      </c>
      <c r="G1768" s="57" t="s">
        <v>465</v>
      </c>
      <c r="J1768" s="5" t="s">
        <v>3669</v>
      </c>
    </row>
    <row r="1769" spans="1:10" ht="38.25" x14ac:dyDescent="0.2">
      <c r="A1769" s="1" t="s">
        <v>4</v>
      </c>
      <c r="B1769" s="2" t="s">
        <v>292</v>
      </c>
      <c r="D1769" s="5" t="s">
        <v>2931</v>
      </c>
      <c r="E1769" s="9">
        <v>89260</v>
      </c>
      <c r="F1769" s="3">
        <v>152246</v>
      </c>
      <c r="G1769" s="57">
        <v>0.70564642617073714</v>
      </c>
      <c r="J1769" s="5" t="s">
        <v>2932</v>
      </c>
    </row>
    <row r="1770" spans="1:10" ht="76.5" x14ac:dyDescent="0.2">
      <c r="A1770" s="1" t="s">
        <v>25</v>
      </c>
      <c r="B1770" s="2" t="s">
        <v>93</v>
      </c>
      <c r="C1770" s="1"/>
      <c r="D1770" s="5" t="s">
        <v>2228</v>
      </c>
      <c r="E1770" s="3">
        <v>149000</v>
      </c>
      <c r="F1770" s="3">
        <v>152000</v>
      </c>
      <c r="G1770" s="57">
        <v>2.0134228187919462E-2</v>
      </c>
      <c r="J1770" s="5" t="s">
        <v>4233</v>
      </c>
    </row>
    <row r="1771" spans="1:10" ht="25.5" x14ac:dyDescent="0.2">
      <c r="A1771" s="1" t="s">
        <v>34</v>
      </c>
      <c r="B1771" s="2" t="s">
        <v>121</v>
      </c>
      <c r="C1771" s="1" t="s">
        <v>2143</v>
      </c>
      <c r="D1771" s="5" t="s">
        <v>2144</v>
      </c>
      <c r="E1771" s="3">
        <v>149000</v>
      </c>
      <c r="F1771" s="3">
        <v>152000</v>
      </c>
      <c r="G1771" s="57">
        <v>2.0134228187919462E-2</v>
      </c>
      <c r="J1771" s="5" t="s">
        <v>3922</v>
      </c>
    </row>
    <row r="1772" spans="1:10" ht="25.5" x14ac:dyDescent="0.2">
      <c r="A1772" s="1" t="s">
        <v>6</v>
      </c>
      <c r="B1772" s="2" t="s">
        <v>368</v>
      </c>
      <c r="D1772" s="5" t="s">
        <v>468</v>
      </c>
      <c r="E1772" s="3" t="s">
        <v>465</v>
      </c>
      <c r="F1772" s="3">
        <v>152000</v>
      </c>
      <c r="G1772" s="57" t="s">
        <v>465</v>
      </c>
      <c r="J1772" s="5" t="s">
        <v>2571</v>
      </c>
    </row>
    <row r="1773" spans="1:10" ht="25.5" x14ac:dyDescent="0.2">
      <c r="A1773" s="1" t="s">
        <v>111</v>
      </c>
      <c r="B1773" s="2" t="s">
        <v>355</v>
      </c>
      <c r="D1773" s="5" t="s">
        <v>833</v>
      </c>
      <c r="E1773" s="3">
        <v>121199</v>
      </c>
      <c r="F1773" s="3">
        <v>151931</v>
      </c>
      <c r="G1773" s="57">
        <v>0.25356644856805749</v>
      </c>
      <c r="J1773" s="5" t="s">
        <v>2657</v>
      </c>
    </row>
    <row r="1774" spans="1:10" ht="38.25" x14ac:dyDescent="0.2">
      <c r="A1774" s="1" t="s">
        <v>6</v>
      </c>
      <c r="B1774" s="2" t="s">
        <v>440</v>
      </c>
      <c r="C1774" s="5" t="s">
        <v>467</v>
      </c>
      <c r="D1774" s="5" t="s">
        <v>450</v>
      </c>
      <c r="E1774" s="6">
        <v>45256</v>
      </c>
      <c r="F1774" s="3">
        <v>151798</v>
      </c>
      <c r="G1774" s="57">
        <v>2.354207176948913</v>
      </c>
      <c r="J1774" s="5" t="s">
        <v>4590</v>
      </c>
    </row>
    <row r="1775" spans="1:10" ht="25.5" x14ac:dyDescent="0.2">
      <c r="A1775" s="1" t="s">
        <v>1</v>
      </c>
      <c r="B1775" s="2" t="s">
        <v>339</v>
      </c>
      <c r="C1775" s="5" t="s">
        <v>864</v>
      </c>
      <c r="D1775" s="5" t="s">
        <v>450</v>
      </c>
      <c r="E1775" s="3">
        <v>149932</v>
      </c>
      <c r="F1775" s="3">
        <v>151789</v>
      </c>
      <c r="G1775" s="57">
        <v>1.2385614812048128E-2</v>
      </c>
      <c r="J1775" s="5" t="s">
        <v>2715</v>
      </c>
    </row>
    <row r="1776" spans="1:10" ht="25.5" x14ac:dyDescent="0.2">
      <c r="A1776" s="1" t="s">
        <v>39</v>
      </c>
      <c r="B1776" s="2" t="s">
        <v>193</v>
      </c>
      <c r="D1776" s="5" t="s">
        <v>455</v>
      </c>
      <c r="E1776" s="9" t="s">
        <v>465</v>
      </c>
      <c r="F1776" s="9">
        <v>151736</v>
      </c>
      <c r="G1776" s="57" t="s">
        <v>465</v>
      </c>
      <c r="J1776" s="5" t="s">
        <v>3485</v>
      </c>
    </row>
    <row r="1777" spans="1:10" ht="25.5" x14ac:dyDescent="0.2">
      <c r="A1777" s="1" t="s">
        <v>4</v>
      </c>
      <c r="B1777" s="2" t="s">
        <v>423</v>
      </c>
      <c r="C1777" s="5" t="s">
        <v>555</v>
      </c>
      <c r="D1777" s="5" t="s">
        <v>556</v>
      </c>
      <c r="E1777" s="6">
        <v>125165</v>
      </c>
      <c r="F1777" s="3">
        <v>151591</v>
      </c>
      <c r="G1777" s="57">
        <v>0.21112930931170854</v>
      </c>
      <c r="J1777" s="5" t="s">
        <v>2337</v>
      </c>
    </row>
    <row r="1778" spans="1:10" ht="25.5" x14ac:dyDescent="0.2">
      <c r="A1778" s="1" t="s">
        <v>34</v>
      </c>
      <c r="B1778" s="2" t="s">
        <v>427</v>
      </c>
      <c r="D1778" s="5" t="s">
        <v>463</v>
      </c>
      <c r="E1778" s="3">
        <v>146494</v>
      </c>
      <c r="F1778" s="3">
        <v>151530</v>
      </c>
      <c r="G1778" s="57">
        <v>3.4376834546124758E-2</v>
      </c>
      <c r="J1778" s="5" t="s">
        <v>2318</v>
      </c>
    </row>
    <row r="1779" spans="1:10" ht="51" x14ac:dyDescent="0.2">
      <c r="A1779" s="1" t="s">
        <v>4</v>
      </c>
      <c r="B1779" s="30" t="s">
        <v>4508</v>
      </c>
      <c r="D1779" s="5" t="s">
        <v>659</v>
      </c>
      <c r="E1779" s="3">
        <v>150805</v>
      </c>
      <c r="F1779" s="3">
        <v>151507</v>
      </c>
      <c r="G1779" s="57">
        <v>4.6550180696926496E-3</v>
      </c>
      <c r="J1779" s="5" t="s">
        <v>4509</v>
      </c>
    </row>
    <row r="1780" spans="1:10" ht="38.25" x14ac:dyDescent="0.2">
      <c r="A1780" s="1" t="s">
        <v>39</v>
      </c>
      <c r="B1780" s="2" t="s">
        <v>143</v>
      </c>
      <c r="C1780" s="1"/>
      <c r="D1780" s="5" t="s">
        <v>450</v>
      </c>
      <c r="E1780" s="3">
        <v>128535</v>
      </c>
      <c r="F1780" s="3">
        <v>151439</v>
      </c>
      <c r="G1780" s="57">
        <v>0.17819271015676663</v>
      </c>
      <c r="J1780" s="5" t="s">
        <v>3983</v>
      </c>
    </row>
    <row r="1781" spans="1:10" ht="38.25" x14ac:dyDescent="0.2">
      <c r="A1781" s="1" t="s">
        <v>6</v>
      </c>
      <c r="B1781" s="2" t="s">
        <v>218</v>
      </c>
      <c r="D1781" s="5" t="s">
        <v>1298</v>
      </c>
      <c r="E1781" s="9">
        <v>146607</v>
      </c>
      <c r="F1781" s="9">
        <v>151432</v>
      </c>
      <c r="G1781" s="57">
        <v>3.2911116113146031E-2</v>
      </c>
      <c r="J1781" s="5" t="s">
        <v>3290</v>
      </c>
    </row>
    <row r="1782" spans="1:10" x14ac:dyDescent="0.2">
      <c r="A1782" s="1" t="s">
        <v>6</v>
      </c>
      <c r="B1782" s="2" t="s">
        <v>86</v>
      </c>
      <c r="C1782" s="1"/>
      <c r="D1782" s="5" t="s">
        <v>463</v>
      </c>
      <c r="E1782" s="6">
        <v>151258</v>
      </c>
      <c r="F1782" s="3">
        <v>151363</v>
      </c>
      <c r="G1782" s="57">
        <v>6.9417815917174625E-4</v>
      </c>
      <c r="J1782" s="5" t="s">
        <v>2034</v>
      </c>
    </row>
    <row r="1783" spans="1:10" ht="25.5" x14ac:dyDescent="0.2">
      <c r="A1783" s="1" t="s">
        <v>25</v>
      </c>
      <c r="B1783" s="2" t="s">
        <v>208</v>
      </c>
      <c r="D1783" s="5" t="s">
        <v>1374</v>
      </c>
      <c r="E1783" s="9">
        <v>151290</v>
      </c>
      <c r="F1783" s="9">
        <v>151290</v>
      </c>
      <c r="G1783" s="57">
        <v>0</v>
      </c>
      <c r="J1783" s="5" t="s">
        <v>3378</v>
      </c>
    </row>
    <row r="1784" spans="1:10" ht="25.5" x14ac:dyDescent="0.2">
      <c r="A1784" s="1" t="s">
        <v>34</v>
      </c>
      <c r="B1784" s="2" t="s">
        <v>297</v>
      </c>
      <c r="D1784" s="5" t="s">
        <v>994</v>
      </c>
      <c r="E1784" s="3">
        <v>151169</v>
      </c>
      <c r="F1784" s="3">
        <v>151273</v>
      </c>
      <c r="G1784" s="57">
        <v>6.8797174023774719E-4</v>
      </c>
      <c r="J1784" s="5" t="s">
        <v>2868</v>
      </c>
    </row>
    <row r="1785" spans="1:10" ht="25.5" x14ac:dyDescent="0.2">
      <c r="A1785" s="1" t="s">
        <v>28</v>
      </c>
      <c r="B1785" s="2" t="s">
        <v>50</v>
      </c>
      <c r="C1785" s="1"/>
      <c r="D1785" s="5" t="s">
        <v>1826</v>
      </c>
      <c r="E1785" s="6">
        <v>140040</v>
      </c>
      <c r="F1785" s="3">
        <v>151235</v>
      </c>
      <c r="G1785" s="57">
        <v>7.9941445301342479E-2</v>
      </c>
      <c r="J1785" s="5" t="s">
        <v>1827</v>
      </c>
    </row>
    <row r="1786" spans="1:10" ht="25.5" x14ac:dyDescent="0.2">
      <c r="A1786" s="1" t="s">
        <v>1</v>
      </c>
      <c r="B1786" s="2" t="s">
        <v>348</v>
      </c>
      <c r="C1786" s="5" t="s">
        <v>843</v>
      </c>
      <c r="D1786" s="5" t="s">
        <v>844</v>
      </c>
      <c r="E1786" s="36">
        <v>150651</v>
      </c>
      <c r="F1786" s="3">
        <v>151152</v>
      </c>
      <c r="G1786" s="57">
        <v>3.3255670390505208E-3</v>
      </c>
      <c r="J1786" s="5" t="s">
        <v>2683</v>
      </c>
    </row>
    <row r="1787" spans="1:10" ht="25.5" x14ac:dyDescent="0.2">
      <c r="A1787" s="1" t="s">
        <v>6</v>
      </c>
      <c r="B1787" s="2" t="s">
        <v>288</v>
      </c>
      <c r="D1787" s="5" t="s">
        <v>451</v>
      </c>
      <c r="E1787" s="3">
        <v>147000</v>
      </c>
      <c r="F1787" s="3">
        <v>151000</v>
      </c>
      <c r="G1787" s="57">
        <v>2.7210884353741496E-2</v>
      </c>
      <c r="J1787" s="5" t="s">
        <v>2952</v>
      </c>
    </row>
    <row r="1788" spans="1:10" ht="38.25" x14ac:dyDescent="0.2">
      <c r="A1788" s="1" t="s">
        <v>1</v>
      </c>
      <c r="B1788" s="2" t="s">
        <v>196</v>
      </c>
      <c r="C1788" s="5" t="s">
        <v>1418</v>
      </c>
      <c r="D1788" s="5" t="s">
        <v>1419</v>
      </c>
      <c r="E1788" s="6">
        <v>115995</v>
      </c>
      <c r="F1788" s="9">
        <v>150979</v>
      </c>
      <c r="G1788" s="57">
        <v>0.30159920686236474</v>
      </c>
      <c r="J1788" s="5" t="s">
        <v>3459</v>
      </c>
    </row>
    <row r="1789" spans="1:10" ht="25.5" x14ac:dyDescent="0.2">
      <c r="A1789" s="1" t="s">
        <v>20</v>
      </c>
      <c r="B1789" s="2" t="s">
        <v>366</v>
      </c>
      <c r="D1789" s="5" t="s">
        <v>450</v>
      </c>
      <c r="E1789" s="3">
        <v>142417</v>
      </c>
      <c r="F1789" s="3">
        <v>150897</v>
      </c>
      <c r="G1789" s="57">
        <v>5.9543453379863359E-2</v>
      </c>
      <c r="J1789" s="5" t="s">
        <v>2587</v>
      </c>
    </row>
    <row r="1790" spans="1:10" ht="25.5" x14ac:dyDescent="0.2">
      <c r="A1790" s="1" t="s">
        <v>8</v>
      </c>
      <c r="B1790" s="2" t="s">
        <v>229</v>
      </c>
      <c r="D1790" s="5" t="s">
        <v>1251</v>
      </c>
      <c r="E1790" s="3">
        <v>150954</v>
      </c>
      <c r="F1790" s="3">
        <v>150895</v>
      </c>
      <c r="G1790" s="57">
        <v>-3.9084754296010704E-4</v>
      </c>
      <c r="J1790" s="5" t="s">
        <v>3232</v>
      </c>
    </row>
    <row r="1791" spans="1:10" ht="38.25" x14ac:dyDescent="0.2">
      <c r="A1791" s="1" t="s">
        <v>4</v>
      </c>
      <c r="B1791" s="2" t="s">
        <v>423</v>
      </c>
      <c r="D1791" s="5" t="s">
        <v>571</v>
      </c>
      <c r="E1791" s="6">
        <v>93823</v>
      </c>
      <c r="F1791" s="3">
        <v>150894</v>
      </c>
      <c r="G1791" s="57">
        <v>0.60828368310542191</v>
      </c>
      <c r="J1791" s="5" t="s">
        <v>4562</v>
      </c>
    </row>
    <row r="1792" spans="1:10" ht="25.5" x14ac:dyDescent="0.2">
      <c r="A1792" s="1" t="s">
        <v>8</v>
      </c>
      <c r="B1792" s="2" t="s">
        <v>229</v>
      </c>
      <c r="D1792" s="5" t="s">
        <v>1252</v>
      </c>
      <c r="E1792" s="3">
        <v>130378</v>
      </c>
      <c r="F1792" s="3">
        <v>150802</v>
      </c>
      <c r="G1792" s="57">
        <v>0.15665219592262497</v>
      </c>
      <c r="J1792" s="5" t="s">
        <v>3231</v>
      </c>
    </row>
    <row r="1793" spans="1:10" ht="25.5" x14ac:dyDescent="0.2">
      <c r="A1793" s="1" t="s">
        <v>28</v>
      </c>
      <c r="B1793" s="2" t="s">
        <v>332</v>
      </c>
      <c r="D1793" s="5" t="s">
        <v>886</v>
      </c>
      <c r="E1793" s="3">
        <v>150733</v>
      </c>
      <c r="F1793" s="3">
        <v>150733</v>
      </c>
      <c r="G1793" s="57">
        <v>0</v>
      </c>
      <c r="J1793" s="5" t="s">
        <v>2752</v>
      </c>
    </row>
    <row r="1794" spans="1:10" ht="38.25" x14ac:dyDescent="0.2">
      <c r="A1794" s="1" t="s">
        <v>4</v>
      </c>
      <c r="B1794" s="2" t="s">
        <v>176</v>
      </c>
      <c r="D1794" s="5" t="s">
        <v>450</v>
      </c>
      <c r="E1794" s="9">
        <v>150345</v>
      </c>
      <c r="F1794" s="9">
        <v>150646</v>
      </c>
      <c r="G1794" s="57">
        <v>2.0020619242409124E-3</v>
      </c>
      <c r="J1794" s="5" t="s">
        <v>4644</v>
      </c>
    </row>
    <row r="1795" spans="1:10" ht="25.5" x14ac:dyDescent="0.2">
      <c r="A1795" s="1" t="s">
        <v>6</v>
      </c>
      <c r="B1795" s="2" t="s">
        <v>108</v>
      </c>
      <c r="C1795" s="1" t="s">
        <v>2174</v>
      </c>
      <c r="D1795" s="5" t="s">
        <v>2175</v>
      </c>
      <c r="E1795" s="6">
        <v>155359</v>
      </c>
      <c r="F1795" s="3">
        <v>150641</v>
      </c>
      <c r="G1795" s="57">
        <v>-3.0368372607959628E-2</v>
      </c>
      <c r="J1795" s="5" t="s">
        <v>3867</v>
      </c>
    </row>
    <row r="1796" spans="1:10" ht="25.5" x14ac:dyDescent="0.2">
      <c r="A1796" s="1" t="s">
        <v>6</v>
      </c>
      <c r="B1796" s="2" t="s">
        <v>108</v>
      </c>
      <c r="C1796" s="1" t="s">
        <v>2176</v>
      </c>
      <c r="D1796" s="5" t="s">
        <v>2177</v>
      </c>
      <c r="E1796" s="6">
        <v>147221</v>
      </c>
      <c r="F1796" s="3">
        <v>150545</v>
      </c>
      <c r="G1796" s="57">
        <v>2.2578300650043133E-2</v>
      </c>
      <c r="J1796" s="5" t="s">
        <v>3868</v>
      </c>
    </row>
    <row r="1797" spans="1:10" x14ac:dyDescent="0.2">
      <c r="A1797" s="1" t="s">
        <v>6</v>
      </c>
      <c r="B1797" s="2" t="s">
        <v>46</v>
      </c>
      <c r="C1797" s="1"/>
      <c r="D1797" s="5" t="s">
        <v>562</v>
      </c>
      <c r="E1797" s="3">
        <v>148101</v>
      </c>
      <c r="F1797" s="3">
        <v>150540</v>
      </c>
      <c r="G1797" s="57">
        <v>1.6468491097291715E-2</v>
      </c>
      <c r="J1797" s="5" t="s">
        <v>1795</v>
      </c>
    </row>
    <row r="1798" spans="1:10" x14ac:dyDescent="0.2">
      <c r="A1798" s="1" t="s">
        <v>6</v>
      </c>
      <c r="B1798" s="2" t="s">
        <v>46</v>
      </c>
      <c r="C1798" s="1"/>
      <c r="D1798" s="5" t="s">
        <v>1796</v>
      </c>
      <c r="E1798" s="3">
        <v>122873</v>
      </c>
      <c r="F1798" s="3">
        <v>150540</v>
      </c>
      <c r="G1798" s="57">
        <v>0.22516744931758809</v>
      </c>
      <c r="J1798" s="5" t="s">
        <v>1795</v>
      </c>
    </row>
    <row r="1799" spans="1:10" x14ac:dyDescent="0.2">
      <c r="A1799" s="1" t="s">
        <v>6</v>
      </c>
      <c r="B1799" s="2" t="s">
        <v>46</v>
      </c>
      <c r="C1799" s="1"/>
      <c r="D1799" s="5" t="s">
        <v>1797</v>
      </c>
      <c r="E1799" s="3">
        <v>148502</v>
      </c>
      <c r="F1799" s="3">
        <v>150540</v>
      </c>
      <c r="G1799" s="57">
        <v>1.372372089264791E-2</v>
      </c>
      <c r="J1799" s="5" t="s">
        <v>1795</v>
      </c>
    </row>
    <row r="1800" spans="1:10" ht="25.5" x14ac:dyDescent="0.2">
      <c r="A1800" s="1" t="s">
        <v>8</v>
      </c>
      <c r="B1800" s="2" t="s">
        <v>229</v>
      </c>
      <c r="D1800" s="5" t="s">
        <v>1250</v>
      </c>
      <c r="E1800" s="3">
        <v>150567</v>
      </c>
      <c r="F1800" s="3">
        <v>150535</v>
      </c>
      <c r="G1800" s="57">
        <v>-2.1252997004655736E-4</v>
      </c>
      <c r="J1800" s="5" t="s">
        <v>3229</v>
      </c>
    </row>
    <row r="1801" spans="1:10" ht="25.5" x14ac:dyDescent="0.2">
      <c r="A1801" s="1" t="s">
        <v>34</v>
      </c>
      <c r="B1801" s="2" t="s">
        <v>57</v>
      </c>
      <c r="C1801" s="1"/>
      <c r="D1801" s="5" t="s">
        <v>3762</v>
      </c>
      <c r="E1801" s="3">
        <v>144017</v>
      </c>
      <c r="F1801" s="3">
        <v>150409</v>
      </c>
      <c r="G1801" s="57">
        <v>4.4383649152530603E-2</v>
      </c>
      <c r="J1801" s="5" t="s">
        <v>1858</v>
      </c>
    </row>
    <row r="1802" spans="1:10" ht="38.25" x14ac:dyDescent="0.2">
      <c r="A1802" s="1" t="s">
        <v>111</v>
      </c>
      <c r="B1802" s="2" t="s">
        <v>369</v>
      </c>
      <c r="D1802" s="5" t="s">
        <v>768</v>
      </c>
      <c r="E1802" s="3">
        <v>148774</v>
      </c>
      <c r="F1802" s="3">
        <v>150331</v>
      </c>
      <c r="G1802" s="57">
        <v>1.0465538333310927E-2</v>
      </c>
      <c r="J1802" s="5" t="s">
        <v>2565</v>
      </c>
    </row>
    <row r="1803" spans="1:10" ht="38.25" x14ac:dyDescent="0.2">
      <c r="A1803" s="1" t="s">
        <v>1</v>
      </c>
      <c r="B1803" s="2" t="s">
        <v>264</v>
      </c>
      <c r="C1803" s="5" t="s">
        <v>1145</v>
      </c>
      <c r="D1803" s="5" t="s">
        <v>450</v>
      </c>
      <c r="E1803" s="3">
        <v>124404</v>
      </c>
      <c r="F1803" s="3">
        <v>150323</v>
      </c>
      <c r="G1803" s="57">
        <v>0.20834539082344619</v>
      </c>
      <c r="J1803" s="5" t="s">
        <v>3068</v>
      </c>
    </row>
    <row r="1804" spans="1:10" ht="25.5" x14ac:dyDescent="0.2">
      <c r="A1804" s="1" t="s">
        <v>6</v>
      </c>
      <c r="B1804" s="2" t="s">
        <v>216</v>
      </c>
      <c r="D1804" s="5" t="s">
        <v>1310</v>
      </c>
      <c r="E1804" s="3">
        <v>152607</v>
      </c>
      <c r="F1804" s="3">
        <v>150321</v>
      </c>
      <c r="G1804" s="57">
        <v>-1.4979653620082958E-2</v>
      </c>
      <c r="J1804" s="5" t="s">
        <v>3299</v>
      </c>
    </row>
    <row r="1805" spans="1:10" x14ac:dyDescent="0.2">
      <c r="A1805" s="1" t="s">
        <v>25</v>
      </c>
      <c r="B1805" s="2" t="s">
        <v>192</v>
      </c>
      <c r="D1805" s="5" t="s">
        <v>1444</v>
      </c>
      <c r="E1805" s="9">
        <v>161824</v>
      </c>
      <c r="F1805" s="9">
        <v>150280</v>
      </c>
      <c r="G1805" s="57">
        <v>-7.1336760925449869E-2</v>
      </c>
      <c r="J1805" s="5" t="s">
        <v>3492</v>
      </c>
    </row>
    <row r="1806" spans="1:10" ht="25.5" x14ac:dyDescent="0.2">
      <c r="A1806" s="1" t="s">
        <v>25</v>
      </c>
      <c r="B1806" s="2" t="s">
        <v>192</v>
      </c>
      <c r="D1806" s="5" t="s">
        <v>1445</v>
      </c>
      <c r="E1806" s="9">
        <v>85472</v>
      </c>
      <c r="F1806" s="9">
        <v>150280</v>
      </c>
      <c r="G1806" s="57">
        <v>0.7582366154998128</v>
      </c>
      <c r="J1806" s="5" t="s">
        <v>4351</v>
      </c>
    </row>
    <row r="1807" spans="1:10" ht="25.5" x14ac:dyDescent="0.2">
      <c r="A1807" s="1" t="s">
        <v>25</v>
      </c>
      <c r="B1807" s="2" t="s">
        <v>311</v>
      </c>
      <c r="C1807" s="5" t="s">
        <v>939</v>
      </c>
      <c r="D1807" s="5" t="s">
        <v>940</v>
      </c>
      <c r="E1807" s="3">
        <v>147372</v>
      </c>
      <c r="F1807" s="3">
        <v>150243</v>
      </c>
      <c r="G1807" s="57">
        <v>1.948131259669408E-2</v>
      </c>
      <c r="J1807" s="5" t="s">
        <v>2811</v>
      </c>
    </row>
    <row r="1808" spans="1:10" ht="25.5" x14ac:dyDescent="0.2">
      <c r="A1808" s="1" t="s">
        <v>34</v>
      </c>
      <c r="B1808" s="2" t="s">
        <v>427</v>
      </c>
      <c r="D1808" s="5" t="s">
        <v>524</v>
      </c>
      <c r="E1808" s="3">
        <v>150410</v>
      </c>
      <c r="F1808" s="3">
        <v>150225</v>
      </c>
      <c r="G1808" s="57">
        <v>-1.2299714114753009E-3</v>
      </c>
      <c r="J1808" s="5" t="s">
        <v>2317</v>
      </c>
    </row>
    <row r="1809" spans="1:12" ht="25.5" x14ac:dyDescent="0.2">
      <c r="A1809" s="1" t="s">
        <v>4</v>
      </c>
      <c r="B1809" s="2" t="s">
        <v>15</v>
      </c>
      <c r="C1809" s="1"/>
      <c r="D1809" s="5" t="s">
        <v>1690</v>
      </c>
      <c r="E1809" s="3">
        <v>105610</v>
      </c>
      <c r="F1809" s="3">
        <v>150151</v>
      </c>
      <c r="G1809" s="57">
        <v>0.42174983429599472</v>
      </c>
      <c r="J1809" s="5" t="s">
        <v>4599</v>
      </c>
    </row>
    <row r="1810" spans="1:12" x14ac:dyDescent="0.2">
      <c r="A1810" s="1" t="s">
        <v>34</v>
      </c>
      <c r="B1810" s="2" t="s">
        <v>382</v>
      </c>
      <c r="D1810" s="5" t="s">
        <v>711</v>
      </c>
      <c r="E1810" s="6">
        <v>150149</v>
      </c>
      <c r="F1810" s="3">
        <v>150149</v>
      </c>
      <c r="G1810" s="57">
        <v>0</v>
      </c>
      <c r="J1810" s="5" t="s">
        <v>4699</v>
      </c>
    </row>
    <row r="1811" spans="1:12" ht="25.5" x14ac:dyDescent="0.2">
      <c r="A1811" s="1" t="s">
        <v>34</v>
      </c>
      <c r="B1811" s="2" t="s">
        <v>427</v>
      </c>
      <c r="D1811" s="5" t="s">
        <v>525</v>
      </c>
      <c r="E1811" s="3">
        <v>145969</v>
      </c>
      <c r="F1811" s="3">
        <v>150139</v>
      </c>
      <c r="G1811" s="57">
        <v>2.8567709582171558E-2</v>
      </c>
      <c r="J1811" s="5" t="s">
        <v>2319</v>
      </c>
    </row>
    <row r="1812" spans="1:12" ht="51" x14ac:dyDescent="0.2">
      <c r="A1812" s="1" t="s">
        <v>1</v>
      </c>
      <c r="B1812" s="2" t="s">
        <v>327</v>
      </c>
      <c r="C1812" s="5" t="s">
        <v>909</v>
      </c>
      <c r="D1812" s="5" t="s">
        <v>4441</v>
      </c>
      <c r="E1812" s="3">
        <v>94309</v>
      </c>
      <c r="F1812" s="3">
        <v>150113</v>
      </c>
      <c r="G1812" s="57">
        <v>0.59171447051712989</v>
      </c>
      <c r="J1812" s="5" t="s">
        <v>4442</v>
      </c>
    </row>
    <row r="1813" spans="1:12" ht="25.5" x14ac:dyDescent="0.2">
      <c r="A1813" s="1" t="s">
        <v>34</v>
      </c>
      <c r="B1813" s="2" t="s">
        <v>119</v>
      </c>
      <c r="C1813" s="1"/>
      <c r="D1813" s="5" t="s">
        <v>2149</v>
      </c>
      <c r="E1813" s="3">
        <v>100041</v>
      </c>
      <c r="F1813" s="3">
        <v>150061</v>
      </c>
      <c r="G1813" s="57">
        <v>0.49999500204915986</v>
      </c>
      <c r="J1813" s="5" t="s">
        <v>4279</v>
      </c>
    </row>
    <row r="1814" spans="1:12" x14ac:dyDescent="0.2">
      <c r="A1814" s="13" t="s">
        <v>34</v>
      </c>
      <c r="B1814" s="2" t="s">
        <v>48</v>
      </c>
      <c r="C1814" s="1"/>
      <c r="D1814" s="5" t="s">
        <v>1800</v>
      </c>
      <c r="E1814" s="6">
        <v>58149</v>
      </c>
      <c r="F1814" s="3">
        <v>149995</v>
      </c>
      <c r="G1814" s="57">
        <v>1.5794940583672978</v>
      </c>
      <c r="J1814" s="5" t="s">
        <v>1801</v>
      </c>
    </row>
    <row r="1815" spans="1:12" ht="25.5" x14ac:dyDescent="0.2">
      <c r="A1815" s="1" t="s">
        <v>111</v>
      </c>
      <c r="B1815" s="2" t="s">
        <v>257</v>
      </c>
      <c r="D1815" s="5" t="s">
        <v>1178</v>
      </c>
      <c r="E1815" s="3">
        <v>150589</v>
      </c>
      <c r="F1815" s="3">
        <v>149847</v>
      </c>
      <c r="G1815" s="57">
        <v>-4.9273187284595817E-3</v>
      </c>
      <c r="J1815" s="5" t="s">
        <v>3095</v>
      </c>
    </row>
    <row r="1816" spans="1:12" ht="25.5" x14ac:dyDescent="0.2">
      <c r="A1816" s="13" t="s">
        <v>34</v>
      </c>
      <c r="B1816" s="12" t="s">
        <v>48</v>
      </c>
      <c r="C1816" s="13"/>
      <c r="D1816" s="7" t="s">
        <v>450</v>
      </c>
      <c r="E1816" s="6">
        <v>149343</v>
      </c>
      <c r="F1816" s="6">
        <v>149749</v>
      </c>
      <c r="G1816" s="57">
        <v>2.7185740208781127E-3</v>
      </c>
      <c r="H1816" s="21"/>
      <c r="I1816" s="21"/>
      <c r="J1816" s="7" t="s">
        <v>3731</v>
      </c>
      <c r="K1816" s="13"/>
      <c r="L1816" s="13"/>
    </row>
    <row r="1817" spans="1:12" ht="51" x14ac:dyDescent="0.2">
      <c r="A1817" s="1" t="s">
        <v>6</v>
      </c>
      <c r="B1817" s="2" t="s">
        <v>108</v>
      </c>
      <c r="C1817" s="1" t="s">
        <v>2178</v>
      </c>
      <c r="D1817" s="5" t="s">
        <v>2179</v>
      </c>
      <c r="E1817" s="6">
        <v>139495</v>
      </c>
      <c r="F1817" s="3">
        <v>149747</v>
      </c>
      <c r="G1817" s="57">
        <v>7.3493673608373056E-2</v>
      </c>
      <c r="J1817" s="5" t="s">
        <v>4260</v>
      </c>
    </row>
    <row r="1818" spans="1:12" ht="38.25" x14ac:dyDescent="0.2">
      <c r="A1818" s="1" t="s">
        <v>25</v>
      </c>
      <c r="B1818" s="2" t="s">
        <v>150</v>
      </c>
      <c r="C1818" s="1"/>
      <c r="D1818" s="5" t="s">
        <v>1636</v>
      </c>
      <c r="E1818" s="3">
        <v>143449.41</v>
      </c>
      <c r="F1818" s="3">
        <v>149710.93</v>
      </c>
      <c r="G1818" s="57">
        <v>4.3649674125533104E-2</v>
      </c>
      <c r="J1818" s="5" t="s">
        <v>4316</v>
      </c>
    </row>
    <row r="1819" spans="1:12" ht="25.5" x14ac:dyDescent="0.2">
      <c r="A1819" s="1" t="s">
        <v>6</v>
      </c>
      <c r="B1819" s="2" t="s">
        <v>310</v>
      </c>
      <c r="D1819" s="5" t="s">
        <v>944</v>
      </c>
      <c r="E1819" s="3">
        <v>82817</v>
      </c>
      <c r="F1819" s="3">
        <v>149622</v>
      </c>
      <c r="G1819" s="57">
        <v>0.80665805329823592</v>
      </c>
      <c r="J1819" s="5" t="s">
        <v>2816</v>
      </c>
    </row>
    <row r="1820" spans="1:12" ht="25.5" x14ac:dyDescent="0.2">
      <c r="A1820" s="1" t="s">
        <v>4</v>
      </c>
      <c r="B1820" s="2" t="s">
        <v>15</v>
      </c>
      <c r="C1820" s="1"/>
      <c r="D1820" s="5" t="s">
        <v>450</v>
      </c>
      <c r="E1820" s="3">
        <v>146683</v>
      </c>
      <c r="F1820" s="3">
        <v>149580</v>
      </c>
      <c r="G1820" s="57">
        <v>1.9750073287293005E-2</v>
      </c>
      <c r="J1820" s="5" t="s">
        <v>3647</v>
      </c>
    </row>
    <row r="1821" spans="1:12" ht="25.5" x14ac:dyDescent="0.2">
      <c r="A1821" s="1" t="s">
        <v>25</v>
      </c>
      <c r="B1821" s="2" t="s">
        <v>311</v>
      </c>
      <c r="C1821" s="5" t="s">
        <v>941</v>
      </c>
      <c r="D1821" s="5" t="s">
        <v>942</v>
      </c>
      <c r="E1821" s="3">
        <v>131616</v>
      </c>
      <c r="F1821" s="3">
        <v>149499</v>
      </c>
      <c r="G1821" s="57">
        <v>0.13587253829321663</v>
      </c>
      <c r="J1821" s="5" t="s">
        <v>2812</v>
      </c>
    </row>
    <row r="1822" spans="1:12" ht="25.5" x14ac:dyDescent="0.2">
      <c r="A1822" s="1" t="s">
        <v>6</v>
      </c>
      <c r="B1822" s="2" t="s">
        <v>202</v>
      </c>
      <c r="D1822" s="5" t="s">
        <v>3409</v>
      </c>
      <c r="E1822" s="3">
        <v>147672</v>
      </c>
      <c r="F1822" s="3">
        <v>149485</v>
      </c>
      <c r="G1822" s="57">
        <v>1.2277208949563898E-2</v>
      </c>
      <c r="J1822" s="5" t="s">
        <v>3407</v>
      </c>
    </row>
    <row r="1823" spans="1:12" ht="25.5" x14ac:dyDescent="0.2">
      <c r="A1823" s="1" t="s">
        <v>20</v>
      </c>
      <c r="B1823" s="2" t="s">
        <v>374</v>
      </c>
      <c r="C1823" s="5" t="s">
        <v>750</v>
      </c>
      <c r="D1823" s="5" t="s">
        <v>751</v>
      </c>
      <c r="E1823" s="3">
        <v>148519</v>
      </c>
      <c r="F1823" s="3">
        <v>149464</v>
      </c>
      <c r="G1823" s="57">
        <v>6.3628222651647267E-3</v>
      </c>
      <c r="J1823" s="5" t="s">
        <v>2543</v>
      </c>
    </row>
    <row r="1824" spans="1:12" ht="25.5" x14ac:dyDescent="0.2">
      <c r="A1824" s="1" t="s">
        <v>8</v>
      </c>
      <c r="B1824" s="2" t="s">
        <v>228</v>
      </c>
      <c r="D1824" s="5" t="s">
        <v>450</v>
      </c>
      <c r="E1824" s="3">
        <v>146153</v>
      </c>
      <c r="F1824" s="3">
        <v>149445</v>
      </c>
      <c r="G1824" s="57">
        <v>2.2524340930394859E-2</v>
      </c>
      <c r="J1824" s="5" t="s">
        <v>3234</v>
      </c>
    </row>
    <row r="1825" spans="1:10" ht="25.5" x14ac:dyDescent="0.2">
      <c r="A1825" s="1" t="s">
        <v>28</v>
      </c>
      <c r="B1825" s="2" t="s">
        <v>180</v>
      </c>
      <c r="D1825" s="5" t="s">
        <v>450</v>
      </c>
      <c r="E1825" s="3">
        <v>151299</v>
      </c>
      <c r="F1825" s="3">
        <v>149428</v>
      </c>
      <c r="G1825" s="57">
        <v>-1.2366241680381232E-2</v>
      </c>
      <c r="J1825" s="5" t="s">
        <v>3550</v>
      </c>
    </row>
    <row r="1826" spans="1:10" ht="76.5" x14ac:dyDescent="0.2">
      <c r="A1826" s="1" t="s">
        <v>25</v>
      </c>
      <c r="B1826" s="2" t="s">
        <v>181</v>
      </c>
      <c r="C1826" s="5" t="s">
        <v>1485</v>
      </c>
      <c r="D1826" s="5" t="s">
        <v>3547</v>
      </c>
      <c r="E1826" s="9">
        <v>142586</v>
      </c>
      <c r="F1826" s="9">
        <v>149420</v>
      </c>
      <c r="G1826" s="57">
        <v>4.7928969183510306E-2</v>
      </c>
      <c r="J1826" s="5" t="s">
        <v>3546</v>
      </c>
    </row>
    <row r="1827" spans="1:10" ht="25.5" x14ac:dyDescent="0.2">
      <c r="A1827" s="1" t="s">
        <v>25</v>
      </c>
      <c r="B1827" s="2" t="s">
        <v>208</v>
      </c>
      <c r="D1827" s="5" t="s">
        <v>1064</v>
      </c>
      <c r="E1827" s="9">
        <v>145970</v>
      </c>
      <c r="F1827" s="9">
        <v>149298</v>
      </c>
      <c r="G1827" s="57">
        <v>2.2799205316160854E-2</v>
      </c>
      <c r="J1827" s="5" t="s">
        <v>3382</v>
      </c>
    </row>
    <row r="1828" spans="1:10" ht="25.5" x14ac:dyDescent="0.2">
      <c r="A1828" s="1" t="s">
        <v>34</v>
      </c>
      <c r="B1828" s="2" t="s">
        <v>119</v>
      </c>
      <c r="C1828" s="1"/>
      <c r="D1828" s="5" t="s">
        <v>608</v>
      </c>
      <c r="E1828" s="3">
        <v>149678</v>
      </c>
      <c r="F1828" s="3">
        <v>149155</v>
      </c>
      <c r="G1828" s="57">
        <v>-3.4941674795227087E-3</v>
      </c>
      <c r="J1828" s="5" t="s">
        <v>3915</v>
      </c>
    </row>
    <row r="1829" spans="1:10" ht="25.5" x14ac:dyDescent="0.2">
      <c r="A1829" s="1" t="s">
        <v>44</v>
      </c>
      <c r="B1829" s="2" t="s">
        <v>73</v>
      </c>
      <c r="C1829" s="1"/>
      <c r="D1829" s="5" t="s">
        <v>1954</v>
      </c>
      <c r="E1829" s="3">
        <v>113041</v>
      </c>
      <c r="F1829" s="3">
        <v>149117</v>
      </c>
      <c r="G1829" s="57">
        <v>0.31914084270309001</v>
      </c>
      <c r="J1829" s="5" t="s">
        <v>3796</v>
      </c>
    </row>
    <row r="1830" spans="1:10" ht="25.5" x14ac:dyDescent="0.2">
      <c r="A1830" s="1" t="s">
        <v>39</v>
      </c>
      <c r="B1830" s="2" t="s">
        <v>335</v>
      </c>
      <c r="D1830" s="5" t="s">
        <v>883</v>
      </c>
      <c r="E1830" s="3" t="s">
        <v>465</v>
      </c>
      <c r="F1830" s="3">
        <v>149046</v>
      </c>
      <c r="G1830" s="57" t="s">
        <v>465</v>
      </c>
      <c r="J1830" s="5" t="s">
        <v>4594</v>
      </c>
    </row>
    <row r="1831" spans="1:10" x14ac:dyDescent="0.2">
      <c r="A1831" s="1" t="s">
        <v>6</v>
      </c>
      <c r="B1831" s="2" t="s">
        <v>85</v>
      </c>
      <c r="C1831" s="1"/>
      <c r="D1831" s="5" t="s">
        <v>2014</v>
      </c>
      <c r="E1831" s="6">
        <v>148287</v>
      </c>
      <c r="F1831" s="3">
        <v>149034</v>
      </c>
      <c r="G1831" s="57">
        <v>5.0375285763418235E-3</v>
      </c>
      <c r="J1831" s="5" t="s">
        <v>2015</v>
      </c>
    </row>
    <row r="1832" spans="1:10" ht="25.5" x14ac:dyDescent="0.2">
      <c r="A1832" s="1" t="s">
        <v>28</v>
      </c>
      <c r="B1832" s="2" t="s">
        <v>279</v>
      </c>
      <c r="D1832" s="5" t="s">
        <v>1091</v>
      </c>
      <c r="E1832" s="3">
        <v>141636</v>
      </c>
      <c r="F1832" s="3">
        <v>149033</v>
      </c>
      <c r="G1832" s="57">
        <v>5.222542291507809E-2</v>
      </c>
      <c r="J1832" s="5" t="s">
        <v>3007</v>
      </c>
    </row>
    <row r="1833" spans="1:10" x14ac:dyDescent="0.2">
      <c r="A1833" s="1" t="s">
        <v>20</v>
      </c>
      <c r="B1833" s="2" t="s">
        <v>51</v>
      </c>
      <c r="C1833" s="1"/>
      <c r="D1833" s="5" t="s">
        <v>450</v>
      </c>
      <c r="E1833" s="3">
        <v>147000</v>
      </c>
      <c r="F1833" s="3">
        <v>149000</v>
      </c>
      <c r="G1833" s="57">
        <v>1.3605442176870748E-2</v>
      </c>
      <c r="J1833" s="5" t="s">
        <v>1830</v>
      </c>
    </row>
    <row r="1834" spans="1:10" ht="25.5" x14ac:dyDescent="0.2">
      <c r="A1834" s="1" t="s">
        <v>44</v>
      </c>
      <c r="B1834" s="2" t="s">
        <v>73</v>
      </c>
      <c r="C1834" s="1"/>
      <c r="D1834" s="5" t="s">
        <v>1955</v>
      </c>
      <c r="E1834" s="3">
        <v>101629</v>
      </c>
      <c r="F1834" s="3">
        <v>148978</v>
      </c>
      <c r="G1834" s="57">
        <v>0.4659004811618731</v>
      </c>
      <c r="J1834" s="5" t="s">
        <v>3797</v>
      </c>
    </row>
    <row r="1835" spans="1:10" ht="25.5" x14ac:dyDescent="0.2">
      <c r="A1835" s="13" t="s">
        <v>1</v>
      </c>
      <c r="B1835" s="12" t="s">
        <v>92</v>
      </c>
      <c r="C1835" s="1" t="s">
        <v>2248</v>
      </c>
      <c r="D1835" s="5" t="s">
        <v>2077</v>
      </c>
      <c r="E1835" s="3">
        <v>144616</v>
      </c>
      <c r="F1835" s="3">
        <v>148971</v>
      </c>
      <c r="G1835" s="57">
        <v>3.011423355645295E-2</v>
      </c>
      <c r="J1835" s="30" t="s">
        <v>3836</v>
      </c>
    </row>
    <row r="1836" spans="1:10" ht="25.5" x14ac:dyDescent="0.2">
      <c r="A1836" s="13" t="s">
        <v>1</v>
      </c>
      <c r="B1836" s="12" t="s">
        <v>92</v>
      </c>
      <c r="C1836" s="1" t="s">
        <v>2249</v>
      </c>
      <c r="D1836" s="5" t="s">
        <v>2078</v>
      </c>
      <c r="E1836" s="3">
        <v>144616</v>
      </c>
      <c r="F1836" s="3">
        <v>148971</v>
      </c>
      <c r="G1836" s="57">
        <v>3.011423355645295E-2</v>
      </c>
      <c r="J1836" s="30" t="s">
        <v>3836</v>
      </c>
    </row>
    <row r="1837" spans="1:10" ht="25.5" x14ac:dyDescent="0.2">
      <c r="A1837" s="13" t="s">
        <v>1</v>
      </c>
      <c r="B1837" s="12" t="s">
        <v>92</v>
      </c>
      <c r="C1837" s="1" t="s">
        <v>2250</v>
      </c>
      <c r="D1837" s="5" t="s">
        <v>2079</v>
      </c>
      <c r="E1837" s="3">
        <v>145480</v>
      </c>
      <c r="F1837" s="3">
        <v>148971</v>
      </c>
      <c r="G1837" s="57">
        <v>2.3996425625515534E-2</v>
      </c>
      <c r="J1837" s="30" t="s">
        <v>3836</v>
      </c>
    </row>
    <row r="1838" spans="1:10" ht="25.5" x14ac:dyDescent="0.2">
      <c r="A1838" s="13" t="s">
        <v>1</v>
      </c>
      <c r="B1838" s="12" t="s">
        <v>92</v>
      </c>
      <c r="C1838" s="1" t="s">
        <v>2251</v>
      </c>
      <c r="D1838" s="5" t="s">
        <v>2080</v>
      </c>
      <c r="E1838" s="3">
        <v>144616</v>
      </c>
      <c r="F1838" s="3">
        <v>148971</v>
      </c>
      <c r="G1838" s="57">
        <v>3.011423355645295E-2</v>
      </c>
      <c r="J1838" s="30" t="s">
        <v>3836</v>
      </c>
    </row>
    <row r="1839" spans="1:10" ht="38.25" x14ac:dyDescent="0.2">
      <c r="A1839" s="1" t="s">
        <v>34</v>
      </c>
      <c r="B1839" s="2" t="s">
        <v>170</v>
      </c>
      <c r="D1839" s="5" t="s">
        <v>4072</v>
      </c>
      <c r="E1839" s="3">
        <v>121825</v>
      </c>
      <c r="F1839" s="3">
        <v>148926</v>
      </c>
      <c r="G1839" s="57">
        <v>0.2224584444900472</v>
      </c>
      <c r="J1839" s="5" t="s">
        <v>4348</v>
      </c>
    </row>
    <row r="1840" spans="1:10" ht="38.25" x14ac:dyDescent="0.2">
      <c r="A1840" s="1" t="s">
        <v>4</v>
      </c>
      <c r="B1840" s="2" t="s">
        <v>191</v>
      </c>
      <c r="D1840" s="5" t="s">
        <v>3494</v>
      </c>
      <c r="E1840" s="9">
        <v>131704</v>
      </c>
      <c r="F1840" s="9">
        <v>148875</v>
      </c>
      <c r="G1840" s="57">
        <v>0.13037569094332746</v>
      </c>
      <c r="J1840" s="5" t="s">
        <v>3495</v>
      </c>
    </row>
    <row r="1841" spans="1:10" ht="25.5" x14ac:dyDescent="0.2">
      <c r="A1841" s="1" t="s">
        <v>39</v>
      </c>
      <c r="B1841" s="2" t="s">
        <v>370</v>
      </c>
      <c r="D1841" s="5" t="s">
        <v>762</v>
      </c>
      <c r="E1841" s="3" t="s">
        <v>465</v>
      </c>
      <c r="F1841" s="3">
        <v>148870</v>
      </c>
      <c r="G1841" s="57" t="s">
        <v>465</v>
      </c>
      <c r="J1841" s="5" t="s">
        <v>2560</v>
      </c>
    </row>
    <row r="1842" spans="1:10" ht="25.5" x14ac:dyDescent="0.2">
      <c r="A1842" s="1" t="s">
        <v>4</v>
      </c>
      <c r="B1842" s="2" t="s">
        <v>255</v>
      </c>
      <c r="D1842" s="5" t="s">
        <v>450</v>
      </c>
      <c r="E1842" s="3">
        <v>165412</v>
      </c>
      <c r="F1842" s="3">
        <v>148734</v>
      </c>
      <c r="G1842" s="57">
        <v>-0.10082702585060334</v>
      </c>
      <c r="J1842" s="5" t="s">
        <v>3104</v>
      </c>
    </row>
    <row r="1843" spans="1:10" x14ac:dyDescent="0.2">
      <c r="A1843" s="1" t="s">
        <v>44</v>
      </c>
      <c r="B1843" s="2" t="s">
        <v>75</v>
      </c>
      <c r="C1843" s="1"/>
      <c r="D1843" s="5" t="s">
        <v>4609</v>
      </c>
      <c r="E1843" s="3">
        <v>147637</v>
      </c>
      <c r="F1843" s="3">
        <v>148710</v>
      </c>
      <c r="G1843" s="57">
        <v>7.2678258160217288E-3</v>
      </c>
      <c r="J1843" s="5" t="s">
        <v>3811</v>
      </c>
    </row>
    <row r="1844" spans="1:10" ht="25.5" x14ac:dyDescent="0.2">
      <c r="A1844" s="1" t="s">
        <v>28</v>
      </c>
      <c r="B1844" s="2" t="s">
        <v>273</v>
      </c>
      <c r="D1844" s="5" t="s">
        <v>1116</v>
      </c>
      <c r="E1844" s="3">
        <v>97711</v>
      </c>
      <c r="F1844" s="3">
        <v>148684</v>
      </c>
      <c r="G1844" s="57">
        <v>0.52167105034233607</v>
      </c>
      <c r="J1844" s="5" t="s">
        <v>3046</v>
      </c>
    </row>
    <row r="1845" spans="1:10" ht="25.5" x14ac:dyDescent="0.2">
      <c r="A1845" s="1" t="s">
        <v>6</v>
      </c>
      <c r="B1845" s="2" t="s">
        <v>42</v>
      </c>
      <c r="C1845" s="1"/>
      <c r="D1845" s="5" t="s">
        <v>1785</v>
      </c>
      <c r="E1845" s="3" t="s">
        <v>465</v>
      </c>
      <c r="F1845" s="3">
        <v>148654</v>
      </c>
      <c r="G1845" s="57" t="s">
        <v>465</v>
      </c>
      <c r="J1845" s="5" t="s">
        <v>1786</v>
      </c>
    </row>
    <row r="1846" spans="1:10" ht="25.5" x14ac:dyDescent="0.2">
      <c r="A1846" s="1" t="s">
        <v>20</v>
      </c>
      <c r="B1846" s="2" t="s">
        <v>394</v>
      </c>
      <c r="D1846" s="5" t="s">
        <v>456</v>
      </c>
      <c r="E1846" s="3">
        <v>63202</v>
      </c>
      <c r="F1846" s="3">
        <v>148632</v>
      </c>
      <c r="G1846" s="57">
        <v>1.3516977310844593</v>
      </c>
      <c r="J1846" s="5" t="s">
        <v>4499</v>
      </c>
    </row>
    <row r="1847" spans="1:10" ht="25.5" x14ac:dyDescent="0.2">
      <c r="A1847" s="1" t="s">
        <v>20</v>
      </c>
      <c r="B1847" s="2" t="s">
        <v>361</v>
      </c>
      <c r="D1847" s="5" t="s">
        <v>783</v>
      </c>
      <c r="E1847" s="3">
        <v>144437</v>
      </c>
      <c r="F1847" s="3">
        <v>148585</v>
      </c>
      <c r="G1847" s="57">
        <v>2.8718403179240775E-2</v>
      </c>
      <c r="J1847" s="5" t="s">
        <v>2620</v>
      </c>
    </row>
    <row r="1848" spans="1:10" ht="25.5" x14ac:dyDescent="0.2">
      <c r="A1848" s="1" t="s">
        <v>1</v>
      </c>
      <c r="B1848" s="2" t="s">
        <v>295</v>
      </c>
      <c r="C1848" s="5" t="s">
        <v>1004</v>
      </c>
      <c r="D1848" s="5" t="s">
        <v>450</v>
      </c>
      <c r="E1848" s="3">
        <v>151864</v>
      </c>
      <c r="F1848" s="3">
        <v>148517</v>
      </c>
      <c r="G1848" s="57">
        <v>-2.2039456355686667E-2</v>
      </c>
      <c r="J1848" s="5" t="s">
        <v>2891</v>
      </c>
    </row>
    <row r="1849" spans="1:10" ht="25.5" x14ac:dyDescent="0.2">
      <c r="A1849" s="1" t="s">
        <v>4</v>
      </c>
      <c r="B1849" s="2" t="s">
        <v>182</v>
      </c>
      <c r="D1849" s="5" t="s">
        <v>949</v>
      </c>
      <c r="E1849" s="9">
        <v>149307</v>
      </c>
      <c r="F1849" s="9">
        <v>148319</v>
      </c>
      <c r="G1849" s="57">
        <v>-6.6172383076480001E-3</v>
      </c>
      <c r="J1849" s="5" t="s">
        <v>3539</v>
      </c>
    </row>
    <row r="1850" spans="1:10" ht="25.5" x14ac:dyDescent="0.2">
      <c r="A1850" s="1" t="s">
        <v>8</v>
      </c>
      <c r="B1850" s="2" t="s">
        <v>285</v>
      </c>
      <c r="D1850" s="5" t="s">
        <v>1049</v>
      </c>
      <c r="E1850" s="3">
        <v>146940</v>
      </c>
      <c r="F1850" s="3">
        <v>148314</v>
      </c>
      <c r="G1850" s="57">
        <v>9.350755410371581E-3</v>
      </c>
      <c r="J1850" s="5" t="s">
        <v>2961</v>
      </c>
    </row>
    <row r="1851" spans="1:10" ht="25.5" x14ac:dyDescent="0.2">
      <c r="A1851" s="1" t="s">
        <v>1</v>
      </c>
      <c r="B1851" s="2" t="s">
        <v>348</v>
      </c>
      <c r="C1851" s="5" t="s">
        <v>845</v>
      </c>
      <c r="D1851" s="5" t="s">
        <v>529</v>
      </c>
      <c r="E1851" s="36">
        <v>147771</v>
      </c>
      <c r="F1851" s="3">
        <v>148261</v>
      </c>
      <c r="G1851" s="57">
        <v>3.3159415582218431E-3</v>
      </c>
      <c r="J1851" s="5" t="s">
        <v>2684</v>
      </c>
    </row>
    <row r="1852" spans="1:10" ht="25.5" x14ac:dyDescent="0.2">
      <c r="A1852" s="1" t="s">
        <v>4</v>
      </c>
      <c r="B1852" s="2" t="s">
        <v>356</v>
      </c>
      <c r="C1852" s="5" t="s">
        <v>827</v>
      </c>
      <c r="D1852" s="5" t="s">
        <v>4687</v>
      </c>
      <c r="E1852" s="3">
        <v>143604</v>
      </c>
      <c r="F1852" s="3">
        <v>148239</v>
      </c>
      <c r="G1852" s="57">
        <v>3.2276259714214085E-2</v>
      </c>
      <c r="J1852" s="5" t="s">
        <v>2652</v>
      </c>
    </row>
    <row r="1853" spans="1:10" x14ac:dyDescent="0.2">
      <c r="A1853" s="1" t="s">
        <v>25</v>
      </c>
      <c r="B1853" s="2" t="s">
        <v>175</v>
      </c>
      <c r="D1853" s="5" t="s">
        <v>1514</v>
      </c>
      <c r="E1853" s="9">
        <v>148125</v>
      </c>
      <c r="F1853" s="9">
        <v>148191.67000000001</v>
      </c>
      <c r="G1853" s="57">
        <v>4.5009282700430588E-4</v>
      </c>
      <c r="J1853" s="5" t="s">
        <v>3580</v>
      </c>
    </row>
    <row r="1854" spans="1:10" x14ac:dyDescent="0.2">
      <c r="A1854" s="1" t="s">
        <v>25</v>
      </c>
      <c r="B1854" s="2" t="s">
        <v>175</v>
      </c>
      <c r="D1854" s="5" t="s">
        <v>1515</v>
      </c>
      <c r="E1854" s="9">
        <v>148125</v>
      </c>
      <c r="F1854" s="9">
        <v>148125</v>
      </c>
      <c r="G1854" s="57">
        <v>0</v>
      </c>
      <c r="J1854" s="5" t="s">
        <v>3581</v>
      </c>
    </row>
    <row r="1855" spans="1:10" x14ac:dyDescent="0.2">
      <c r="A1855" s="1" t="s">
        <v>25</v>
      </c>
      <c r="B1855" s="2" t="s">
        <v>175</v>
      </c>
      <c r="D1855" s="5" t="s">
        <v>1516</v>
      </c>
      <c r="E1855" s="9">
        <v>148094.5</v>
      </c>
      <c r="F1855" s="9">
        <v>148125</v>
      </c>
      <c r="G1855" s="57">
        <v>2.0594957949147334E-4</v>
      </c>
      <c r="J1855" s="5" t="s">
        <v>3581</v>
      </c>
    </row>
    <row r="1856" spans="1:10" ht="25.5" x14ac:dyDescent="0.2">
      <c r="A1856" s="1" t="s">
        <v>1</v>
      </c>
      <c r="B1856" s="2" t="s">
        <v>168</v>
      </c>
      <c r="C1856" s="5" t="s">
        <v>1564</v>
      </c>
      <c r="D1856" s="5" t="s">
        <v>1565</v>
      </c>
      <c r="E1856" s="3">
        <v>141202</v>
      </c>
      <c r="F1856" s="3">
        <v>148120</v>
      </c>
      <c r="G1856" s="57">
        <v>4.8993640316709393E-2</v>
      </c>
      <c r="J1856" s="5" t="s">
        <v>4060</v>
      </c>
    </row>
    <row r="1857" spans="1:10" ht="25.5" x14ac:dyDescent="0.2">
      <c r="A1857" s="1" t="s">
        <v>25</v>
      </c>
      <c r="B1857" s="2" t="s">
        <v>150</v>
      </c>
      <c r="C1857" s="1"/>
      <c r="D1857" s="5" t="s">
        <v>942</v>
      </c>
      <c r="E1857" s="3">
        <v>144365.04</v>
      </c>
      <c r="F1857" s="3">
        <v>148026.51</v>
      </c>
      <c r="G1857" s="57">
        <v>2.5362580857526178E-2</v>
      </c>
      <c r="J1857" s="5" t="s">
        <v>4000</v>
      </c>
    </row>
    <row r="1858" spans="1:10" ht="25.5" x14ac:dyDescent="0.2">
      <c r="A1858" s="1" t="s">
        <v>8</v>
      </c>
      <c r="B1858" s="2" t="s">
        <v>117</v>
      </c>
      <c r="C1858" s="1"/>
      <c r="D1858" s="5" t="s">
        <v>450</v>
      </c>
      <c r="E1858" s="3">
        <v>148000</v>
      </c>
      <c r="F1858" s="3">
        <v>148000</v>
      </c>
      <c r="G1858" s="57">
        <v>0</v>
      </c>
      <c r="J1858" s="5" t="s">
        <v>3911</v>
      </c>
    </row>
    <row r="1859" spans="1:10" ht="25.5" x14ac:dyDescent="0.2">
      <c r="A1859" s="1" t="s">
        <v>28</v>
      </c>
      <c r="B1859" s="2" t="s">
        <v>142</v>
      </c>
      <c r="C1859" s="1"/>
      <c r="D1859" s="5" t="s">
        <v>1648</v>
      </c>
      <c r="E1859" s="3">
        <v>147000</v>
      </c>
      <c r="F1859" s="3">
        <v>148000</v>
      </c>
      <c r="G1859" s="57">
        <v>6.8027210884353739E-3</v>
      </c>
      <c r="J1859" s="5" t="s">
        <v>3981</v>
      </c>
    </row>
    <row r="1860" spans="1:10" ht="25.5" x14ac:dyDescent="0.2">
      <c r="A1860" s="1" t="s">
        <v>39</v>
      </c>
      <c r="B1860" s="2" t="s">
        <v>434</v>
      </c>
      <c r="D1860" s="5" t="s">
        <v>478</v>
      </c>
      <c r="E1860" s="3">
        <v>91843</v>
      </c>
      <c r="F1860" s="3">
        <v>147798</v>
      </c>
      <c r="G1860" s="57">
        <v>0.60924621364720233</v>
      </c>
      <c r="J1860" s="5" t="s">
        <v>2275</v>
      </c>
    </row>
    <row r="1861" spans="1:10" x14ac:dyDescent="0.2">
      <c r="A1861" s="1" t="s">
        <v>6</v>
      </c>
      <c r="B1861" s="2" t="s">
        <v>237</v>
      </c>
      <c r="D1861" s="14" t="s">
        <v>1229</v>
      </c>
      <c r="E1861" s="10">
        <v>148111</v>
      </c>
      <c r="F1861" s="10">
        <v>147682</v>
      </c>
      <c r="G1861" s="57">
        <v>-2.8964762914300761E-3</v>
      </c>
      <c r="J1861" s="5" t="s">
        <v>3190</v>
      </c>
    </row>
    <row r="1862" spans="1:10" x14ac:dyDescent="0.2">
      <c r="A1862" s="1" t="s">
        <v>4</v>
      </c>
      <c r="B1862" s="2" t="s">
        <v>249</v>
      </c>
      <c r="D1862" s="5" t="s">
        <v>1188</v>
      </c>
      <c r="E1862" s="3">
        <v>134809</v>
      </c>
      <c r="F1862" s="3">
        <v>147657</v>
      </c>
      <c r="G1862" s="57">
        <v>9.5305209592831341E-2</v>
      </c>
      <c r="J1862" s="5" t="s">
        <v>3124</v>
      </c>
    </row>
    <row r="1863" spans="1:10" ht="38.25" x14ac:dyDescent="0.2">
      <c r="A1863" s="1" t="s">
        <v>39</v>
      </c>
      <c r="B1863" s="2" t="s">
        <v>370</v>
      </c>
      <c r="D1863" s="5" t="s">
        <v>763</v>
      </c>
      <c r="E1863" s="3" t="s">
        <v>465</v>
      </c>
      <c r="F1863" s="3">
        <v>147641</v>
      </c>
      <c r="G1863" s="57" t="s">
        <v>465</v>
      </c>
      <c r="J1863" s="5" t="s">
        <v>2561</v>
      </c>
    </row>
    <row r="1864" spans="1:10" ht="25.5" x14ac:dyDescent="0.2">
      <c r="A1864" s="1" t="s">
        <v>4</v>
      </c>
      <c r="B1864" s="2" t="s">
        <v>377</v>
      </c>
      <c r="C1864" s="5" t="s">
        <v>732</v>
      </c>
      <c r="D1864" s="5" t="s">
        <v>733</v>
      </c>
      <c r="E1864" s="3">
        <v>125330</v>
      </c>
      <c r="F1864" s="3">
        <v>147611</v>
      </c>
      <c r="G1864" s="57">
        <v>0.17777866432617889</v>
      </c>
      <c r="J1864" s="5" t="s">
        <v>2882</v>
      </c>
    </row>
    <row r="1865" spans="1:10" ht="38.25" x14ac:dyDescent="0.2">
      <c r="A1865" s="1" t="s">
        <v>111</v>
      </c>
      <c r="B1865" s="2" t="s">
        <v>369</v>
      </c>
      <c r="D1865" s="5" t="s">
        <v>769</v>
      </c>
      <c r="E1865" s="3">
        <v>96569</v>
      </c>
      <c r="F1865" s="3">
        <v>147598</v>
      </c>
      <c r="G1865" s="57">
        <v>0.52842009340471585</v>
      </c>
      <c r="J1865" s="5" t="s">
        <v>2566</v>
      </c>
    </row>
    <row r="1866" spans="1:10" ht="25.5" x14ac:dyDescent="0.2">
      <c r="A1866" s="1" t="s">
        <v>39</v>
      </c>
      <c r="B1866" s="2" t="s">
        <v>409</v>
      </c>
      <c r="D1866" s="5" t="s">
        <v>2378</v>
      </c>
      <c r="E1866" s="3">
        <v>146566</v>
      </c>
      <c r="F1866" s="3">
        <v>147586</v>
      </c>
      <c r="G1866" s="57">
        <v>6.9593220801550159E-3</v>
      </c>
      <c r="J1866" s="5" t="s">
        <v>2383</v>
      </c>
    </row>
    <row r="1867" spans="1:10" ht="25.5" x14ac:dyDescent="0.2">
      <c r="A1867" s="1" t="s">
        <v>111</v>
      </c>
      <c r="B1867" s="2" t="s">
        <v>166</v>
      </c>
      <c r="D1867" s="5" t="s">
        <v>1583</v>
      </c>
      <c r="E1867" s="3">
        <v>140469</v>
      </c>
      <c r="F1867" s="3">
        <v>147523</v>
      </c>
      <c r="G1867" s="57">
        <v>5.0217485708590505E-2</v>
      </c>
      <c r="J1867" s="5" t="s">
        <v>4055</v>
      </c>
    </row>
    <row r="1868" spans="1:10" x14ac:dyDescent="0.2">
      <c r="A1868" s="1" t="s">
        <v>25</v>
      </c>
      <c r="B1868" s="2" t="s">
        <v>26</v>
      </c>
      <c r="C1868" s="1"/>
      <c r="D1868" s="5" t="s">
        <v>464</v>
      </c>
      <c r="E1868" s="58" t="s">
        <v>465</v>
      </c>
      <c r="F1868" s="3">
        <v>147500</v>
      </c>
      <c r="G1868" s="57" t="s">
        <v>465</v>
      </c>
      <c r="J1868" s="1"/>
    </row>
    <row r="1869" spans="1:10" x14ac:dyDescent="0.2">
      <c r="A1869" s="1" t="s">
        <v>25</v>
      </c>
      <c r="B1869" s="2" t="s">
        <v>26</v>
      </c>
      <c r="C1869" s="1"/>
      <c r="D1869" s="5" t="s">
        <v>464</v>
      </c>
      <c r="E1869" s="58" t="s">
        <v>465</v>
      </c>
      <c r="F1869" s="3">
        <v>147500</v>
      </c>
      <c r="G1869" s="57" t="s">
        <v>465</v>
      </c>
    </row>
    <row r="1870" spans="1:10" x14ac:dyDescent="0.2">
      <c r="A1870" s="1" t="s">
        <v>39</v>
      </c>
      <c r="B1870" s="2" t="s">
        <v>38</v>
      </c>
      <c r="C1870" s="1"/>
      <c r="D1870" s="5" t="s">
        <v>464</v>
      </c>
      <c r="E1870" s="3" t="s">
        <v>465</v>
      </c>
      <c r="F1870" s="3">
        <v>147500</v>
      </c>
      <c r="G1870" s="57" t="s">
        <v>465</v>
      </c>
    </row>
    <row r="1871" spans="1:10" x14ac:dyDescent="0.2">
      <c r="A1871" s="1" t="s">
        <v>39</v>
      </c>
      <c r="B1871" s="2" t="s">
        <v>103</v>
      </c>
      <c r="C1871" s="1"/>
      <c r="D1871" s="5" t="s">
        <v>464</v>
      </c>
      <c r="E1871" s="3" t="s">
        <v>465</v>
      </c>
      <c r="F1871" s="3">
        <v>147500</v>
      </c>
      <c r="G1871" s="57" t="s">
        <v>465</v>
      </c>
    </row>
    <row r="1872" spans="1:10" x14ac:dyDescent="0.2">
      <c r="A1872" s="1" t="s">
        <v>25</v>
      </c>
      <c r="B1872" s="2" t="s">
        <v>175</v>
      </c>
      <c r="D1872" s="5" t="s">
        <v>464</v>
      </c>
      <c r="E1872" s="3" t="s">
        <v>465</v>
      </c>
      <c r="F1872" s="3">
        <v>147500</v>
      </c>
      <c r="G1872" s="57" t="s">
        <v>465</v>
      </c>
    </row>
    <row r="1873" spans="1:10" x14ac:dyDescent="0.2">
      <c r="A1873" s="1" t="s">
        <v>25</v>
      </c>
      <c r="B1873" s="2" t="s">
        <v>178</v>
      </c>
      <c r="D1873" s="5" t="s">
        <v>464</v>
      </c>
      <c r="E1873" s="3" t="s">
        <v>465</v>
      </c>
      <c r="F1873" s="3">
        <v>147500</v>
      </c>
      <c r="G1873" s="57" t="s">
        <v>465</v>
      </c>
    </row>
    <row r="1874" spans="1:10" x14ac:dyDescent="0.2">
      <c r="A1874" s="1" t="s">
        <v>4</v>
      </c>
      <c r="B1874" s="2" t="s">
        <v>182</v>
      </c>
      <c r="D1874" s="5" t="s">
        <v>464</v>
      </c>
      <c r="E1874" s="3" t="s">
        <v>465</v>
      </c>
      <c r="F1874" s="3">
        <v>147500</v>
      </c>
      <c r="G1874" s="57" t="s">
        <v>465</v>
      </c>
      <c r="J1874" s="5" t="s">
        <v>1475</v>
      </c>
    </row>
    <row r="1875" spans="1:10" x14ac:dyDescent="0.2">
      <c r="A1875" s="1" t="s">
        <v>4</v>
      </c>
      <c r="B1875" s="2" t="s">
        <v>182</v>
      </c>
      <c r="D1875" s="5" t="s">
        <v>464</v>
      </c>
      <c r="E1875" s="3" t="s">
        <v>465</v>
      </c>
      <c r="F1875" s="3">
        <v>147500</v>
      </c>
      <c r="G1875" s="57" t="s">
        <v>465</v>
      </c>
      <c r="J1875" s="5" t="s">
        <v>1475</v>
      </c>
    </row>
    <row r="1876" spans="1:10" x14ac:dyDescent="0.2">
      <c r="A1876" s="1" t="s">
        <v>25</v>
      </c>
      <c r="B1876" s="2" t="s">
        <v>208</v>
      </c>
      <c r="D1876" s="5" t="s">
        <v>464</v>
      </c>
      <c r="E1876" s="3" t="s">
        <v>465</v>
      </c>
      <c r="F1876" s="3">
        <v>147500</v>
      </c>
      <c r="G1876" s="57" t="s">
        <v>465</v>
      </c>
    </row>
    <row r="1877" spans="1:10" x14ac:dyDescent="0.2">
      <c r="A1877" s="1" t="s">
        <v>8</v>
      </c>
      <c r="B1877" s="2" t="s">
        <v>229</v>
      </c>
      <c r="D1877" s="5" t="s">
        <v>464</v>
      </c>
      <c r="E1877" s="3" t="s">
        <v>465</v>
      </c>
      <c r="F1877" s="3">
        <v>147500</v>
      </c>
      <c r="G1877" s="57" t="s">
        <v>465</v>
      </c>
      <c r="J1877" s="5" t="s">
        <v>539</v>
      </c>
    </row>
    <row r="1878" spans="1:10" x14ac:dyDescent="0.2">
      <c r="A1878" s="1" t="s">
        <v>8</v>
      </c>
      <c r="B1878" s="2" t="s">
        <v>229</v>
      </c>
      <c r="D1878" s="5" t="s">
        <v>464</v>
      </c>
      <c r="E1878" s="3" t="s">
        <v>465</v>
      </c>
      <c r="F1878" s="3">
        <v>147500</v>
      </c>
      <c r="G1878" s="57" t="s">
        <v>465</v>
      </c>
      <c r="J1878" s="5" t="s">
        <v>539</v>
      </c>
    </row>
    <row r="1879" spans="1:10" x14ac:dyDescent="0.2">
      <c r="A1879" s="1" t="s">
        <v>6</v>
      </c>
      <c r="B1879" s="2" t="s">
        <v>237</v>
      </c>
      <c r="D1879" s="7" t="s">
        <v>464</v>
      </c>
      <c r="E1879" s="6" t="s">
        <v>465</v>
      </c>
      <c r="F1879" s="6">
        <v>147500</v>
      </c>
      <c r="G1879" s="57" t="s">
        <v>465</v>
      </c>
      <c r="H1879" s="21"/>
      <c r="I1879" s="21"/>
      <c r="J1879" s="7" t="s">
        <v>539</v>
      </c>
    </row>
    <row r="1880" spans="1:10" x14ac:dyDescent="0.2">
      <c r="A1880" s="1" t="s">
        <v>8</v>
      </c>
      <c r="B1880" s="2" t="s">
        <v>284</v>
      </c>
      <c r="D1880" s="5" t="s">
        <v>464</v>
      </c>
      <c r="E1880" s="3" t="s">
        <v>465</v>
      </c>
      <c r="F1880" s="3">
        <v>147500</v>
      </c>
      <c r="G1880" s="57" t="s">
        <v>465</v>
      </c>
      <c r="J1880" s="1"/>
    </row>
    <row r="1881" spans="1:10" x14ac:dyDescent="0.2">
      <c r="A1881" s="1" t="s">
        <v>44</v>
      </c>
      <c r="B1881" s="2" t="s">
        <v>309</v>
      </c>
      <c r="D1881" s="5" t="s">
        <v>464</v>
      </c>
      <c r="E1881" s="3" t="s">
        <v>465</v>
      </c>
      <c r="F1881" s="3">
        <v>147500</v>
      </c>
      <c r="G1881" s="57" t="s">
        <v>465</v>
      </c>
      <c r="J1881" s="5" t="s">
        <v>539</v>
      </c>
    </row>
    <row r="1882" spans="1:10" x14ac:dyDescent="0.2">
      <c r="A1882" s="1" t="s">
        <v>39</v>
      </c>
      <c r="B1882" s="2" t="s">
        <v>325</v>
      </c>
      <c r="D1882" s="5" t="s">
        <v>464</v>
      </c>
      <c r="F1882" s="3">
        <v>147500</v>
      </c>
      <c r="G1882" s="57" t="s">
        <v>465</v>
      </c>
      <c r="J1882" s="5" t="s">
        <v>1241</v>
      </c>
    </row>
    <row r="1883" spans="1:10" x14ac:dyDescent="0.2">
      <c r="A1883" s="1" t="s">
        <v>4</v>
      </c>
      <c r="B1883" s="2" t="s">
        <v>336</v>
      </c>
      <c r="D1883" s="5" t="s">
        <v>464</v>
      </c>
      <c r="E1883" s="3" t="s">
        <v>465</v>
      </c>
      <c r="F1883" s="3">
        <v>147500</v>
      </c>
      <c r="G1883" s="57" t="s">
        <v>465</v>
      </c>
    </row>
    <row r="1884" spans="1:10" x14ac:dyDescent="0.2">
      <c r="A1884" s="1" t="s">
        <v>39</v>
      </c>
      <c r="B1884" s="2" t="s">
        <v>364</v>
      </c>
      <c r="D1884" s="5" t="s">
        <v>464</v>
      </c>
      <c r="E1884" s="3" t="s">
        <v>465</v>
      </c>
      <c r="F1884" s="3">
        <v>147500</v>
      </c>
      <c r="G1884" s="57" t="s">
        <v>465</v>
      </c>
    </row>
    <row r="1885" spans="1:10" x14ac:dyDescent="0.2">
      <c r="A1885" s="1" t="s">
        <v>39</v>
      </c>
      <c r="B1885" s="2" t="s">
        <v>370</v>
      </c>
      <c r="D1885" s="5" t="s">
        <v>464</v>
      </c>
      <c r="E1885" s="3" t="s">
        <v>465</v>
      </c>
      <c r="F1885" s="3">
        <v>147500</v>
      </c>
      <c r="G1885" s="57" t="s">
        <v>465</v>
      </c>
    </row>
    <row r="1886" spans="1:10" x14ac:dyDescent="0.2">
      <c r="A1886" s="1" t="s">
        <v>39</v>
      </c>
      <c r="B1886" s="2" t="s">
        <v>409</v>
      </c>
      <c r="D1886" s="5" t="s">
        <v>587</v>
      </c>
      <c r="E1886" s="3" t="s">
        <v>465</v>
      </c>
      <c r="F1886" s="3">
        <v>147500</v>
      </c>
      <c r="G1886" s="57" t="s">
        <v>465</v>
      </c>
      <c r="J1886" s="5" t="s">
        <v>540</v>
      </c>
    </row>
    <row r="1887" spans="1:10" x14ac:dyDescent="0.2">
      <c r="A1887" s="1" t="s">
        <v>39</v>
      </c>
      <c r="B1887" s="2" t="s">
        <v>433</v>
      </c>
      <c r="D1887" s="7" t="s">
        <v>464</v>
      </c>
      <c r="E1887" s="3" t="s">
        <v>465</v>
      </c>
      <c r="F1887" s="3">
        <v>147500</v>
      </c>
      <c r="G1887" s="57" t="s">
        <v>465</v>
      </c>
      <c r="J1887" s="5" t="s">
        <v>539</v>
      </c>
    </row>
    <row r="1888" spans="1:10" x14ac:dyDescent="0.2">
      <c r="A1888" s="1" t="s">
        <v>4</v>
      </c>
      <c r="B1888" s="2" t="s">
        <v>377</v>
      </c>
      <c r="C1888" s="5" t="s">
        <v>736</v>
      </c>
      <c r="D1888" s="5" t="s">
        <v>737</v>
      </c>
      <c r="E1888" s="3">
        <v>147647</v>
      </c>
      <c r="F1888" s="3">
        <v>147447</v>
      </c>
      <c r="G1888" s="57">
        <v>-1.3545822129809614E-3</v>
      </c>
      <c r="J1888" s="5" t="s">
        <v>2531</v>
      </c>
    </row>
    <row r="1889" spans="1:10" ht="25.5" x14ac:dyDescent="0.2">
      <c r="A1889" s="1" t="s">
        <v>25</v>
      </c>
      <c r="B1889" s="2" t="s">
        <v>379</v>
      </c>
      <c r="D1889" s="5" t="s">
        <v>496</v>
      </c>
      <c r="E1889" s="3" t="s">
        <v>465</v>
      </c>
      <c r="F1889" s="3">
        <v>147331</v>
      </c>
      <c r="G1889" s="57" t="s">
        <v>465</v>
      </c>
      <c r="J1889" s="5" t="s">
        <v>4478</v>
      </c>
    </row>
    <row r="1890" spans="1:10" ht="25.5" x14ac:dyDescent="0.2">
      <c r="A1890" s="1" t="s">
        <v>4</v>
      </c>
      <c r="B1890" s="2" t="s">
        <v>356</v>
      </c>
      <c r="C1890" s="5" t="s">
        <v>828</v>
      </c>
      <c r="D1890" s="5" t="s">
        <v>829</v>
      </c>
      <c r="E1890" s="3">
        <v>142512</v>
      </c>
      <c r="F1890" s="3">
        <v>147324</v>
      </c>
      <c r="G1890" s="57">
        <v>3.3765577635567534E-2</v>
      </c>
      <c r="J1890" s="5" t="s">
        <v>2653</v>
      </c>
    </row>
    <row r="1891" spans="1:10" x14ac:dyDescent="0.2">
      <c r="A1891" s="1" t="s">
        <v>39</v>
      </c>
      <c r="B1891" s="2" t="s">
        <v>435</v>
      </c>
      <c r="D1891" s="5" t="s">
        <v>475</v>
      </c>
      <c r="E1891" s="3">
        <v>146421</v>
      </c>
      <c r="F1891" s="3">
        <v>147291</v>
      </c>
      <c r="G1891" s="57">
        <v>5.9417706476530005E-3</v>
      </c>
      <c r="J1891" s="5" t="s">
        <v>2270</v>
      </c>
    </row>
    <row r="1892" spans="1:10" ht="25.5" x14ac:dyDescent="0.2">
      <c r="A1892" s="1" t="s">
        <v>25</v>
      </c>
      <c r="B1892" s="2" t="s">
        <v>178</v>
      </c>
      <c r="D1892" s="5" t="s">
        <v>1505</v>
      </c>
      <c r="E1892" s="9">
        <v>145555</v>
      </c>
      <c r="F1892" s="9">
        <v>147275</v>
      </c>
      <c r="G1892" s="57">
        <v>1.1816838995568686E-2</v>
      </c>
      <c r="J1892" s="5" t="s">
        <v>3564</v>
      </c>
    </row>
    <row r="1893" spans="1:10" ht="25.5" x14ac:dyDescent="0.2">
      <c r="A1893" s="1" t="s">
        <v>39</v>
      </c>
      <c r="B1893" s="2" t="s">
        <v>335</v>
      </c>
      <c r="D1893" s="5" t="s">
        <v>855</v>
      </c>
      <c r="E1893" s="3">
        <v>139890</v>
      </c>
      <c r="F1893" s="3">
        <v>147265</v>
      </c>
      <c r="G1893" s="57">
        <v>5.2719994281220962E-2</v>
      </c>
      <c r="J1893" s="5" t="s">
        <v>2741</v>
      </c>
    </row>
    <row r="1894" spans="1:10" ht="25.5" x14ac:dyDescent="0.2">
      <c r="A1894" s="1" t="s">
        <v>8</v>
      </c>
      <c r="B1894" s="2" t="s">
        <v>222</v>
      </c>
      <c r="D1894" s="5" t="s">
        <v>4665</v>
      </c>
      <c r="E1894" s="3">
        <v>140209</v>
      </c>
      <c r="F1894" s="3">
        <v>147261</v>
      </c>
      <c r="G1894" s="57">
        <v>5.029634331604961E-2</v>
      </c>
      <c r="J1894" s="5" t="s">
        <v>3262</v>
      </c>
    </row>
    <row r="1895" spans="1:10" ht="25.5" x14ac:dyDescent="0.2">
      <c r="A1895" s="1" t="s">
        <v>28</v>
      </c>
      <c r="B1895" s="2" t="s">
        <v>269</v>
      </c>
      <c r="D1895" s="5" t="s">
        <v>1139</v>
      </c>
      <c r="E1895" s="3">
        <v>125293</v>
      </c>
      <c r="F1895" s="3">
        <v>147238</v>
      </c>
      <c r="G1895" s="57">
        <v>0.17514944968992682</v>
      </c>
      <c r="J1895" s="5" t="s">
        <v>3060</v>
      </c>
    </row>
    <row r="1896" spans="1:10" ht="25.5" x14ac:dyDescent="0.2">
      <c r="A1896" s="1" t="s">
        <v>20</v>
      </c>
      <c r="B1896" s="2" t="s">
        <v>35</v>
      </c>
      <c r="C1896" s="1"/>
      <c r="D1896" s="5" t="s">
        <v>938</v>
      </c>
      <c r="E1896" s="3">
        <v>128734</v>
      </c>
      <c r="F1896" s="3">
        <v>147066</v>
      </c>
      <c r="G1896" s="57">
        <v>0.14240216259884725</v>
      </c>
      <c r="J1896" s="5" t="s">
        <v>1749</v>
      </c>
    </row>
    <row r="1897" spans="1:10" ht="25.5" x14ac:dyDescent="0.2">
      <c r="A1897" s="1" t="s">
        <v>34</v>
      </c>
      <c r="B1897" s="2" t="s">
        <v>298</v>
      </c>
      <c r="D1897" s="5" t="s">
        <v>450</v>
      </c>
      <c r="E1897" s="3">
        <v>146983</v>
      </c>
      <c r="F1897" s="3">
        <v>147020</v>
      </c>
      <c r="G1897" s="57">
        <v>2.5172979188069368E-4</v>
      </c>
      <c r="J1897" s="5" t="s">
        <v>2862</v>
      </c>
    </row>
    <row r="1898" spans="1:10" ht="25.5" x14ac:dyDescent="0.2">
      <c r="A1898" s="1" t="s">
        <v>44</v>
      </c>
      <c r="B1898" s="2" t="s">
        <v>309</v>
      </c>
      <c r="D1898" s="5" t="s">
        <v>945</v>
      </c>
      <c r="E1898" s="3">
        <v>147000</v>
      </c>
      <c r="F1898" s="3">
        <v>147000</v>
      </c>
      <c r="G1898" s="57">
        <v>0</v>
      </c>
      <c r="J1898" s="5" t="s">
        <v>2818</v>
      </c>
    </row>
    <row r="1899" spans="1:10" ht="25.5" x14ac:dyDescent="0.2">
      <c r="A1899" s="1" t="s">
        <v>4</v>
      </c>
      <c r="B1899" s="2" t="s">
        <v>390</v>
      </c>
      <c r="D1899" s="5" t="s">
        <v>450</v>
      </c>
      <c r="E1899" s="3">
        <v>148000</v>
      </c>
      <c r="F1899" s="3">
        <v>147000</v>
      </c>
      <c r="G1899" s="57">
        <v>-6.7567567567567571E-3</v>
      </c>
      <c r="J1899" s="5" t="s">
        <v>2481</v>
      </c>
    </row>
    <row r="1900" spans="1:10" ht="25.5" x14ac:dyDescent="0.2">
      <c r="A1900" s="1" t="s">
        <v>25</v>
      </c>
      <c r="B1900" s="2" t="s">
        <v>405</v>
      </c>
      <c r="D1900" s="5" t="s">
        <v>644</v>
      </c>
      <c r="E1900" s="3">
        <v>117674</v>
      </c>
      <c r="F1900" s="3">
        <v>146994</v>
      </c>
      <c r="G1900" s="57">
        <v>0.24916294168635383</v>
      </c>
      <c r="J1900" s="5" t="s">
        <v>2415</v>
      </c>
    </row>
    <row r="1901" spans="1:10" ht="38.25" x14ac:dyDescent="0.2">
      <c r="A1901" s="1" t="s">
        <v>39</v>
      </c>
      <c r="B1901" s="2" t="s">
        <v>337</v>
      </c>
      <c r="D1901" s="5" t="s">
        <v>873</v>
      </c>
      <c r="E1901" s="3">
        <v>78140</v>
      </c>
      <c r="F1901" s="3">
        <v>146883</v>
      </c>
      <c r="G1901" s="57">
        <v>0.87974148963399024</v>
      </c>
      <c r="J1901" s="5" t="s">
        <v>4446</v>
      </c>
    </row>
    <row r="1902" spans="1:10" ht="25.5" x14ac:dyDescent="0.2">
      <c r="A1902" s="1" t="s">
        <v>39</v>
      </c>
      <c r="B1902" s="2" t="s">
        <v>364</v>
      </c>
      <c r="D1902" s="5" t="s">
        <v>562</v>
      </c>
      <c r="E1902" s="9" t="s">
        <v>465</v>
      </c>
      <c r="F1902" s="9">
        <v>146882</v>
      </c>
      <c r="G1902" s="57" t="s">
        <v>465</v>
      </c>
      <c r="J1902" s="5" t="s">
        <v>2606</v>
      </c>
    </row>
    <row r="1903" spans="1:10" ht="25.5" x14ac:dyDescent="0.2">
      <c r="A1903" s="1" t="s">
        <v>39</v>
      </c>
      <c r="B1903" s="2" t="s">
        <v>409</v>
      </c>
      <c r="D1903" s="5" t="s">
        <v>602</v>
      </c>
      <c r="E1903" s="3">
        <v>146632</v>
      </c>
      <c r="F1903" s="3">
        <v>146876</v>
      </c>
      <c r="G1903" s="57">
        <v>1.6640296797424846E-3</v>
      </c>
      <c r="J1903" s="5" t="s">
        <v>2381</v>
      </c>
    </row>
    <row r="1904" spans="1:10" ht="114.75" x14ac:dyDescent="0.2">
      <c r="A1904" s="1" t="s">
        <v>6</v>
      </c>
      <c r="B1904" s="2" t="s">
        <v>329</v>
      </c>
      <c r="D1904" s="7" t="s">
        <v>895</v>
      </c>
      <c r="E1904" s="6" t="s">
        <v>465</v>
      </c>
      <c r="F1904" s="6">
        <v>146784</v>
      </c>
      <c r="G1904" s="57" t="s">
        <v>465</v>
      </c>
      <c r="J1904" s="5" t="s">
        <v>4443</v>
      </c>
    </row>
    <row r="1905" spans="1:10" ht="127.5" x14ac:dyDescent="0.2">
      <c r="A1905" s="1" t="s">
        <v>6</v>
      </c>
      <c r="B1905" s="2" t="s">
        <v>329</v>
      </c>
      <c r="D1905" s="7" t="s">
        <v>896</v>
      </c>
      <c r="E1905" s="6" t="s">
        <v>465</v>
      </c>
      <c r="F1905" s="6">
        <v>146737</v>
      </c>
      <c r="G1905" s="57" t="s">
        <v>465</v>
      </c>
      <c r="J1905" s="5" t="s">
        <v>4444</v>
      </c>
    </row>
    <row r="1906" spans="1:10" ht="25.5" x14ac:dyDescent="0.2">
      <c r="A1906" s="1" t="s">
        <v>25</v>
      </c>
      <c r="B1906" s="2" t="s">
        <v>174</v>
      </c>
      <c r="C1906" s="5" t="s">
        <v>1523</v>
      </c>
      <c r="D1906" s="5" t="s">
        <v>1524</v>
      </c>
      <c r="E1906" s="9">
        <v>85573</v>
      </c>
      <c r="F1906" s="9">
        <v>146696</v>
      </c>
      <c r="G1906" s="57">
        <v>0.71427903661201553</v>
      </c>
      <c r="J1906" s="5" t="s">
        <v>3588</v>
      </c>
    </row>
    <row r="1907" spans="1:10" ht="25.5" x14ac:dyDescent="0.2">
      <c r="A1907" s="1" t="s">
        <v>25</v>
      </c>
      <c r="B1907" s="2" t="s">
        <v>174</v>
      </c>
      <c r="C1907" s="5" t="s">
        <v>1525</v>
      </c>
      <c r="D1907" s="5" t="s">
        <v>1526</v>
      </c>
      <c r="E1907" s="9">
        <v>147124</v>
      </c>
      <c r="F1907" s="9">
        <v>146696</v>
      </c>
      <c r="G1907" s="57">
        <v>-2.9091106821456732E-3</v>
      </c>
      <c r="J1907" s="5" t="s">
        <v>3586</v>
      </c>
    </row>
    <row r="1908" spans="1:10" ht="25.5" x14ac:dyDescent="0.2">
      <c r="A1908" s="1" t="s">
        <v>25</v>
      </c>
      <c r="B1908" s="2" t="s">
        <v>174</v>
      </c>
      <c r="C1908" s="5" t="s">
        <v>1529</v>
      </c>
      <c r="D1908" s="5" t="s">
        <v>1530</v>
      </c>
      <c r="E1908" s="9">
        <v>146946</v>
      </c>
      <c r="F1908" s="9">
        <v>146696</v>
      </c>
      <c r="G1908" s="57">
        <v>-1.7013052413811876E-3</v>
      </c>
      <c r="J1908" s="5" t="s">
        <v>3586</v>
      </c>
    </row>
    <row r="1909" spans="1:10" ht="25.5" x14ac:dyDescent="0.2">
      <c r="A1909" s="1" t="s">
        <v>25</v>
      </c>
      <c r="B1909" s="2" t="s">
        <v>174</v>
      </c>
      <c r="C1909" s="5" t="s">
        <v>1531</v>
      </c>
      <c r="D1909" s="5" t="s">
        <v>1532</v>
      </c>
      <c r="E1909" s="9">
        <v>147076</v>
      </c>
      <c r="F1909" s="9">
        <v>146696</v>
      </c>
      <c r="G1909" s="57">
        <v>-2.5836982240474314E-3</v>
      </c>
      <c r="J1909" s="5" t="s">
        <v>3586</v>
      </c>
    </row>
    <row r="1910" spans="1:10" ht="25.5" x14ac:dyDescent="0.2">
      <c r="A1910" s="1" t="s">
        <v>25</v>
      </c>
      <c r="B1910" s="2" t="s">
        <v>174</v>
      </c>
      <c r="C1910" s="5" t="s">
        <v>1535</v>
      </c>
      <c r="D1910" s="5" t="s">
        <v>1536</v>
      </c>
      <c r="E1910" s="9">
        <v>146904</v>
      </c>
      <c r="F1910" s="9">
        <v>146696</v>
      </c>
      <c r="G1910" s="57">
        <v>-1.415890649675979E-3</v>
      </c>
      <c r="J1910" s="5" t="s">
        <v>3586</v>
      </c>
    </row>
    <row r="1911" spans="1:10" ht="25.5" x14ac:dyDescent="0.2">
      <c r="A1911" s="1" t="s">
        <v>25</v>
      </c>
      <c r="B1911" s="2" t="s">
        <v>174</v>
      </c>
      <c r="C1911" s="5" t="s">
        <v>1537</v>
      </c>
      <c r="D1911" s="5" t="s">
        <v>1538</v>
      </c>
      <c r="E1911" s="9">
        <v>123240</v>
      </c>
      <c r="F1911" s="9">
        <v>146696</v>
      </c>
      <c r="G1911" s="57">
        <v>0.19032781564427134</v>
      </c>
      <c r="J1911" s="5" t="s">
        <v>3586</v>
      </c>
    </row>
    <row r="1912" spans="1:10" ht="25.5" x14ac:dyDescent="0.2">
      <c r="A1912" s="1" t="s">
        <v>28</v>
      </c>
      <c r="B1912" s="2" t="s">
        <v>269</v>
      </c>
      <c r="D1912" s="5" t="s">
        <v>1140</v>
      </c>
      <c r="E1912" s="3">
        <v>131974</v>
      </c>
      <c r="F1912" s="3">
        <v>146626</v>
      </c>
      <c r="G1912" s="57">
        <v>0.11102186794368588</v>
      </c>
      <c r="J1912" s="5" t="s">
        <v>3061</v>
      </c>
    </row>
    <row r="1913" spans="1:10" ht="38.25" x14ac:dyDescent="0.2">
      <c r="A1913" s="1" t="s">
        <v>28</v>
      </c>
      <c r="B1913" s="2" t="s">
        <v>215</v>
      </c>
      <c r="D1913" s="5" t="s">
        <v>1319</v>
      </c>
      <c r="E1913" s="3">
        <v>59760</v>
      </c>
      <c r="F1913" s="3">
        <v>146605</v>
      </c>
      <c r="G1913" s="57">
        <v>1.4532295850066934</v>
      </c>
      <c r="J1913" s="5" t="s">
        <v>3310</v>
      </c>
    </row>
    <row r="1914" spans="1:10" ht="25.5" x14ac:dyDescent="0.2">
      <c r="A1914" s="1" t="s">
        <v>20</v>
      </c>
      <c r="B1914" s="2" t="s">
        <v>349</v>
      </c>
      <c r="D1914" s="5" t="s">
        <v>450</v>
      </c>
      <c r="E1914" s="3">
        <v>133469</v>
      </c>
      <c r="F1914" s="3">
        <v>146498</v>
      </c>
      <c r="G1914" s="57">
        <v>9.7618173508455142E-2</v>
      </c>
      <c r="J1914" s="5" t="s">
        <v>2681</v>
      </c>
    </row>
    <row r="1915" spans="1:10" ht="25.5" x14ac:dyDescent="0.2">
      <c r="A1915" s="1" t="s">
        <v>28</v>
      </c>
      <c r="B1915" s="2" t="s">
        <v>269</v>
      </c>
      <c r="D1915" s="5" t="s">
        <v>1141</v>
      </c>
      <c r="E1915" s="3">
        <v>146334</v>
      </c>
      <c r="F1915" s="3">
        <v>146168</v>
      </c>
      <c r="G1915" s="57">
        <v>-1.1343911872838848E-3</v>
      </c>
      <c r="J1915" s="5" t="s">
        <v>3062</v>
      </c>
    </row>
    <row r="1916" spans="1:10" ht="25.5" x14ac:dyDescent="0.2">
      <c r="A1916" s="1" t="s">
        <v>6</v>
      </c>
      <c r="B1916" s="2" t="s">
        <v>407</v>
      </c>
      <c r="D1916" s="5" t="s">
        <v>606</v>
      </c>
      <c r="E1916" s="3">
        <v>36000</v>
      </c>
      <c r="F1916" s="3">
        <v>146091</v>
      </c>
      <c r="G1916" s="57">
        <v>3.0580833333333333</v>
      </c>
      <c r="J1916" s="5" t="s">
        <v>4525</v>
      </c>
    </row>
    <row r="1917" spans="1:10" ht="38.25" x14ac:dyDescent="0.2">
      <c r="A1917" s="1" t="s">
        <v>25</v>
      </c>
      <c r="B1917" s="2" t="s">
        <v>93</v>
      </c>
      <c r="C1917" s="1"/>
      <c r="D1917" s="5" t="s">
        <v>3840</v>
      </c>
      <c r="E1917" s="3">
        <v>15000</v>
      </c>
      <c r="F1917" s="3">
        <v>146000</v>
      </c>
      <c r="G1917" s="57">
        <v>8.7333333333333325</v>
      </c>
      <c r="J1917" s="5" t="s">
        <v>4235</v>
      </c>
    </row>
    <row r="1918" spans="1:10" x14ac:dyDescent="0.2">
      <c r="A1918" s="1" t="s">
        <v>8</v>
      </c>
      <c r="B1918" s="2" t="s">
        <v>281</v>
      </c>
      <c r="D1918" s="5" t="s">
        <v>604</v>
      </c>
      <c r="E1918" s="10" t="s">
        <v>465</v>
      </c>
      <c r="F1918" s="3">
        <v>146000</v>
      </c>
      <c r="G1918" s="57" t="s">
        <v>465</v>
      </c>
      <c r="J1918" s="5" t="s">
        <v>2988</v>
      </c>
    </row>
    <row r="1919" spans="1:10" x14ac:dyDescent="0.2">
      <c r="A1919" s="1" t="s">
        <v>8</v>
      </c>
      <c r="B1919" s="2" t="s">
        <v>281</v>
      </c>
      <c r="D1919" s="5" t="s">
        <v>1078</v>
      </c>
      <c r="E1919" s="10">
        <v>128000</v>
      </c>
      <c r="F1919" s="3">
        <v>146000</v>
      </c>
      <c r="G1919" s="57">
        <v>0.140625</v>
      </c>
      <c r="J1919" s="5" t="s">
        <v>2989</v>
      </c>
    </row>
    <row r="1920" spans="1:10" x14ac:dyDescent="0.2">
      <c r="A1920" s="1" t="s">
        <v>34</v>
      </c>
      <c r="B1920" s="2" t="s">
        <v>343</v>
      </c>
      <c r="D1920" s="5" t="s">
        <v>854</v>
      </c>
      <c r="E1920" s="3">
        <v>142262</v>
      </c>
      <c r="F1920" s="3">
        <v>145987</v>
      </c>
      <c r="G1920" s="57">
        <v>2.6184082889316895E-2</v>
      </c>
      <c r="J1920" s="5" t="s">
        <v>2700</v>
      </c>
    </row>
    <row r="1921" spans="1:10" x14ac:dyDescent="0.2">
      <c r="A1921" s="1" t="s">
        <v>34</v>
      </c>
      <c r="B1921" s="2" t="s">
        <v>343</v>
      </c>
      <c r="D1921" s="5" t="s">
        <v>789</v>
      </c>
      <c r="E1921" s="3">
        <v>142334</v>
      </c>
      <c r="F1921" s="3">
        <v>145987</v>
      </c>
      <c r="G1921" s="57">
        <v>2.5664985175713462E-2</v>
      </c>
      <c r="J1921" s="5" t="s">
        <v>2700</v>
      </c>
    </row>
    <row r="1922" spans="1:10" ht="51" x14ac:dyDescent="0.2">
      <c r="A1922" s="1" t="s">
        <v>39</v>
      </c>
      <c r="B1922" s="12" t="s">
        <v>365</v>
      </c>
      <c r="D1922" s="5" t="s">
        <v>784</v>
      </c>
      <c r="E1922" s="3">
        <v>138276</v>
      </c>
      <c r="F1922" s="3">
        <v>145927</v>
      </c>
      <c r="G1922" s="57">
        <v>5.5331366253001245E-2</v>
      </c>
      <c r="J1922" s="5" t="s">
        <v>2591</v>
      </c>
    </row>
    <row r="1923" spans="1:10" ht="25.5" x14ac:dyDescent="0.2">
      <c r="A1923" s="1" t="s">
        <v>111</v>
      </c>
      <c r="B1923" s="2" t="s">
        <v>128</v>
      </c>
      <c r="C1923" s="1"/>
      <c r="D1923" s="5" t="s">
        <v>451</v>
      </c>
      <c r="E1923" s="3">
        <v>145251</v>
      </c>
      <c r="F1923" s="3">
        <v>145891</v>
      </c>
      <c r="G1923" s="57">
        <v>4.4061658783760525E-3</v>
      </c>
      <c r="J1923" s="5" t="s">
        <v>3946</v>
      </c>
    </row>
    <row r="1924" spans="1:10" x14ac:dyDescent="0.2">
      <c r="A1924" s="1" t="s">
        <v>25</v>
      </c>
      <c r="B1924" s="12" t="s">
        <v>197</v>
      </c>
      <c r="D1924" s="5" t="s">
        <v>1402</v>
      </c>
      <c r="E1924" s="9">
        <v>136904</v>
      </c>
      <c r="F1924" s="9">
        <v>145891</v>
      </c>
      <c r="G1924" s="57">
        <v>6.564453923917489E-2</v>
      </c>
      <c r="J1924" s="5" t="s">
        <v>3447</v>
      </c>
    </row>
    <row r="1925" spans="1:10" x14ac:dyDescent="0.2">
      <c r="A1925" s="1" t="s">
        <v>8</v>
      </c>
      <c r="B1925" s="2" t="s">
        <v>278</v>
      </c>
      <c r="D1925" s="5" t="s">
        <v>450</v>
      </c>
      <c r="E1925" s="3">
        <v>142374</v>
      </c>
      <c r="F1925" s="3">
        <v>145856</v>
      </c>
      <c r="G1925" s="57">
        <v>2.4456712602020033E-2</v>
      </c>
      <c r="J1925" s="5" t="s">
        <v>3011</v>
      </c>
    </row>
    <row r="1926" spans="1:10" ht="51" x14ac:dyDescent="0.2">
      <c r="A1926" s="1" t="s">
        <v>39</v>
      </c>
      <c r="B1926" s="2" t="s">
        <v>370</v>
      </c>
      <c r="D1926" s="5" t="s">
        <v>764</v>
      </c>
      <c r="E1926" s="3" t="s">
        <v>465</v>
      </c>
      <c r="F1926" s="3">
        <v>145791</v>
      </c>
      <c r="G1926" s="57" t="s">
        <v>465</v>
      </c>
      <c r="J1926" s="5" t="s">
        <v>2880</v>
      </c>
    </row>
    <row r="1927" spans="1:10" ht="25.5" x14ac:dyDescent="0.2">
      <c r="A1927" s="1" t="s">
        <v>6</v>
      </c>
      <c r="B1927" s="2" t="s">
        <v>430</v>
      </c>
      <c r="D1927" s="5" t="s">
        <v>505</v>
      </c>
      <c r="E1927" s="3" t="s">
        <v>465</v>
      </c>
      <c r="F1927" s="3">
        <v>145766</v>
      </c>
      <c r="G1927" s="57" t="s">
        <v>465</v>
      </c>
      <c r="J1927" s="5" t="s">
        <v>2294</v>
      </c>
    </row>
    <row r="1928" spans="1:10" ht="38.25" x14ac:dyDescent="0.2">
      <c r="A1928" s="1" t="s">
        <v>4</v>
      </c>
      <c r="B1928" s="2" t="s">
        <v>421</v>
      </c>
      <c r="D1928" s="5" t="s">
        <v>450</v>
      </c>
      <c r="E1928" s="3">
        <v>142763</v>
      </c>
      <c r="F1928" s="3">
        <v>145744</v>
      </c>
      <c r="G1928" s="57">
        <v>2.0880760421117518E-2</v>
      </c>
      <c r="J1928" s="5" t="s">
        <v>2353</v>
      </c>
    </row>
    <row r="1929" spans="1:10" ht="51" x14ac:dyDescent="0.2">
      <c r="A1929" s="13" t="s">
        <v>1</v>
      </c>
      <c r="B1929" s="2" t="s">
        <v>156</v>
      </c>
      <c r="C1929" s="1" t="s">
        <v>1607</v>
      </c>
      <c r="D1929" s="5" t="s">
        <v>4028</v>
      </c>
      <c r="E1929" s="3">
        <v>107274</v>
      </c>
      <c r="F1929" s="3">
        <v>145699</v>
      </c>
      <c r="G1929" s="57">
        <v>0.35819490277234001</v>
      </c>
      <c r="J1929" s="5" t="s">
        <v>4326</v>
      </c>
    </row>
    <row r="1930" spans="1:10" ht="25.5" x14ac:dyDescent="0.2">
      <c r="A1930" s="1" t="s">
        <v>1</v>
      </c>
      <c r="B1930" s="2" t="s">
        <v>130</v>
      </c>
      <c r="C1930" s="1" t="s">
        <v>2085</v>
      </c>
      <c r="D1930" s="5" t="s">
        <v>450</v>
      </c>
      <c r="E1930" s="3">
        <v>145753</v>
      </c>
      <c r="F1930" s="3">
        <v>145638</v>
      </c>
      <c r="G1930" s="57">
        <v>-7.8900605819434244E-4</v>
      </c>
      <c r="J1930" s="5" t="s">
        <v>3949</v>
      </c>
    </row>
    <row r="1931" spans="1:10" ht="25.5" x14ac:dyDescent="0.2">
      <c r="A1931" s="1" t="s">
        <v>4</v>
      </c>
      <c r="B1931" s="2" t="s">
        <v>336</v>
      </c>
      <c r="D1931" s="5" t="s">
        <v>876</v>
      </c>
      <c r="E1931" s="3">
        <v>149540</v>
      </c>
      <c r="F1931" s="3">
        <v>145610</v>
      </c>
      <c r="G1931" s="57">
        <v>-2.6280593821051225E-2</v>
      </c>
      <c r="J1931" s="5" t="s">
        <v>2732</v>
      </c>
    </row>
    <row r="1932" spans="1:10" ht="25.5" x14ac:dyDescent="0.2">
      <c r="A1932" s="1" t="s">
        <v>4</v>
      </c>
      <c r="B1932" s="2" t="s">
        <v>423</v>
      </c>
      <c r="D1932" s="5" t="s">
        <v>559</v>
      </c>
      <c r="E1932" s="6">
        <v>145560</v>
      </c>
      <c r="F1932" s="3">
        <v>145560</v>
      </c>
      <c r="G1932" s="57">
        <v>0</v>
      </c>
      <c r="J1932" s="5" t="s">
        <v>2339</v>
      </c>
    </row>
    <row r="1933" spans="1:10" ht="38.25" x14ac:dyDescent="0.2">
      <c r="A1933" s="1" t="s">
        <v>34</v>
      </c>
      <c r="B1933" s="2" t="s">
        <v>241</v>
      </c>
      <c r="D1933" s="5" t="s">
        <v>1212</v>
      </c>
      <c r="E1933" s="3">
        <v>90708</v>
      </c>
      <c r="F1933" s="3">
        <v>145404</v>
      </c>
      <c r="G1933" s="57">
        <v>0.60298981346738989</v>
      </c>
      <c r="J1933" s="5" t="s">
        <v>4363</v>
      </c>
    </row>
    <row r="1934" spans="1:10" ht="25.5" x14ac:dyDescent="0.2">
      <c r="A1934" s="1" t="s">
        <v>1</v>
      </c>
      <c r="B1934" s="2" t="s">
        <v>135</v>
      </c>
      <c r="C1934" s="1" t="s">
        <v>1662</v>
      </c>
      <c r="D1934" s="5" t="s">
        <v>450</v>
      </c>
      <c r="E1934" s="3">
        <v>143504</v>
      </c>
      <c r="F1934" s="3">
        <v>145386</v>
      </c>
      <c r="G1934" s="57">
        <v>1.3114617014159884E-2</v>
      </c>
      <c r="J1934" s="5" t="s">
        <v>3957</v>
      </c>
    </row>
    <row r="1935" spans="1:10" ht="25.5" x14ac:dyDescent="0.2">
      <c r="A1935" s="1" t="s">
        <v>4</v>
      </c>
      <c r="B1935" s="2" t="s">
        <v>144</v>
      </c>
      <c r="C1935" s="1"/>
      <c r="D1935" s="5" t="s">
        <v>1644</v>
      </c>
      <c r="E1935" s="3">
        <v>148505</v>
      </c>
      <c r="F1935" s="3">
        <v>145386</v>
      </c>
      <c r="G1935" s="57">
        <v>-2.1002659843102924E-2</v>
      </c>
      <c r="J1935" s="5" t="s">
        <v>3991</v>
      </c>
    </row>
    <row r="1936" spans="1:10" ht="25.5" x14ac:dyDescent="0.2">
      <c r="A1936" s="1" t="s">
        <v>4</v>
      </c>
      <c r="B1936" s="2" t="s">
        <v>336</v>
      </c>
      <c r="D1936" s="5" t="s">
        <v>515</v>
      </c>
      <c r="E1936" s="3">
        <v>67360</v>
      </c>
      <c r="F1936" s="3">
        <v>145380</v>
      </c>
      <c r="G1936" s="57">
        <v>1.1582541567695963</v>
      </c>
      <c r="J1936" s="5" t="s">
        <v>4425</v>
      </c>
    </row>
    <row r="1937" spans="1:12" ht="25.5" x14ac:dyDescent="0.2">
      <c r="A1937" s="1" t="s">
        <v>20</v>
      </c>
      <c r="B1937" s="2" t="s">
        <v>69</v>
      </c>
      <c r="C1937" s="1"/>
      <c r="D1937" s="5" t="s">
        <v>1908</v>
      </c>
      <c r="E1937" s="3">
        <v>140761</v>
      </c>
      <c r="F1937" s="3">
        <v>145364</v>
      </c>
      <c r="G1937" s="57">
        <v>3.2700819118932092E-2</v>
      </c>
      <c r="J1937" s="5" t="s">
        <v>1909</v>
      </c>
    </row>
    <row r="1938" spans="1:12" x14ac:dyDescent="0.2">
      <c r="A1938" s="13" t="s">
        <v>20</v>
      </c>
      <c r="B1938" s="12" t="s">
        <v>82</v>
      </c>
      <c r="C1938" s="1"/>
      <c r="D1938" s="5" t="s">
        <v>455</v>
      </c>
      <c r="E1938" s="3">
        <v>144537</v>
      </c>
      <c r="F1938" s="3">
        <v>145355</v>
      </c>
      <c r="G1938" s="57">
        <v>5.6594505213198006E-3</v>
      </c>
      <c r="J1938" s="5" t="s">
        <v>1999</v>
      </c>
    </row>
    <row r="1939" spans="1:12" ht="38.25" x14ac:dyDescent="0.2">
      <c r="A1939" s="1" t="s">
        <v>28</v>
      </c>
      <c r="B1939" s="2" t="s">
        <v>332</v>
      </c>
      <c r="D1939" s="5" t="s">
        <v>887</v>
      </c>
      <c r="E1939" s="3">
        <v>88625</v>
      </c>
      <c r="F1939" s="3">
        <v>145218</v>
      </c>
      <c r="G1939" s="57">
        <v>0.63856699576868825</v>
      </c>
      <c r="J1939" s="5" t="s">
        <v>2753</v>
      </c>
    </row>
    <row r="1940" spans="1:12" ht="25.5" x14ac:dyDescent="0.2">
      <c r="A1940" s="1" t="s">
        <v>6</v>
      </c>
      <c r="B1940" s="2" t="s">
        <v>216</v>
      </c>
      <c r="D1940" s="5" t="s">
        <v>1311</v>
      </c>
      <c r="E1940" s="3">
        <v>144753</v>
      </c>
      <c r="F1940" s="3">
        <v>145196</v>
      </c>
      <c r="G1940" s="57">
        <v>3.0603856224050625E-3</v>
      </c>
      <c r="J1940" s="5" t="s">
        <v>3300</v>
      </c>
    </row>
    <row r="1941" spans="1:12" ht="38.25" x14ac:dyDescent="0.2">
      <c r="A1941" s="1" t="s">
        <v>8</v>
      </c>
      <c r="B1941" s="2" t="s">
        <v>345</v>
      </c>
      <c r="D1941" s="5" t="s">
        <v>4167</v>
      </c>
      <c r="E1941" s="3">
        <v>139889</v>
      </c>
      <c r="F1941" s="3">
        <v>145187</v>
      </c>
      <c r="G1941" s="57">
        <v>3.7872884930194653E-2</v>
      </c>
      <c r="J1941" s="5" t="s">
        <v>4458</v>
      </c>
    </row>
    <row r="1942" spans="1:12" ht="38.25" x14ac:dyDescent="0.2">
      <c r="A1942" s="1" t="s">
        <v>34</v>
      </c>
      <c r="B1942" s="2" t="s">
        <v>101</v>
      </c>
      <c r="C1942" s="1"/>
      <c r="D1942" s="5" t="s">
        <v>2215</v>
      </c>
      <c r="E1942" s="3">
        <v>77610</v>
      </c>
      <c r="F1942" s="3">
        <v>145141</v>
      </c>
      <c r="G1942" s="57">
        <v>0.87013271485633292</v>
      </c>
      <c r="J1942" s="5" t="s">
        <v>4242</v>
      </c>
    </row>
    <row r="1943" spans="1:12" ht="25.5" x14ac:dyDescent="0.2">
      <c r="A1943" s="1" t="s">
        <v>4</v>
      </c>
      <c r="B1943" s="2" t="s">
        <v>411</v>
      </c>
      <c r="D1943" s="5" t="s">
        <v>450</v>
      </c>
      <c r="E1943" s="3">
        <v>144836</v>
      </c>
      <c r="F1943" s="3">
        <v>145120</v>
      </c>
      <c r="G1943" s="57">
        <v>1.9608384655748572E-3</v>
      </c>
      <c r="J1943" s="5" t="s">
        <v>597</v>
      </c>
    </row>
    <row r="1944" spans="1:12" ht="76.5" x14ac:dyDescent="0.2">
      <c r="A1944" s="13" t="s">
        <v>1</v>
      </c>
      <c r="B1944" s="2" t="s">
        <v>9</v>
      </c>
      <c r="C1944" s="1" t="s">
        <v>1687</v>
      </c>
      <c r="D1944" s="5" t="s">
        <v>450</v>
      </c>
      <c r="E1944" s="3">
        <v>155422</v>
      </c>
      <c r="F1944" s="3">
        <v>145076</v>
      </c>
      <c r="G1944" s="57">
        <v>-6.6567152655351236E-2</v>
      </c>
      <c r="J1944" s="5" t="s">
        <v>4085</v>
      </c>
    </row>
    <row r="1945" spans="1:12" ht="25.5" x14ac:dyDescent="0.2">
      <c r="A1945" s="1" t="s">
        <v>25</v>
      </c>
      <c r="B1945" s="2" t="s">
        <v>174</v>
      </c>
      <c r="C1945" s="5" t="s">
        <v>1527</v>
      </c>
      <c r="D1945" s="5" t="s">
        <v>1528</v>
      </c>
      <c r="E1945" s="9">
        <v>149113</v>
      </c>
      <c r="F1945" s="9">
        <v>145032</v>
      </c>
      <c r="G1945" s="57">
        <v>-2.7368505764084956E-2</v>
      </c>
      <c r="J1945" s="5" t="s">
        <v>3587</v>
      </c>
    </row>
    <row r="1946" spans="1:12" ht="25.5" x14ac:dyDescent="0.2">
      <c r="A1946" s="1" t="s">
        <v>6</v>
      </c>
      <c r="B1946" s="12" t="s">
        <v>41</v>
      </c>
      <c r="C1946" s="13"/>
      <c r="D1946" s="7" t="s">
        <v>4148</v>
      </c>
      <c r="E1946" s="6" t="s">
        <v>465</v>
      </c>
      <c r="F1946" s="6">
        <v>145000</v>
      </c>
      <c r="G1946" s="57" t="s">
        <v>465</v>
      </c>
      <c r="H1946" s="21"/>
      <c r="I1946" s="21"/>
      <c r="J1946" s="7" t="s">
        <v>1773</v>
      </c>
      <c r="K1946" s="13"/>
      <c r="L1946" s="13"/>
    </row>
    <row r="1947" spans="1:12" ht="25.5" x14ac:dyDescent="0.2">
      <c r="A1947" s="1" t="s">
        <v>134</v>
      </c>
      <c r="B1947" s="2" t="s">
        <v>396</v>
      </c>
      <c r="C1947" s="5" t="s">
        <v>674</v>
      </c>
      <c r="D1947" s="5" t="s">
        <v>4705</v>
      </c>
      <c r="E1947" s="3">
        <v>145000</v>
      </c>
      <c r="F1947" s="3">
        <v>145000</v>
      </c>
      <c r="G1947" s="57">
        <v>0</v>
      </c>
      <c r="J1947" s="5" t="s">
        <v>2459</v>
      </c>
    </row>
    <row r="1948" spans="1:12" ht="25.5" x14ac:dyDescent="0.2">
      <c r="A1948" s="1" t="s">
        <v>20</v>
      </c>
      <c r="B1948" s="2" t="s">
        <v>296</v>
      </c>
      <c r="D1948" s="5" t="s">
        <v>999</v>
      </c>
      <c r="E1948" s="3">
        <v>141654</v>
      </c>
      <c r="F1948" s="3">
        <v>144939</v>
      </c>
      <c r="G1948" s="57">
        <v>2.3190308780549791E-2</v>
      </c>
      <c r="J1948" s="5" t="s">
        <v>2874</v>
      </c>
    </row>
    <row r="1949" spans="1:12" x14ac:dyDescent="0.2">
      <c r="A1949" s="1" t="s">
        <v>111</v>
      </c>
      <c r="B1949" s="2" t="s">
        <v>257</v>
      </c>
      <c r="D1949" s="5" t="s">
        <v>1179</v>
      </c>
      <c r="E1949" s="3">
        <v>129669</v>
      </c>
      <c r="F1949" s="3">
        <v>144938</v>
      </c>
      <c r="G1949" s="57">
        <v>0.11775366510114214</v>
      </c>
      <c r="J1949" s="5" t="s">
        <v>3097</v>
      </c>
    </row>
    <row r="1950" spans="1:12" ht="25.5" x14ac:dyDescent="0.2">
      <c r="A1950" s="1" t="s">
        <v>39</v>
      </c>
      <c r="B1950" s="12" t="s">
        <v>103</v>
      </c>
      <c r="C1950" s="13"/>
      <c r="D1950" s="7" t="s">
        <v>2205</v>
      </c>
      <c r="E1950" s="6">
        <v>145875</v>
      </c>
      <c r="F1950" s="6">
        <v>144679</v>
      </c>
      <c r="G1950" s="57">
        <v>-8.1988003427592125E-3</v>
      </c>
      <c r="H1950" s="21"/>
      <c r="I1950" s="21"/>
      <c r="J1950" s="7" t="s">
        <v>4245</v>
      </c>
      <c r="K1950" s="13"/>
      <c r="L1950" s="13"/>
    </row>
    <row r="1951" spans="1:12" ht="25.5" x14ac:dyDescent="0.2">
      <c r="A1951" s="1" t="s">
        <v>20</v>
      </c>
      <c r="B1951" s="2" t="s">
        <v>232</v>
      </c>
      <c r="C1951" s="5" t="s">
        <v>1236</v>
      </c>
      <c r="D1951" s="5" t="s">
        <v>450</v>
      </c>
      <c r="E1951" s="3" t="s">
        <v>465</v>
      </c>
      <c r="F1951" s="3">
        <v>144630</v>
      </c>
      <c r="G1951" s="57" t="s">
        <v>465</v>
      </c>
      <c r="J1951" s="5" t="s">
        <v>3206</v>
      </c>
    </row>
    <row r="1952" spans="1:12" ht="25.5" x14ac:dyDescent="0.2">
      <c r="A1952" s="1" t="s">
        <v>44</v>
      </c>
      <c r="B1952" s="2" t="s">
        <v>381</v>
      </c>
      <c r="D1952" s="5" t="s">
        <v>529</v>
      </c>
      <c r="E1952" s="3">
        <v>144186</v>
      </c>
      <c r="F1952" s="3">
        <v>144600</v>
      </c>
      <c r="G1952" s="57">
        <v>2.8712912488036285E-3</v>
      </c>
      <c r="J1952" s="5" t="s">
        <v>2507</v>
      </c>
    </row>
    <row r="1953" spans="1:10" ht="25.5" x14ac:dyDescent="0.2">
      <c r="A1953" s="1" t="s">
        <v>1</v>
      </c>
      <c r="B1953" s="2" t="s">
        <v>327</v>
      </c>
      <c r="C1953" s="5" t="s">
        <v>901</v>
      </c>
      <c r="D1953" s="5" t="s">
        <v>450</v>
      </c>
      <c r="E1953" s="3">
        <v>141094</v>
      </c>
      <c r="F1953" s="3">
        <v>144596</v>
      </c>
      <c r="G1953" s="57">
        <v>2.4820332544261272E-2</v>
      </c>
      <c r="J1953" s="5" t="s">
        <v>2768</v>
      </c>
    </row>
    <row r="1954" spans="1:10" ht="25.5" x14ac:dyDescent="0.2">
      <c r="A1954" s="1" t="s">
        <v>25</v>
      </c>
      <c r="B1954" s="2" t="s">
        <v>398</v>
      </c>
      <c r="D1954" s="5" t="s">
        <v>667</v>
      </c>
      <c r="E1954" s="3">
        <v>131577</v>
      </c>
      <c r="F1954" s="3">
        <v>144371</v>
      </c>
      <c r="G1954" s="57">
        <v>9.7235839090418538E-2</v>
      </c>
      <c r="J1954" s="5" t="s">
        <v>2452</v>
      </c>
    </row>
    <row r="1955" spans="1:10" ht="38.25" x14ac:dyDescent="0.2">
      <c r="A1955" s="1" t="s">
        <v>39</v>
      </c>
      <c r="B1955" s="2" t="s">
        <v>388</v>
      </c>
      <c r="D1955" s="5" t="s">
        <v>696</v>
      </c>
      <c r="E1955" s="3">
        <v>93844</v>
      </c>
      <c r="F1955" s="3">
        <v>144208</v>
      </c>
      <c r="G1955" s="57">
        <v>0.53667789096798946</v>
      </c>
      <c r="J1955" s="5" t="s">
        <v>4486</v>
      </c>
    </row>
    <row r="1956" spans="1:10" ht="25.5" x14ac:dyDescent="0.2">
      <c r="A1956" s="1" t="s">
        <v>20</v>
      </c>
      <c r="B1956" s="2" t="s">
        <v>212</v>
      </c>
      <c r="D1956" s="5" t="s">
        <v>450</v>
      </c>
      <c r="E1956" s="9">
        <v>144397</v>
      </c>
      <c r="F1956" s="9">
        <v>144206</v>
      </c>
      <c r="G1956" s="57">
        <v>-1.3227421622332874E-3</v>
      </c>
      <c r="J1956" s="5" t="s">
        <v>3345</v>
      </c>
    </row>
    <row r="1957" spans="1:10" ht="25.5" x14ac:dyDescent="0.2">
      <c r="A1957" s="1" t="s">
        <v>25</v>
      </c>
      <c r="B1957" s="2" t="s">
        <v>398</v>
      </c>
      <c r="D1957" s="5" t="s">
        <v>665</v>
      </c>
      <c r="E1957" s="3">
        <v>139059</v>
      </c>
      <c r="F1957" s="3">
        <v>144162</v>
      </c>
      <c r="G1957" s="57">
        <v>3.6696653938256427E-2</v>
      </c>
      <c r="J1957" s="5" t="s">
        <v>2449</v>
      </c>
    </row>
    <row r="1958" spans="1:10" ht="25.5" x14ac:dyDescent="0.2">
      <c r="A1958" s="1" t="s">
        <v>6</v>
      </c>
      <c r="B1958" s="2" t="s">
        <v>407</v>
      </c>
      <c r="D1958" s="5" t="s">
        <v>607</v>
      </c>
      <c r="E1958" s="3">
        <v>133000</v>
      </c>
      <c r="F1958" s="3">
        <v>144026</v>
      </c>
      <c r="G1958" s="57">
        <v>8.2902255639097741E-2</v>
      </c>
      <c r="J1958" s="5" t="s">
        <v>2393</v>
      </c>
    </row>
    <row r="1959" spans="1:10" ht="25.5" x14ac:dyDescent="0.2">
      <c r="A1959" s="1" t="s">
        <v>4</v>
      </c>
      <c r="B1959" s="2" t="s">
        <v>423</v>
      </c>
      <c r="D1959" s="5" t="s">
        <v>565</v>
      </c>
      <c r="E1959" s="6">
        <v>143520</v>
      </c>
      <c r="F1959" s="3">
        <v>143880</v>
      </c>
      <c r="G1959" s="57">
        <v>2.508361204013378E-3</v>
      </c>
      <c r="J1959" s="5" t="s">
        <v>2346</v>
      </c>
    </row>
    <row r="1960" spans="1:10" ht="51" x14ac:dyDescent="0.2">
      <c r="A1960" s="1" t="s">
        <v>111</v>
      </c>
      <c r="B1960" s="2" t="s">
        <v>189</v>
      </c>
      <c r="D1960" s="5" t="s">
        <v>1453</v>
      </c>
      <c r="E1960" s="9">
        <v>81648</v>
      </c>
      <c r="F1960" s="9">
        <v>143670</v>
      </c>
      <c r="G1960" s="57">
        <v>0.75962669018224571</v>
      </c>
      <c r="J1960" s="5" t="s">
        <v>3503</v>
      </c>
    </row>
    <row r="1961" spans="1:10" ht="51" x14ac:dyDescent="0.2">
      <c r="A1961" s="1" t="s">
        <v>111</v>
      </c>
      <c r="B1961" s="2" t="s">
        <v>189</v>
      </c>
      <c r="D1961" s="5" t="s">
        <v>1454</v>
      </c>
      <c r="E1961" s="9">
        <v>81648</v>
      </c>
      <c r="F1961" s="9">
        <v>143670</v>
      </c>
      <c r="G1961" s="57">
        <v>0.75962669018224571</v>
      </c>
      <c r="J1961" s="5" t="s">
        <v>3503</v>
      </c>
    </row>
    <row r="1962" spans="1:10" ht="25.5" x14ac:dyDescent="0.2">
      <c r="A1962" s="1" t="s">
        <v>25</v>
      </c>
      <c r="B1962" s="2" t="s">
        <v>174</v>
      </c>
      <c r="C1962" s="5" t="s">
        <v>1533</v>
      </c>
      <c r="D1962" s="5" t="s">
        <v>1534</v>
      </c>
      <c r="E1962" s="9">
        <v>131216</v>
      </c>
      <c r="F1962" s="9">
        <v>143544</v>
      </c>
      <c r="G1962" s="57">
        <v>9.3951957078405077E-2</v>
      </c>
      <c r="J1962" s="5" t="s">
        <v>3589</v>
      </c>
    </row>
    <row r="1963" spans="1:10" ht="25.5" x14ac:dyDescent="0.2">
      <c r="A1963" s="1" t="s">
        <v>20</v>
      </c>
      <c r="B1963" s="2" t="s">
        <v>394</v>
      </c>
      <c r="D1963" s="5" t="s">
        <v>682</v>
      </c>
      <c r="E1963" s="3">
        <v>145006</v>
      </c>
      <c r="F1963" s="3">
        <v>143409</v>
      </c>
      <c r="G1963" s="57">
        <v>-1.1013337379142932E-2</v>
      </c>
      <c r="J1963" s="5" t="s">
        <v>2467</v>
      </c>
    </row>
    <row r="1964" spans="1:10" ht="25.5" x14ac:dyDescent="0.2">
      <c r="A1964" s="1" t="s">
        <v>39</v>
      </c>
      <c r="B1964" s="2" t="s">
        <v>409</v>
      </c>
      <c r="D1964" s="5" t="s">
        <v>603</v>
      </c>
      <c r="E1964" s="3">
        <v>138611</v>
      </c>
      <c r="F1964" s="3">
        <v>143323</v>
      </c>
      <c r="G1964" s="57">
        <v>3.3994416027588001E-2</v>
      </c>
      <c r="J1964" s="5" t="s">
        <v>2382</v>
      </c>
    </row>
    <row r="1965" spans="1:10" ht="25.5" x14ac:dyDescent="0.2">
      <c r="A1965" s="1" t="s">
        <v>44</v>
      </c>
      <c r="B1965" s="2" t="s">
        <v>73</v>
      </c>
      <c r="C1965" s="1"/>
      <c r="D1965" s="5" t="s">
        <v>1956</v>
      </c>
      <c r="E1965" s="3">
        <v>101629</v>
      </c>
      <c r="F1965" s="3">
        <v>143251</v>
      </c>
      <c r="G1965" s="57">
        <v>0.40954845565734188</v>
      </c>
      <c r="J1965" s="5" t="s">
        <v>3798</v>
      </c>
    </row>
    <row r="1966" spans="1:10" ht="25.5" x14ac:dyDescent="0.2">
      <c r="A1966" s="1" t="s">
        <v>1</v>
      </c>
      <c r="B1966" s="2" t="s">
        <v>348</v>
      </c>
      <c r="C1966" s="5" t="s">
        <v>850</v>
      </c>
      <c r="D1966" s="5" t="s">
        <v>529</v>
      </c>
      <c r="E1966" s="36">
        <v>142271</v>
      </c>
      <c r="F1966" s="3">
        <v>143211</v>
      </c>
      <c r="G1966" s="57">
        <v>6.6071089680960985E-3</v>
      </c>
      <c r="J1966" s="5" t="s">
        <v>2689</v>
      </c>
    </row>
    <row r="1967" spans="1:10" x14ac:dyDescent="0.2">
      <c r="A1967" s="1" t="s">
        <v>6</v>
      </c>
      <c r="B1967" s="12" t="s">
        <v>231</v>
      </c>
      <c r="D1967" s="5" t="s">
        <v>1247</v>
      </c>
      <c r="E1967" s="9">
        <v>153219</v>
      </c>
      <c r="F1967" s="9">
        <v>143146</v>
      </c>
      <c r="G1967" s="57">
        <v>-6.5742499298389892E-2</v>
      </c>
      <c r="J1967" s="5" t="s">
        <v>3221</v>
      </c>
    </row>
    <row r="1968" spans="1:10" x14ac:dyDescent="0.2">
      <c r="A1968" s="1" t="s">
        <v>20</v>
      </c>
      <c r="B1968" s="2" t="s">
        <v>69</v>
      </c>
      <c r="C1968" s="1"/>
      <c r="D1968" s="5" t="s">
        <v>1906</v>
      </c>
      <c r="E1968" s="3">
        <v>144823</v>
      </c>
      <c r="F1968" s="3">
        <v>143086</v>
      </c>
      <c r="G1968" s="57">
        <v>-1.1993951237027269E-2</v>
      </c>
      <c r="J1968" s="5" t="s">
        <v>1907</v>
      </c>
    </row>
    <row r="1969" spans="1:12" ht="25.5" x14ac:dyDescent="0.2">
      <c r="A1969" s="1" t="s">
        <v>20</v>
      </c>
      <c r="B1969" s="2" t="s">
        <v>69</v>
      </c>
      <c r="C1969" s="1"/>
      <c r="D1969" s="5" t="s">
        <v>1910</v>
      </c>
      <c r="E1969" s="4" t="s">
        <v>465</v>
      </c>
      <c r="F1969" s="3">
        <v>143086</v>
      </c>
      <c r="G1969" s="57" t="s">
        <v>465</v>
      </c>
      <c r="J1969" s="5" t="s">
        <v>3781</v>
      </c>
    </row>
    <row r="1970" spans="1:12" ht="25.5" x14ac:dyDescent="0.2">
      <c r="A1970" s="1" t="s">
        <v>25</v>
      </c>
      <c r="B1970" s="2" t="s">
        <v>398</v>
      </c>
      <c r="D1970" s="5" t="s">
        <v>2446</v>
      </c>
      <c r="E1970" s="3">
        <v>139713</v>
      </c>
      <c r="F1970" s="3">
        <v>143033</v>
      </c>
      <c r="G1970" s="57">
        <v>2.3762999864006928E-2</v>
      </c>
      <c r="J1970" s="5" t="s">
        <v>2454</v>
      </c>
    </row>
    <row r="1971" spans="1:12" ht="140.25" x14ac:dyDescent="0.2">
      <c r="A1971" s="1" t="s">
        <v>4</v>
      </c>
      <c r="B1971" s="2" t="s">
        <v>206</v>
      </c>
      <c r="D1971" s="5" t="s">
        <v>515</v>
      </c>
      <c r="E1971" s="9">
        <v>149732</v>
      </c>
      <c r="F1971" s="9">
        <v>142976</v>
      </c>
      <c r="G1971" s="57">
        <v>-4.5120615499692783E-2</v>
      </c>
      <c r="J1971" s="5" t="s">
        <v>3393</v>
      </c>
    </row>
    <row r="1972" spans="1:12" x14ac:dyDescent="0.2">
      <c r="A1972" s="1" t="s">
        <v>25</v>
      </c>
      <c r="B1972" s="2" t="s">
        <v>243</v>
      </c>
      <c r="C1972" s="5" t="s">
        <v>1205</v>
      </c>
      <c r="D1972" s="5" t="s">
        <v>1206</v>
      </c>
      <c r="E1972" s="3">
        <v>142976</v>
      </c>
      <c r="F1972" s="3">
        <v>142894</v>
      </c>
      <c r="G1972" s="57">
        <v>-5.7352282900626677E-4</v>
      </c>
      <c r="J1972" s="5" t="s">
        <v>3159</v>
      </c>
    </row>
    <row r="1973" spans="1:12" ht="25.5" x14ac:dyDescent="0.2">
      <c r="A1973" s="1" t="s">
        <v>1</v>
      </c>
      <c r="B1973" s="2" t="s">
        <v>125</v>
      </c>
      <c r="C1973" s="1" t="s">
        <v>3936</v>
      </c>
      <c r="D1973" s="5" t="s">
        <v>604</v>
      </c>
      <c r="E1973" s="3">
        <v>105763</v>
      </c>
      <c r="F1973" s="3">
        <v>142828</v>
      </c>
      <c r="G1973" s="57">
        <v>0.35045337216228739</v>
      </c>
      <c r="J1973" s="5" t="s">
        <v>3937</v>
      </c>
    </row>
    <row r="1974" spans="1:12" x14ac:dyDescent="0.2">
      <c r="A1974" s="1" t="s">
        <v>20</v>
      </c>
      <c r="B1974" s="2" t="s">
        <v>270</v>
      </c>
      <c r="C1974" s="5" t="s">
        <v>1131</v>
      </c>
      <c r="D1974" s="5" t="s">
        <v>450</v>
      </c>
      <c r="E1974" s="3">
        <v>142789</v>
      </c>
      <c r="F1974" s="3">
        <v>142789</v>
      </c>
      <c r="G1974" s="57">
        <v>0</v>
      </c>
      <c r="J1974" s="5" t="s">
        <v>3054</v>
      </c>
    </row>
    <row r="1975" spans="1:12" ht="25.5" x14ac:dyDescent="0.2">
      <c r="A1975" s="1" t="s">
        <v>20</v>
      </c>
      <c r="B1975" s="2" t="s">
        <v>374</v>
      </c>
      <c r="C1975" s="5" t="s">
        <v>752</v>
      </c>
      <c r="D1975" s="5" t="s">
        <v>753</v>
      </c>
      <c r="E1975" s="3">
        <v>143746</v>
      </c>
      <c r="F1975" s="3">
        <v>142746</v>
      </c>
      <c r="G1975" s="57">
        <v>-6.9567153172957856E-3</v>
      </c>
      <c r="J1975" s="5" t="s">
        <v>2544</v>
      </c>
    </row>
    <row r="1976" spans="1:12" ht="25.5" x14ac:dyDescent="0.2">
      <c r="A1976" s="1" t="s">
        <v>6</v>
      </c>
      <c r="B1976" s="2" t="s">
        <v>383</v>
      </c>
      <c r="D1976" s="5" t="s">
        <v>703</v>
      </c>
      <c r="E1976" s="3">
        <v>141508</v>
      </c>
      <c r="F1976" s="3">
        <v>142746</v>
      </c>
      <c r="G1976" s="57">
        <v>8.7486219860361258E-3</v>
      </c>
      <c r="J1976" s="5" t="s">
        <v>2500</v>
      </c>
    </row>
    <row r="1977" spans="1:12" ht="25.5" x14ac:dyDescent="0.2">
      <c r="A1977" s="1" t="s">
        <v>6</v>
      </c>
      <c r="B1977" s="2" t="s">
        <v>383</v>
      </c>
      <c r="D1977" s="5" t="s">
        <v>704</v>
      </c>
      <c r="E1977" s="3">
        <v>141508</v>
      </c>
      <c r="F1977" s="3">
        <v>142746</v>
      </c>
      <c r="G1977" s="57">
        <v>8.7486219860361258E-3</v>
      </c>
      <c r="J1977" s="5" t="s">
        <v>2500</v>
      </c>
    </row>
    <row r="1978" spans="1:12" ht="25.5" x14ac:dyDescent="0.2">
      <c r="A1978" s="1" t="s">
        <v>1</v>
      </c>
      <c r="B1978" s="2" t="s">
        <v>348</v>
      </c>
      <c r="C1978" s="5" t="s">
        <v>847</v>
      </c>
      <c r="D1978" s="5" t="s">
        <v>529</v>
      </c>
      <c r="E1978" s="36">
        <v>142271</v>
      </c>
      <c r="F1978" s="3">
        <v>142711</v>
      </c>
      <c r="G1978" s="57">
        <v>3.0926893042151947E-3</v>
      </c>
      <c r="J1978" s="5" t="s">
        <v>2686</v>
      </c>
    </row>
    <row r="1979" spans="1:12" ht="38.25" x14ac:dyDescent="0.2">
      <c r="A1979" s="1" t="s">
        <v>20</v>
      </c>
      <c r="B1979" s="2" t="s">
        <v>232</v>
      </c>
      <c r="D1979" s="15" t="s">
        <v>1238</v>
      </c>
      <c r="E1979" s="9">
        <v>142570</v>
      </c>
      <c r="F1979" s="9">
        <v>142680</v>
      </c>
      <c r="G1979" s="57">
        <v>7.7155081714245632E-4</v>
      </c>
      <c r="J1979" s="5" t="s">
        <v>3213</v>
      </c>
    </row>
    <row r="1980" spans="1:12" ht="38.25" x14ac:dyDescent="0.2">
      <c r="A1980" s="1" t="s">
        <v>20</v>
      </c>
      <c r="B1980" s="2" t="s">
        <v>232</v>
      </c>
      <c r="D1980" s="15" t="s">
        <v>1239</v>
      </c>
      <c r="E1980" s="9">
        <v>142544</v>
      </c>
      <c r="F1980" s="9">
        <v>142680</v>
      </c>
      <c r="G1980" s="57">
        <v>9.540913682792682E-4</v>
      </c>
      <c r="J1980" s="5" t="s">
        <v>3213</v>
      </c>
    </row>
    <row r="1981" spans="1:12" ht="25.5" x14ac:dyDescent="0.2">
      <c r="A1981" s="1" t="s">
        <v>20</v>
      </c>
      <c r="B1981" s="2" t="s">
        <v>394</v>
      </c>
      <c r="D1981" s="5" t="s">
        <v>683</v>
      </c>
      <c r="E1981" s="3">
        <v>141948</v>
      </c>
      <c r="F1981" s="3">
        <v>142600</v>
      </c>
      <c r="G1981" s="57">
        <v>4.5932313241468705E-3</v>
      </c>
      <c r="J1981" s="5" t="s">
        <v>2468</v>
      </c>
    </row>
    <row r="1982" spans="1:12" ht="25.5" x14ac:dyDescent="0.2">
      <c r="A1982" s="1" t="s">
        <v>4</v>
      </c>
      <c r="B1982" s="2" t="s">
        <v>31</v>
      </c>
      <c r="C1982" s="1"/>
      <c r="D1982" s="5" t="s">
        <v>450</v>
      </c>
      <c r="E1982" s="3">
        <v>139470</v>
      </c>
      <c r="F1982" s="3">
        <v>142574</v>
      </c>
      <c r="G1982" s="57">
        <v>2.2255682225568223E-2</v>
      </c>
      <c r="J1982" s="7" t="s">
        <v>4124</v>
      </c>
    </row>
    <row r="1983" spans="1:12" ht="38.25" x14ac:dyDescent="0.2">
      <c r="A1983" s="1" t="s">
        <v>8</v>
      </c>
      <c r="B1983" s="2" t="s">
        <v>285</v>
      </c>
      <c r="D1983" s="5" t="s">
        <v>1050</v>
      </c>
      <c r="E1983" s="3">
        <v>119300</v>
      </c>
      <c r="F1983" s="3">
        <v>142526</v>
      </c>
      <c r="G1983" s="57">
        <v>0.19468566638725901</v>
      </c>
      <c r="J1983" s="5" t="s">
        <v>4392</v>
      </c>
    </row>
    <row r="1984" spans="1:12" x14ac:dyDescent="0.2">
      <c r="A1984" s="1" t="s">
        <v>25</v>
      </c>
      <c r="B1984" s="12" t="s">
        <v>24</v>
      </c>
      <c r="C1984" s="13"/>
      <c r="D1984" s="7" t="s">
        <v>464</v>
      </c>
      <c r="E1984" s="6" t="s">
        <v>465</v>
      </c>
      <c r="F1984" s="6">
        <v>142500</v>
      </c>
      <c r="G1984" s="57" t="s">
        <v>465</v>
      </c>
      <c r="H1984" s="21"/>
      <c r="I1984" s="21"/>
      <c r="J1984" s="7"/>
      <c r="K1984" s="13"/>
      <c r="L1984" s="13"/>
    </row>
    <row r="1985" spans="1:12" x14ac:dyDescent="0.2">
      <c r="A1985" s="1" t="s">
        <v>20</v>
      </c>
      <c r="B1985" s="2" t="s">
        <v>35</v>
      </c>
      <c r="C1985" s="1"/>
      <c r="D1985" s="5" t="s">
        <v>464</v>
      </c>
      <c r="E1985" s="3" t="s">
        <v>465</v>
      </c>
      <c r="F1985" s="3">
        <v>142500</v>
      </c>
      <c r="G1985" s="57" t="s">
        <v>465</v>
      </c>
      <c r="J1985" s="1"/>
    </row>
    <row r="1986" spans="1:12" x14ac:dyDescent="0.2">
      <c r="A1986" s="1" t="s">
        <v>25</v>
      </c>
      <c r="B1986" s="2" t="s">
        <v>107</v>
      </c>
      <c r="C1986" s="1"/>
      <c r="D1986" s="5" t="s">
        <v>464</v>
      </c>
      <c r="E1986" s="3" t="s">
        <v>465</v>
      </c>
      <c r="F1986" s="3">
        <v>142500</v>
      </c>
      <c r="G1986" s="57" t="s">
        <v>465</v>
      </c>
    </row>
    <row r="1987" spans="1:12" x14ac:dyDescent="0.2">
      <c r="A1987" s="1" t="s">
        <v>8</v>
      </c>
      <c r="B1987" s="2" t="s">
        <v>115</v>
      </c>
      <c r="C1987" s="1"/>
      <c r="D1987" s="5" t="s">
        <v>464</v>
      </c>
      <c r="E1987" s="3" t="s">
        <v>465</v>
      </c>
      <c r="F1987" s="3">
        <v>142500</v>
      </c>
      <c r="G1987" s="57" t="s">
        <v>465</v>
      </c>
      <c r="J1987" s="1"/>
    </row>
    <row r="1988" spans="1:12" x14ac:dyDescent="0.2">
      <c r="A1988" s="1" t="s">
        <v>28</v>
      </c>
      <c r="B1988" s="2" t="s">
        <v>120</v>
      </c>
      <c r="C1988" s="1"/>
      <c r="D1988" s="5" t="s">
        <v>464</v>
      </c>
      <c r="E1988" s="3" t="s">
        <v>465</v>
      </c>
      <c r="F1988" s="3">
        <v>142500</v>
      </c>
      <c r="G1988" s="57" t="s">
        <v>465</v>
      </c>
    </row>
    <row r="1989" spans="1:12" x14ac:dyDescent="0.2">
      <c r="A1989" s="1" t="s">
        <v>20</v>
      </c>
      <c r="B1989" s="2" t="s">
        <v>154</v>
      </c>
      <c r="C1989" s="1"/>
      <c r="D1989" s="5" t="s">
        <v>464</v>
      </c>
      <c r="E1989" s="3" t="s">
        <v>465</v>
      </c>
      <c r="F1989" s="3">
        <v>142500</v>
      </c>
      <c r="G1989" s="57" t="s">
        <v>465</v>
      </c>
      <c r="J1989" s="1"/>
    </row>
    <row r="1990" spans="1:12" s="13" customFormat="1" x14ac:dyDescent="0.2">
      <c r="A1990" s="1" t="s">
        <v>20</v>
      </c>
      <c r="B1990" s="2" t="s">
        <v>158</v>
      </c>
      <c r="C1990" s="1"/>
      <c r="D1990" s="5" t="s">
        <v>464</v>
      </c>
      <c r="E1990" s="3" t="s">
        <v>465</v>
      </c>
      <c r="F1990" s="3">
        <v>142500</v>
      </c>
      <c r="G1990" s="57" t="s">
        <v>465</v>
      </c>
      <c r="H1990" s="19"/>
      <c r="I1990" s="19"/>
      <c r="J1990" s="5"/>
      <c r="K1990" s="1"/>
      <c r="L1990" s="1"/>
    </row>
    <row r="1991" spans="1:12" x14ac:dyDescent="0.2">
      <c r="A1991" s="1" t="s">
        <v>44</v>
      </c>
      <c r="B1991" s="2" t="s">
        <v>161</v>
      </c>
      <c r="D1991" s="5" t="s">
        <v>464</v>
      </c>
      <c r="E1991" s="3" t="s">
        <v>465</v>
      </c>
      <c r="F1991" s="3">
        <v>142500</v>
      </c>
      <c r="G1991" s="57" t="s">
        <v>465</v>
      </c>
    </row>
    <row r="1992" spans="1:12" x14ac:dyDescent="0.2">
      <c r="A1992" s="1" t="s">
        <v>44</v>
      </c>
      <c r="B1992" s="2" t="s">
        <v>161</v>
      </c>
      <c r="D1992" s="5" t="s">
        <v>464</v>
      </c>
      <c r="E1992" s="3" t="s">
        <v>465</v>
      </c>
      <c r="F1992" s="3">
        <v>142500</v>
      </c>
      <c r="G1992" s="57" t="s">
        <v>465</v>
      </c>
    </row>
    <row r="1993" spans="1:12" x14ac:dyDescent="0.2">
      <c r="A1993" s="1" t="s">
        <v>4</v>
      </c>
      <c r="B1993" s="2" t="s">
        <v>182</v>
      </c>
      <c r="D1993" s="5" t="s">
        <v>464</v>
      </c>
      <c r="E1993" s="3" t="s">
        <v>465</v>
      </c>
      <c r="F1993" s="3">
        <v>142500</v>
      </c>
      <c r="G1993" s="57" t="s">
        <v>465</v>
      </c>
      <c r="J1993" s="5" t="s">
        <v>1475</v>
      </c>
    </row>
    <row r="1994" spans="1:12" x14ac:dyDescent="0.2">
      <c r="A1994" s="1" t="s">
        <v>4</v>
      </c>
      <c r="B1994" s="2" t="s">
        <v>182</v>
      </c>
      <c r="D1994" s="5" t="s">
        <v>464</v>
      </c>
      <c r="E1994" s="3" t="s">
        <v>465</v>
      </c>
      <c r="F1994" s="3">
        <v>142500</v>
      </c>
      <c r="G1994" s="57" t="s">
        <v>465</v>
      </c>
      <c r="J1994" s="5" t="s">
        <v>1475</v>
      </c>
    </row>
    <row r="1995" spans="1:12" x14ac:dyDescent="0.2">
      <c r="A1995" s="1" t="s">
        <v>4</v>
      </c>
      <c r="B1995" s="2" t="s">
        <v>182</v>
      </c>
      <c r="D1995" s="5" t="s">
        <v>464</v>
      </c>
      <c r="E1995" s="3" t="s">
        <v>465</v>
      </c>
      <c r="F1995" s="3">
        <v>142500</v>
      </c>
      <c r="G1995" s="57" t="s">
        <v>465</v>
      </c>
      <c r="J1995" s="5" t="s">
        <v>1475</v>
      </c>
    </row>
    <row r="1996" spans="1:12" x14ac:dyDescent="0.2">
      <c r="A1996" s="1" t="s">
        <v>25</v>
      </c>
      <c r="B1996" s="2" t="s">
        <v>187</v>
      </c>
      <c r="D1996" s="5" t="s">
        <v>464</v>
      </c>
      <c r="E1996" s="3" t="s">
        <v>465</v>
      </c>
      <c r="F1996" s="3">
        <v>142500</v>
      </c>
      <c r="G1996" s="57" t="s">
        <v>465</v>
      </c>
      <c r="J1996" s="1"/>
    </row>
    <row r="1997" spans="1:12" x14ac:dyDescent="0.2">
      <c r="A1997" s="1" t="s">
        <v>25</v>
      </c>
      <c r="B1997" s="2" t="s">
        <v>197</v>
      </c>
      <c r="D1997" s="5" t="s">
        <v>464</v>
      </c>
      <c r="E1997" s="3" t="s">
        <v>465</v>
      </c>
      <c r="F1997" s="3">
        <v>142500</v>
      </c>
      <c r="G1997" s="57" t="s">
        <v>465</v>
      </c>
      <c r="J1997" s="5" t="s">
        <v>2234</v>
      </c>
    </row>
    <row r="1998" spans="1:12" x14ac:dyDescent="0.2">
      <c r="A1998" s="1" t="s">
        <v>20</v>
      </c>
      <c r="B1998" s="2" t="s">
        <v>201</v>
      </c>
      <c r="D1998" s="5" t="s">
        <v>464</v>
      </c>
      <c r="E1998" s="3" t="s">
        <v>465</v>
      </c>
      <c r="F1998" s="3">
        <v>142500</v>
      </c>
      <c r="G1998" s="57" t="s">
        <v>465</v>
      </c>
    </row>
    <row r="1999" spans="1:12" x14ac:dyDescent="0.2">
      <c r="A1999" s="1" t="s">
        <v>25</v>
      </c>
      <c r="B1999" s="2" t="s">
        <v>208</v>
      </c>
      <c r="D1999" s="5" t="s">
        <v>464</v>
      </c>
      <c r="E1999" s="3" t="s">
        <v>465</v>
      </c>
      <c r="F1999" s="3">
        <v>142500</v>
      </c>
      <c r="G1999" s="57" t="s">
        <v>465</v>
      </c>
    </row>
    <row r="2000" spans="1:12" x14ac:dyDescent="0.2">
      <c r="A2000" s="1" t="s">
        <v>25</v>
      </c>
      <c r="B2000" s="2" t="s">
        <v>209</v>
      </c>
      <c r="D2000" s="5" t="s">
        <v>464</v>
      </c>
      <c r="E2000" s="3" t="s">
        <v>465</v>
      </c>
      <c r="F2000" s="3">
        <v>142500</v>
      </c>
      <c r="G2000" s="57" t="s">
        <v>465</v>
      </c>
    </row>
    <row r="2001" spans="1:12" x14ac:dyDescent="0.2">
      <c r="A2001" s="1" t="s">
        <v>4</v>
      </c>
      <c r="B2001" s="2" t="s">
        <v>210</v>
      </c>
      <c r="D2001" s="5" t="s">
        <v>464</v>
      </c>
      <c r="E2001" s="3" t="s">
        <v>465</v>
      </c>
      <c r="F2001" s="3">
        <v>142500</v>
      </c>
      <c r="G2001" s="57" t="s">
        <v>465</v>
      </c>
      <c r="H2001" s="4"/>
      <c r="I2001" s="4"/>
      <c r="J2001" s="1"/>
    </row>
    <row r="2002" spans="1:12" x14ac:dyDescent="0.2">
      <c r="A2002" s="1" t="s">
        <v>8</v>
      </c>
      <c r="B2002" s="2" t="s">
        <v>223</v>
      </c>
      <c r="D2002" s="5" t="s">
        <v>464</v>
      </c>
      <c r="E2002" s="3" t="s">
        <v>465</v>
      </c>
      <c r="F2002" s="3">
        <v>142500</v>
      </c>
      <c r="G2002" s="57" t="s">
        <v>465</v>
      </c>
      <c r="H2002" s="4"/>
      <c r="I2002" s="4"/>
      <c r="J2002" s="1"/>
    </row>
    <row r="2003" spans="1:12" x14ac:dyDescent="0.2">
      <c r="A2003" s="1" t="s">
        <v>8</v>
      </c>
      <c r="B2003" s="2" t="s">
        <v>229</v>
      </c>
      <c r="D2003" s="5" t="s">
        <v>464</v>
      </c>
      <c r="E2003" s="3" t="s">
        <v>465</v>
      </c>
      <c r="F2003" s="3">
        <v>142500</v>
      </c>
      <c r="G2003" s="57" t="s">
        <v>465</v>
      </c>
      <c r="J2003" s="5" t="s">
        <v>539</v>
      </c>
    </row>
    <row r="2004" spans="1:12" x14ac:dyDescent="0.2">
      <c r="A2004" s="1" t="s">
        <v>8</v>
      </c>
      <c r="B2004" s="2" t="s">
        <v>229</v>
      </c>
      <c r="D2004" s="5" t="s">
        <v>464</v>
      </c>
      <c r="E2004" s="3" t="s">
        <v>465</v>
      </c>
      <c r="F2004" s="3">
        <v>142500</v>
      </c>
      <c r="G2004" s="57" t="s">
        <v>465</v>
      </c>
      <c r="J2004" s="5" t="s">
        <v>539</v>
      </c>
    </row>
    <row r="2005" spans="1:12" x14ac:dyDescent="0.2">
      <c r="A2005" s="1" t="s">
        <v>8</v>
      </c>
      <c r="B2005" s="2" t="s">
        <v>229</v>
      </c>
      <c r="D2005" s="5" t="s">
        <v>464</v>
      </c>
      <c r="E2005" s="3" t="s">
        <v>465</v>
      </c>
      <c r="F2005" s="3">
        <v>142500</v>
      </c>
      <c r="G2005" s="57" t="s">
        <v>465</v>
      </c>
      <c r="J2005" s="5" t="s">
        <v>539</v>
      </c>
    </row>
    <row r="2006" spans="1:12" x14ac:dyDescent="0.2">
      <c r="A2006" s="13" t="s">
        <v>111</v>
      </c>
      <c r="B2006" s="12" t="s">
        <v>247</v>
      </c>
      <c r="C2006" s="7"/>
      <c r="D2006" s="7" t="s">
        <v>464</v>
      </c>
      <c r="E2006" s="6" t="s">
        <v>465</v>
      </c>
      <c r="F2006" s="6">
        <v>142500</v>
      </c>
      <c r="G2006" s="57" t="s">
        <v>465</v>
      </c>
      <c r="H2006" s="21"/>
      <c r="I2006" s="21"/>
      <c r="J2006" s="7"/>
      <c r="K2006" s="13"/>
      <c r="L2006" s="13"/>
    </row>
    <row r="2007" spans="1:12" x14ac:dyDescent="0.2">
      <c r="A2007" s="1" t="s">
        <v>8</v>
      </c>
      <c r="B2007" s="2" t="s">
        <v>285</v>
      </c>
      <c r="D2007" s="5" t="s">
        <v>464</v>
      </c>
      <c r="E2007" s="3" t="s">
        <v>465</v>
      </c>
      <c r="F2007" s="3">
        <v>142500</v>
      </c>
      <c r="G2007" s="57" t="s">
        <v>465</v>
      </c>
      <c r="H2007" s="4"/>
      <c r="I2007" s="4"/>
      <c r="J2007" s="1"/>
    </row>
    <row r="2008" spans="1:12" x14ac:dyDescent="0.2">
      <c r="A2008" s="1" t="s">
        <v>28</v>
      </c>
      <c r="B2008" s="2" t="s">
        <v>332</v>
      </c>
      <c r="D2008" s="5" t="s">
        <v>464</v>
      </c>
      <c r="E2008" s="3" t="s">
        <v>465</v>
      </c>
      <c r="F2008" s="3">
        <v>142500</v>
      </c>
      <c r="G2008" s="57" t="s">
        <v>465</v>
      </c>
    </row>
    <row r="2009" spans="1:12" x14ac:dyDescent="0.2">
      <c r="A2009" s="1" t="s">
        <v>4</v>
      </c>
      <c r="B2009" s="2" t="s">
        <v>377</v>
      </c>
      <c r="D2009" s="5" t="s">
        <v>464</v>
      </c>
      <c r="E2009" s="3" t="s">
        <v>465</v>
      </c>
      <c r="F2009" s="3">
        <v>142500</v>
      </c>
      <c r="G2009" s="57" t="s">
        <v>465</v>
      </c>
    </row>
    <row r="2010" spans="1:12" x14ac:dyDescent="0.2">
      <c r="A2010" s="1" t="s">
        <v>25</v>
      </c>
      <c r="B2010" s="2" t="s">
        <v>398</v>
      </c>
      <c r="D2010" s="5" t="s">
        <v>464</v>
      </c>
      <c r="E2010" s="3" t="s">
        <v>465</v>
      </c>
      <c r="F2010" s="3">
        <v>142500</v>
      </c>
      <c r="G2010" s="57" t="s">
        <v>465</v>
      </c>
      <c r="J2010" s="5" t="s">
        <v>1241</v>
      </c>
    </row>
    <row r="2011" spans="1:12" x14ac:dyDescent="0.2">
      <c r="A2011" s="1" t="s">
        <v>4</v>
      </c>
      <c r="B2011" s="2" t="s">
        <v>415</v>
      </c>
      <c r="D2011" s="5" t="s">
        <v>464</v>
      </c>
      <c r="E2011" s="3" t="s">
        <v>465</v>
      </c>
      <c r="F2011" s="3">
        <v>142500</v>
      </c>
      <c r="G2011" s="57" t="s">
        <v>465</v>
      </c>
      <c r="J2011" s="5" t="s">
        <v>539</v>
      </c>
    </row>
    <row r="2012" spans="1:12" x14ac:dyDescent="0.2">
      <c r="A2012" s="1" t="s">
        <v>6</v>
      </c>
      <c r="B2012" s="2" t="s">
        <v>426</v>
      </c>
      <c r="D2012" s="5" t="s">
        <v>464</v>
      </c>
      <c r="E2012" s="3" t="s">
        <v>465</v>
      </c>
      <c r="F2012" s="3">
        <v>142500</v>
      </c>
      <c r="G2012" s="57" t="s">
        <v>465</v>
      </c>
      <c r="J2012" s="5" t="s">
        <v>1241</v>
      </c>
    </row>
    <row r="2013" spans="1:12" x14ac:dyDescent="0.2">
      <c r="A2013" s="1" t="s">
        <v>4</v>
      </c>
      <c r="B2013" s="2" t="s">
        <v>429</v>
      </c>
      <c r="D2013" s="5" t="s">
        <v>464</v>
      </c>
      <c r="E2013" s="3" t="s">
        <v>465</v>
      </c>
      <c r="F2013" s="3">
        <v>142500</v>
      </c>
      <c r="G2013" s="57" t="s">
        <v>465</v>
      </c>
    </row>
    <row r="2014" spans="1:12" ht="51" x14ac:dyDescent="0.2">
      <c r="A2014" s="1" t="s">
        <v>34</v>
      </c>
      <c r="B2014" s="2" t="s">
        <v>132</v>
      </c>
      <c r="C2014" s="1"/>
      <c r="D2014" s="5" t="s">
        <v>4300</v>
      </c>
      <c r="E2014" s="3">
        <v>128745</v>
      </c>
      <c r="F2014" s="3">
        <v>142453</v>
      </c>
      <c r="G2014" s="57">
        <v>0.10647403782671172</v>
      </c>
      <c r="J2014" s="5" t="s">
        <v>4299</v>
      </c>
    </row>
    <row r="2015" spans="1:12" ht="25.5" x14ac:dyDescent="0.2">
      <c r="A2015" s="1" t="s">
        <v>39</v>
      </c>
      <c r="B2015" s="2" t="s">
        <v>404</v>
      </c>
      <c r="D2015" s="5" t="s">
        <v>599</v>
      </c>
      <c r="E2015" s="3">
        <v>139755</v>
      </c>
      <c r="F2015" s="3">
        <v>142280</v>
      </c>
      <c r="G2015" s="57">
        <v>1.8067332116918893E-2</v>
      </c>
      <c r="J2015" s="5" t="s">
        <v>2417</v>
      </c>
    </row>
    <row r="2016" spans="1:12" ht="38.25" x14ac:dyDescent="0.2">
      <c r="A2016" s="1" t="s">
        <v>8</v>
      </c>
      <c r="B2016" s="2" t="s">
        <v>222</v>
      </c>
      <c r="D2016" s="5" t="s">
        <v>1273</v>
      </c>
      <c r="E2016" s="3">
        <v>111717</v>
      </c>
      <c r="F2016" s="3">
        <v>142185</v>
      </c>
      <c r="G2016" s="57">
        <v>0.27272483149386395</v>
      </c>
      <c r="J2016" s="5" t="s">
        <v>4360</v>
      </c>
    </row>
    <row r="2017" spans="1:12" ht="51" x14ac:dyDescent="0.2">
      <c r="A2017" s="1" t="s">
        <v>4</v>
      </c>
      <c r="B2017" s="2" t="s">
        <v>429</v>
      </c>
      <c r="D2017" s="5" t="s">
        <v>518</v>
      </c>
      <c r="E2017" s="3">
        <v>101138</v>
      </c>
      <c r="F2017" s="3">
        <v>142179</v>
      </c>
      <c r="G2017" s="57">
        <v>0.40579208606063005</v>
      </c>
      <c r="J2017" s="5" t="s">
        <v>4572</v>
      </c>
    </row>
    <row r="2018" spans="1:12" ht="25.5" x14ac:dyDescent="0.2">
      <c r="A2018" s="1" t="s">
        <v>28</v>
      </c>
      <c r="B2018" s="2" t="s">
        <v>186</v>
      </c>
      <c r="D2018" s="5" t="s">
        <v>450</v>
      </c>
      <c r="E2018" s="9">
        <v>143333</v>
      </c>
      <c r="F2018" s="9">
        <v>142009</v>
      </c>
      <c r="G2018" s="57">
        <v>-9.2372307842576371E-3</v>
      </c>
      <c r="J2018" s="5" t="s">
        <v>3515</v>
      </c>
    </row>
    <row r="2019" spans="1:12" x14ac:dyDescent="0.2">
      <c r="A2019" s="1" t="s">
        <v>6</v>
      </c>
      <c r="B2019" s="12" t="s">
        <v>41</v>
      </c>
      <c r="C2019" s="13"/>
      <c r="D2019" s="7" t="s">
        <v>3711</v>
      </c>
      <c r="E2019" s="6" t="s">
        <v>465</v>
      </c>
      <c r="F2019" s="6">
        <v>142000</v>
      </c>
      <c r="G2019" s="57" t="s">
        <v>465</v>
      </c>
      <c r="H2019" s="21"/>
      <c r="I2019" s="21"/>
      <c r="J2019" s="7" t="s">
        <v>1775</v>
      </c>
      <c r="K2019" s="13"/>
      <c r="L2019" s="13"/>
    </row>
    <row r="2020" spans="1:12" ht="25.5" x14ac:dyDescent="0.2">
      <c r="A2020" s="1" t="s">
        <v>6</v>
      </c>
      <c r="B2020" s="2" t="s">
        <v>108</v>
      </c>
      <c r="C2020" s="1" t="s">
        <v>2180</v>
      </c>
      <c r="D2020" s="5" t="s">
        <v>3869</v>
      </c>
      <c r="E2020" s="3">
        <v>139150</v>
      </c>
      <c r="F2020" s="3">
        <v>142000</v>
      </c>
      <c r="G2020" s="57">
        <v>2.0481494789795184E-2</v>
      </c>
      <c r="J2020" s="5" t="s">
        <v>3870</v>
      </c>
    </row>
    <row r="2021" spans="1:12" ht="25.5" x14ac:dyDescent="0.2">
      <c r="A2021" s="1" t="s">
        <v>8</v>
      </c>
      <c r="B2021" s="2" t="s">
        <v>280</v>
      </c>
      <c r="D2021" s="5" t="s">
        <v>1080</v>
      </c>
      <c r="E2021" s="3">
        <v>137000</v>
      </c>
      <c r="F2021" s="3">
        <v>142000</v>
      </c>
      <c r="G2021" s="57">
        <v>3.6496350364963501E-2</v>
      </c>
      <c r="J2021" s="5" t="s">
        <v>2995</v>
      </c>
    </row>
    <row r="2022" spans="1:12" ht="25.5" x14ac:dyDescent="0.2">
      <c r="A2022" s="1" t="s">
        <v>28</v>
      </c>
      <c r="B2022" s="2" t="s">
        <v>279</v>
      </c>
      <c r="D2022" s="5" t="s">
        <v>1090</v>
      </c>
      <c r="E2022" s="3">
        <v>142040</v>
      </c>
      <c r="F2022" s="3">
        <v>141976</v>
      </c>
      <c r="G2022" s="57">
        <v>-4.5057730216840327E-4</v>
      </c>
      <c r="J2022" s="5" t="s">
        <v>3006</v>
      </c>
    </row>
    <row r="2023" spans="1:12" ht="51" x14ac:dyDescent="0.2">
      <c r="A2023" s="13" t="s">
        <v>25</v>
      </c>
      <c r="B2023" s="12" t="s">
        <v>37</v>
      </c>
      <c r="C2023" s="13"/>
      <c r="D2023" s="7" t="s">
        <v>1762</v>
      </c>
      <c r="E2023" s="36">
        <v>136063</v>
      </c>
      <c r="F2023" s="36">
        <v>141892</v>
      </c>
      <c r="G2023" s="57">
        <v>4.2840448909696245E-2</v>
      </c>
      <c r="H2023" s="21"/>
      <c r="I2023" s="21"/>
      <c r="J2023" s="7" t="s">
        <v>4143</v>
      </c>
      <c r="K2023" s="13"/>
      <c r="L2023" s="13"/>
    </row>
    <row r="2024" spans="1:12" ht="38.25" x14ac:dyDescent="0.2">
      <c r="A2024" s="1" t="s">
        <v>20</v>
      </c>
      <c r="B2024" s="2" t="s">
        <v>158</v>
      </c>
      <c r="D2024" s="5" t="s">
        <v>1598</v>
      </c>
      <c r="E2024" s="4" t="s">
        <v>465</v>
      </c>
      <c r="F2024" s="3">
        <v>141769</v>
      </c>
      <c r="G2024" s="57" t="s">
        <v>465</v>
      </c>
      <c r="J2024" s="5" t="s">
        <v>4328</v>
      </c>
    </row>
    <row r="2025" spans="1:12" ht="25.5" x14ac:dyDescent="0.2">
      <c r="A2025" s="1" t="s">
        <v>1</v>
      </c>
      <c r="B2025" s="12" t="s">
        <v>417</v>
      </c>
      <c r="C2025" s="5" t="s">
        <v>580</v>
      </c>
      <c r="D2025" s="5" t="s">
        <v>450</v>
      </c>
      <c r="E2025" s="3">
        <v>142260</v>
      </c>
      <c r="F2025" s="3">
        <v>141751</v>
      </c>
      <c r="G2025" s="57">
        <v>-3.5779558554758892E-3</v>
      </c>
      <c r="J2025" s="7" t="s">
        <v>4550</v>
      </c>
    </row>
    <row r="2026" spans="1:12" ht="51" x14ac:dyDescent="0.2">
      <c r="A2026" s="1" t="s">
        <v>4</v>
      </c>
      <c r="B2026" s="2" t="s">
        <v>429</v>
      </c>
      <c r="D2026" s="5" t="s">
        <v>515</v>
      </c>
      <c r="E2026" s="3">
        <v>112741</v>
      </c>
      <c r="F2026" s="3">
        <v>141590</v>
      </c>
      <c r="G2026" s="57">
        <v>0.25588738790679522</v>
      </c>
      <c r="J2026" s="5" t="s">
        <v>2308</v>
      </c>
    </row>
    <row r="2027" spans="1:12" ht="38.25" x14ac:dyDescent="0.2">
      <c r="A2027" s="1" t="s">
        <v>25</v>
      </c>
      <c r="B2027" s="2" t="s">
        <v>150</v>
      </c>
      <c r="C2027" s="1"/>
      <c r="D2027" s="5" t="s">
        <v>4001</v>
      </c>
      <c r="E2027" s="3">
        <v>134090.1</v>
      </c>
      <c r="F2027" s="3">
        <v>141511.23000000001</v>
      </c>
      <c r="G2027" s="57">
        <v>5.5344354281188578E-2</v>
      </c>
      <c r="J2027" s="5" t="s">
        <v>4317</v>
      </c>
    </row>
    <row r="2028" spans="1:12" ht="25.5" x14ac:dyDescent="0.2">
      <c r="A2028" s="1" t="s">
        <v>44</v>
      </c>
      <c r="B2028" s="12" t="s">
        <v>260</v>
      </c>
      <c r="D2028" s="5" t="s">
        <v>470</v>
      </c>
      <c r="E2028" s="3">
        <v>104327</v>
      </c>
      <c r="F2028" s="3">
        <v>141479</v>
      </c>
      <c r="G2028" s="57">
        <v>0.35611107383515295</v>
      </c>
      <c r="J2028" s="5" t="s">
        <v>4375</v>
      </c>
    </row>
    <row r="2029" spans="1:12" ht="63.75" x14ac:dyDescent="0.2">
      <c r="A2029" s="1" t="s">
        <v>4</v>
      </c>
      <c r="B2029" s="2" t="s">
        <v>432</v>
      </c>
      <c r="C2029" s="5" t="s">
        <v>498</v>
      </c>
      <c r="D2029" s="5" t="s">
        <v>499</v>
      </c>
      <c r="E2029" s="3">
        <v>73440</v>
      </c>
      <c r="F2029" s="3">
        <v>141428</v>
      </c>
      <c r="G2029" s="57">
        <v>0.92576252723311547</v>
      </c>
      <c r="J2029" s="5" t="s">
        <v>2888</v>
      </c>
    </row>
    <row r="2030" spans="1:12" ht="38.25" x14ac:dyDescent="0.2">
      <c r="A2030" s="1" t="s">
        <v>39</v>
      </c>
      <c r="B2030" s="2" t="s">
        <v>143</v>
      </c>
      <c r="C2030" s="1"/>
      <c r="D2030" s="5" t="s">
        <v>774</v>
      </c>
      <c r="E2030" s="3" t="s">
        <v>465</v>
      </c>
      <c r="F2030" s="3">
        <v>141328</v>
      </c>
      <c r="G2030" s="57" t="s">
        <v>465</v>
      </c>
      <c r="J2030" s="5" t="s">
        <v>4309</v>
      </c>
    </row>
    <row r="2031" spans="1:12" ht="25.5" x14ac:dyDescent="0.2">
      <c r="A2031" s="1" t="s">
        <v>1</v>
      </c>
      <c r="B2031" s="12" t="s">
        <v>420</v>
      </c>
      <c r="C2031" s="5" t="s">
        <v>575</v>
      </c>
      <c r="D2031" s="5" t="s">
        <v>4555</v>
      </c>
      <c r="E2031" s="9">
        <v>129803</v>
      </c>
      <c r="F2031" s="9">
        <v>141327</v>
      </c>
      <c r="G2031" s="57">
        <v>8.8780690739043017E-2</v>
      </c>
      <c r="J2031" s="5" t="s">
        <v>4558</v>
      </c>
    </row>
    <row r="2032" spans="1:12" ht="25.5" x14ac:dyDescent="0.2">
      <c r="A2032" s="1" t="s">
        <v>6</v>
      </c>
      <c r="B2032" s="2" t="s">
        <v>418</v>
      </c>
      <c r="D2032" s="5" t="s">
        <v>450</v>
      </c>
      <c r="E2032" s="3">
        <v>139311</v>
      </c>
      <c r="F2032" s="3">
        <v>141273</v>
      </c>
      <c r="G2032" s="57">
        <v>1.4083597131597649E-2</v>
      </c>
      <c r="J2032" s="5" t="s">
        <v>2357</v>
      </c>
    </row>
    <row r="2033" spans="1:12" x14ac:dyDescent="0.2">
      <c r="A2033" s="1" t="s">
        <v>1</v>
      </c>
      <c r="B2033" s="2" t="s">
        <v>348</v>
      </c>
      <c r="C2033" s="5" t="s">
        <v>848</v>
      </c>
      <c r="D2033" s="5" t="s">
        <v>529</v>
      </c>
      <c r="E2033" s="36">
        <v>136191</v>
      </c>
      <c r="F2033" s="3">
        <v>141250</v>
      </c>
      <c r="G2033" s="57">
        <v>3.7146360625885708E-2</v>
      </c>
      <c r="J2033" s="5" t="s">
        <v>2687</v>
      </c>
    </row>
    <row r="2034" spans="1:12" ht="25.5" x14ac:dyDescent="0.2">
      <c r="A2034" s="1" t="s">
        <v>8</v>
      </c>
      <c r="B2034" s="2" t="s">
        <v>229</v>
      </c>
      <c r="D2034" s="5" t="s">
        <v>451</v>
      </c>
      <c r="E2034" s="3">
        <v>136129</v>
      </c>
      <c r="F2034" s="3">
        <v>141039</v>
      </c>
      <c r="G2034" s="57">
        <v>3.606872892623908E-2</v>
      </c>
      <c r="J2034" s="5" t="s">
        <v>3230</v>
      </c>
    </row>
    <row r="2035" spans="1:12" ht="25.5" x14ac:dyDescent="0.2">
      <c r="A2035" s="1" t="s">
        <v>4</v>
      </c>
      <c r="B2035" s="2" t="s">
        <v>321</v>
      </c>
      <c r="D2035" s="5" t="s">
        <v>450</v>
      </c>
      <c r="E2035" s="3">
        <v>137543</v>
      </c>
      <c r="F2035" s="3">
        <v>141028</v>
      </c>
      <c r="G2035" s="57">
        <v>2.5337530808547146E-2</v>
      </c>
      <c r="J2035" s="5" t="s">
        <v>2789</v>
      </c>
    </row>
    <row r="2036" spans="1:12" ht="25.5" x14ac:dyDescent="0.2">
      <c r="A2036" s="1" t="s">
        <v>4</v>
      </c>
      <c r="B2036" s="2" t="s">
        <v>432</v>
      </c>
      <c r="C2036" s="5" t="s">
        <v>492</v>
      </c>
      <c r="D2036" s="5" t="s">
        <v>494</v>
      </c>
      <c r="E2036" s="3">
        <v>137420</v>
      </c>
      <c r="F2036" s="3">
        <v>141019</v>
      </c>
      <c r="G2036" s="57">
        <v>2.6189783146557996E-2</v>
      </c>
      <c r="J2036" s="5" t="s">
        <v>2287</v>
      </c>
    </row>
    <row r="2037" spans="1:12" ht="25.5" x14ac:dyDescent="0.2">
      <c r="A2037" s="1" t="s">
        <v>28</v>
      </c>
      <c r="B2037" s="2" t="s">
        <v>67</v>
      </c>
      <c r="C2037" s="1"/>
      <c r="D2037" s="5" t="s">
        <v>1894</v>
      </c>
      <c r="E2037" s="3">
        <v>87000</v>
      </c>
      <c r="F2037" s="3">
        <v>141000</v>
      </c>
      <c r="G2037" s="57">
        <v>0.62068965517241381</v>
      </c>
      <c r="J2037" s="5" t="s">
        <v>4433</v>
      </c>
    </row>
    <row r="2038" spans="1:12" ht="38.25" x14ac:dyDescent="0.2">
      <c r="A2038" s="1" t="s">
        <v>4</v>
      </c>
      <c r="B2038" s="2" t="s">
        <v>122</v>
      </c>
      <c r="C2038" s="1"/>
      <c r="D2038" s="5" t="s">
        <v>450</v>
      </c>
      <c r="E2038" s="3">
        <v>136000</v>
      </c>
      <c r="F2038" s="3">
        <v>141000</v>
      </c>
      <c r="G2038" s="57">
        <v>3.6764705882352942E-2</v>
      </c>
      <c r="J2038" s="5" t="s">
        <v>3926</v>
      </c>
    </row>
    <row r="2039" spans="1:12" ht="51" x14ac:dyDescent="0.2">
      <c r="A2039" s="1" t="s">
        <v>6</v>
      </c>
      <c r="B2039" s="2" t="s">
        <v>219</v>
      </c>
      <c r="C2039" s="5" t="s">
        <v>1292</v>
      </c>
      <c r="D2039" s="5" t="s">
        <v>1293</v>
      </c>
      <c r="E2039" s="3">
        <v>93000</v>
      </c>
      <c r="F2039" s="3">
        <v>141000</v>
      </c>
      <c r="G2039" s="57">
        <v>0.5161290322580645</v>
      </c>
      <c r="J2039" s="5" t="s">
        <v>3280</v>
      </c>
    </row>
    <row r="2040" spans="1:12" ht="25.5" x14ac:dyDescent="0.2">
      <c r="A2040" s="1" t="s">
        <v>6</v>
      </c>
      <c r="B2040" s="2" t="s">
        <v>313</v>
      </c>
      <c r="D2040" s="5" t="s">
        <v>4679</v>
      </c>
      <c r="E2040" s="6">
        <v>133000</v>
      </c>
      <c r="F2040" s="6">
        <v>141000</v>
      </c>
      <c r="G2040" s="57">
        <v>6.0150375939849621E-2</v>
      </c>
      <c r="H2040" s="21"/>
      <c r="I2040" s="21"/>
      <c r="J2040" s="7" t="s">
        <v>2804</v>
      </c>
    </row>
    <row r="2041" spans="1:12" ht="38.25" x14ac:dyDescent="0.2">
      <c r="A2041" s="1" t="s">
        <v>6</v>
      </c>
      <c r="B2041" s="2" t="s">
        <v>313</v>
      </c>
      <c r="D2041" s="5" t="s">
        <v>933</v>
      </c>
      <c r="E2041" s="6">
        <v>133000</v>
      </c>
      <c r="F2041" s="6">
        <v>141000</v>
      </c>
      <c r="G2041" s="57">
        <v>6.0150375939849621E-2</v>
      </c>
      <c r="H2041" s="21"/>
      <c r="I2041" s="21"/>
      <c r="J2041" s="7" t="s">
        <v>2804</v>
      </c>
    </row>
    <row r="2042" spans="1:12" ht="25.5" x14ac:dyDescent="0.2">
      <c r="A2042" s="1" t="s">
        <v>20</v>
      </c>
      <c r="B2042" s="2" t="s">
        <v>360</v>
      </c>
      <c r="D2042" s="5" t="s">
        <v>450</v>
      </c>
      <c r="E2042" s="3">
        <v>141000</v>
      </c>
      <c r="F2042" s="3">
        <v>141000</v>
      </c>
      <c r="G2042" s="57">
        <v>0</v>
      </c>
      <c r="J2042" s="5" t="s">
        <v>2621</v>
      </c>
    </row>
    <row r="2043" spans="1:12" ht="38.25" x14ac:dyDescent="0.2">
      <c r="A2043" s="1" t="s">
        <v>4</v>
      </c>
      <c r="B2043" s="2" t="s">
        <v>378</v>
      </c>
      <c r="D2043" s="7" t="s">
        <v>2525</v>
      </c>
      <c r="E2043" s="6">
        <v>81000</v>
      </c>
      <c r="F2043" s="6">
        <v>141000</v>
      </c>
      <c r="G2043" s="57">
        <v>0.7407407407407407</v>
      </c>
      <c r="H2043" s="21"/>
      <c r="I2043" s="21"/>
      <c r="J2043" s="7" t="s">
        <v>2526</v>
      </c>
    </row>
    <row r="2044" spans="1:12" x14ac:dyDescent="0.2">
      <c r="A2044" s="1" t="s">
        <v>8</v>
      </c>
      <c r="B2044" s="2" t="s">
        <v>116</v>
      </c>
      <c r="C2044" s="1"/>
      <c r="D2044" s="5" t="s">
        <v>2151</v>
      </c>
      <c r="E2044" s="3">
        <v>138529</v>
      </c>
      <c r="F2044" s="3">
        <v>140924</v>
      </c>
      <c r="G2044" s="57">
        <v>1.7288798735282863E-2</v>
      </c>
      <c r="J2044" s="5" t="s">
        <v>3899</v>
      </c>
    </row>
    <row r="2045" spans="1:12" ht="38.25" x14ac:dyDescent="0.2">
      <c r="A2045" s="1" t="s">
        <v>4</v>
      </c>
      <c r="B2045" s="2" t="s">
        <v>191</v>
      </c>
      <c r="D2045" s="5" t="s">
        <v>1451</v>
      </c>
      <c r="E2045" s="9">
        <v>78349</v>
      </c>
      <c r="F2045" s="9">
        <v>140910</v>
      </c>
      <c r="G2045" s="57">
        <v>0.79849136555667588</v>
      </c>
      <c r="J2045" s="5" t="s">
        <v>4651</v>
      </c>
    </row>
    <row r="2046" spans="1:12" ht="38.25" x14ac:dyDescent="0.2">
      <c r="A2046" s="1" t="s">
        <v>6</v>
      </c>
      <c r="B2046" s="2" t="s">
        <v>329</v>
      </c>
      <c r="D2046" s="7" t="s">
        <v>893</v>
      </c>
      <c r="E2046" s="6" t="s">
        <v>465</v>
      </c>
      <c r="F2046" s="6">
        <v>140910</v>
      </c>
      <c r="G2046" s="57" t="s">
        <v>465</v>
      </c>
      <c r="J2046" s="5" t="s">
        <v>4421</v>
      </c>
    </row>
    <row r="2047" spans="1:12" ht="25.5" x14ac:dyDescent="0.2">
      <c r="A2047" s="1" t="s">
        <v>1</v>
      </c>
      <c r="B2047" s="12" t="s">
        <v>248</v>
      </c>
      <c r="C2047" s="7" t="s">
        <v>3140</v>
      </c>
      <c r="D2047" s="7" t="s">
        <v>3139</v>
      </c>
      <c r="E2047" s="6">
        <v>84438</v>
      </c>
      <c r="F2047" s="6">
        <v>140820</v>
      </c>
      <c r="G2047" s="57">
        <v>0.66773253748312367</v>
      </c>
      <c r="H2047" s="21"/>
      <c r="I2047" s="21"/>
      <c r="J2047" s="7" t="s">
        <v>3146</v>
      </c>
      <c r="K2047" s="13"/>
      <c r="L2047" s="13"/>
    </row>
    <row r="2048" spans="1:12" ht="25.5" x14ac:dyDescent="0.2">
      <c r="A2048" s="1" t="s">
        <v>6</v>
      </c>
      <c r="B2048" s="2" t="s">
        <v>426</v>
      </c>
      <c r="C2048" s="5" t="s">
        <v>534</v>
      </c>
      <c r="D2048" s="5" t="s">
        <v>529</v>
      </c>
      <c r="E2048" s="3">
        <v>164359</v>
      </c>
      <c r="F2048" s="3">
        <v>140812</v>
      </c>
      <c r="G2048" s="57">
        <v>-0.14326565627680871</v>
      </c>
      <c r="J2048" s="5" t="s">
        <v>2325</v>
      </c>
    </row>
    <row r="2049" spans="1:12" ht="25.5" x14ac:dyDescent="0.2">
      <c r="A2049" s="1" t="s">
        <v>111</v>
      </c>
      <c r="B2049" s="2" t="s">
        <v>376</v>
      </c>
      <c r="D2049" s="5" t="s">
        <v>744</v>
      </c>
      <c r="E2049" s="3">
        <v>74293</v>
      </c>
      <c r="F2049" s="3">
        <v>140766</v>
      </c>
      <c r="G2049" s="57">
        <v>0.8947410927005236</v>
      </c>
      <c r="J2049" s="5" t="s">
        <v>2881</v>
      </c>
    </row>
    <row r="2050" spans="1:12" ht="25.5" x14ac:dyDescent="0.2">
      <c r="A2050" s="1" t="s">
        <v>34</v>
      </c>
      <c r="B2050" s="2" t="s">
        <v>427</v>
      </c>
      <c r="D2050" s="5" t="s">
        <v>526</v>
      </c>
      <c r="E2050" s="3" t="s">
        <v>465</v>
      </c>
      <c r="F2050" s="3">
        <v>140749</v>
      </c>
      <c r="G2050" s="57" t="s">
        <v>465</v>
      </c>
      <c r="J2050" s="5" t="s">
        <v>2320</v>
      </c>
    </row>
    <row r="2051" spans="1:12" ht="25.5" x14ac:dyDescent="0.2">
      <c r="A2051" s="1" t="s">
        <v>20</v>
      </c>
      <c r="B2051" s="2" t="s">
        <v>393</v>
      </c>
      <c r="D2051" s="5" t="s">
        <v>450</v>
      </c>
      <c r="E2051" s="3">
        <v>138473</v>
      </c>
      <c r="F2051" s="3">
        <v>140745</v>
      </c>
      <c r="G2051" s="57">
        <v>1.6407530709957898E-2</v>
      </c>
      <c r="J2051" s="5" t="s">
        <v>2470</v>
      </c>
    </row>
    <row r="2052" spans="1:12" x14ac:dyDescent="0.2">
      <c r="A2052" s="1" t="s">
        <v>8</v>
      </c>
      <c r="B2052" s="2" t="s">
        <v>116</v>
      </c>
      <c r="C2052" s="1"/>
      <c r="D2052" s="5" t="s">
        <v>2152</v>
      </c>
      <c r="E2052" s="3">
        <v>138464</v>
      </c>
      <c r="F2052" s="3">
        <v>140729</v>
      </c>
      <c r="G2052" s="57">
        <v>1.6358042523688467E-2</v>
      </c>
      <c r="J2052" s="5" t="s">
        <v>3900</v>
      </c>
    </row>
    <row r="2053" spans="1:12" ht="38.25" x14ac:dyDescent="0.2">
      <c r="A2053" s="1" t="s">
        <v>4</v>
      </c>
      <c r="B2053" s="2" t="s">
        <v>356</v>
      </c>
      <c r="C2053" s="5" t="s">
        <v>820</v>
      </c>
      <c r="D2053" s="5" t="s">
        <v>450</v>
      </c>
      <c r="E2053" s="3">
        <v>205920</v>
      </c>
      <c r="F2053" s="3">
        <v>140725</v>
      </c>
      <c r="G2053" s="57">
        <v>-0.31660353535353536</v>
      </c>
      <c r="J2053" s="5" t="s">
        <v>2647</v>
      </c>
    </row>
    <row r="2054" spans="1:12" ht="25.5" x14ac:dyDescent="0.2">
      <c r="A2054" s="1" t="s">
        <v>8</v>
      </c>
      <c r="B2054" s="2" t="s">
        <v>256</v>
      </c>
      <c r="D2054" s="5" t="s">
        <v>450</v>
      </c>
      <c r="E2054" s="3">
        <v>140237.81</v>
      </c>
      <c r="F2054" s="3">
        <v>140673.72999999998</v>
      </c>
      <c r="G2054" s="57">
        <v>3.1084341662208194E-3</v>
      </c>
      <c r="J2054" s="5" t="s">
        <v>3101</v>
      </c>
    </row>
    <row r="2055" spans="1:12" ht="25.5" x14ac:dyDescent="0.2">
      <c r="A2055" s="1" t="s">
        <v>25</v>
      </c>
      <c r="B2055" s="2" t="s">
        <v>379</v>
      </c>
      <c r="D2055" s="5" t="s">
        <v>725</v>
      </c>
      <c r="E2055" s="3">
        <v>140649</v>
      </c>
      <c r="F2055" s="3">
        <v>140631</v>
      </c>
      <c r="G2055" s="57">
        <v>-1.2797815839430071E-4</v>
      </c>
      <c r="J2055" s="5" t="s">
        <v>2523</v>
      </c>
    </row>
    <row r="2056" spans="1:12" ht="25.5" x14ac:dyDescent="0.2">
      <c r="A2056" s="1" t="s">
        <v>20</v>
      </c>
      <c r="B2056" s="2" t="s">
        <v>19</v>
      </c>
      <c r="C2056" s="1"/>
      <c r="D2056" s="5" t="s">
        <v>450</v>
      </c>
      <c r="E2056" s="3">
        <v>146945</v>
      </c>
      <c r="F2056" s="3">
        <v>140543</v>
      </c>
      <c r="G2056" s="57">
        <v>-4.3567321106536459E-2</v>
      </c>
      <c r="J2056" s="5" t="s">
        <v>3654</v>
      </c>
    </row>
    <row r="2057" spans="1:12" ht="38.25" x14ac:dyDescent="0.2">
      <c r="A2057" s="1" t="s">
        <v>25</v>
      </c>
      <c r="B2057" s="2" t="s">
        <v>405</v>
      </c>
      <c r="D2057" s="5" t="s">
        <v>643</v>
      </c>
      <c r="E2057" s="3">
        <v>144220</v>
      </c>
      <c r="F2057" s="3">
        <v>140347</v>
      </c>
      <c r="G2057" s="57">
        <v>-2.6854805158785189E-2</v>
      </c>
      <c r="J2057" s="5" t="s">
        <v>4520</v>
      </c>
    </row>
    <row r="2058" spans="1:12" ht="25.5" x14ac:dyDescent="0.2">
      <c r="A2058" s="1" t="s">
        <v>34</v>
      </c>
      <c r="B2058" s="2" t="s">
        <v>338</v>
      </c>
      <c r="D2058" s="5" t="s">
        <v>590</v>
      </c>
      <c r="E2058" s="3">
        <v>139472.76</v>
      </c>
      <c r="F2058" s="3">
        <v>140087.28</v>
      </c>
      <c r="G2058" s="57">
        <v>4.4060216489584742E-3</v>
      </c>
      <c r="J2058" s="5" t="s">
        <v>2721</v>
      </c>
    </row>
    <row r="2059" spans="1:12" ht="25.5" x14ac:dyDescent="0.2">
      <c r="A2059" s="1" t="s">
        <v>4</v>
      </c>
      <c r="B2059" s="2" t="s">
        <v>392</v>
      </c>
      <c r="D2059" s="5" t="s">
        <v>450</v>
      </c>
      <c r="E2059" s="3">
        <v>142476</v>
      </c>
      <c r="F2059" s="3">
        <v>140037</v>
      </c>
      <c r="G2059" s="57">
        <v>-1.7118672618546282E-2</v>
      </c>
      <c r="J2059" s="5" t="s">
        <v>2476</v>
      </c>
    </row>
    <row r="2060" spans="1:12" s="13" customFormat="1" ht="25.5" x14ac:dyDescent="0.2">
      <c r="A2060" s="1" t="s">
        <v>28</v>
      </c>
      <c r="B2060" s="2" t="s">
        <v>67</v>
      </c>
      <c r="C2060" s="1"/>
      <c r="D2060" s="5" t="s">
        <v>1895</v>
      </c>
      <c r="E2060" s="3">
        <v>79000</v>
      </c>
      <c r="F2060" s="3">
        <v>140000</v>
      </c>
      <c r="G2060" s="57">
        <v>0.77215189873417722</v>
      </c>
      <c r="H2060" s="19"/>
      <c r="I2060" s="19"/>
      <c r="J2060" s="5" t="s">
        <v>4432</v>
      </c>
      <c r="K2060" s="1"/>
      <c r="L2060" s="1"/>
    </row>
    <row r="2061" spans="1:12" s="13" customFormat="1" ht="25.5" x14ac:dyDescent="0.2">
      <c r="A2061" s="1" t="s">
        <v>8</v>
      </c>
      <c r="B2061" s="2" t="s">
        <v>223</v>
      </c>
      <c r="C2061" s="5"/>
      <c r="D2061" s="5" t="s">
        <v>1269</v>
      </c>
      <c r="E2061" s="3">
        <v>139000</v>
      </c>
      <c r="F2061" s="3">
        <v>140000</v>
      </c>
      <c r="G2061" s="57">
        <v>7.1942446043165471E-3</v>
      </c>
      <c r="H2061" s="19"/>
      <c r="I2061" s="19"/>
      <c r="J2061" s="5" t="s">
        <v>3253</v>
      </c>
      <c r="K2061" s="1"/>
      <c r="L2061" s="1"/>
    </row>
    <row r="2062" spans="1:12" ht="25.5" x14ac:dyDescent="0.2">
      <c r="A2062" s="1" t="s">
        <v>8</v>
      </c>
      <c r="B2062" s="2" t="s">
        <v>281</v>
      </c>
      <c r="D2062" s="5" t="s">
        <v>1079</v>
      </c>
      <c r="E2062" s="10" t="s">
        <v>465</v>
      </c>
      <c r="F2062" s="3">
        <v>140000</v>
      </c>
      <c r="G2062" s="57" t="s">
        <v>465</v>
      </c>
      <c r="J2062" s="5" t="s">
        <v>2990</v>
      </c>
    </row>
    <row r="2063" spans="1:12" x14ac:dyDescent="0.2">
      <c r="A2063" s="1" t="s">
        <v>39</v>
      </c>
      <c r="B2063" s="2" t="s">
        <v>435</v>
      </c>
      <c r="D2063" s="5" t="s">
        <v>456</v>
      </c>
      <c r="E2063" s="3">
        <v>136186</v>
      </c>
      <c r="F2063" s="3">
        <v>139966</v>
      </c>
      <c r="G2063" s="57">
        <v>2.775615702054543E-2</v>
      </c>
      <c r="J2063" s="5" t="s">
        <v>2271</v>
      </c>
    </row>
    <row r="2064" spans="1:12" ht="38.25" x14ac:dyDescent="0.2">
      <c r="A2064" s="1" t="s">
        <v>1</v>
      </c>
      <c r="B2064" s="2" t="s">
        <v>168</v>
      </c>
      <c r="C2064" s="5" t="s">
        <v>1570</v>
      </c>
      <c r="D2064" s="5" t="s">
        <v>1571</v>
      </c>
      <c r="E2064" s="3">
        <v>85297</v>
      </c>
      <c r="F2064" s="3">
        <v>139955</v>
      </c>
      <c r="G2064" s="57">
        <v>0.64079627653962035</v>
      </c>
      <c r="J2064" s="5" t="s">
        <v>4340</v>
      </c>
    </row>
    <row r="2065" spans="1:12" ht="63.75" x14ac:dyDescent="0.2">
      <c r="A2065" s="1" t="s">
        <v>25</v>
      </c>
      <c r="B2065" s="2" t="s">
        <v>406</v>
      </c>
      <c r="D2065" s="5" t="s">
        <v>506</v>
      </c>
      <c r="E2065" s="9" t="s">
        <v>465</v>
      </c>
      <c r="F2065" s="3">
        <v>139883</v>
      </c>
      <c r="G2065" s="57" t="s">
        <v>465</v>
      </c>
      <c r="J2065" s="5" t="s">
        <v>2886</v>
      </c>
    </row>
    <row r="2066" spans="1:12" ht="51" x14ac:dyDescent="0.2">
      <c r="A2066" s="1" t="s">
        <v>39</v>
      </c>
      <c r="B2066" s="12" t="s">
        <v>365</v>
      </c>
      <c r="D2066" s="5" t="s">
        <v>785</v>
      </c>
      <c r="E2066" s="3">
        <v>133926</v>
      </c>
      <c r="F2066" s="3">
        <v>139876</v>
      </c>
      <c r="G2066" s="57">
        <v>4.4427519675044429E-2</v>
      </c>
      <c r="J2066" s="5" t="s">
        <v>2593</v>
      </c>
    </row>
    <row r="2067" spans="1:12" ht="25.5" x14ac:dyDescent="0.2">
      <c r="A2067" s="1" t="s">
        <v>6</v>
      </c>
      <c r="B2067" s="2" t="s">
        <v>237</v>
      </c>
      <c r="D2067" s="14" t="s">
        <v>1231</v>
      </c>
      <c r="E2067" s="10">
        <v>36500</v>
      </c>
      <c r="F2067" s="10">
        <v>139685</v>
      </c>
      <c r="G2067" s="57">
        <v>2.8269863013698631</v>
      </c>
      <c r="J2067" s="5" t="s">
        <v>3192</v>
      </c>
    </row>
    <row r="2068" spans="1:12" ht="38.25" x14ac:dyDescent="0.2">
      <c r="A2068" s="1" t="s">
        <v>44</v>
      </c>
      <c r="B2068" s="2" t="s">
        <v>73</v>
      </c>
      <c r="C2068" s="7" t="s">
        <v>3795</v>
      </c>
      <c r="D2068" s="7" t="s">
        <v>450</v>
      </c>
      <c r="E2068" s="6">
        <v>177001</v>
      </c>
      <c r="F2068" s="6">
        <v>139575</v>
      </c>
      <c r="G2068" s="57">
        <v>-0.2114451330783442</v>
      </c>
      <c r="H2068" s="21"/>
      <c r="I2068" s="21"/>
      <c r="J2068" s="7" t="s">
        <v>4221</v>
      </c>
      <c r="K2068" s="13"/>
      <c r="L2068" s="13"/>
    </row>
    <row r="2069" spans="1:12" ht="25.5" x14ac:dyDescent="0.2">
      <c r="A2069" s="1" t="s">
        <v>1</v>
      </c>
      <c r="B2069" s="2" t="s">
        <v>13</v>
      </c>
      <c r="C2069" s="1" t="s">
        <v>1688</v>
      </c>
      <c r="D2069" s="5" t="s">
        <v>450</v>
      </c>
      <c r="E2069" s="3">
        <v>135074</v>
      </c>
      <c r="F2069" s="3">
        <v>139324</v>
      </c>
      <c r="G2069" s="57">
        <v>3.1464234419651453E-2</v>
      </c>
      <c r="J2069" s="5" t="s">
        <v>3646</v>
      </c>
    </row>
    <row r="2070" spans="1:12" ht="25.5" x14ac:dyDescent="0.2">
      <c r="A2070" s="1" t="s">
        <v>25</v>
      </c>
      <c r="B2070" s="2" t="s">
        <v>197</v>
      </c>
      <c r="D2070" s="5" t="s">
        <v>1408</v>
      </c>
      <c r="E2070" s="9">
        <v>133550</v>
      </c>
      <c r="F2070" s="9">
        <v>139268</v>
      </c>
      <c r="G2070" s="57">
        <v>4.2815424934481469E-2</v>
      </c>
      <c r="J2070" s="5" t="s">
        <v>3445</v>
      </c>
    </row>
    <row r="2071" spans="1:12" ht="25.5" x14ac:dyDescent="0.2">
      <c r="A2071" s="1" t="s">
        <v>20</v>
      </c>
      <c r="B2071" s="2" t="s">
        <v>394</v>
      </c>
      <c r="C2071" s="5" t="s">
        <v>681</v>
      </c>
      <c r="D2071" s="5" t="s">
        <v>450</v>
      </c>
      <c r="E2071" s="3" t="s">
        <v>465</v>
      </c>
      <c r="F2071" s="3">
        <v>139091</v>
      </c>
      <c r="G2071" s="57" t="s">
        <v>465</v>
      </c>
      <c r="J2071" s="5" t="s">
        <v>4498</v>
      </c>
    </row>
    <row r="2072" spans="1:12" ht="25.5" x14ac:dyDescent="0.2">
      <c r="A2072" s="1" t="s">
        <v>20</v>
      </c>
      <c r="B2072" s="2" t="s">
        <v>154</v>
      </c>
      <c r="C2072" s="1"/>
      <c r="D2072" s="5" t="s">
        <v>451</v>
      </c>
      <c r="E2072" s="3">
        <v>149859</v>
      </c>
      <c r="F2072" s="3">
        <v>139079</v>
      </c>
      <c r="G2072" s="57">
        <v>-7.193428489446746E-2</v>
      </c>
      <c r="J2072" s="5" t="s">
        <v>4017</v>
      </c>
    </row>
    <row r="2073" spans="1:12" ht="25.5" x14ac:dyDescent="0.2">
      <c r="A2073" s="1" t="s">
        <v>44</v>
      </c>
      <c r="B2073" s="2" t="s">
        <v>97</v>
      </c>
      <c r="C2073" s="1"/>
      <c r="D2073" s="5" t="s">
        <v>450</v>
      </c>
      <c r="E2073" s="3">
        <v>147452</v>
      </c>
      <c r="F2073" s="3">
        <v>139032</v>
      </c>
      <c r="G2073" s="57">
        <v>-5.7103328540813285E-2</v>
      </c>
      <c r="J2073" s="5" t="s">
        <v>3846</v>
      </c>
    </row>
    <row r="2074" spans="1:12" x14ac:dyDescent="0.2">
      <c r="A2074" s="1" t="s">
        <v>34</v>
      </c>
      <c r="B2074" s="2" t="s">
        <v>121</v>
      </c>
      <c r="C2074" s="1" t="s">
        <v>2141</v>
      </c>
      <c r="D2074" s="5" t="s">
        <v>2142</v>
      </c>
      <c r="E2074" s="3">
        <v>132000</v>
      </c>
      <c r="F2074" s="3">
        <v>139000</v>
      </c>
      <c r="G2074" s="57">
        <v>5.3030303030303032E-2</v>
      </c>
      <c r="J2074" s="5" t="s">
        <v>3921</v>
      </c>
    </row>
    <row r="2075" spans="1:12" ht="25.5" x14ac:dyDescent="0.2">
      <c r="A2075" s="1" t="s">
        <v>28</v>
      </c>
      <c r="B2075" s="2" t="s">
        <v>142</v>
      </c>
      <c r="C2075" s="1"/>
      <c r="D2075" s="5" t="s">
        <v>1649</v>
      </c>
      <c r="E2075" s="3">
        <v>139000</v>
      </c>
      <c r="F2075" s="3">
        <v>139000</v>
      </c>
      <c r="G2075" s="57">
        <v>0</v>
      </c>
      <c r="J2075" s="5" t="s">
        <v>3982</v>
      </c>
    </row>
    <row r="2076" spans="1:12" ht="38.25" x14ac:dyDescent="0.2">
      <c r="A2076" s="1" t="s">
        <v>6</v>
      </c>
      <c r="B2076" s="2" t="s">
        <v>313</v>
      </c>
      <c r="D2076" s="5" t="s">
        <v>4680</v>
      </c>
      <c r="E2076" s="6">
        <v>6000</v>
      </c>
      <c r="F2076" s="6">
        <v>139000</v>
      </c>
      <c r="G2076" s="57">
        <v>22.166666666666668</v>
      </c>
      <c r="H2076" s="21"/>
      <c r="I2076" s="21"/>
      <c r="J2076" s="7" t="s">
        <v>2806</v>
      </c>
    </row>
    <row r="2077" spans="1:12" ht="25.5" x14ac:dyDescent="0.2">
      <c r="A2077" s="1" t="s">
        <v>28</v>
      </c>
      <c r="B2077" s="2" t="s">
        <v>279</v>
      </c>
      <c r="C2077" s="5" t="s">
        <v>1084</v>
      </c>
      <c r="D2077" s="5" t="s">
        <v>450</v>
      </c>
      <c r="E2077" s="3" t="s">
        <v>465</v>
      </c>
      <c r="F2077" s="3">
        <v>138968</v>
      </c>
      <c r="G2077" s="57" t="s">
        <v>465</v>
      </c>
      <c r="J2077" s="5" t="s">
        <v>4382</v>
      </c>
    </row>
    <row r="2078" spans="1:12" ht="25.5" x14ac:dyDescent="0.2">
      <c r="A2078" s="1" t="s">
        <v>4</v>
      </c>
      <c r="B2078" s="2" t="s">
        <v>356</v>
      </c>
      <c r="C2078" s="5" t="s">
        <v>826</v>
      </c>
      <c r="D2078" s="5" t="s">
        <v>2644</v>
      </c>
      <c r="E2078" s="3" t="s">
        <v>465</v>
      </c>
      <c r="F2078" s="3">
        <v>138941</v>
      </c>
      <c r="G2078" s="57" t="s">
        <v>465</v>
      </c>
      <c r="J2078" s="5" t="s">
        <v>2651</v>
      </c>
    </row>
    <row r="2079" spans="1:12" ht="25.5" x14ac:dyDescent="0.2">
      <c r="A2079" s="1" t="s">
        <v>6</v>
      </c>
      <c r="B2079" s="2" t="s">
        <v>383</v>
      </c>
      <c r="D2079" s="5" t="s">
        <v>706</v>
      </c>
      <c r="E2079" s="3">
        <v>137384</v>
      </c>
      <c r="F2079" s="3">
        <v>138936</v>
      </c>
      <c r="G2079" s="57">
        <v>1.1296803121178594E-2</v>
      </c>
      <c r="J2079" s="5" t="s">
        <v>2502</v>
      </c>
    </row>
    <row r="2080" spans="1:12" ht="25.5" x14ac:dyDescent="0.2">
      <c r="A2080" s="1" t="s">
        <v>4</v>
      </c>
      <c r="B2080" s="2" t="s">
        <v>112</v>
      </c>
      <c r="C2080" s="1"/>
      <c r="D2080" s="5" t="s">
        <v>470</v>
      </c>
      <c r="E2080" s="3">
        <v>137147</v>
      </c>
      <c r="F2080" s="3">
        <v>138906</v>
      </c>
      <c r="G2080" s="57">
        <v>1.282565422502862E-2</v>
      </c>
      <c r="J2080" s="5" t="s">
        <v>3890</v>
      </c>
    </row>
    <row r="2081" spans="1:12" ht="25.5" x14ac:dyDescent="0.2">
      <c r="A2081" s="1" t="s">
        <v>28</v>
      </c>
      <c r="B2081" s="2" t="s">
        <v>221</v>
      </c>
      <c r="D2081" s="5" t="s">
        <v>1280</v>
      </c>
      <c r="E2081" s="9">
        <v>134930</v>
      </c>
      <c r="F2081" s="9">
        <v>138835</v>
      </c>
      <c r="G2081" s="57">
        <v>2.8940932335284962E-2</v>
      </c>
      <c r="J2081" s="5" t="s">
        <v>3267</v>
      </c>
    </row>
    <row r="2082" spans="1:12" ht="25.5" x14ac:dyDescent="0.2">
      <c r="A2082" s="1" t="s">
        <v>1</v>
      </c>
      <c r="B2082" s="2" t="s">
        <v>348</v>
      </c>
      <c r="C2082" s="5" t="s">
        <v>849</v>
      </c>
      <c r="D2082" s="5" t="s">
        <v>529</v>
      </c>
      <c r="E2082" s="8" t="s">
        <v>465</v>
      </c>
      <c r="F2082" s="3">
        <v>138781</v>
      </c>
      <c r="G2082" s="57" t="s">
        <v>465</v>
      </c>
      <c r="J2082" s="5" t="s">
        <v>2688</v>
      </c>
    </row>
    <row r="2083" spans="1:12" x14ac:dyDescent="0.2">
      <c r="A2083" s="1" t="s">
        <v>8</v>
      </c>
      <c r="B2083" s="2" t="s">
        <v>81</v>
      </c>
      <c r="C2083" s="1"/>
      <c r="D2083" s="5" t="s">
        <v>450</v>
      </c>
      <c r="E2083" s="3">
        <v>109059</v>
      </c>
      <c r="F2083" s="3">
        <v>138663</v>
      </c>
      <c r="G2083" s="57">
        <v>0.27144939894919262</v>
      </c>
      <c r="J2083" s="5" t="s">
        <v>3815</v>
      </c>
    </row>
    <row r="2084" spans="1:12" ht="25.5" x14ac:dyDescent="0.2">
      <c r="A2084" s="13" t="s">
        <v>111</v>
      </c>
      <c r="B2084" s="12" t="s">
        <v>110</v>
      </c>
      <c r="C2084" s="13"/>
      <c r="D2084" s="7" t="s">
        <v>452</v>
      </c>
      <c r="E2084" s="6">
        <v>139844</v>
      </c>
      <c r="F2084" s="6">
        <v>138599</v>
      </c>
      <c r="G2084" s="57">
        <v>-8.9027773805097112E-3</v>
      </c>
      <c r="H2084" s="21"/>
      <c r="I2084" s="21"/>
      <c r="J2084" s="7" t="s">
        <v>3888</v>
      </c>
      <c r="K2084" s="13"/>
      <c r="L2084" s="13"/>
    </row>
    <row r="2085" spans="1:12" ht="25.5" x14ac:dyDescent="0.2">
      <c r="A2085" s="1" t="s">
        <v>25</v>
      </c>
      <c r="B2085" s="12" t="s">
        <v>59</v>
      </c>
      <c r="C2085" s="13"/>
      <c r="D2085" s="7" t="s">
        <v>1866</v>
      </c>
      <c r="E2085" s="6">
        <v>124026</v>
      </c>
      <c r="F2085" s="6">
        <v>138534</v>
      </c>
      <c r="G2085" s="57">
        <v>0.11697547288471773</v>
      </c>
      <c r="H2085" s="21"/>
      <c r="I2085" s="21"/>
      <c r="J2085" s="7" t="s">
        <v>3763</v>
      </c>
      <c r="K2085" s="13"/>
      <c r="L2085" s="13"/>
    </row>
    <row r="2086" spans="1:12" x14ac:dyDescent="0.2">
      <c r="A2086" s="1" t="s">
        <v>25</v>
      </c>
      <c r="B2086" s="2" t="s">
        <v>175</v>
      </c>
      <c r="D2086" s="5" t="s">
        <v>1517</v>
      </c>
      <c r="E2086" s="9" t="s">
        <v>465</v>
      </c>
      <c r="F2086" s="9">
        <v>138488.95000000001</v>
      </c>
      <c r="G2086" s="57" t="s">
        <v>465</v>
      </c>
      <c r="J2086" s="5" t="s">
        <v>3582</v>
      </c>
    </row>
    <row r="2087" spans="1:12" ht="25.5" x14ac:dyDescent="0.2">
      <c r="A2087" s="1" t="s">
        <v>8</v>
      </c>
      <c r="B2087" s="2" t="s">
        <v>115</v>
      </c>
      <c r="C2087" s="1"/>
      <c r="D2087" s="5" t="s">
        <v>2152</v>
      </c>
      <c r="E2087" s="3">
        <v>136626</v>
      </c>
      <c r="F2087" s="3">
        <v>138475</v>
      </c>
      <c r="G2087" s="57">
        <v>1.3533295273227643E-2</v>
      </c>
      <c r="J2087" s="5" t="s">
        <v>3897</v>
      </c>
    </row>
    <row r="2088" spans="1:12" ht="25.5" x14ac:dyDescent="0.2">
      <c r="A2088" s="1" t="s">
        <v>4</v>
      </c>
      <c r="B2088" s="2" t="s">
        <v>303</v>
      </c>
      <c r="C2088" s="7" t="s">
        <v>978</v>
      </c>
      <c r="D2088" s="7" t="s">
        <v>979</v>
      </c>
      <c r="E2088" s="6">
        <v>92996</v>
      </c>
      <c r="F2088" s="6">
        <v>138414</v>
      </c>
      <c r="G2088" s="57">
        <v>0.48838659727300099</v>
      </c>
      <c r="J2088" s="5" t="s">
        <v>4400</v>
      </c>
    </row>
    <row r="2089" spans="1:12" ht="25.5" x14ac:dyDescent="0.2">
      <c r="A2089" s="1" t="s">
        <v>39</v>
      </c>
      <c r="B2089" s="2" t="s">
        <v>103</v>
      </c>
      <c r="C2089" s="1"/>
      <c r="D2089" s="5" t="s">
        <v>855</v>
      </c>
      <c r="E2089" s="3">
        <v>108622</v>
      </c>
      <c r="F2089" s="3">
        <v>138388</v>
      </c>
      <c r="G2089" s="57">
        <v>0.27403288468266096</v>
      </c>
      <c r="J2089" s="5" t="s">
        <v>4248</v>
      </c>
    </row>
    <row r="2090" spans="1:12" x14ac:dyDescent="0.2">
      <c r="A2090" s="1" t="s">
        <v>39</v>
      </c>
      <c r="B2090" s="2" t="s">
        <v>71</v>
      </c>
      <c r="C2090" s="1"/>
      <c r="D2090" s="5" t="s">
        <v>450</v>
      </c>
      <c r="E2090" s="3">
        <v>136053</v>
      </c>
      <c r="F2090" s="3">
        <v>138367</v>
      </c>
      <c r="G2090" s="57">
        <v>1.7008077734412326E-2</v>
      </c>
      <c r="J2090" s="5" t="s">
        <v>1942</v>
      </c>
    </row>
    <row r="2091" spans="1:12" ht="25.5" x14ac:dyDescent="0.2">
      <c r="A2091" s="1" t="s">
        <v>25</v>
      </c>
      <c r="B2091" s="2" t="s">
        <v>208</v>
      </c>
      <c r="D2091" s="5" t="s">
        <v>1375</v>
      </c>
      <c r="E2091" s="9">
        <v>132246</v>
      </c>
      <c r="F2091" s="9">
        <v>138353</v>
      </c>
      <c r="G2091" s="57">
        <v>4.6179090482887951E-2</v>
      </c>
      <c r="J2091" s="5" t="s">
        <v>3380</v>
      </c>
    </row>
    <row r="2092" spans="1:12" ht="25.5" x14ac:dyDescent="0.2">
      <c r="A2092" s="1" t="s">
        <v>39</v>
      </c>
      <c r="B2092" s="2" t="s">
        <v>388</v>
      </c>
      <c r="D2092" s="5" t="s">
        <v>468</v>
      </c>
      <c r="E2092" s="3" t="s">
        <v>465</v>
      </c>
      <c r="F2092" s="3">
        <v>138351</v>
      </c>
      <c r="G2092" s="57" t="s">
        <v>465</v>
      </c>
      <c r="J2092" s="5" t="s">
        <v>2483</v>
      </c>
    </row>
    <row r="2093" spans="1:12" x14ac:dyDescent="0.2">
      <c r="A2093" s="1" t="s">
        <v>6</v>
      </c>
      <c r="B2093" s="2" t="s">
        <v>237</v>
      </c>
      <c r="D2093" s="14" t="s">
        <v>1230</v>
      </c>
      <c r="E2093" s="10">
        <v>138242</v>
      </c>
      <c r="F2093" s="10">
        <v>138299</v>
      </c>
      <c r="G2093" s="57">
        <v>4.1232042360498256E-4</v>
      </c>
      <c r="J2093" s="5" t="s">
        <v>3191</v>
      </c>
    </row>
    <row r="2094" spans="1:12" ht="25.5" x14ac:dyDescent="0.2">
      <c r="A2094" s="13" t="s">
        <v>111</v>
      </c>
      <c r="B2094" s="12" t="s">
        <v>110</v>
      </c>
      <c r="C2094" s="13"/>
      <c r="D2094" s="7" t="s">
        <v>562</v>
      </c>
      <c r="E2094" s="6">
        <v>139481</v>
      </c>
      <c r="F2094" s="6">
        <v>138293</v>
      </c>
      <c r="G2094" s="57">
        <v>-8.5172890931381334E-3</v>
      </c>
      <c r="H2094" s="21"/>
      <c r="I2094" s="21"/>
      <c r="J2094" s="7" t="s">
        <v>3887</v>
      </c>
      <c r="K2094" s="13"/>
      <c r="L2094" s="13"/>
    </row>
    <row r="2095" spans="1:12" ht="25.5" x14ac:dyDescent="0.2">
      <c r="A2095" s="1" t="s">
        <v>8</v>
      </c>
      <c r="B2095" s="2" t="s">
        <v>116</v>
      </c>
      <c r="C2095" s="1"/>
      <c r="D2095" s="5" t="s">
        <v>3901</v>
      </c>
      <c r="E2095" s="3">
        <v>154208</v>
      </c>
      <c r="F2095" s="3">
        <v>138291</v>
      </c>
      <c r="G2095" s="57">
        <v>-0.10321773189458394</v>
      </c>
      <c r="J2095" s="5" t="s">
        <v>3902</v>
      </c>
    </row>
    <row r="2096" spans="1:12" ht="25.5" x14ac:dyDescent="0.2">
      <c r="A2096" s="1" t="s">
        <v>39</v>
      </c>
      <c r="B2096" s="2" t="s">
        <v>388</v>
      </c>
      <c r="D2096" s="5" t="s">
        <v>468</v>
      </c>
      <c r="E2096" s="3" t="s">
        <v>465</v>
      </c>
      <c r="F2096" s="3">
        <v>138277</v>
      </c>
      <c r="G2096" s="57" t="s">
        <v>465</v>
      </c>
      <c r="J2096" s="5" t="s">
        <v>2484</v>
      </c>
    </row>
    <row r="2097" spans="1:10" ht="25.5" x14ac:dyDescent="0.2">
      <c r="A2097" s="1" t="s">
        <v>1</v>
      </c>
      <c r="B2097" s="2" t="s">
        <v>168</v>
      </c>
      <c r="C2097" s="5" t="s">
        <v>1560</v>
      </c>
      <c r="D2097" s="5" t="s">
        <v>1561</v>
      </c>
      <c r="E2097" s="3">
        <v>121862</v>
      </c>
      <c r="F2097" s="3">
        <v>138226</v>
      </c>
      <c r="G2097" s="57">
        <v>0.13428304147314174</v>
      </c>
      <c r="J2097" s="5" t="s">
        <v>4058</v>
      </c>
    </row>
    <row r="2098" spans="1:10" ht="25.5" x14ac:dyDescent="0.2">
      <c r="A2098" s="1" t="s">
        <v>111</v>
      </c>
      <c r="B2098" s="2" t="s">
        <v>376</v>
      </c>
      <c r="D2098" s="5" t="s">
        <v>455</v>
      </c>
      <c r="E2098" s="3">
        <v>75681</v>
      </c>
      <c r="F2098" s="3">
        <v>138067</v>
      </c>
      <c r="G2098" s="57">
        <v>0.82432843117823495</v>
      </c>
      <c r="J2098" s="5" t="s">
        <v>4472</v>
      </c>
    </row>
    <row r="2099" spans="1:10" ht="25.5" x14ac:dyDescent="0.2">
      <c r="A2099" s="1" t="s">
        <v>34</v>
      </c>
      <c r="B2099" s="2" t="s">
        <v>83</v>
      </c>
      <c r="C2099" s="1"/>
      <c r="D2099" s="5" t="s">
        <v>450</v>
      </c>
      <c r="E2099" s="3">
        <v>127690</v>
      </c>
      <c r="F2099" s="3">
        <v>138066</v>
      </c>
      <c r="G2099" s="57">
        <v>8.1259299866865059E-2</v>
      </c>
      <c r="J2099" s="5" t="s">
        <v>2008</v>
      </c>
    </row>
    <row r="2100" spans="1:10" ht="25.5" x14ac:dyDescent="0.2">
      <c r="A2100" s="1" t="s">
        <v>28</v>
      </c>
      <c r="B2100" s="2" t="s">
        <v>142</v>
      </c>
      <c r="C2100" s="1"/>
      <c r="D2100" s="5" t="s">
        <v>1650</v>
      </c>
      <c r="E2100" s="3">
        <v>138000</v>
      </c>
      <c r="F2100" s="3">
        <v>138000</v>
      </c>
      <c r="G2100" s="57">
        <v>0</v>
      </c>
      <c r="J2100" s="5" t="s">
        <v>4632</v>
      </c>
    </row>
    <row r="2101" spans="1:10" ht="25.5" x14ac:dyDescent="0.2">
      <c r="A2101" s="1" t="s">
        <v>39</v>
      </c>
      <c r="B2101" s="2" t="s">
        <v>404</v>
      </c>
      <c r="D2101" s="5" t="s">
        <v>646</v>
      </c>
      <c r="E2101" s="3">
        <v>142740</v>
      </c>
      <c r="F2101" s="3">
        <v>137899</v>
      </c>
      <c r="G2101" s="57">
        <v>-3.3914810144318339E-2</v>
      </c>
      <c r="J2101" s="5" t="s">
        <v>2418</v>
      </c>
    </row>
    <row r="2102" spans="1:10" ht="25.5" x14ac:dyDescent="0.2">
      <c r="A2102" s="1" t="s">
        <v>4</v>
      </c>
      <c r="B2102" s="2" t="s">
        <v>249</v>
      </c>
      <c r="D2102" s="5" t="s">
        <v>3134</v>
      </c>
      <c r="E2102" s="3">
        <v>124273</v>
      </c>
      <c r="F2102" s="3">
        <v>137895</v>
      </c>
      <c r="G2102" s="57">
        <v>0.10961351218687888</v>
      </c>
      <c r="J2102" s="5" t="s">
        <v>3129</v>
      </c>
    </row>
    <row r="2103" spans="1:10" ht="25.5" x14ac:dyDescent="0.2">
      <c r="A2103" s="1" t="s">
        <v>20</v>
      </c>
      <c r="B2103" s="2" t="s">
        <v>173</v>
      </c>
      <c r="D2103" s="5" t="s">
        <v>470</v>
      </c>
      <c r="E2103" s="9">
        <v>134767</v>
      </c>
      <c r="F2103" s="9">
        <v>137797</v>
      </c>
      <c r="G2103" s="57">
        <v>2.2483248866562288E-2</v>
      </c>
      <c r="J2103" s="5" t="s">
        <v>3592</v>
      </c>
    </row>
    <row r="2104" spans="1:10" ht="25.5" x14ac:dyDescent="0.2">
      <c r="A2104" s="1" t="s">
        <v>20</v>
      </c>
      <c r="B2104" s="2" t="s">
        <v>374</v>
      </c>
      <c r="C2104" s="5" t="s">
        <v>746</v>
      </c>
      <c r="D2104" s="5" t="s">
        <v>747</v>
      </c>
      <c r="E2104" s="3" t="s">
        <v>465</v>
      </c>
      <c r="F2104" s="3">
        <v>137675</v>
      </c>
      <c r="G2104" s="57" t="s">
        <v>465</v>
      </c>
      <c r="J2104" s="5" t="s">
        <v>2541</v>
      </c>
    </row>
    <row r="2105" spans="1:10" ht="25.5" x14ac:dyDescent="0.2">
      <c r="A2105" s="1" t="s">
        <v>28</v>
      </c>
      <c r="B2105" s="2" t="s">
        <v>403</v>
      </c>
      <c r="D2105" s="5" t="s">
        <v>654</v>
      </c>
      <c r="E2105" s="3">
        <v>136800</v>
      </c>
      <c r="F2105" s="3">
        <v>137640</v>
      </c>
      <c r="G2105" s="57">
        <v>6.1403508771929825E-3</v>
      </c>
      <c r="J2105" s="5" t="s">
        <v>2426</v>
      </c>
    </row>
    <row r="2106" spans="1:10" ht="25.5" x14ac:dyDescent="0.2">
      <c r="A2106" s="1" t="s">
        <v>28</v>
      </c>
      <c r="B2106" s="2" t="s">
        <v>403</v>
      </c>
      <c r="D2106" s="5" t="s">
        <v>655</v>
      </c>
      <c r="E2106" s="3">
        <v>64355</v>
      </c>
      <c r="F2106" s="3">
        <v>137640</v>
      </c>
      <c r="G2106" s="57">
        <v>1.1387615569885789</v>
      </c>
      <c r="J2106" s="5" t="s">
        <v>2426</v>
      </c>
    </row>
    <row r="2107" spans="1:10" ht="25.5" x14ac:dyDescent="0.2">
      <c r="A2107" s="1" t="s">
        <v>4</v>
      </c>
      <c r="B2107" s="2" t="s">
        <v>303</v>
      </c>
      <c r="C2107" s="7" t="s">
        <v>972</v>
      </c>
      <c r="D2107" s="7" t="s">
        <v>973</v>
      </c>
      <c r="E2107" s="6">
        <v>137616</v>
      </c>
      <c r="F2107" s="6">
        <v>137616</v>
      </c>
      <c r="G2107" s="57">
        <v>0</v>
      </c>
      <c r="J2107" s="5" t="s">
        <v>2847</v>
      </c>
    </row>
    <row r="2108" spans="1:10" ht="38.25" x14ac:dyDescent="0.2">
      <c r="A2108" s="1" t="s">
        <v>39</v>
      </c>
      <c r="B2108" s="30" t="s">
        <v>4192</v>
      </c>
      <c r="C2108" s="1"/>
      <c r="D2108" s="5" t="s">
        <v>450</v>
      </c>
      <c r="E2108" s="3">
        <v>132110</v>
      </c>
      <c r="F2108" s="3">
        <v>137604</v>
      </c>
      <c r="G2108" s="57">
        <v>4.1586556657331013E-2</v>
      </c>
      <c r="J2108" s="5" t="s">
        <v>4197</v>
      </c>
    </row>
    <row r="2109" spans="1:10" x14ac:dyDescent="0.2">
      <c r="A2109" s="1" t="s">
        <v>20</v>
      </c>
      <c r="B2109" s="2" t="s">
        <v>79</v>
      </c>
      <c r="C2109" s="1"/>
      <c r="D2109" s="5" t="s">
        <v>464</v>
      </c>
      <c r="E2109" s="3" t="s">
        <v>465</v>
      </c>
      <c r="F2109" s="3">
        <v>137500</v>
      </c>
      <c r="G2109" s="57" t="s">
        <v>465</v>
      </c>
      <c r="J2109" s="5" t="s">
        <v>2256</v>
      </c>
    </row>
    <row r="2110" spans="1:10" x14ac:dyDescent="0.2">
      <c r="A2110" s="1" t="s">
        <v>1</v>
      </c>
      <c r="B2110" s="2" t="s">
        <v>126</v>
      </c>
      <c r="C2110" s="1"/>
      <c r="D2110" s="5" t="s">
        <v>464</v>
      </c>
      <c r="E2110" s="3" t="s">
        <v>465</v>
      </c>
      <c r="F2110" s="3">
        <v>137500</v>
      </c>
      <c r="G2110" s="57" t="s">
        <v>465</v>
      </c>
    </row>
    <row r="2111" spans="1:10" x14ac:dyDescent="0.2">
      <c r="A2111" s="1" t="s">
        <v>4</v>
      </c>
      <c r="B2111" s="2" t="s">
        <v>144</v>
      </c>
      <c r="C2111" s="1"/>
      <c r="D2111" s="5" t="s">
        <v>464</v>
      </c>
      <c r="E2111" s="3" t="s">
        <v>465</v>
      </c>
      <c r="F2111" s="3">
        <v>137500</v>
      </c>
      <c r="G2111" s="57" t="s">
        <v>465</v>
      </c>
    </row>
    <row r="2112" spans="1:10" x14ac:dyDescent="0.2">
      <c r="A2112" s="1" t="s">
        <v>20</v>
      </c>
      <c r="B2112" s="2" t="s">
        <v>154</v>
      </c>
      <c r="C2112" s="1"/>
      <c r="D2112" s="5" t="s">
        <v>464</v>
      </c>
      <c r="E2112" s="3" t="s">
        <v>465</v>
      </c>
      <c r="F2112" s="3">
        <v>137500</v>
      </c>
      <c r="G2112" s="57" t="s">
        <v>465</v>
      </c>
      <c r="J2112" s="1"/>
    </row>
    <row r="2113" spans="1:10" x14ac:dyDescent="0.2">
      <c r="A2113" s="1" t="s">
        <v>20</v>
      </c>
      <c r="B2113" s="2" t="s">
        <v>154</v>
      </c>
      <c r="C2113" s="1"/>
      <c r="D2113" s="5" t="s">
        <v>464</v>
      </c>
      <c r="E2113" s="3" t="s">
        <v>465</v>
      </c>
      <c r="F2113" s="3">
        <v>137500</v>
      </c>
      <c r="G2113" s="57" t="s">
        <v>465</v>
      </c>
      <c r="J2113" s="1"/>
    </row>
    <row r="2114" spans="1:10" x14ac:dyDescent="0.2">
      <c r="A2114" s="1" t="s">
        <v>20</v>
      </c>
      <c r="B2114" s="2" t="s">
        <v>154</v>
      </c>
      <c r="C2114" s="1"/>
      <c r="D2114" s="5" t="s">
        <v>464</v>
      </c>
      <c r="E2114" s="3" t="s">
        <v>465</v>
      </c>
      <c r="F2114" s="3">
        <v>137500</v>
      </c>
      <c r="G2114" s="57" t="s">
        <v>465</v>
      </c>
      <c r="J2114" s="1"/>
    </row>
    <row r="2115" spans="1:10" x14ac:dyDescent="0.2">
      <c r="A2115" s="1" t="s">
        <v>20</v>
      </c>
      <c r="B2115" s="2" t="s">
        <v>158</v>
      </c>
      <c r="D2115" s="5" t="s">
        <v>464</v>
      </c>
      <c r="E2115" s="3" t="s">
        <v>465</v>
      </c>
      <c r="F2115" s="3">
        <v>137500</v>
      </c>
      <c r="G2115" s="57" t="s">
        <v>465</v>
      </c>
    </row>
    <row r="2116" spans="1:10" x14ac:dyDescent="0.2">
      <c r="A2116" s="1" t="s">
        <v>44</v>
      </c>
      <c r="B2116" s="2" t="s">
        <v>161</v>
      </c>
      <c r="D2116" s="5" t="s">
        <v>464</v>
      </c>
      <c r="E2116" s="3" t="s">
        <v>465</v>
      </c>
      <c r="F2116" s="3">
        <v>137500</v>
      </c>
      <c r="G2116" s="57" t="s">
        <v>465</v>
      </c>
    </row>
    <row r="2117" spans="1:10" x14ac:dyDescent="0.2">
      <c r="A2117" s="1" t="s">
        <v>25</v>
      </c>
      <c r="B2117" s="2" t="s">
        <v>175</v>
      </c>
      <c r="D2117" s="5" t="s">
        <v>464</v>
      </c>
      <c r="E2117" s="3" t="s">
        <v>465</v>
      </c>
      <c r="F2117" s="3">
        <v>137500</v>
      </c>
      <c r="G2117" s="57" t="s">
        <v>465</v>
      </c>
    </row>
    <row r="2118" spans="1:10" x14ac:dyDescent="0.2">
      <c r="A2118" s="1" t="s">
        <v>25</v>
      </c>
      <c r="B2118" s="2" t="s">
        <v>178</v>
      </c>
      <c r="D2118" s="5" t="s">
        <v>464</v>
      </c>
      <c r="E2118" s="3" t="s">
        <v>465</v>
      </c>
      <c r="F2118" s="3">
        <v>137500</v>
      </c>
      <c r="G2118" s="57" t="s">
        <v>465</v>
      </c>
    </row>
    <row r="2119" spans="1:10" x14ac:dyDescent="0.2">
      <c r="A2119" s="1" t="s">
        <v>25</v>
      </c>
      <c r="B2119" s="2" t="s">
        <v>181</v>
      </c>
      <c r="D2119" s="5" t="s">
        <v>464</v>
      </c>
      <c r="E2119" s="3" t="s">
        <v>465</v>
      </c>
      <c r="F2119" s="3">
        <v>137500</v>
      </c>
      <c r="G2119" s="57" t="s">
        <v>465</v>
      </c>
    </row>
    <row r="2120" spans="1:10" x14ac:dyDescent="0.2">
      <c r="A2120" s="1" t="s">
        <v>4</v>
      </c>
      <c r="B2120" s="2" t="s">
        <v>182</v>
      </c>
      <c r="D2120" s="5" t="s">
        <v>464</v>
      </c>
      <c r="E2120" s="3" t="s">
        <v>465</v>
      </c>
      <c r="F2120" s="3">
        <v>137500</v>
      </c>
      <c r="G2120" s="57" t="s">
        <v>465</v>
      </c>
      <c r="J2120" s="5" t="s">
        <v>1475</v>
      </c>
    </row>
    <row r="2121" spans="1:10" x14ac:dyDescent="0.2">
      <c r="A2121" s="1" t="s">
        <v>4</v>
      </c>
      <c r="B2121" s="2" t="s">
        <v>210</v>
      </c>
      <c r="D2121" s="5" t="s">
        <v>464</v>
      </c>
      <c r="E2121" s="3" t="s">
        <v>465</v>
      </c>
      <c r="F2121" s="3">
        <v>137500</v>
      </c>
      <c r="G2121" s="57" t="s">
        <v>465</v>
      </c>
      <c r="H2121" s="4"/>
      <c r="I2121" s="4"/>
      <c r="J2121" s="1"/>
    </row>
    <row r="2122" spans="1:10" x14ac:dyDescent="0.2">
      <c r="A2122" s="1" t="s">
        <v>28</v>
      </c>
      <c r="B2122" s="2" t="s">
        <v>221</v>
      </c>
      <c r="D2122" s="5" t="s">
        <v>464</v>
      </c>
      <c r="E2122" s="3" t="s">
        <v>465</v>
      </c>
      <c r="F2122" s="3">
        <v>137500</v>
      </c>
      <c r="G2122" s="57" t="s">
        <v>465</v>
      </c>
    </row>
    <row r="2123" spans="1:10" x14ac:dyDescent="0.2">
      <c r="A2123" s="1" t="s">
        <v>8</v>
      </c>
      <c r="B2123" s="2" t="s">
        <v>222</v>
      </c>
      <c r="D2123" s="5" t="s">
        <v>464</v>
      </c>
      <c r="E2123" s="3" t="s">
        <v>465</v>
      </c>
      <c r="F2123" s="3">
        <v>137500</v>
      </c>
      <c r="G2123" s="57" t="s">
        <v>465</v>
      </c>
      <c r="H2123" s="4"/>
      <c r="I2123" s="4"/>
      <c r="J2123" s="1"/>
    </row>
    <row r="2124" spans="1:10" x14ac:dyDescent="0.2">
      <c r="A2124" s="1" t="s">
        <v>8</v>
      </c>
      <c r="B2124" s="2" t="s">
        <v>229</v>
      </c>
      <c r="D2124" s="5" t="s">
        <v>464</v>
      </c>
      <c r="E2124" s="3" t="s">
        <v>465</v>
      </c>
      <c r="F2124" s="3">
        <v>137500</v>
      </c>
      <c r="G2124" s="57" t="s">
        <v>465</v>
      </c>
      <c r="J2124" s="5" t="s">
        <v>539</v>
      </c>
    </row>
    <row r="2125" spans="1:10" x14ac:dyDescent="0.2">
      <c r="A2125" s="1" t="s">
        <v>6</v>
      </c>
      <c r="B2125" s="12" t="s">
        <v>231</v>
      </c>
      <c r="D2125" s="5" t="s">
        <v>464</v>
      </c>
      <c r="E2125" s="3" t="s">
        <v>465</v>
      </c>
      <c r="F2125" s="3">
        <v>137500</v>
      </c>
      <c r="G2125" s="57" t="s">
        <v>465</v>
      </c>
    </row>
    <row r="2126" spans="1:10" x14ac:dyDescent="0.2">
      <c r="A2126" s="1" t="s">
        <v>25</v>
      </c>
      <c r="B2126" s="2" t="s">
        <v>243</v>
      </c>
      <c r="D2126" s="7" t="s">
        <v>464</v>
      </c>
      <c r="E2126" s="6" t="s">
        <v>465</v>
      </c>
      <c r="F2126" s="6">
        <v>137500</v>
      </c>
      <c r="G2126" s="57" t="s">
        <v>465</v>
      </c>
      <c r="H2126" s="21"/>
      <c r="I2126" s="21"/>
      <c r="J2126" s="7" t="s">
        <v>539</v>
      </c>
    </row>
    <row r="2127" spans="1:10" x14ac:dyDescent="0.2">
      <c r="A2127" s="1" t="s">
        <v>25</v>
      </c>
      <c r="B2127" s="2" t="s">
        <v>243</v>
      </c>
      <c r="D2127" s="7" t="s">
        <v>464</v>
      </c>
      <c r="E2127" s="6" t="s">
        <v>465</v>
      </c>
      <c r="F2127" s="6">
        <v>137500</v>
      </c>
      <c r="G2127" s="57" t="s">
        <v>465</v>
      </c>
      <c r="H2127" s="21"/>
      <c r="I2127" s="21"/>
      <c r="J2127" s="7" t="s">
        <v>539</v>
      </c>
    </row>
    <row r="2128" spans="1:10" x14ac:dyDescent="0.2">
      <c r="A2128" s="1" t="s">
        <v>25</v>
      </c>
      <c r="B2128" s="2" t="s">
        <v>243</v>
      </c>
      <c r="D2128" s="7" t="s">
        <v>464</v>
      </c>
      <c r="E2128" s="6" t="s">
        <v>465</v>
      </c>
      <c r="F2128" s="6">
        <v>137500</v>
      </c>
      <c r="G2128" s="57" t="s">
        <v>465</v>
      </c>
      <c r="H2128" s="21"/>
      <c r="I2128" s="21"/>
      <c r="J2128" s="7"/>
    </row>
    <row r="2129" spans="1:10" x14ac:dyDescent="0.2">
      <c r="A2129" s="1" t="s">
        <v>25</v>
      </c>
      <c r="B2129" s="2" t="s">
        <v>243</v>
      </c>
      <c r="D2129" s="7" t="s">
        <v>464</v>
      </c>
      <c r="E2129" s="6" t="s">
        <v>465</v>
      </c>
      <c r="F2129" s="6">
        <v>137500</v>
      </c>
      <c r="G2129" s="57" t="s">
        <v>465</v>
      </c>
      <c r="H2129" s="21"/>
      <c r="I2129" s="21"/>
      <c r="J2129" s="7"/>
    </row>
    <row r="2130" spans="1:10" x14ac:dyDescent="0.2">
      <c r="A2130" s="1" t="s">
        <v>25</v>
      </c>
      <c r="B2130" s="12" t="s">
        <v>259</v>
      </c>
      <c r="D2130" s="5" t="s">
        <v>464</v>
      </c>
      <c r="E2130" s="3" t="s">
        <v>465</v>
      </c>
      <c r="F2130" s="3">
        <v>137500</v>
      </c>
      <c r="G2130" s="57" t="s">
        <v>465</v>
      </c>
    </row>
    <row r="2131" spans="1:10" x14ac:dyDescent="0.2">
      <c r="A2131" s="1" t="s">
        <v>25</v>
      </c>
      <c r="B2131" s="12" t="s">
        <v>259</v>
      </c>
      <c r="D2131" s="5" t="s">
        <v>464</v>
      </c>
      <c r="E2131" s="3" t="s">
        <v>465</v>
      </c>
      <c r="F2131" s="3">
        <v>137500</v>
      </c>
      <c r="G2131" s="57" t="s">
        <v>465</v>
      </c>
    </row>
    <row r="2132" spans="1:10" x14ac:dyDescent="0.2">
      <c r="A2132" s="1" t="s">
        <v>25</v>
      </c>
      <c r="B2132" s="12" t="s">
        <v>259</v>
      </c>
      <c r="D2132" s="5" t="s">
        <v>464</v>
      </c>
      <c r="E2132" s="3" t="s">
        <v>465</v>
      </c>
      <c r="F2132" s="3">
        <v>137500</v>
      </c>
      <c r="G2132" s="57" t="s">
        <v>465</v>
      </c>
    </row>
    <row r="2133" spans="1:10" x14ac:dyDescent="0.2">
      <c r="A2133" s="1" t="s">
        <v>25</v>
      </c>
      <c r="B2133" s="12" t="s">
        <v>259</v>
      </c>
      <c r="D2133" s="5" t="s">
        <v>464</v>
      </c>
      <c r="E2133" s="3" t="s">
        <v>465</v>
      </c>
      <c r="F2133" s="3">
        <v>137500</v>
      </c>
      <c r="G2133" s="57" t="s">
        <v>465</v>
      </c>
    </row>
    <row r="2134" spans="1:10" x14ac:dyDescent="0.2">
      <c r="A2134" s="1" t="s">
        <v>25</v>
      </c>
      <c r="B2134" s="12" t="s">
        <v>259</v>
      </c>
      <c r="D2134" s="5" t="s">
        <v>464</v>
      </c>
      <c r="E2134" s="3" t="s">
        <v>465</v>
      </c>
      <c r="F2134" s="3">
        <v>137500</v>
      </c>
      <c r="G2134" s="57" t="s">
        <v>465</v>
      </c>
    </row>
    <row r="2135" spans="1:10" x14ac:dyDescent="0.2">
      <c r="A2135" s="1" t="s">
        <v>8</v>
      </c>
      <c r="B2135" s="2" t="s">
        <v>281</v>
      </c>
      <c r="D2135" s="5" t="s">
        <v>464</v>
      </c>
      <c r="E2135" s="3" t="s">
        <v>465</v>
      </c>
      <c r="F2135" s="3">
        <v>137500</v>
      </c>
      <c r="G2135" s="57" t="s">
        <v>465</v>
      </c>
      <c r="J2135" s="1"/>
    </row>
    <row r="2136" spans="1:10" x14ac:dyDescent="0.2">
      <c r="A2136" s="1" t="s">
        <v>111</v>
      </c>
      <c r="B2136" s="2" t="s">
        <v>282</v>
      </c>
      <c r="D2136" s="5" t="s">
        <v>464</v>
      </c>
      <c r="E2136" s="3" t="s">
        <v>465</v>
      </c>
      <c r="F2136" s="3">
        <v>137500</v>
      </c>
      <c r="G2136" s="57" t="s">
        <v>465</v>
      </c>
      <c r="J2136" s="5" t="s">
        <v>539</v>
      </c>
    </row>
    <row r="2137" spans="1:10" x14ac:dyDescent="0.2">
      <c r="A2137" s="1" t="s">
        <v>8</v>
      </c>
      <c r="B2137" s="2" t="s">
        <v>285</v>
      </c>
      <c r="D2137" s="5" t="s">
        <v>464</v>
      </c>
      <c r="E2137" s="3" t="s">
        <v>465</v>
      </c>
      <c r="F2137" s="3">
        <v>137500</v>
      </c>
      <c r="G2137" s="57" t="s">
        <v>465</v>
      </c>
      <c r="H2137" s="4"/>
      <c r="I2137" s="4"/>
      <c r="J2137" s="1"/>
    </row>
    <row r="2138" spans="1:10" x14ac:dyDescent="0.2">
      <c r="A2138" s="1" t="s">
        <v>8</v>
      </c>
      <c r="B2138" s="2" t="s">
        <v>285</v>
      </c>
      <c r="D2138" s="5" t="s">
        <v>464</v>
      </c>
      <c r="E2138" s="3" t="s">
        <v>465</v>
      </c>
      <c r="F2138" s="3">
        <v>137500</v>
      </c>
      <c r="G2138" s="57" t="s">
        <v>465</v>
      </c>
      <c r="H2138" s="4"/>
      <c r="I2138" s="4"/>
      <c r="J2138" s="1"/>
    </row>
    <row r="2139" spans="1:10" x14ac:dyDescent="0.2">
      <c r="A2139" s="1" t="s">
        <v>8</v>
      </c>
      <c r="B2139" s="2" t="s">
        <v>285</v>
      </c>
      <c r="D2139" s="5" t="s">
        <v>464</v>
      </c>
      <c r="E2139" s="3" t="s">
        <v>465</v>
      </c>
      <c r="F2139" s="3">
        <v>137500</v>
      </c>
      <c r="G2139" s="57" t="s">
        <v>465</v>
      </c>
      <c r="H2139" s="4"/>
      <c r="I2139" s="4"/>
      <c r="J2139" s="1"/>
    </row>
    <row r="2140" spans="1:10" x14ac:dyDescent="0.2">
      <c r="A2140" s="1" t="s">
        <v>8</v>
      </c>
      <c r="B2140" s="2" t="s">
        <v>285</v>
      </c>
      <c r="D2140" s="5" t="s">
        <v>464</v>
      </c>
      <c r="E2140" s="3" t="s">
        <v>465</v>
      </c>
      <c r="F2140" s="3">
        <v>137500</v>
      </c>
      <c r="G2140" s="57" t="s">
        <v>465</v>
      </c>
      <c r="H2140" s="4"/>
      <c r="I2140" s="4"/>
      <c r="J2140" s="1"/>
    </row>
    <row r="2141" spans="1:10" x14ac:dyDescent="0.2">
      <c r="A2141" s="1" t="s">
        <v>8</v>
      </c>
      <c r="B2141" s="2" t="s">
        <v>285</v>
      </c>
      <c r="D2141" s="5" t="s">
        <v>464</v>
      </c>
      <c r="E2141" s="3" t="s">
        <v>465</v>
      </c>
      <c r="F2141" s="3">
        <v>137500</v>
      </c>
      <c r="G2141" s="57" t="s">
        <v>465</v>
      </c>
      <c r="H2141" s="4"/>
      <c r="I2141" s="4"/>
      <c r="J2141" s="1"/>
    </row>
    <row r="2142" spans="1:10" x14ac:dyDescent="0.2">
      <c r="A2142" s="1" t="s">
        <v>6</v>
      </c>
      <c r="B2142" s="2" t="s">
        <v>288</v>
      </c>
      <c r="D2142" s="5" t="s">
        <v>464</v>
      </c>
      <c r="E2142" s="3" t="s">
        <v>465</v>
      </c>
      <c r="F2142" s="3">
        <v>137500</v>
      </c>
      <c r="G2142" s="57" t="s">
        <v>465</v>
      </c>
      <c r="H2142" s="4"/>
      <c r="I2142" s="4"/>
      <c r="J2142" s="1"/>
    </row>
    <row r="2143" spans="1:10" x14ac:dyDescent="0.2">
      <c r="A2143" s="1" t="s">
        <v>44</v>
      </c>
      <c r="B2143" s="2" t="s">
        <v>309</v>
      </c>
      <c r="D2143" s="5" t="s">
        <v>464</v>
      </c>
      <c r="E2143" s="3" t="s">
        <v>465</v>
      </c>
      <c r="F2143" s="3">
        <v>137500</v>
      </c>
      <c r="G2143" s="57" t="s">
        <v>465</v>
      </c>
      <c r="J2143" s="5" t="s">
        <v>539</v>
      </c>
    </row>
    <row r="2144" spans="1:10" x14ac:dyDescent="0.2">
      <c r="A2144" s="1" t="s">
        <v>39</v>
      </c>
      <c r="B2144" s="2" t="s">
        <v>335</v>
      </c>
      <c r="D2144" s="7" t="s">
        <v>464</v>
      </c>
      <c r="E2144" s="6" t="s">
        <v>465</v>
      </c>
      <c r="F2144" s="6">
        <v>137500</v>
      </c>
      <c r="G2144" s="57" t="s">
        <v>465</v>
      </c>
      <c r="H2144" s="21"/>
      <c r="I2144" s="21"/>
    </row>
    <row r="2145" spans="1:10" x14ac:dyDescent="0.2">
      <c r="A2145" s="1" t="s">
        <v>39</v>
      </c>
      <c r="B2145" s="2" t="s">
        <v>335</v>
      </c>
      <c r="D2145" s="7" t="s">
        <v>464</v>
      </c>
      <c r="E2145" s="6" t="s">
        <v>465</v>
      </c>
      <c r="F2145" s="6">
        <v>137500</v>
      </c>
      <c r="G2145" s="57" t="s">
        <v>465</v>
      </c>
      <c r="H2145" s="21"/>
      <c r="I2145" s="21"/>
      <c r="J2145" s="5" t="s">
        <v>2742</v>
      </c>
    </row>
    <row r="2146" spans="1:10" x14ac:dyDescent="0.2">
      <c r="A2146" s="1" t="s">
        <v>39</v>
      </c>
      <c r="B2146" s="2" t="s">
        <v>364</v>
      </c>
      <c r="D2146" s="5" t="s">
        <v>464</v>
      </c>
      <c r="E2146" s="3" t="s">
        <v>465</v>
      </c>
      <c r="F2146" s="3">
        <v>137500</v>
      </c>
      <c r="G2146" s="57" t="s">
        <v>465</v>
      </c>
      <c r="J2146" s="5" t="s">
        <v>539</v>
      </c>
    </row>
    <row r="2147" spans="1:10" x14ac:dyDescent="0.2">
      <c r="A2147" s="1" t="s">
        <v>39</v>
      </c>
      <c r="B2147" s="2" t="s">
        <v>364</v>
      </c>
      <c r="D2147" s="5" t="s">
        <v>464</v>
      </c>
      <c r="E2147" s="3" t="s">
        <v>465</v>
      </c>
      <c r="F2147" s="3">
        <v>137500</v>
      </c>
      <c r="G2147" s="57" t="s">
        <v>465</v>
      </c>
    </row>
    <row r="2148" spans="1:10" x14ac:dyDescent="0.2">
      <c r="A2148" s="1" t="s">
        <v>111</v>
      </c>
      <c r="B2148" s="2" t="s">
        <v>376</v>
      </c>
      <c r="D2148" s="5" t="s">
        <v>464</v>
      </c>
      <c r="E2148" s="3" t="s">
        <v>465</v>
      </c>
      <c r="F2148" s="3">
        <v>137500</v>
      </c>
      <c r="G2148" s="57" t="s">
        <v>465</v>
      </c>
    </row>
    <row r="2149" spans="1:10" x14ac:dyDescent="0.2">
      <c r="A2149" s="1" t="s">
        <v>25</v>
      </c>
      <c r="B2149" s="2" t="s">
        <v>379</v>
      </c>
      <c r="D2149" s="5" t="s">
        <v>464</v>
      </c>
      <c r="E2149" s="3" t="s">
        <v>465</v>
      </c>
      <c r="F2149" s="3">
        <v>137500</v>
      </c>
      <c r="G2149" s="57" t="s">
        <v>465</v>
      </c>
    </row>
    <row r="2150" spans="1:10" x14ac:dyDescent="0.2">
      <c r="A2150" s="1" t="s">
        <v>20</v>
      </c>
      <c r="B2150" s="2" t="s">
        <v>394</v>
      </c>
      <c r="D2150" s="5" t="s">
        <v>464</v>
      </c>
      <c r="E2150" s="3" t="s">
        <v>465</v>
      </c>
      <c r="F2150" s="3">
        <v>137500</v>
      </c>
      <c r="G2150" s="57" t="s">
        <v>465</v>
      </c>
      <c r="J2150" s="5" t="s">
        <v>539</v>
      </c>
    </row>
    <row r="2151" spans="1:10" x14ac:dyDescent="0.2">
      <c r="A2151" s="1" t="s">
        <v>25</v>
      </c>
      <c r="B2151" s="2" t="s">
        <v>398</v>
      </c>
      <c r="D2151" s="5" t="s">
        <v>464</v>
      </c>
      <c r="E2151" s="3" t="s">
        <v>465</v>
      </c>
      <c r="F2151" s="3">
        <v>137500</v>
      </c>
      <c r="G2151" s="57" t="s">
        <v>465</v>
      </c>
      <c r="J2151" s="5" t="s">
        <v>1241</v>
      </c>
    </row>
    <row r="2152" spans="1:10" x14ac:dyDescent="0.2">
      <c r="A2152" s="1" t="s">
        <v>25</v>
      </c>
      <c r="B2152" s="2" t="s">
        <v>405</v>
      </c>
      <c r="D2152" s="5" t="s">
        <v>464</v>
      </c>
      <c r="E2152" s="3" t="s">
        <v>465</v>
      </c>
      <c r="F2152" s="3">
        <v>137500</v>
      </c>
      <c r="G2152" s="57" t="s">
        <v>465</v>
      </c>
    </row>
    <row r="2153" spans="1:10" x14ac:dyDescent="0.2">
      <c r="A2153" s="1" t="s">
        <v>25</v>
      </c>
      <c r="B2153" s="2" t="s">
        <v>405</v>
      </c>
      <c r="D2153" s="5" t="s">
        <v>464</v>
      </c>
      <c r="E2153" s="3" t="s">
        <v>465</v>
      </c>
      <c r="F2153" s="3">
        <v>137500</v>
      </c>
      <c r="G2153" s="57" t="s">
        <v>465</v>
      </c>
    </row>
    <row r="2154" spans="1:10" x14ac:dyDescent="0.2">
      <c r="A2154" s="1" t="s">
        <v>25</v>
      </c>
      <c r="B2154" s="2" t="s">
        <v>406</v>
      </c>
      <c r="D2154" s="5" t="s">
        <v>464</v>
      </c>
      <c r="E2154" s="3" t="s">
        <v>465</v>
      </c>
      <c r="F2154" s="3">
        <v>137500</v>
      </c>
      <c r="G2154" s="57" t="s">
        <v>465</v>
      </c>
      <c r="J2154" s="1"/>
    </row>
    <row r="2155" spans="1:10" x14ac:dyDescent="0.2">
      <c r="A2155" s="1" t="s">
        <v>25</v>
      </c>
      <c r="B2155" s="2" t="s">
        <v>406</v>
      </c>
      <c r="D2155" s="5" t="s">
        <v>464</v>
      </c>
      <c r="E2155" s="3" t="s">
        <v>465</v>
      </c>
      <c r="F2155" s="3">
        <v>137500</v>
      </c>
      <c r="G2155" s="57" t="s">
        <v>465</v>
      </c>
      <c r="J2155" s="1"/>
    </row>
    <row r="2156" spans="1:10" x14ac:dyDescent="0.2">
      <c r="A2156" s="1" t="s">
        <v>6</v>
      </c>
      <c r="B2156" s="2" t="s">
        <v>407</v>
      </c>
      <c r="D2156" s="5" t="s">
        <v>464</v>
      </c>
      <c r="E2156" s="3" t="s">
        <v>465</v>
      </c>
      <c r="F2156" s="3">
        <v>137500</v>
      </c>
      <c r="G2156" s="57" t="s">
        <v>465</v>
      </c>
      <c r="J2156" s="5" t="s">
        <v>652</v>
      </c>
    </row>
    <row r="2157" spans="1:10" x14ac:dyDescent="0.2">
      <c r="A2157" s="1" t="s">
        <v>6</v>
      </c>
      <c r="B2157" s="2" t="s">
        <v>426</v>
      </c>
      <c r="D2157" s="5" t="s">
        <v>464</v>
      </c>
      <c r="E2157" s="3" t="s">
        <v>465</v>
      </c>
      <c r="F2157" s="3">
        <v>137500</v>
      </c>
      <c r="G2157" s="57" t="s">
        <v>465</v>
      </c>
      <c r="J2157" s="5" t="s">
        <v>1241</v>
      </c>
    </row>
    <row r="2158" spans="1:10" x14ac:dyDescent="0.2">
      <c r="A2158" s="1" t="s">
        <v>39</v>
      </c>
      <c r="B2158" s="2" t="s">
        <v>439</v>
      </c>
      <c r="D2158" s="5" t="s">
        <v>464</v>
      </c>
      <c r="E2158" s="3" t="s">
        <v>465</v>
      </c>
      <c r="F2158" s="3">
        <v>137500</v>
      </c>
      <c r="G2158" s="57" t="s">
        <v>465</v>
      </c>
    </row>
    <row r="2159" spans="1:10" ht="25.5" x14ac:dyDescent="0.2">
      <c r="A2159" s="1" t="s">
        <v>8</v>
      </c>
      <c r="B2159" s="2" t="s">
        <v>32</v>
      </c>
      <c r="C2159" s="1"/>
      <c r="D2159" s="5" t="s">
        <v>450</v>
      </c>
      <c r="E2159" s="3">
        <v>137152</v>
      </c>
      <c r="F2159" s="3">
        <v>137476</v>
      </c>
      <c r="G2159" s="57">
        <v>2.3623425104992999E-3</v>
      </c>
      <c r="J2159" s="7" t="s">
        <v>4129</v>
      </c>
    </row>
    <row r="2160" spans="1:10" ht="25.5" x14ac:dyDescent="0.2">
      <c r="A2160" s="1" t="s">
        <v>8</v>
      </c>
      <c r="B2160" s="2" t="s">
        <v>222</v>
      </c>
      <c r="D2160" s="5" t="s">
        <v>1274</v>
      </c>
      <c r="E2160" s="3">
        <v>128194</v>
      </c>
      <c r="F2160" s="3">
        <v>137466</v>
      </c>
      <c r="G2160" s="57">
        <v>7.2327878059815595E-2</v>
      </c>
      <c r="J2160" s="5" t="s">
        <v>3261</v>
      </c>
    </row>
    <row r="2161" spans="1:10" x14ac:dyDescent="0.2">
      <c r="A2161" s="1" t="s">
        <v>25</v>
      </c>
      <c r="B2161" s="2" t="s">
        <v>175</v>
      </c>
      <c r="D2161" s="5" t="s">
        <v>1518</v>
      </c>
      <c r="E2161" s="9">
        <v>137460</v>
      </c>
      <c r="F2161" s="9">
        <v>137460</v>
      </c>
      <c r="G2161" s="57">
        <v>0</v>
      </c>
      <c r="J2161" s="5" t="s">
        <v>3583</v>
      </c>
    </row>
    <row r="2162" spans="1:10" ht="25.5" x14ac:dyDescent="0.2">
      <c r="A2162" s="1" t="s">
        <v>6</v>
      </c>
      <c r="B2162" s="2" t="s">
        <v>237</v>
      </c>
      <c r="D2162" s="14" t="s">
        <v>454</v>
      </c>
      <c r="E2162" s="10">
        <v>136181</v>
      </c>
      <c r="F2162" s="10">
        <v>137365</v>
      </c>
      <c r="G2162" s="57">
        <v>8.6943112475308601E-3</v>
      </c>
      <c r="J2162" s="5" t="s">
        <v>3195</v>
      </c>
    </row>
    <row r="2163" spans="1:10" ht="25.5" x14ac:dyDescent="0.2">
      <c r="A2163" s="1" t="s">
        <v>111</v>
      </c>
      <c r="B2163" s="2" t="s">
        <v>282</v>
      </c>
      <c r="C2163" s="5" t="s">
        <v>1065</v>
      </c>
      <c r="D2163" s="5" t="s">
        <v>1064</v>
      </c>
      <c r="E2163" s="9">
        <v>135337</v>
      </c>
      <c r="F2163" s="3">
        <v>137364</v>
      </c>
      <c r="G2163" s="57">
        <v>1.4977426719965716E-2</v>
      </c>
      <c r="J2163" s="5" t="s">
        <v>2981</v>
      </c>
    </row>
    <row r="2164" spans="1:10" ht="25.5" x14ac:dyDescent="0.2">
      <c r="A2164" s="1" t="s">
        <v>4</v>
      </c>
      <c r="B2164" s="2" t="s">
        <v>199</v>
      </c>
      <c r="D2164" s="5" t="s">
        <v>450</v>
      </c>
      <c r="E2164" s="9">
        <v>134394</v>
      </c>
      <c r="F2164" s="9">
        <v>137306</v>
      </c>
      <c r="G2164" s="57">
        <v>2.1667633971754693E-2</v>
      </c>
      <c r="J2164" s="5" t="s">
        <v>3420</v>
      </c>
    </row>
    <row r="2165" spans="1:10" ht="25.5" x14ac:dyDescent="0.2">
      <c r="A2165" s="1" t="s">
        <v>25</v>
      </c>
      <c r="B2165" s="2" t="s">
        <v>26</v>
      </c>
      <c r="C2165" s="1"/>
      <c r="D2165" s="5" t="s">
        <v>1708</v>
      </c>
      <c r="E2165" s="3" t="s">
        <v>465</v>
      </c>
      <c r="F2165" s="3">
        <v>137193</v>
      </c>
      <c r="G2165" s="57" t="s">
        <v>465</v>
      </c>
      <c r="J2165" s="5" t="s">
        <v>3670</v>
      </c>
    </row>
    <row r="2166" spans="1:10" ht="25.5" x14ac:dyDescent="0.2">
      <c r="A2166" s="1" t="s">
        <v>4</v>
      </c>
      <c r="B2166" s="2" t="s">
        <v>356</v>
      </c>
      <c r="C2166" s="5" t="s">
        <v>823</v>
      </c>
      <c r="D2166" s="5" t="s">
        <v>613</v>
      </c>
      <c r="E2166" s="3">
        <v>123341</v>
      </c>
      <c r="F2166" s="3">
        <v>137189</v>
      </c>
      <c r="G2166" s="57">
        <v>0.1122741018801534</v>
      </c>
      <c r="J2166" s="5" t="s">
        <v>4686</v>
      </c>
    </row>
    <row r="2167" spans="1:10" ht="25.5" x14ac:dyDescent="0.2">
      <c r="A2167" s="1" t="s">
        <v>34</v>
      </c>
      <c r="B2167" s="2" t="s">
        <v>373</v>
      </c>
      <c r="D2167" s="5" t="s">
        <v>450</v>
      </c>
      <c r="E2167" s="3">
        <v>134721</v>
      </c>
      <c r="F2167" s="3">
        <v>137178.12</v>
      </c>
      <c r="G2167" s="57">
        <v>1.8238581958269277E-2</v>
      </c>
      <c r="J2167" s="5" t="s">
        <v>2548</v>
      </c>
    </row>
    <row r="2168" spans="1:10" ht="38.25" x14ac:dyDescent="0.2">
      <c r="A2168" s="1" t="s">
        <v>6</v>
      </c>
      <c r="B2168" s="2" t="s">
        <v>418</v>
      </c>
      <c r="D2168" s="5" t="s">
        <v>455</v>
      </c>
      <c r="E2168" s="3">
        <v>119270</v>
      </c>
      <c r="F2168" s="3">
        <v>137125</v>
      </c>
      <c r="G2168" s="57">
        <v>0.14970235599899387</v>
      </c>
      <c r="J2168" s="5" t="s">
        <v>4551</v>
      </c>
    </row>
    <row r="2169" spans="1:10" ht="25.5" x14ac:dyDescent="0.2">
      <c r="A2169" s="1" t="s">
        <v>111</v>
      </c>
      <c r="B2169" s="2" t="s">
        <v>355</v>
      </c>
      <c r="D2169" s="5" t="s">
        <v>831</v>
      </c>
      <c r="E2169" s="3" t="s">
        <v>465</v>
      </c>
      <c r="F2169" s="3">
        <v>137069</v>
      </c>
      <c r="G2169" s="57" t="s">
        <v>465</v>
      </c>
      <c r="J2169" s="5" t="s">
        <v>2655</v>
      </c>
    </row>
    <row r="2170" spans="1:10" ht="25.5" x14ac:dyDescent="0.2">
      <c r="A2170" s="1" t="s">
        <v>28</v>
      </c>
      <c r="B2170" s="2" t="s">
        <v>50</v>
      </c>
      <c r="C2170" s="1"/>
      <c r="D2170" s="5" t="s">
        <v>1821</v>
      </c>
      <c r="E2170" s="6">
        <v>139029</v>
      </c>
      <c r="F2170" s="3">
        <v>137048</v>
      </c>
      <c r="G2170" s="57">
        <v>-1.4248825784548547E-2</v>
      </c>
      <c r="J2170" s="5" t="s">
        <v>1822</v>
      </c>
    </row>
    <row r="2171" spans="1:10" ht="25.5" x14ac:dyDescent="0.2">
      <c r="A2171" s="1" t="s">
        <v>28</v>
      </c>
      <c r="B2171" s="2" t="s">
        <v>215</v>
      </c>
      <c r="D2171" s="5" t="s">
        <v>1317</v>
      </c>
      <c r="E2171" s="3">
        <v>135186</v>
      </c>
      <c r="F2171" s="3">
        <v>137047</v>
      </c>
      <c r="G2171" s="57">
        <v>1.3766218395395973E-2</v>
      </c>
      <c r="J2171" s="5" t="s">
        <v>3309</v>
      </c>
    </row>
    <row r="2172" spans="1:10" ht="25.5" x14ac:dyDescent="0.2">
      <c r="A2172" s="1" t="s">
        <v>34</v>
      </c>
      <c r="B2172" s="2" t="s">
        <v>241</v>
      </c>
      <c r="D2172" s="5" t="s">
        <v>1213</v>
      </c>
      <c r="E2172" s="3">
        <v>63878</v>
      </c>
      <c r="F2172" s="3">
        <v>137016</v>
      </c>
      <c r="G2172" s="57">
        <v>1.1449638373148814</v>
      </c>
      <c r="J2172" s="5" t="s">
        <v>3166</v>
      </c>
    </row>
    <row r="2173" spans="1:10" ht="38.25" x14ac:dyDescent="0.2">
      <c r="A2173" s="1" t="s">
        <v>25</v>
      </c>
      <c r="B2173" s="2" t="s">
        <v>214</v>
      </c>
      <c r="D2173" s="15" t="s">
        <v>507</v>
      </c>
      <c r="E2173" s="9" t="s">
        <v>465</v>
      </c>
      <c r="F2173" s="9">
        <v>137000</v>
      </c>
      <c r="G2173" s="57" t="s">
        <v>465</v>
      </c>
      <c r="J2173" s="5" t="s">
        <v>3316</v>
      </c>
    </row>
    <row r="2174" spans="1:10" ht="25.5" x14ac:dyDescent="0.2">
      <c r="A2174" s="1" t="s">
        <v>44</v>
      </c>
      <c r="B2174" s="2" t="s">
        <v>309</v>
      </c>
      <c r="D2174" s="5" t="s">
        <v>946</v>
      </c>
      <c r="E2174" s="3">
        <v>137000</v>
      </c>
      <c r="F2174" s="3">
        <v>137000</v>
      </c>
      <c r="G2174" s="57">
        <v>0</v>
      </c>
      <c r="J2174" s="5" t="s">
        <v>2819</v>
      </c>
    </row>
    <row r="2175" spans="1:10" ht="25.5" x14ac:dyDescent="0.2">
      <c r="A2175" s="1" t="s">
        <v>6</v>
      </c>
      <c r="B2175" s="2" t="s">
        <v>362</v>
      </c>
      <c r="D2175" s="5" t="s">
        <v>787</v>
      </c>
      <c r="E2175" s="3">
        <v>137000</v>
      </c>
      <c r="F2175" s="3">
        <v>137000</v>
      </c>
      <c r="G2175" s="57">
        <v>0</v>
      </c>
      <c r="J2175" s="5" t="s">
        <v>2613</v>
      </c>
    </row>
    <row r="2176" spans="1:10" ht="38.25" x14ac:dyDescent="0.2">
      <c r="A2176" s="1" t="s">
        <v>1</v>
      </c>
      <c r="B2176" s="2" t="s">
        <v>196</v>
      </c>
      <c r="C2176" s="5" t="s">
        <v>1420</v>
      </c>
      <c r="D2176" s="5" t="s">
        <v>1421</v>
      </c>
      <c r="E2176" s="6">
        <v>105450</v>
      </c>
      <c r="F2176" s="9">
        <v>136971</v>
      </c>
      <c r="G2176" s="57">
        <v>0.29891891891891892</v>
      </c>
      <c r="J2176" s="5" t="s">
        <v>3460</v>
      </c>
    </row>
    <row r="2177" spans="1:12" ht="38.25" x14ac:dyDescent="0.2">
      <c r="A2177" s="1" t="s">
        <v>1</v>
      </c>
      <c r="B2177" s="2" t="s">
        <v>196</v>
      </c>
      <c r="C2177" s="5" t="s">
        <v>1414</v>
      </c>
      <c r="D2177" s="5" t="s">
        <v>4653</v>
      </c>
      <c r="E2177" s="6">
        <v>105450</v>
      </c>
      <c r="F2177" s="9">
        <v>136967</v>
      </c>
      <c r="G2177" s="57">
        <v>0.29888098624940729</v>
      </c>
      <c r="J2177" s="5" t="s">
        <v>3456</v>
      </c>
    </row>
    <row r="2178" spans="1:12" ht="38.25" x14ac:dyDescent="0.2">
      <c r="A2178" s="1" t="s">
        <v>1</v>
      </c>
      <c r="B2178" s="2" t="s">
        <v>196</v>
      </c>
      <c r="C2178" s="5" t="s">
        <v>1416</v>
      </c>
      <c r="D2178" s="5" t="s">
        <v>1417</v>
      </c>
      <c r="E2178" s="6">
        <v>105450</v>
      </c>
      <c r="F2178" s="9">
        <v>136768</v>
      </c>
      <c r="G2178" s="57">
        <v>0.29699383594120438</v>
      </c>
      <c r="J2178" s="5" t="s">
        <v>3458</v>
      </c>
    </row>
    <row r="2179" spans="1:12" ht="38.25" x14ac:dyDescent="0.2">
      <c r="A2179" s="1" t="s">
        <v>1</v>
      </c>
      <c r="B2179" s="2" t="s">
        <v>196</v>
      </c>
      <c r="C2179" s="5" t="s">
        <v>1412</v>
      </c>
      <c r="D2179" s="5" t="s">
        <v>1413</v>
      </c>
      <c r="E2179" s="6">
        <v>105450</v>
      </c>
      <c r="F2179" s="9">
        <v>136725</v>
      </c>
      <c r="G2179" s="57">
        <v>0.29658605974395447</v>
      </c>
      <c r="J2179" s="5" t="s">
        <v>3455</v>
      </c>
    </row>
    <row r="2180" spans="1:12" ht="38.25" x14ac:dyDescent="0.2">
      <c r="A2180" s="1" t="s">
        <v>1</v>
      </c>
      <c r="B2180" s="2" t="s">
        <v>196</v>
      </c>
      <c r="C2180" s="5" t="s">
        <v>1422</v>
      </c>
      <c r="D2180" s="5" t="s">
        <v>451</v>
      </c>
      <c r="E2180" s="6">
        <v>105450</v>
      </c>
      <c r="F2180" s="9">
        <v>136642</v>
      </c>
      <c r="G2180" s="57">
        <v>0.29579895685158841</v>
      </c>
      <c r="J2180" s="5" t="s">
        <v>3461</v>
      </c>
    </row>
    <row r="2181" spans="1:12" ht="63.75" x14ac:dyDescent="0.2">
      <c r="A2181" s="1" t="s">
        <v>44</v>
      </c>
      <c r="B2181" s="12" t="s">
        <v>66</v>
      </c>
      <c r="C2181" s="13"/>
      <c r="D2181" s="7" t="s">
        <v>4203</v>
      </c>
      <c r="E2181" s="6">
        <v>119455</v>
      </c>
      <c r="F2181" s="6">
        <v>136639</v>
      </c>
      <c r="G2181" s="57">
        <v>0.14385333389142355</v>
      </c>
      <c r="H2181" s="21"/>
      <c r="I2181" s="21"/>
      <c r="J2181" s="7" t="s">
        <v>4607</v>
      </c>
      <c r="K2181" s="13"/>
      <c r="L2181" s="13"/>
    </row>
    <row r="2182" spans="1:12" ht="25.5" x14ac:dyDescent="0.2">
      <c r="A2182" s="1" t="s">
        <v>20</v>
      </c>
      <c r="B2182" s="2" t="s">
        <v>274</v>
      </c>
      <c r="D2182" s="5" t="s">
        <v>450</v>
      </c>
      <c r="E2182" s="3">
        <v>136386</v>
      </c>
      <c r="F2182" s="3">
        <v>136600</v>
      </c>
      <c r="G2182" s="57">
        <v>1.5690760048685348E-3</v>
      </c>
      <c r="J2182" s="5" t="s">
        <v>3031</v>
      </c>
    </row>
    <row r="2183" spans="1:12" ht="38.25" x14ac:dyDescent="0.2">
      <c r="A2183" s="1" t="s">
        <v>6</v>
      </c>
      <c r="B2183" s="2" t="s">
        <v>407</v>
      </c>
      <c r="D2183" s="5" t="s">
        <v>608</v>
      </c>
      <c r="E2183" s="3">
        <v>78000</v>
      </c>
      <c r="F2183" s="3">
        <v>136600</v>
      </c>
      <c r="G2183" s="57">
        <v>0.75128205128205128</v>
      </c>
      <c r="J2183" s="5" t="s">
        <v>4526</v>
      </c>
    </row>
    <row r="2184" spans="1:12" x14ac:dyDescent="0.2">
      <c r="A2184" s="1" t="s">
        <v>6</v>
      </c>
      <c r="B2184" s="12" t="s">
        <v>86</v>
      </c>
      <c r="C2184" s="13"/>
      <c r="D2184" s="7" t="s">
        <v>2033</v>
      </c>
      <c r="E2184" s="6">
        <v>134493</v>
      </c>
      <c r="F2184" s="6">
        <v>136568</v>
      </c>
      <c r="G2184" s="57">
        <v>1.5428312254169362E-2</v>
      </c>
      <c r="H2184" s="21"/>
      <c r="I2184" s="21"/>
      <c r="J2184" s="7" t="s">
        <v>3828</v>
      </c>
      <c r="K2184" s="13"/>
      <c r="L2184" s="13"/>
    </row>
    <row r="2185" spans="1:12" ht="38.25" x14ac:dyDescent="0.2">
      <c r="A2185" s="1" t="s">
        <v>20</v>
      </c>
      <c r="B2185" s="2" t="s">
        <v>69</v>
      </c>
      <c r="C2185" s="13"/>
      <c r="D2185" s="7" t="s">
        <v>1905</v>
      </c>
      <c r="E2185" s="6" t="s">
        <v>465</v>
      </c>
      <c r="F2185" s="6">
        <v>136450</v>
      </c>
      <c r="G2185" s="57" t="s">
        <v>465</v>
      </c>
      <c r="H2185" s="21"/>
      <c r="I2185" s="21"/>
      <c r="J2185" s="7" t="s">
        <v>4212</v>
      </c>
      <c r="K2185" s="13"/>
      <c r="L2185" s="13"/>
    </row>
    <row r="2186" spans="1:12" ht="25.5" x14ac:dyDescent="0.2">
      <c r="A2186" s="1" t="s">
        <v>6</v>
      </c>
      <c r="B2186" s="2" t="s">
        <v>426</v>
      </c>
      <c r="C2186" s="5" t="s">
        <v>535</v>
      </c>
      <c r="D2186" s="5" t="s">
        <v>537</v>
      </c>
      <c r="E2186" s="3">
        <v>48013</v>
      </c>
      <c r="F2186" s="3">
        <v>136384</v>
      </c>
      <c r="G2186" s="57">
        <v>1.8405640139128987</v>
      </c>
      <c r="J2186" s="5" t="s">
        <v>2326</v>
      </c>
    </row>
    <row r="2187" spans="1:12" ht="25.5" x14ac:dyDescent="0.2">
      <c r="A2187" s="1" t="s">
        <v>4</v>
      </c>
      <c r="B2187" s="2" t="s">
        <v>249</v>
      </c>
      <c r="D2187" s="5" t="s">
        <v>1189</v>
      </c>
      <c r="E2187" s="3">
        <v>122426</v>
      </c>
      <c r="F2187" s="3">
        <v>136337</v>
      </c>
      <c r="G2187" s="57">
        <v>0.11362782415499975</v>
      </c>
      <c r="J2187" s="5" t="s">
        <v>3130</v>
      </c>
    </row>
    <row r="2188" spans="1:12" ht="25.5" x14ac:dyDescent="0.2">
      <c r="A2188" s="1" t="s">
        <v>34</v>
      </c>
      <c r="B2188" s="2" t="s">
        <v>382</v>
      </c>
      <c r="D2188" s="5" t="s">
        <v>712</v>
      </c>
      <c r="E2188" s="6">
        <v>136281</v>
      </c>
      <c r="F2188" s="3">
        <v>136322</v>
      </c>
      <c r="G2188" s="57">
        <v>3.0084898114924311E-4</v>
      </c>
      <c r="J2188" s="5" t="s">
        <v>4701</v>
      </c>
    </row>
    <row r="2189" spans="1:12" x14ac:dyDescent="0.2">
      <c r="A2189" s="1" t="s">
        <v>6</v>
      </c>
      <c r="B2189" s="2" t="s">
        <v>237</v>
      </c>
      <c r="D2189" s="14" t="s">
        <v>1232</v>
      </c>
      <c r="E2189" s="10">
        <v>137127</v>
      </c>
      <c r="F2189" s="10">
        <v>136320</v>
      </c>
      <c r="G2189" s="57">
        <v>-5.8850554595375089E-3</v>
      </c>
      <c r="J2189" s="5" t="s">
        <v>3193</v>
      </c>
    </row>
    <row r="2190" spans="1:12" ht="25.5" x14ac:dyDescent="0.2">
      <c r="A2190" s="1" t="s">
        <v>39</v>
      </c>
      <c r="B2190" s="2" t="s">
        <v>433</v>
      </c>
      <c r="D2190" s="5" t="s">
        <v>485</v>
      </c>
      <c r="E2190" s="3">
        <v>133152</v>
      </c>
      <c r="F2190" s="3">
        <v>136304</v>
      </c>
      <c r="G2190" s="57">
        <v>2.3672194184090362E-2</v>
      </c>
      <c r="J2190" s="5" t="s">
        <v>2282</v>
      </c>
    </row>
    <row r="2191" spans="1:12" x14ac:dyDescent="0.2">
      <c r="A2191" s="1" t="s">
        <v>44</v>
      </c>
      <c r="B2191" s="2" t="s">
        <v>75</v>
      </c>
      <c r="C2191" s="1"/>
      <c r="D2191" s="5" t="s">
        <v>506</v>
      </c>
      <c r="E2191" s="3">
        <v>135451</v>
      </c>
      <c r="F2191" s="3">
        <v>136248</v>
      </c>
      <c r="G2191" s="57">
        <v>5.8840466294084208E-3</v>
      </c>
      <c r="J2191" s="5" t="s">
        <v>1965</v>
      </c>
    </row>
    <row r="2192" spans="1:12" ht="25.5" x14ac:dyDescent="0.2">
      <c r="A2192" s="1" t="s">
        <v>1</v>
      </c>
      <c r="B2192" s="2" t="s">
        <v>139</v>
      </c>
      <c r="C2192" s="1" t="s">
        <v>1655</v>
      </c>
      <c r="D2192" s="5" t="s">
        <v>450</v>
      </c>
      <c r="E2192" s="3">
        <v>136443</v>
      </c>
      <c r="F2192" s="3">
        <v>136203</v>
      </c>
      <c r="G2192" s="57">
        <v>-1.7589762758074801E-3</v>
      </c>
      <c r="J2192" s="5" t="s">
        <v>3967</v>
      </c>
    </row>
    <row r="2193" spans="1:12" x14ac:dyDescent="0.2">
      <c r="A2193" s="1" t="s">
        <v>6</v>
      </c>
      <c r="B2193" s="12" t="s">
        <v>86</v>
      </c>
      <c r="C2193" s="13"/>
      <c r="D2193" s="7" t="s">
        <v>596</v>
      </c>
      <c r="E2193" s="6" t="s">
        <v>465</v>
      </c>
      <c r="F2193" s="6">
        <v>136162</v>
      </c>
      <c r="G2193" s="57" t="s">
        <v>465</v>
      </c>
      <c r="H2193" s="21"/>
      <c r="I2193" s="21"/>
      <c r="J2193" s="7" t="s">
        <v>2032</v>
      </c>
      <c r="K2193" s="13"/>
      <c r="L2193" s="13"/>
    </row>
    <row r="2194" spans="1:12" ht="25.5" x14ac:dyDescent="0.2">
      <c r="A2194" s="1" t="s">
        <v>6</v>
      </c>
      <c r="B2194" s="2" t="s">
        <v>216</v>
      </c>
      <c r="D2194" s="5" t="s">
        <v>1312</v>
      </c>
      <c r="E2194" s="3">
        <v>81994</v>
      </c>
      <c r="F2194" s="3">
        <v>136079</v>
      </c>
      <c r="G2194" s="57">
        <v>0.65962143571480836</v>
      </c>
      <c r="J2194" s="5" t="s">
        <v>3301</v>
      </c>
    </row>
    <row r="2195" spans="1:12" ht="25.5" x14ac:dyDescent="0.2">
      <c r="A2195" s="1" t="s">
        <v>28</v>
      </c>
      <c r="B2195" s="2" t="s">
        <v>27</v>
      </c>
      <c r="C2195" s="1"/>
      <c r="D2195" s="5" t="s">
        <v>1725</v>
      </c>
      <c r="E2195" s="3">
        <v>141000</v>
      </c>
      <c r="F2195" s="3">
        <v>136000</v>
      </c>
      <c r="G2195" s="57">
        <v>-3.5460992907801421E-2</v>
      </c>
      <c r="J2195" s="7" t="s">
        <v>4112</v>
      </c>
    </row>
    <row r="2196" spans="1:12" x14ac:dyDescent="0.2">
      <c r="A2196" s="1" t="s">
        <v>6</v>
      </c>
      <c r="B2196" s="2" t="s">
        <v>41</v>
      </c>
      <c r="C2196" s="1"/>
      <c r="D2196" s="5" t="s">
        <v>3749</v>
      </c>
      <c r="E2196" s="3">
        <v>107000</v>
      </c>
      <c r="F2196" s="6">
        <v>136000</v>
      </c>
      <c r="G2196" s="57">
        <v>0.27102803738317754</v>
      </c>
      <c r="J2196" s="5" t="s">
        <v>1781</v>
      </c>
    </row>
    <row r="2197" spans="1:12" ht="51" x14ac:dyDescent="0.2">
      <c r="A2197" s="1" t="s">
        <v>6</v>
      </c>
      <c r="B2197" s="2" t="s">
        <v>219</v>
      </c>
      <c r="C2197" s="5" t="s">
        <v>1290</v>
      </c>
      <c r="D2197" s="5" t="s">
        <v>1291</v>
      </c>
      <c r="E2197" s="3">
        <v>93000</v>
      </c>
      <c r="F2197" s="3">
        <v>136000</v>
      </c>
      <c r="G2197" s="57">
        <v>0.46236559139784944</v>
      </c>
      <c r="J2197" s="5" t="s">
        <v>3279</v>
      </c>
    </row>
    <row r="2198" spans="1:12" ht="25.5" x14ac:dyDescent="0.2">
      <c r="A2198" s="1" t="s">
        <v>4</v>
      </c>
      <c r="B2198" s="2" t="s">
        <v>234</v>
      </c>
      <c r="D2198" s="5" t="s">
        <v>450</v>
      </c>
      <c r="E2198" s="3" t="s">
        <v>465</v>
      </c>
      <c r="F2198" s="3">
        <v>136000</v>
      </c>
      <c r="G2198" s="57" t="s">
        <v>465</v>
      </c>
      <c r="J2198" s="5" t="s">
        <v>3200</v>
      </c>
    </row>
    <row r="2199" spans="1:12" ht="25.5" x14ac:dyDescent="0.2">
      <c r="A2199" s="1" t="s">
        <v>6</v>
      </c>
      <c r="B2199" s="2" t="s">
        <v>301</v>
      </c>
      <c r="D2199" s="5" t="s">
        <v>450</v>
      </c>
      <c r="E2199" s="3">
        <v>111000</v>
      </c>
      <c r="F2199" s="3">
        <v>136000</v>
      </c>
      <c r="G2199" s="57">
        <v>0.22522522522522523</v>
      </c>
      <c r="J2199" s="5" t="s">
        <v>2850</v>
      </c>
    </row>
    <row r="2200" spans="1:12" x14ac:dyDescent="0.2">
      <c r="A2200" s="1" t="s">
        <v>44</v>
      </c>
      <c r="B2200" s="2" t="s">
        <v>309</v>
      </c>
      <c r="D2200" s="5" t="s">
        <v>947</v>
      </c>
      <c r="E2200" s="3">
        <v>136000</v>
      </c>
      <c r="F2200" s="3">
        <v>136000</v>
      </c>
      <c r="G2200" s="57">
        <v>0</v>
      </c>
      <c r="J2200" s="5" t="s">
        <v>2820</v>
      </c>
    </row>
    <row r="2201" spans="1:12" ht="25.5" x14ac:dyDescent="0.2">
      <c r="A2201" s="1" t="s">
        <v>25</v>
      </c>
      <c r="B2201" s="2" t="s">
        <v>424</v>
      </c>
      <c r="D2201" s="5" t="s">
        <v>548</v>
      </c>
      <c r="E2201" s="3">
        <v>167081</v>
      </c>
      <c r="F2201" s="3">
        <v>135849</v>
      </c>
      <c r="G2201" s="57">
        <v>-0.18692729873534394</v>
      </c>
      <c r="J2201" s="5" t="s">
        <v>2330</v>
      </c>
    </row>
    <row r="2202" spans="1:12" ht="38.25" x14ac:dyDescent="0.2">
      <c r="A2202" s="1" t="s">
        <v>8</v>
      </c>
      <c r="B2202" s="2" t="s">
        <v>350</v>
      </c>
      <c r="D2202" s="5" t="s">
        <v>450</v>
      </c>
      <c r="E2202" s="3">
        <v>136895</v>
      </c>
      <c r="F2202" s="3">
        <v>135829</v>
      </c>
      <c r="G2202" s="57">
        <v>-7.7869900288542312E-3</v>
      </c>
      <c r="J2202" s="5" t="s">
        <v>2676</v>
      </c>
    </row>
    <row r="2203" spans="1:12" ht="38.25" x14ac:dyDescent="0.2">
      <c r="A2203" s="1" t="s">
        <v>20</v>
      </c>
      <c r="B2203" s="2" t="s">
        <v>357</v>
      </c>
      <c r="C2203" s="5" t="s">
        <v>810</v>
      </c>
      <c r="D2203" s="15" t="s">
        <v>811</v>
      </c>
      <c r="E2203" s="9">
        <v>137149</v>
      </c>
      <c r="F2203" s="9">
        <v>135822</v>
      </c>
      <c r="G2203" s="57">
        <v>-9.6756082800457891E-3</v>
      </c>
      <c r="J2203" s="5" t="s">
        <v>4689</v>
      </c>
    </row>
    <row r="2204" spans="1:12" ht="25.5" x14ac:dyDescent="0.2">
      <c r="A2204" s="1" t="s">
        <v>20</v>
      </c>
      <c r="B2204" s="2" t="s">
        <v>283</v>
      </c>
      <c r="D2204" s="5" t="s">
        <v>1057</v>
      </c>
      <c r="E2204" s="3">
        <v>65167</v>
      </c>
      <c r="F2204" s="3">
        <v>135681</v>
      </c>
      <c r="G2204" s="57">
        <v>1.0820507311983059</v>
      </c>
      <c r="J2204" s="5" t="s">
        <v>2976</v>
      </c>
    </row>
    <row r="2205" spans="1:12" ht="51" x14ac:dyDescent="0.2">
      <c r="A2205" s="13" t="s">
        <v>4</v>
      </c>
      <c r="B2205" s="12" t="s">
        <v>3</v>
      </c>
      <c r="C2205" s="7"/>
      <c r="D2205" s="7" t="s">
        <v>4180</v>
      </c>
      <c r="E2205" s="6">
        <v>135589</v>
      </c>
      <c r="F2205" s="6">
        <v>135656</v>
      </c>
      <c r="G2205" s="57">
        <v>4.941403801193312E-4</v>
      </c>
      <c r="H2205" s="21"/>
      <c r="I2205" s="21"/>
      <c r="J2205" s="7" t="s">
        <v>4080</v>
      </c>
      <c r="K2205" s="13"/>
      <c r="L2205" s="13"/>
    </row>
    <row r="2206" spans="1:12" ht="25.5" x14ac:dyDescent="0.2">
      <c r="A2206" s="1" t="s">
        <v>25</v>
      </c>
      <c r="B2206" s="2" t="s">
        <v>107</v>
      </c>
      <c r="C2206" s="1" t="s">
        <v>2202</v>
      </c>
      <c r="D2206" s="5" t="s">
        <v>2203</v>
      </c>
      <c r="E2206" s="3">
        <v>134442</v>
      </c>
      <c r="F2206" s="3">
        <v>135653</v>
      </c>
      <c r="G2206" s="57">
        <v>9.0076017911069461E-3</v>
      </c>
      <c r="J2206" s="5" t="s">
        <v>4258</v>
      </c>
    </row>
    <row r="2207" spans="1:12" x14ac:dyDescent="0.2">
      <c r="A2207" s="1" t="s">
        <v>6</v>
      </c>
      <c r="B2207" s="2" t="s">
        <v>85</v>
      </c>
      <c r="C2207" s="1"/>
      <c r="D2207" s="5" t="s">
        <v>2016</v>
      </c>
      <c r="E2207" s="3">
        <v>76675</v>
      </c>
      <c r="F2207" s="3">
        <v>135528</v>
      </c>
      <c r="G2207" s="57">
        <v>0.76756439517443753</v>
      </c>
      <c r="J2207" s="5" t="s">
        <v>2017</v>
      </c>
    </row>
    <row r="2208" spans="1:12" x14ac:dyDescent="0.2">
      <c r="A2208" s="1" t="s">
        <v>6</v>
      </c>
      <c r="B2208" s="12" t="s">
        <v>85</v>
      </c>
      <c r="C2208" s="13"/>
      <c r="D2208" s="7" t="s">
        <v>2018</v>
      </c>
      <c r="E2208" s="6" t="s">
        <v>465</v>
      </c>
      <c r="F2208" s="6">
        <v>135474</v>
      </c>
      <c r="G2208" s="57" t="s">
        <v>465</v>
      </c>
      <c r="H2208" s="21"/>
      <c r="I2208" s="21"/>
      <c r="J2208" s="7" t="s">
        <v>2019</v>
      </c>
      <c r="K2208" s="13"/>
      <c r="L2208" s="13"/>
    </row>
    <row r="2209" spans="1:12" ht="38.25" x14ac:dyDescent="0.2">
      <c r="A2209" s="1" t="s">
        <v>28</v>
      </c>
      <c r="B2209" s="2" t="s">
        <v>213</v>
      </c>
      <c r="D2209" s="5" t="s">
        <v>1327</v>
      </c>
      <c r="E2209" s="9">
        <v>140035</v>
      </c>
      <c r="F2209" s="9">
        <v>135450</v>
      </c>
      <c r="G2209" s="57">
        <v>-3.2741814546363407E-2</v>
      </c>
      <c r="J2209" s="5" t="s">
        <v>3322</v>
      </c>
    </row>
    <row r="2210" spans="1:12" x14ac:dyDescent="0.2">
      <c r="A2210" s="1" t="s">
        <v>44</v>
      </c>
      <c r="B2210" s="2" t="s">
        <v>75</v>
      </c>
      <c r="C2210" s="1"/>
      <c r="D2210" s="5" t="s">
        <v>1966</v>
      </c>
      <c r="E2210" s="3">
        <v>135189</v>
      </c>
      <c r="F2210" s="3">
        <v>135439</v>
      </c>
      <c r="G2210" s="57">
        <v>1.8492628838145115E-3</v>
      </c>
      <c r="J2210" s="5" t="s">
        <v>1967</v>
      </c>
    </row>
    <row r="2211" spans="1:12" ht="25.5" x14ac:dyDescent="0.2">
      <c r="A2211" s="1" t="s">
        <v>44</v>
      </c>
      <c r="B2211" s="2" t="s">
        <v>251</v>
      </c>
      <c r="D2211" s="5" t="s">
        <v>450</v>
      </c>
      <c r="E2211" s="6">
        <v>119703</v>
      </c>
      <c r="F2211" s="3">
        <v>135439</v>
      </c>
      <c r="G2211" s="57">
        <v>0.13145869359999332</v>
      </c>
      <c r="J2211" s="5" t="s">
        <v>3114</v>
      </c>
    </row>
    <row r="2212" spans="1:12" ht="25.5" x14ac:dyDescent="0.2">
      <c r="A2212" s="1" t="s">
        <v>6</v>
      </c>
      <c r="B2212" s="2" t="s">
        <v>64</v>
      </c>
      <c r="C2212" s="1" t="s">
        <v>1880</v>
      </c>
      <c r="D2212" s="5" t="s">
        <v>450</v>
      </c>
      <c r="E2212" s="3">
        <v>135404</v>
      </c>
      <c r="F2212" s="3">
        <v>135432</v>
      </c>
      <c r="G2212" s="57">
        <v>2.0678857345425542E-4</v>
      </c>
      <c r="J2212" s="5" t="s">
        <v>1881</v>
      </c>
    </row>
    <row r="2213" spans="1:12" ht="25.5" x14ac:dyDescent="0.2">
      <c r="A2213" s="13" t="s">
        <v>34</v>
      </c>
      <c r="B2213" s="12" t="s">
        <v>33</v>
      </c>
      <c r="C2213" s="13"/>
      <c r="D2213" s="7" t="s">
        <v>1739</v>
      </c>
      <c r="E2213" s="6">
        <v>136378</v>
      </c>
      <c r="F2213" s="6">
        <v>135398</v>
      </c>
      <c r="G2213" s="57">
        <v>-7.1859097508395779E-3</v>
      </c>
      <c r="H2213" s="21"/>
      <c r="I2213" s="21"/>
      <c r="J2213" s="7" t="s">
        <v>4135</v>
      </c>
      <c r="K2213" s="13"/>
      <c r="L2213" s="13"/>
    </row>
    <row r="2214" spans="1:12" ht="38.25" x14ac:dyDescent="0.2">
      <c r="A2214" s="13" t="s">
        <v>4</v>
      </c>
      <c r="B2214" s="12" t="s">
        <v>17</v>
      </c>
      <c r="C2214" s="13"/>
      <c r="D2214" s="7" t="s">
        <v>450</v>
      </c>
      <c r="E2214" s="6">
        <v>62916.2</v>
      </c>
      <c r="F2214" s="6">
        <v>135352.79</v>
      </c>
      <c r="G2214" s="57">
        <v>1.151318579316615</v>
      </c>
      <c r="H2214" s="21"/>
      <c r="I2214" s="21"/>
      <c r="J2214" s="7" t="s">
        <v>4089</v>
      </c>
      <c r="K2214" s="13"/>
      <c r="L2214" s="13"/>
    </row>
    <row r="2215" spans="1:12" x14ac:dyDescent="0.2">
      <c r="A2215" s="1" t="s">
        <v>44</v>
      </c>
      <c r="B2215" s="2" t="s">
        <v>75</v>
      </c>
      <c r="C2215" s="1"/>
      <c r="D2215" s="5" t="s">
        <v>463</v>
      </c>
      <c r="E2215" s="3">
        <v>135219</v>
      </c>
      <c r="F2215" s="3">
        <v>135321</v>
      </c>
      <c r="G2215" s="57">
        <v>7.5433186164666213E-4</v>
      </c>
      <c r="J2215" s="5" t="s">
        <v>1968</v>
      </c>
    </row>
    <row r="2216" spans="1:12" ht="38.25" x14ac:dyDescent="0.2">
      <c r="A2216" s="1" t="s">
        <v>111</v>
      </c>
      <c r="B2216" s="2" t="s">
        <v>305</v>
      </c>
      <c r="D2216" s="5" t="s">
        <v>854</v>
      </c>
      <c r="E2216" s="3">
        <v>135697</v>
      </c>
      <c r="F2216" s="3">
        <v>135292</v>
      </c>
      <c r="G2216" s="57">
        <v>-2.9845906689167779E-3</v>
      </c>
      <c r="J2216" s="5" t="s">
        <v>2832</v>
      </c>
    </row>
    <row r="2217" spans="1:12" ht="25.5" x14ac:dyDescent="0.2">
      <c r="A2217" s="1" t="s">
        <v>6</v>
      </c>
      <c r="B2217" s="2" t="s">
        <v>430</v>
      </c>
      <c r="D2217" s="5" t="s">
        <v>506</v>
      </c>
      <c r="E2217" s="3">
        <v>134383</v>
      </c>
      <c r="F2217" s="3">
        <v>135265</v>
      </c>
      <c r="G2217" s="57">
        <v>6.5633301831332829E-3</v>
      </c>
      <c r="J2217" s="5" t="s">
        <v>2295</v>
      </c>
    </row>
    <row r="2218" spans="1:12" ht="25.5" x14ac:dyDescent="0.2">
      <c r="A2218" s="1" t="s">
        <v>111</v>
      </c>
      <c r="B2218" s="12" t="s">
        <v>166</v>
      </c>
      <c r="C2218" s="7"/>
      <c r="D2218" s="7" t="s">
        <v>1582</v>
      </c>
      <c r="E2218" s="6">
        <v>21409</v>
      </c>
      <c r="F2218" s="6">
        <v>135093</v>
      </c>
      <c r="G2218" s="57">
        <v>5.3101032276145546</v>
      </c>
      <c r="H2218" s="21"/>
      <c r="I2218" s="21"/>
      <c r="J2218" s="7" t="s">
        <v>4336</v>
      </c>
      <c r="K2218" s="13"/>
      <c r="L2218" s="13"/>
    </row>
    <row r="2219" spans="1:12" ht="25.5" x14ac:dyDescent="0.2">
      <c r="A2219" s="1" t="s">
        <v>111</v>
      </c>
      <c r="B2219" s="2" t="s">
        <v>166</v>
      </c>
      <c r="D2219" s="5" t="s">
        <v>1580</v>
      </c>
      <c r="E2219" s="3">
        <v>128304</v>
      </c>
      <c r="F2219" s="3">
        <v>135060</v>
      </c>
      <c r="G2219" s="57">
        <v>5.2656191545080437E-2</v>
      </c>
      <c r="J2219" s="5" t="s">
        <v>4054</v>
      </c>
    </row>
    <row r="2220" spans="1:12" ht="25.5" x14ac:dyDescent="0.2">
      <c r="A2220" s="1" t="s">
        <v>4</v>
      </c>
      <c r="B2220" s="2" t="s">
        <v>106</v>
      </c>
      <c r="C2220" s="1"/>
      <c r="D2220" s="5" t="s">
        <v>450</v>
      </c>
      <c r="E2220" s="3">
        <v>142363</v>
      </c>
      <c r="F2220" s="3">
        <v>135057</v>
      </c>
      <c r="G2220" s="57">
        <v>-5.1319514199616473E-2</v>
      </c>
      <c r="J2220" s="5" t="s">
        <v>3858</v>
      </c>
    </row>
    <row r="2221" spans="1:12" ht="25.5" x14ac:dyDescent="0.2">
      <c r="A2221" s="1" t="s">
        <v>111</v>
      </c>
      <c r="B2221" s="2" t="s">
        <v>276</v>
      </c>
      <c r="D2221" s="5" t="s">
        <v>1094</v>
      </c>
      <c r="E2221" s="9">
        <v>143772</v>
      </c>
      <c r="F2221" s="3">
        <v>135038</v>
      </c>
      <c r="G2221" s="57">
        <v>-6.0748963636869491E-2</v>
      </c>
      <c r="J2221" s="5" t="s">
        <v>3016</v>
      </c>
    </row>
    <row r="2222" spans="1:12" ht="25.5" x14ac:dyDescent="0.2">
      <c r="A2222" s="1" t="s">
        <v>28</v>
      </c>
      <c r="B2222" s="2" t="s">
        <v>67</v>
      </c>
      <c r="C2222" s="1"/>
      <c r="D2222" s="5" t="s">
        <v>1897</v>
      </c>
      <c r="E2222" s="3">
        <v>134000</v>
      </c>
      <c r="F2222" s="3">
        <v>135000</v>
      </c>
      <c r="G2222" s="57">
        <v>7.462686567164179E-3</v>
      </c>
      <c r="J2222" s="5" t="s">
        <v>1898</v>
      </c>
    </row>
    <row r="2223" spans="1:12" ht="51" x14ac:dyDescent="0.2">
      <c r="A2223" s="1" t="s">
        <v>6</v>
      </c>
      <c r="B2223" s="2" t="s">
        <v>219</v>
      </c>
      <c r="C2223" s="5" t="s">
        <v>1286</v>
      </c>
      <c r="D2223" s="5" t="s">
        <v>1287</v>
      </c>
      <c r="E2223" s="3">
        <v>67000</v>
      </c>
      <c r="F2223" s="3">
        <v>135000</v>
      </c>
      <c r="G2223" s="57">
        <v>1.0149253731343284</v>
      </c>
      <c r="J2223" s="5" t="s">
        <v>4663</v>
      </c>
    </row>
    <row r="2224" spans="1:12" ht="25.5" x14ac:dyDescent="0.2">
      <c r="A2224" s="1" t="s">
        <v>6</v>
      </c>
      <c r="B2224" s="2" t="s">
        <v>368</v>
      </c>
      <c r="D2224" s="5" t="s">
        <v>468</v>
      </c>
      <c r="E2224" s="3" t="s">
        <v>465</v>
      </c>
      <c r="F2224" s="3">
        <v>135000</v>
      </c>
      <c r="G2224" s="57" t="s">
        <v>465</v>
      </c>
      <c r="J2224" s="5" t="s">
        <v>2572</v>
      </c>
    </row>
    <row r="2225" spans="1:10" ht="25.5" x14ac:dyDescent="0.2">
      <c r="A2225" s="1" t="s">
        <v>20</v>
      </c>
      <c r="B2225" s="2" t="s">
        <v>414</v>
      </c>
      <c r="C2225" s="5" t="s">
        <v>591</v>
      </c>
      <c r="D2225" s="5" t="s">
        <v>450</v>
      </c>
      <c r="E2225" s="3">
        <v>126000</v>
      </c>
      <c r="F2225" s="3">
        <v>135000</v>
      </c>
      <c r="G2225" s="57">
        <v>7.1428571428571425E-2</v>
      </c>
      <c r="J2225" s="5" t="s">
        <v>2368</v>
      </c>
    </row>
    <row r="2226" spans="1:10" ht="38.25" x14ac:dyDescent="0.2">
      <c r="A2226" s="1" t="s">
        <v>25</v>
      </c>
      <c r="B2226" s="2" t="s">
        <v>406</v>
      </c>
      <c r="D2226" s="5" t="s">
        <v>630</v>
      </c>
      <c r="E2226" s="9">
        <v>137151</v>
      </c>
      <c r="F2226" s="3">
        <v>134994</v>
      </c>
      <c r="G2226" s="57">
        <v>-1.5727191198022617E-2</v>
      </c>
      <c r="J2226" s="5" t="s">
        <v>2409</v>
      </c>
    </row>
    <row r="2227" spans="1:10" ht="25.5" x14ac:dyDescent="0.2">
      <c r="A2227" s="1" t="s">
        <v>1</v>
      </c>
      <c r="B2227" s="2" t="s">
        <v>272</v>
      </c>
      <c r="C2227" s="5" t="s">
        <v>1120</v>
      </c>
      <c r="D2227" s="7" t="s">
        <v>1121</v>
      </c>
      <c r="E2227" s="6">
        <v>131289</v>
      </c>
      <c r="F2227" s="6">
        <v>134945</v>
      </c>
      <c r="G2227" s="57">
        <v>2.7846963568920472E-2</v>
      </c>
      <c r="H2227" s="21"/>
      <c r="I2227" s="21"/>
      <c r="J2227" s="7" t="s">
        <v>3050</v>
      </c>
    </row>
    <row r="2228" spans="1:10" ht="25.5" x14ac:dyDescent="0.2">
      <c r="A2228" s="1" t="s">
        <v>111</v>
      </c>
      <c r="B2228" s="2" t="s">
        <v>166</v>
      </c>
      <c r="D2228" s="5" t="s">
        <v>451</v>
      </c>
      <c r="E2228" s="3">
        <v>128347</v>
      </c>
      <c r="F2228" s="3">
        <v>134944</v>
      </c>
      <c r="G2228" s="57">
        <v>5.1399721068665416E-2</v>
      </c>
      <c r="J2228" s="5" t="s">
        <v>4052</v>
      </c>
    </row>
    <row r="2229" spans="1:10" ht="25.5" x14ac:dyDescent="0.2">
      <c r="A2229" s="1" t="s">
        <v>111</v>
      </c>
      <c r="B2229" s="2" t="s">
        <v>376</v>
      </c>
      <c r="D2229" s="7" t="s">
        <v>2533</v>
      </c>
      <c r="E2229" s="3" t="s">
        <v>465</v>
      </c>
      <c r="F2229" s="3">
        <v>134902</v>
      </c>
      <c r="G2229" s="57" t="s">
        <v>465</v>
      </c>
      <c r="J2229" s="5" t="s">
        <v>2594</v>
      </c>
    </row>
    <row r="2230" spans="1:10" ht="25.5" x14ac:dyDescent="0.2">
      <c r="A2230" s="1" t="s">
        <v>1</v>
      </c>
      <c r="B2230" s="2" t="s">
        <v>203</v>
      </c>
      <c r="C2230" s="5" t="s">
        <v>1382</v>
      </c>
      <c r="D2230" s="5" t="s">
        <v>450</v>
      </c>
      <c r="E2230" s="9">
        <v>130731</v>
      </c>
      <c r="F2230" s="9">
        <v>134854</v>
      </c>
      <c r="G2230" s="57">
        <v>3.1538043769266659E-2</v>
      </c>
      <c r="J2230" s="5" t="s">
        <v>3401</v>
      </c>
    </row>
    <row r="2231" spans="1:10" x14ac:dyDescent="0.2">
      <c r="A2231" s="1" t="s">
        <v>1</v>
      </c>
      <c r="B2231" s="2" t="s">
        <v>272</v>
      </c>
      <c r="C2231" s="5" t="s">
        <v>1122</v>
      </c>
      <c r="D2231" s="7" t="s">
        <v>1123</v>
      </c>
      <c r="E2231" s="6">
        <v>131396</v>
      </c>
      <c r="F2231" s="6">
        <v>134835</v>
      </c>
      <c r="G2231" s="57">
        <v>2.6172790648117141E-2</v>
      </c>
      <c r="H2231" s="21"/>
      <c r="I2231" s="21"/>
      <c r="J2231" s="7" t="s">
        <v>3051</v>
      </c>
    </row>
    <row r="2232" spans="1:10" ht="25.5" x14ac:dyDescent="0.2">
      <c r="A2232" s="1" t="s">
        <v>111</v>
      </c>
      <c r="B2232" s="2" t="s">
        <v>305</v>
      </c>
      <c r="D2232" s="5" t="s">
        <v>964</v>
      </c>
      <c r="E2232" s="3">
        <v>134683</v>
      </c>
      <c r="F2232" s="3">
        <v>134734</v>
      </c>
      <c r="G2232" s="57">
        <v>3.7866694386076938E-4</v>
      </c>
      <c r="J2232" s="5" t="s">
        <v>2833</v>
      </c>
    </row>
    <row r="2233" spans="1:10" ht="25.5" x14ac:dyDescent="0.2">
      <c r="A2233" s="1" t="s">
        <v>6</v>
      </c>
      <c r="B2233" s="2" t="s">
        <v>324</v>
      </c>
      <c r="D2233" s="5" t="s">
        <v>916</v>
      </c>
      <c r="E2233" s="3">
        <v>133439</v>
      </c>
      <c r="F2233" s="3">
        <v>134681</v>
      </c>
      <c r="G2233" s="57">
        <v>9.3076237082112424E-3</v>
      </c>
      <c r="J2233" s="5" t="s">
        <v>2782</v>
      </c>
    </row>
    <row r="2234" spans="1:10" ht="25.5" x14ac:dyDescent="0.2">
      <c r="A2234" s="1" t="s">
        <v>25</v>
      </c>
      <c r="B2234" s="2" t="s">
        <v>26</v>
      </c>
      <c r="C2234" s="1"/>
      <c r="D2234" s="5" t="s">
        <v>1709</v>
      </c>
      <c r="E2234" s="6">
        <v>128484</v>
      </c>
      <c r="F2234" s="3">
        <v>134668</v>
      </c>
      <c r="G2234" s="57">
        <v>4.8130506522212881E-2</v>
      </c>
      <c r="J2234" s="5" t="s">
        <v>3671</v>
      </c>
    </row>
    <row r="2235" spans="1:10" ht="38.25" x14ac:dyDescent="0.2">
      <c r="A2235" s="1" t="s">
        <v>25</v>
      </c>
      <c r="B2235" s="2" t="s">
        <v>26</v>
      </c>
      <c r="C2235" s="1"/>
      <c r="D2235" s="5" t="s">
        <v>1710</v>
      </c>
      <c r="E2235" s="6">
        <v>156344</v>
      </c>
      <c r="F2235" s="3">
        <v>134668</v>
      </c>
      <c r="G2235" s="57">
        <v>-0.13864299237578673</v>
      </c>
      <c r="J2235" s="5" t="s">
        <v>4102</v>
      </c>
    </row>
    <row r="2236" spans="1:10" x14ac:dyDescent="0.2">
      <c r="A2236" s="1" t="s">
        <v>1</v>
      </c>
      <c r="B2236" s="2" t="s">
        <v>272</v>
      </c>
      <c r="C2236" s="5" t="s">
        <v>1124</v>
      </c>
      <c r="D2236" s="7" t="s">
        <v>1125</v>
      </c>
      <c r="E2236" s="6">
        <v>131396</v>
      </c>
      <c r="F2236" s="6">
        <v>134643</v>
      </c>
      <c r="G2236" s="57">
        <v>2.4711558951566258E-2</v>
      </c>
      <c r="H2236" s="21"/>
      <c r="I2236" s="21"/>
      <c r="J2236" s="7" t="s">
        <v>3052</v>
      </c>
    </row>
    <row r="2237" spans="1:10" x14ac:dyDescent="0.2">
      <c r="A2237" s="1" t="s">
        <v>1</v>
      </c>
      <c r="B2237" s="2" t="s">
        <v>272</v>
      </c>
      <c r="C2237" s="5" t="s">
        <v>1126</v>
      </c>
      <c r="D2237" s="7" t="s">
        <v>584</v>
      </c>
      <c r="E2237" s="6">
        <v>131072</v>
      </c>
      <c r="F2237" s="6">
        <v>134613</v>
      </c>
      <c r="G2237" s="57">
        <v>2.701568603515625E-2</v>
      </c>
      <c r="H2237" s="21"/>
      <c r="I2237" s="21"/>
      <c r="J2237" s="7" t="s">
        <v>3053</v>
      </c>
    </row>
    <row r="2238" spans="1:10" x14ac:dyDescent="0.2">
      <c r="A2238" s="1" t="s">
        <v>1</v>
      </c>
      <c r="B2238" s="2" t="s">
        <v>272</v>
      </c>
      <c r="C2238" s="5" t="s">
        <v>1127</v>
      </c>
      <c r="D2238" s="7" t="s">
        <v>1128</v>
      </c>
      <c r="E2238" s="6">
        <v>131396</v>
      </c>
      <c r="F2238" s="6">
        <v>134613</v>
      </c>
      <c r="G2238" s="57">
        <v>2.4483241498980183E-2</v>
      </c>
      <c r="H2238" s="21"/>
      <c r="I2238" s="21"/>
      <c r="J2238" s="7" t="s">
        <v>3053</v>
      </c>
    </row>
    <row r="2239" spans="1:10" ht="25.5" x14ac:dyDescent="0.2">
      <c r="A2239" s="1" t="s">
        <v>111</v>
      </c>
      <c r="B2239" s="2" t="s">
        <v>305</v>
      </c>
      <c r="D2239" s="5" t="s">
        <v>965</v>
      </c>
      <c r="E2239" s="3">
        <v>138938</v>
      </c>
      <c r="F2239" s="3">
        <v>134607</v>
      </c>
      <c r="G2239" s="57">
        <v>-3.1172177518029625E-2</v>
      </c>
      <c r="J2239" s="5" t="s">
        <v>2834</v>
      </c>
    </row>
    <row r="2240" spans="1:10" x14ac:dyDescent="0.2">
      <c r="A2240" s="1" t="s">
        <v>4</v>
      </c>
      <c r="B2240" s="2" t="s">
        <v>49</v>
      </c>
      <c r="C2240" s="1"/>
      <c r="D2240" s="5" t="s">
        <v>1815</v>
      </c>
      <c r="E2240" s="3">
        <v>135300</v>
      </c>
      <c r="F2240" s="3">
        <v>134600</v>
      </c>
      <c r="G2240" s="57">
        <v>-5.1736881005173688E-3</v>
      </c>
      <c r="J2240" s="5" t="s">
        <v>1816</v>
      </c>
    </row>
    <row r="2241" spans="1:12" ht="25.5" x14ac:dyDescent="0.2">
      <c r="A2241" s="1" t="s">
        <v>8</v>
      </c>
      <c r="B2241" s="2" t="s">
        <v>153</v>
      </c>
      <c r="C2241" s="1"/>
      <c r="D2241" s="5" t="s">
        <v>450</v>
      </c>
      <c r="E2241" s="3">
        <v>134503</v>
      </c>
      <c r="F2241" s="3">
        <v>134559</v>
      </c>
      <c r="G2241" s="57">
        <v>4.1634759076005737E-4</v>
      </c>
      <c r="J2241" s="5" t="s">
        <v>4003</v>
      </c>
    </row>
    <row r="2242" spans="1:12" x14ac:dyDescent="0.2">
      <c r="A2242" s="1" t="s">
        <v>4</v>
      </c>
      <c r="B2242" s="2" t="s">
        <v>88</v>
      </c>
      <c r="C2242" s="1"/>
      <c r="D2242" s="5" t="s">
        <v>450</v>
      </c>
      <c r="E2242" s="3">
        <v>138375</v>
      </c>
      <c r="F2242" s="3">
        <v>134536</v>
      </c>
      <c r="G2242" s="57">
        <v>-2.7743450767841012E-2</v>
      </c>
      <c r="J2242" s="5" t="s">
        <v>2057</v>
      </c>
    </row>
    <row r="2243" spans="1:12" ht="25.5" x14ac:dyDescent="0.2">
      <c r="A2243" s="1" t="s">
        <v>6</v>
      </c>
      <c r="B2243" s="2" t="s">
        <v>430</v>
      </c>
      <c r="D2243" s="5" t="s">
        <v>507</v>
      </c>
      <c r="E2243" s="3">
        <v>134465</v>
      </c>
      <c r="F2243" s="3">
        <v>134532</v>
      </c>
      <c r="G2243" s="57">
        <v>4.98270925519652E-4</v>
      </c>
      <c r="J2243" s="5" t="s">
        <v>2296</v>
      </c>
    </row>
    <row r="2244" spans="1:12" ht="25.5" x14ac:dyDescent="0.2">
      <c r="A2244" s="1" t="s">
        <v>6</v>
      </c>
      <c r="B2244" s="2" t="s">
        <v>324</v>
      </c>
      <c r="D2244" s="5" t="s">
        <v>451</v>
      </c>
      <c r="E2244" s="3">
        <v>125009</v>
      </c>
      <c r="F2244" s="3">
        <v>134502</v>
      </c>
      <c r="G2244" s="57">
        <v>7.5938532425665353E-2</v>
      </c>
      <c r="J2244" s="5" t="s">
        <v>2783</v>
      </c>
    </row>
    <row r="2245" spans="1:12" ht="25.5" x14ac:dyDescent="0.2">
      <c r="A2245" s="1" t="s">
        <v>6</v>
      </c>
      <c r="B2245" s="2" t="s">
        <v>324</v>
      </c>
      <c r="D2245" s="5" t="s">
        <v>917</v>
      </c>
      <c r="E2245" s="3">
        <v>130907</v>
      </c>
      <c r="F2245" s="3">
        <v>134502</v>
      </c>
      <c r="G2245" s="57">
        <v>2.7462244188622458E-2</v>
      </c>
      <c r="J2245" s="5" t="s">
        <v>2783</v>
      </c>
    </row>
    <row r="2246" spans="1:12" x14ac:dyDescent="0.2">
      <c r="A2246" s="1" t="s">
        <v>4</v>
      </c>
      <c r="B2246" s="2" t="s">
        <v>206</v>
      </c>
      <c r="D2246" s="5" t="s">
        <v>1380</v>
      </c>
      <c r="E2246" s="9">
        <v>133384</v>
      </c>
      <c r="F2246" s="9">
        <v>134487</v>
      </c>
      <c r="G2246" s="57">
        <v>8.2693576440952439E-3</v>
      </c>
      <c r="J2246" s="5" t="s">
        <v>3390</v>
      </c>
    </row>
    <row r="2247" spans="1:12" ht="25.5" x14ac:dyDescent="0.2">
      <c r="A2247" s="1" t="s">
        <v>20</v>
      </c>
      <c r="B2247" s="2" t="s">
        <v>68</v>
      </c>
      <c r="C2247" s="1" t="s">
        <v>1899</v>
      </c>
      <c r="D2247" s="5" t="s">
        <v>450</v>
      </c>
      <c r="E2247" s="3">
        <v>107342</v>
      </c>
      <c r="F2247" s="3">
        <v>134399</v>
      </c>
      <c r="G2247" s="57">
        <v>0.25206349797842409</v>
      </c>
      <c r="J2247" s="5" t="s">
        <v>4206</v>
      </c>
    </row>
    <row r="2248" spans="1:12" ht="25.5" x14ac:dyDescent="0.2">
      <c r="A2248" s="1" t="s">
        <v>25</v>
      </c>
      <c r="B2248" s="2" t="s">
        <v>59</v>
      </c>
      <c r="C2248" s="1"/>
      <c r="D2248" s="5" t="s">
        <v>476</v>
      </c>
      <c r="E2248" s="3">
        <v>134254</v>
      </c>
      <c r="F2248" s="3">
        <v>134393</v>
      </c>
      <c r="G2248" s="57">
        <v>1.0353509020215412E-3</v>
      </c>
      <c r="J2248" s="5" t="s">
        <v>1871</v>
      </c>
    </row>
    <row r="2249" spans="1:12" ht="38.25" x14ac:dyDescent="0.2">
      <c r="A2249" s="1" t="s">
        <v>6</v>
      </c>
      <c r="B2249" s="2" t="s">
        <v>324</v>
      </c>
      <c r="D2249" s="5" t="s">
        <v>915</v>
      </c>
      <c r="E2249" s="3">
        <v>133297</v>
      </c>
      <c r="F2249" s="3">
        <v>134371</v>
      </c>
      <c r="G2249" s="57">
        <v>8.0571955857971292E-3</v>
      </c>
      <c r="J2249" s="5" t="s">
        <v>2781</v>
      </c>
    </row>
    <row r="2250" spans="1:12" ht="25.5" x14ac:dyDescent="0.2">
      <c r="A2250" s="1" t="s">
        <v>34</v>
      </c>
      <c r="B2250" s="2" t="s">
        <v>297</v>
      </c>
      <c r="D2250" s="5" t="s">
        <v>995</v>
      </c>
      <c r="E2250" s="3">
        <v>133003</v>
      </c>
      <c r="F2250" s="3">
        <v>134153</v>
      </c>
      <c r="G2250" s="57">
        <v>8.6464215092892649E-3</v>
      </c>
      <c r="J2250" s="5" t="s">
        <v>2869</v>
      </c>
    </row>
    <row r="2251" spans="1:12" ht="25.5" x14ac:dyDescent="0.2">
      <c r="A2251" s="1" t="s">
        <v>6</v>
      </c>
      <c r="B2251" s="2" t="s">
        <v>430</v>
      </c>
      <c r="D2251" s="5" t="s">
        <v>508</v>
      </c>
      <c r="E2251" s="3" t="s">
        <v>465</v>
      </c>
      <c r="F2251" s="3">
        <v>134133</v>
      </c>
      <c r="G2251" s="57" t="s">
        <v>465</v>
      </c>
      <c r="J2251" s="5" t="s">
        <v>2297</v>
      </c>
    </row>
    <row r="2252" spans="1:12" x14ac:dyDescent="0.2">
      <c r="A2252" s="1" t="s">
        <v>4</v>
      </c>
      <c r="B2252" s="2" t="s">
        <v>49</v>
      </c>
      <c r="C2252" s="1"/>
      <c r="D2252" s="5" t="s">
        <v>452</v>
      </c>
      <c r="E2252" s="3">
        <v>131100</v>
      </c>
      <c r="F2252" s="3">
        <v>134100</v>
      </c>
      <c r="G2252" s="57">
        <v>2.2883295194508008E-2</v>
      </c>
      <c r="J2252" s="5" t="s">
        <v>1813</v>
      </c>
    </row>
    <row r="2253" spans="1:12" ht="25.5" x14ac:dyDescent="0.2">
      <c r="A2253" s="13" t="s">
        <v>34</v>
      </c>
      <c r="B2253" s="12" t="s">
        <v>33</v>
      </c>
      <c r="C2253" s="13"/>
      <c r="D2253" s="7" t="s">
        <v>1738</v>
      </c>
      <c r="E2253" s="6">
        <v>134505</v>
      </c>
      <c r="F2253" s="6">
        <v>134041</v>
      </c>
      <c r="G2253" s="57">
        <v>-3.4496858852830748E-3</v>
      </c>
      <c r="H2253" s="21"/>
      <c r="I2253" s="21"/>
      <c r="J2253" s="7" t="s">
        <v>4134</v>
      </c>
      <c r="K2253" s="13"/>
      <c r="L2253" s="13"/>
    </row>
    <row r="2254" spans="1:12" ht="38.25" x14ac:dyDescent="0.2">
      <c r="A2254" s="1" t="s">
        <v>1</v>
      </c>
      <c r="B2254" s="2" t="s">
        <v>248</v>
      </c>
      <c r="C2254" s="5" t="s">
        <v>1191</v>
      </c>
      <c r="D2254" s="5" t="s">
        <v>450</v>
      </c>
      <c r="E2254" s="3">
        <v>81565</v>
      </c>
      <c r="F2254" s="3">
        <v>134030</v>
      </c>
      <c r="G2254" s="57">
        <v>0.64322932630417462</v>
      </c>
      <c r="J2254" s="5" t="s">
        <v>3138</v>
      </c>
    </row>
    <row r="2255" spans="1:12" ht="25.5" x14ac:dyDescent="0.2">
      <c r="A2255" s="13" t="s">
        <v>111</v>
      </c>
      <c r="B2255" s="2" t="s">
        <v>247</v>
      </c>
      <c r="D2255" s="5" t="s">
        <v>1199</v>
      </c>
      <c r="E2255" s="3">
        <v>130837</v>
      </c>
      <c r="F2255" s="3">
        <v>134016</v>
      </c>
      <c r="G2255" s="57">
        <v>2.429740822550196E-2</v>
      </c>
      <c r="J2255" s="5" t="s">
        <v>3149</v>
      </c>
    </row>
    <row r="2256" spans="1:12" x14ac:dyDescent="0.2">
      <c r="A2256" s="1" t="s">
        <v>25</v>
      </c>
      <c r="B2256" s="2" t="s">
        <v>59</v>
      </c>
      <c r="C2256" s="1"/>
      <c r="D2256" s="5" t="s">
        <v>1869</v>
      </c>
      <c r="E2256" s="3">
        <v>134014</v>
      </c>
      <c r="F2256" s="3">
        <v>134014</v>
      </c>
      <c r="G2256" s="57">
        <v>0</v>
      </c>
      <c r="J2256" s="5" t="s">
        <v>1870</v>
      </c>
    </row>
    <row r="2257" spans="1:10" ht="25.5" x14ac:dyDescent="0.2">
      <c r="A2257" s="1" t="s">
        <v>8</v>
      </c>
      <c r="B2257" s="2" t="s">
        <v>280</v>
      </c>
      <c r="D2257" s="5" t="s">
        <v>1081</v>
      </c>
      <c r="E2257" s="3">
        <v>126000</v>
      </c>
      <c r="F2257" s="3">
        <v>134000</v>
      </c>
      <c r="G2257" s="57">
        <v>6.3492063492063489E-2</v>
      </c>
      <c r="J2257" s="5" t="s">
        <v>2996</v>
      </c>
    </row>
    <row r="2258" spans="1:10" ht="25.5" x14ac:dyDescent="0.2">
      <c r="A2258" s="1" t="s">
        <v>8</v>
      </c>
      <c r="B2258" s="2" t="s">
        <v>280</v>
      </c>
      <c r="D2258" s="5" t="s">
        <v>627</v>
      </c>
      <c r="E2258" s="3">
        <v>126000</v>
      </c>
      <c r="F2258" s="3">
        <v>134000</v>
      </c>
      <c r="G2258" s="57">
        <v>6.3492063492063489E-2</v>
      </c>
      <c r="J2258" s="5" t="s">
        <v>2996</v>
      </c>
    </row>
    <row r="2259" spans="1:10" ht="25.5" x14ac:dyDescent="0.2">
      <c r="A2259" s="1" t="s">
        <v>8</v>
      </c>
      <c r="B2259" s="2" t="s">
        <v>346</v>
      </c>
      <c r="D2259" s="5" t="s">
        <v>450</v>
      </c>
      <c r="E2259" s="3">
        <v>136000</v>
      </c>
      <c r="F2259" s="3">
        <v>134000</v>
      </c>
      <c r="G2259" s="57">
        <v>-1.4705882352941176E-2</v>
      </c>
      <c r="J2259" s="5" t="s">
        <v>2692</v>
      </c>
    </row>
    <row r="2260" spans="1:10" ht="25.5" x14ac:dyDescent="0.2">
      <c r="A2260" s="1" t="s">
        <v>6</v>
      </c>
      <c r="B2260" s="2" t="s">
        <v>362</v>
      </c>
      <c r="D2260" s="5" t="s">
        <v>789</v>
      </c>
      <c r="E2260" s="3">
        <v>134000</v>
      </c>
      <c r="F2260" s="3">
        <v>134000</v>
      </c>
      <c r="G2260" s="57">
        <v>0</v>
      </c>
      <c r="J2260" s="5" t="s">
        <v>2615</v>
      </c>
    </row>
    <row r="2261" spans="1:10" ht="25.5" x14ac:dyDescent="0.2">
      <c r="A2261" s="1" t="s">
        <v>25</v>
      </c>
      <c r="B2261" s="2" t="s">
        <v>26</v>
      </c>
      <c r="C2261" s="1"/>
      <c r="D2261" s="5" t="s">
        <v>1711</v>
      </c>
      <c r="E2261" s="6" t="s">
        <v>465</v>
      </c>
      <c r="F2261" s="3">
        <v>133975</v>
      </c>
      <c r="G2261" s="57" t="s">
        <v>465</v>
      </c>
      <c r="J2261" s="5" t="s">
        <v>4100</v>
      </c>
    </row>
    <row r="2262" spans="1:10" ht="25.5" x14ac:dyDescent="0.2">
      <c r="A2262" s="1" t="s">
        <v>25</v>
      </c>
      <c r="B2262" s="2" t="s">
        <v>209</v>
      </c>
      <c r="C2262" s="5" t="s">
        <v>1367</v>
      </c>
      <c r="D2262" s="5" t="s">
        <v>1368</v>
      </c>
      <c r="E2262" s="9">
        <v>3593</v>
      </c>
      <c r="F2262" s="9">
        <v>133956</v>
      </c>
      <c r="G2262" s="57">
        <v>36.282493737823543</v>
      </c>
      <c r="J2262" s="5" t="s">
        <v>3374</v>
      </c>
    </row>
    <row r="2263" spans="1:10" ht="25.5" x14ac:dyDescent="0.2">
      <c r="A2263" s="1" t="s">
        <v>25</v>
      </c>
      <c r="B2263" s="12" t="s">
        <v>197</v>
      </c>
      <c r="D2263" s="5" t="s">
        <v>569</v>
      </c>
      <c r="E2263" s="9">
        <v>114166</v>
      </c>
      <c r="F2263" s="9">
        <v>133943</v>
      </c>
      <c r="G2263" s="57">
        <v>0.17323020864355412</v>
      </c>
      <c r="J2263" s="5" t="s">
        <v>3435</v>
      </c>
    </row>
    <row r="2264" spans="1:10" ht="25.5" x14ac:dyDescent="0.2">
      <c r="A2264" s="1" t="s">
        <v>8</v>
      </c>
      <c r="B2264" s="2" t="s">
        <v>342</v>
      </c>
      <c r="D2264" s="5" t="s">
        <v>450</v>
      </c>
      <c r="E2264" s="3">
        <v>133667</v>
      </c>
      <c r="F2264" s="3">
        <v>133835</v>
      </c>
      <c r="G2264" s="57">
        <v>1.2568547210605461E-3</v>
      </c>
      <c r="J2264" s="5" t="s">
        <v>2704</v>
      </c>
    </row>
    <row r="2265" spans="1:10" ht="25.5" x14ac:dyDescent="0.2">
      <c r="A2265" s="1" t="s">
        <v>20</v>
      </c>
      <c r="B2265" s="2" t="s">
        <v>95</v>
      </c>
      <c r="C2265" s="1"/>
      <c r="D2265" s="5" t="s">
        <v>450</v>
      </c>
      <c r="E2265" s="3">
        <v>131518</v>
      </c>
      <c r="F2265" s="3">
        <v>133813</v>
      </c>
      <c r="G2265" s="57">
        <v>1.745008287838927E-2</v>
      </c>
      <c r="J2265" s="5" t="s">
        <v>3843</v>
      </c>
    </row>
    <row r="2266" spans="1:10" ht="25.5" x14ac:dyDescent="0.2">
      <c r="A2266" s="1" t="s">
        <v>28</v>
      </c>
      <c r="B2266" s="2" t="s">
        <v>326</v>
      </c>
      <c r="D2266" s="5" t="s">
        <v>450</v>
      </c>
      <c r="E2266" s="3">
        <v>140364</v>
      </c>
      <c r="F2266" s="3">
        <v>133794</v>
      </c>
      <c r="G2266" s="57">
        <v>-4.6806873557322388E-2</v>
      </c>
      <c r="J2266" s="5" t="s">
        <v>2773</v>
      </c>
    </row>
    <row r="2267" spans="1:10" ht="38.25" x14ac:dyDescent="0.2">
      <c r="A2267" s="1" t="s">
        <v>4</v>
      </c>
      <c r="B2267" s="2" t="s">
        <v>206</v>
      </c>
      <c r="D2267" s="5" t="s">
        <v>1378</v>
      </c>
      <c r="E2267" s="9">
        <v>28571</v>
      </c>
      <c r="F2267" s="9">
        <v>133782</v>
      </c>
      <c r="G2267" s="57">
        <v>3.6824402366035489</v>
      </c>
      <c r="J2267" s="5" t="s">
        <v>3387</v>
      </c>
    </row>
    <row r="2268" spans="1:10" ht="63.75" x14ac:dyDescent="0.2">
      <c r="A2268" s="1" t="s">
        <v>44</v>
      </c>
      <c r="B2268" s="2" t="s">
        <v>397</v>
      </c>
      <c r="D2268" s="5" t="s">
        <v>450</v>
      </c>
      <c r="E2268" s="3">
        <v>133465</v>
      </c>
      <c r="F2268" s="3">
        <v>133749</v>
      </c>
      <c r="G2268" s="57">
        <v>2.1278987000337168E-3</v>
      </c>
      <c r="J2268" s="5" t="s">
        <v>4503</v>
      </c>
    </row>
    <row r="2269" spans="1:10" ht="25.5" x14ac:dyDescent="0.2">
      <c r="A2269" s="1" t="s">
        <v>44</v>
      </c>
      <c r="B2269" s="2" t="s">
        <v>436</v>
      </c>
      <c r="D2269" s="5" t="s">
        <v>450</v>
      </c>
      <c r="E2269" s="3">
        <v>133340</v>
      </c>
      <c r="F2269" s="3">
        <v>133736</v>
      </c>
      <c r="G2269" s="57">
        <v>2.9698515074246287E-3</v>
      </c>
      <c r="J2269" s="5" t="s">
        <v>2265</v>
      </c>
    </row>
    <row r="2270" spans="1:10" ht="51" x14ac:dyDescent="0.2">
      <c r="A2270" s="1" t="s">
        <v>111</v>
      </c>
      <c r="B2270" s="2" t="s">
        <v>128</v>
      </c>
      <c r="C2270" s="1"/>
      <c r="D2270" s="5" t="s">
        <v>852</v>
      </c>
      <c r="E2270" s="3">
        <v>114567</v>
      </c>
      <c r="F2270" s="3">
        <v>133595</v>
      </c>
      <c r="G2270" s="57">
        <v>0.16608622029031048</v>
      </c>
      <c r="J2270" s="5" t="s">
        <v>4625</v>
      </c>
    </row>
    <row r="2271" spans="1:10" ht="25.5" x14ac:dyDescent="0.2">
      <c r="A2271" s="1" t="s">
        <v>34</v>
      </c>
      <c r="B2271" s="2" t="s">
        <v>170</v>
      </c>
      <c r="D2271" s="5" t="s">
        <v>1552</v>
      </c>
      <c r="E2271" s="3">
        <v>152539</v>
      </c>
      <c r="F2271" s="3">
        <v>133592</v>
      </c>
      <c r="G2271" s="57">
        <v>-0.12421085755118363</v>
      </c>
      <c r="J2271" s="5" t="s">
        <v>4346</v>
      </c>
    </row>
    <row r="2272" spans="1:10" x14ac:dyDescent="0.2">
      <c r="A2272" s="1" t="s">
        <v>20</v>
      </c>
      <c r="B2272" s="2" t="s">
        <v>194</v>
      </c>
      <c r="C2272" s="5" t="s">
        <v>1438</v>
      </c>
      <c r="D2272" s="5" t="s">
        <v>1439</v>
      </c>
      <c r="E2272" s="9">
        <v>133972</v>
      </c>
      <c r="F2272" s="9">
        <v>133513</v>
      </c>
      <c r="G2272" s="57">
        <v>-3.4260890335293943E-3</v>
      </c>
      <c r="J2272" s="5" t="s">
        <v>3477</v>
      </c>
    </row>
    <row r="2273" spans="1:12" ht="25.5" x14ac:dyDescent="0.2">
      <c r="A2273" s="1" t="s">
        <v>4</v>
      </c>
      <c r="B2273" s="2" t="s">
        <v>423</v>
      </c>
      <c r="D2273" s="5" t="s">
        <v>562</v>
      </c>
      <c r="E2273" s="6">
        <v>125598</v>
      </c>
      <c r="F2273" s="3">
        <v>133392</v>
      </c>
      <c r="G2273" s="57">
        <v>6.2055128266373667E-2</v>
      </c>
      <c r="J2273" s="5" t="s">
        <v>2342</v>
      </c>
    </row>
    <row r="2274" spans="1:12" ht="25.5" x14ac:dyDescent="0.2">
      <c r="A2274" s="1" t="s">
        <v>44</v>
      </c>
      <c r="B2274" s="2" t="s">
        <v>97</v>
      </c>
      <c r="C2274" s="1"/>
      <c r="D2274" s="5" t="s">
        <v>4592</v>
      </c>
      <c r="E2274" s="3">
        <v>112145</v>
      </c>
      <c r="F2274" s="3">
        <v>133319</v>
      </c>
      <c r="G2274" s="57">
        <v>0.1888091310357127</v>
      </c>
      <c r="J2274" s="5" t="s">
        <v>3847</v>
      </c>
    </row>
    <row r="2275" spans="1:12" ht="38.25" x14ac:dyDescent="0.2">
      <c r="A2275" s="1" t="s">
        <v>20</v>
      </c>
      <c r="B2275" s="2" t="s">
        <v>154</v>
      </c>
      <c r="C2275" s="1"/>
      <c r="D2275" s="5" t="s">
        <v>1269</v>
      </c>
      <c r="E2275" s="3">
        <v>122192</v>
      </c>
      <c r="F2275" s="3">
        <v>133267</v>
      </c>
      <c r="G2275" s="57">
        <v>9.0636048186460649E-2</v>
      </c>
      <c r="J2275" s="5" t="s">
        <v>4021</v>
      </c>
    </row>
    <row r="2276" spans="1:12" x14ac:dyDescent="0.2">
      <c r="A2276" s="13" t="s">
        <v>111</v>
      </c>
      <c r="B2276" s="2" t="s">
        <v>247</v>
      </c>
      <c r="D2276" s="5" t="s">
        <v>942</v>
      </c>
      <c r="E2276" s="3">
        <v>129139</v>
      </c>
      <c r="F2276" s="3">
        <v>133160</v>
      </c>
      <c r="G2276" s="57">
        <v>3.1136991923431341E-2</v>
      </c>
      <c r="J2276" s="5" t="s">
        <v>3150</v>
      </c>
    </row>
    <row r="2277" spans="1:12" ht="38.25" x14ac:dyDescent="0.2">
      <c r="A2277" s="1" t="s">
        <v>20</v>
      </c>
      <c r="B2277" s="2" t="s">
        <v>314</v>
      </c>
      <c r="D2277" s="5" t="s">
        <v>450</v>
      </c>
      <c r="E2277" s="3">
        <v>132942</v>
      </c>
      <c r="F2277" s="3">
        <v>133065</v>
      </c>
      <c r="G2277" s="57">
        <v>9.2521550751455519E-4</v>
      </c>
      <c r="J2277" s="5" t="s">
        <v>2801</v>
      </c>
    </row>
    <row r="2278" spans="1:12" ht="63.75" x14ac:dyDescent="0.2">
      <c r="A2278" s="1" t="s">
        <v>44</v>
      </c>
      <c r="B2278" s="12" t="s">
        <v>66</v>
      </c>
      <c r="C2278" s="13"/>
      <c r="D2278" s="7" t="s">
        <v>4202</v>
      </c>
      <c r="E2278" s="6">
        <v>122731</v>
      </c>
      <c r="F2278" s="6">
        <v>133063</v>
      </c>
      <c r="G2278" s="57">
        <v>8.4184109964067763E-2</v>
      </c>
      <c r="H2278" s="21"/>
      <c r="I2278" s="21"/>
      <c r="J2278" s="7" t="s">
        <v>4606</v>
      </c>
      <c r="K2278" s="13"/>
      <c r="L2278" s="13"/>
    </row>
    <row r="2279" spans="1:12" x14ac:dyDescent="0.2">
      <c r="A2279" s="1" t="s">
        <v>25</v>
      </c>
      <c r="B2279" s="12" t="s">
        <v>197</v>
      </c>
      <c r="D2279" s="5" t="s">
        <v>532</v>
      </c>
      <c r="E2279" s="9">
        <v>132089</v>
      </c>
      <c r="F2279" s="9">
        <v>132933</v>
      </c>
      <c r="G2279" s="57">
        <v>6.3896312334865129E-3</v>
      </c>
      <c r="J2279" s="5" t="s">
        <v>3436</v>
      </c>
    </row>
    <row r="2280" spans="1:12" ht="25.5" x14ac:dyDescent="0.2">
      <c r="A2280" s="1" t="s">
        <v>4</v>
      </c>
      <c r="B2280" s="2" t="s">
        <v>336</v>
      </c>
      <c r="D2280" s="5" t="s">
        <v>878</v>
      </c>
      <c r="E2280" s="3">
        <v>135890</v>
      </c>
      <c r="F2280" s="3">
        <v>132850</v>
      </c>
      <c r="G2280" s="57">
        <v>-2.2371035396276402E-2</v>
      </c>
      <c r="J2280" s="5" t="s">
        <v>2734</v>
      </c>
    </row>
    <row r="2281" spans="1:12" ht="25.5" x14ac:dyDescent="0.2">
      <c r="A2281" s="1" t="s">
        <v>28</v>
      </c>
      <c r="B2281" s="2" t="s">
        <v>317</v>
      </c>
      <c r="C2281" s="5" t="s">
        <v>925</v>
      </c>
      <c r="D2281" s="5" t="s">
        <v>926</v>
      </c>
      <c r="E2281" s="6">
        <v>132772.68</v>
      </c>
      <c r="F2281" s="6">
        <v>132772.68</v>
      </c>
      <c r="G2281" s="57">
        <v>0</v>
      </c>
      <c r="H2281" s="21"/>
      <c r="I2281" s="21"/>
      <c r="J2281" s="7" t="s">
        <v>2796</v>
      </c>
    </row>
    <row r="2282" spans="1:12" ht="25.5" x14ac:dyDescent="0.2">
      <c r="A2282" s="1" t="s">
        <v>28</v>
      </c>
      <c r="B2282" s="2" t="s">
        <v>317</v>
      </c>
      <c r="C2282" s="5" t="s">
        <v>927</v>
      </c>
      <c r="D2282" s="5" t="s">
        <v>4682</v>
      </c>
      <c r="E2282" s="6">
        <v>132772.68</v>
      </c>
      <c r="F2282" s="6">
        <v>132772.68</v>
      </c>
      <c r="G2282" s="57">
        <v>0</v>
      </c>
      <c r="H2282" s="21"/>
      <c r="I2282" s="21"/>
      <c r="J2282" s="7" t="s">
        <v>2796</v>
      </c>
    </row>
    <row r="2283" spans="1:12" x14ac:dyDescent="0.2">
      <c r="A2283" s="1" t="s">
        <v>28</v>
      </c>
      <c r="B2283" s="2" t="s">
        <v>317</v>
      </c>
      <c r="C2283" s="5" t="s">
        <v>928</v>
      </c>
      <c r="D2283" s="5" t="s">
        <v>929</v>
      </c>
      <c r="E2283" s="6">
        <v>132772.68</v>
      </c>
      <c r="F2283" s="6">
        <v>132772.68</v>
      </c>
      <c r="G2283" s="57">
        <v>0</v>
      </c>
      <c r="H2283" s="21"/>
      <c r="I2283" s="21"/>
      <c r="J2283" s="7" t="s">
        <v>2796</v>
      </c>
    </row>
    <row r="2284" spans="1:12" ht="25.5" x14ac:dyDescent="0.2">
      <c r="A2284" s="1" t="s">
        <v>28</v>
      </c>
      <c r="B2284" s="2" t="s">
        <v>317</v>
      </c>
      <c r="C2284" s="5" t="s">
        <v>930</v>
      </c>
      <c r="D2284" s="5" t="s">
        <v>931</v>
      </c>
      <c r="E2284" s="6">
        <v>132772.68</v>
      </c>
      <c r="F2284" s="6">
        <v>132772.68</v>
      </c>
      <c r="G2284" s="57">
        <v>0</v>
      </c>
      <c r="H2284" s="21"/>
      <c r="I2284" s="21"/>
      <c r="J2284" s="7" t="s">
        <v>2796</v>
      </c>
    </row>
    <row r="2285" spans="1:12" ht="25.5" x14ac:dyDescent="0.2">
      <c r="A2285" s="1" t="s">
        <v>39</v>
      </c>
      <c r="B2285" s="2" t="s">
        <v>363</v>
      </c>
      <c r="D2285" s="5" t="s">
        <v>450</v>
      </c>
      <c r="E2285" s="3">
        <v>128259</v>
      </c>
      <c r="F2285" s="3">
        <v>132677</v>
      </c>
      <c r="G2285" s="57">
        <v>3.4445925821969606E-2</v>
      </c>
      <c r="J2285" s="5" t="s">
        <v>2610</v>
      </c>
    </row>
    <row r="2286" spans="1:12" ht="25.5" x14ac:dyDescent="0.2">
      <c r="A2286" s="1" t="s">
        <v>44</v>
      </c>
      <c r="B2286" s="2" t="s">
        <v>381</v>
      </c>
      <c r="D2286" s="5" t="s">
        <v>714</v>
      </c>
      <c r="E2286" s="3">
        <v>129267</v>
      </c>
      <c r="F2286" s="3">
        <v>132669</v>
      </c>
      <c r="G2286" s="57">
        <v>2.6317621666782705E-2</v>
      </c>
      <c r="J2286" s="5" t="s">
        <v>2508</v>
      </c>
    </row>
    <row r="2287" spans="1:12" x14ac:dyDescent="0.2">
      <c r="A2287" s="1" t="s">
        <v>6</v>
      </c>
      <c r="B2287" s="2" t="s">
        <v>42</v>
      </c>
      <c r="C2287" s="1"/>
      <c r="D2287" s="5" t="s">
        <v>464</v>
      </c>
      <c r="E2287" s="3" t="s">
        <v>465</v>
      </c>
      <c r="F2287" s="3">
        <v>132500</v>
      </c>
      <c r="G2287" s="57" t="s">
        <v>465</v>
      </c>
      <c r="J2287" s="5" t="s">
        <v>3718</v>
      </c>
    </row>
    <row r="2288" spans="1:12" x14ac:dyDescent="0.2">
      <c r="A2288" s="1" t="s">
        <v>6</v>
      </c>
      <c r="B2288" s="2" t="s">
        <v>46</v>
      </c>
      <c r="C2288" s="1"/>
      <c r="D2288" s="5" t="s">
        <v>464</v>
      </c>
      <c r="E2288" s="3" t="s">
        <v>465</v>
      </c>
      <c r="F2288" s="3">
        <v>132500</v>
      </c>
      <c r="G2288" s="57" t="s">
        <v>465</v>
      </c>
    </row>
    <row r="2289" spans="1:12" x14ac:dyDescent="0.2">
      <c r="A2289" s="1" t="s">
        <v>25</v>
      </c>
      <c r="B2289" s="2" t="s">
        <v>53</v>
      </c>
      <c r="C2289" s="1"/>
      <c r="D2289" s="5" t="s">
        <v>464</v>
      </c>
      <c r="E2289" s="3" t="s">
        <v>465</v>
      </c>
      <c r="F2289" s="3">
        <v>132500</v>
      </c>
      <c r="G2289" s="57" t="s">
        <v>465</v>
      </c>
    </row>
    <row r="2290" spans="1:12" ht="25.5" x14ac:dyDescent="0.2">
      <c r="A2290" s="1" t="s">
        <v>44</v>
      </c>
      <c r="B2290" s="2" t="s">
        <v>55</v>
      </c>
      <c r="C2290" s="1"/>
      <c r="D2290" s="5" t="s">
        <v>655</v>
      </c>
      <c r="E2290" s="3">
        <v>127875</v>
      </c>
      <c r="F2290" s="3">
        <v>132500</v>
      </c>
      <c r="G2290" s="57">
        <v>3.6168132942326493E-2</v>
      </c>
      <c r="J2290" s="5" t="s">
        <v>1842</v>
      </c>
    </row>
    <row r="2291" spans="1:12" x14ac:dyDescent="0.2">
      <c r="A2291" s="1" t="s">
        <v>44</v>
      </c>
      <c r="B2291" s="2" t="s">
        <v>73</v>
      </c>
      <c r="C2291" s="1"/>
      <c r="D2291" s="5" t="s">
        <v>464</v>
      </c>
      <c r="E2291" s="3" t="s">
        <v>465</v>
      </c>
      <c r="F2291" s="3">
        <v>132500</v>
      </c>
      <c r="G2291" s="57" t="s">
        <v>465</v>
      </c>
    </row>
    <row r="2292" spans="1:12" x14ac:dyDescent="0.2">
      <c r="A2292" s="1" t="s">
        <v>44</v>
      </c>
      <c r="B2292" s="2" t="s">
        <v>73</v>
      </c>
      <c r="C2292" s="1"/>
      <c r="D2292" s="5" t="s">
        <v>464</v>
      </c>
      <c r="E2292" s="3" t="s">
        <v>465</v>
      </c>
      <c r="F2292" s="3">
        <v>132500</v>
      </c>
      <c r="G2292" s="57" t="s">
        <v>465</v>
      </c>
    </row>
    <row r="2293" spans="1:12" x14ac:dyDescent="0.2">
      <c r="A2293" s="1" t="s">
        <v>34</v>
      </c>
      <c r="B2293" s="12" t="s">
        <v>101</v>
      </c>
      <c r="C2293" s="13"/>
      <c r="D2293" s="7" t="s">
        <v>464</v>
      </c>
      <c r="E2293" s="6" t="s">
        <v>465</v>
      </c>
      <c r="F2293" s="6">
        <v>132500</v>
      </c>
      <c r="G2293" s="57" t="s">
        <v>465</v>
      </c>
      <c r="H2293" s="21"/>
      <c r="I2293" s="21"/>
      <c r="J2293" s="7"/>
      <c r="K2293" s="13"/>
      <c r="L2293" s="13"/>
    </row>
    <row r="2294" spans="1:12" x14ac:dyDescent="0.2">
      <c r="A2294" s="1" t="s">
        <v>111</v>
      </c>
      <c r="B2294" s="2" t="s">
        <v>128</v>
      </c>
      <c r="C2294" s="1"/>
      <c r="D2294" s="5" t="s">
        <v>464</v>
      </c>
      <c r="E2294" s="3" t="s">
        <v>465</v>
      </c>
      <c r="F2294" s="3">
        <v>132500</v>
      </c>
      <c r="G2294" s="57" t="s">
        <v>465</v>
      </c>
      <c r="J2294" s="1"/>
    </row>
    <row r="2295" spans="1:12" x14ac:dyDescent="0.2">
      <c r="A2295" s="1" t="s">
        <v>1</v>
      </c>
      <c r="B2295" s="2" t="s">
        <v>160</v>
      </c>
      <c r="D2295" s="5" t="s">
        <v>464</v>
      </c>
      <c r="E2295" s="3" t="s">
        <v>465</v>
      </c>
      <c r="F2295" s="3">
        <v>132500</v>
      </c>
      <c r="G2295" s="57" t="s">
        <v>465</v>
      </c>
    </row>
    <row r="2296" spans="1:12" x14ac:dyDescent="0.2">
      <c r="A2296" s="1" t="s">
        <v>111</v>
      </c>
      <c r="B2296" s="2" t="s">
        <v>166</v>
      </c>
      <c r="D2296" s="5" t="s">
        <v>464</v>
      </c>
      <c r="E2296" s="3" t="s">
        <v>465</v>
      </c>
      <c r="F2296" s="3">
        <v>132500</v>
      </c>
      <c r="G2296" s="57" t="s">
        <v>465</v>
      </c>
    </row>
    <row r="2297" spans="1:12" x14ac:dyDescent="0.2">
      <c r="A2297" s="1" t="s">
        <v>1</v>
      </c>
      <c r="B2297" s="2" t="s">
        <v>168</v>
      </c>
      <c r="C2297" s="1"/>
      <c r="D2297" s="5" t="s">
        <v>464</v>
      </c>
      <c r="E2297" s="3" t="s">
        <v>465</v>
      </c>
      <c r="F2297" s="3">
        <v>132500</v>
      </c>
      <c r="G2297" s="57" t="s">
        <v>465</v>
      </c>
    </row>
    <row r="2298" spans="1:12" x14ac:dyDescent="0.2">
      <c r="A2298" s="1" t="s">
        <v>25</v>
      </c>
      <c r="B2298" s="2" t="s">
        <v>181</v>
      </c>
      <c r="D2298" s="5" t="s">
        <v>464</v>
      </c>
      <c r="E2298" s="3" t="s">
        <v>465</v>
      </c>
      <c r="F2298" s="3">
        <v>132500</v>
      </c>
      <c r="G2298" s="57" t="s">
        <v>465</v>
      </c>
    </row>
    <row r="2299" spans="1:12" x14ac:dyDescent="0.2">
      <c r="A2299" s="1" t="s">
        <v>4</v>
      </c>
      <c r="B2299" s="2" t="s">
        <v>182</v>
      </c>
      <c r="D2299" s="5" t="s">
        <v>464</v>
      </c>
      <c r="E2299" s="3" t="s">
        <v>465</v>
      </c>
      <c r="F2299" s="3">
        <v>132500</v>
      </c>
      <c r="G2299" s="57" t="s">
        <v>465</v>
      </c>
      <c r="J2299" s="5" t="s">
        <v>1475</v>
      </c>
    </row>
    <row r="2300" spans="1:12" x14ac:dyDescent="0.2">
      <c r="A2300" s="1" t="s">
        <v>4</v>
      </c>
      <c r="B2300" s="2" t="s">
        <v>182</v>
      </c>
      <c r="D2300" s="5" t="s">
        <v>464</v>
      </c>
      <c r="E2300" s="3" t="s">
        <v>465</v>
      </c>
      <c r="F2300" s="3">
        <v>132500</v>
      </c>
      <c r="G2300" s="57" t="s">
        <v>465</v>
      </c>
      <c r="J2300" s="5" t="s">
        <v>1475</v>
      </c>
    </row>
    <row r="2301" spans="1:12" x14ac:dyDescent="0.2">
      <c r="A2301" s="1" t="s">
        <v>25</v>
      </c>
      <c r="B2301" s="2" t="s">
        <v>200</v>
      </c>
      <c r="D2301" s="5" t="s">
        <v>464</v>
      </c>
      <c r="E2301" s="3" t="s">
        <v>465</v>
      </c>
      <c r="F2301" s="3">
        <v>132500</v>
      </c>
      <c r="G2301" s="57" t="s">
        <v>465</v>
      </c>
    </row>
    <row r="2302" spans="1:12" x14ac:dyDescent="0.2">
      <c r="A2302" s="1" t="s">
        <v>25</v>
      </c>
      <c r="B2302" s="2" t="s">
        <v>200</v>
      </c>
      <c r="D2302" s="5" t="s">
        <v>464</v>
      </c>
      <c r="E2302" s="3" t="s">
        <v>465</v>
      </c>
      <c r="F2302" s="3">
        <v>132500</v>
      </c>
      <c r="G2302" s="57" t="s">
        <v>465</v>
      </c>
    </row>
    <row r="2303" spans="1:12" x14ac:dyDescent="0.2">
      <c r="A2303" s="1" t="s">
        <v>25</v>
      </c>
      <c r="B2303" s="2" t="s">
        <v>217</v>
      </c>
      <c r="D2303" s="5" t="s">
        <v>464</v>
      </c>
      <c r="E2303" s="3" t="s">
        <v>465</v>
      </c>
      <c r="F2303" s="3">
        <v>132500</v>
      </c>
      <c r="G2303" s="57" t="s">
        <v>465</v>
      </c>
    </row>
    <row r="2304" spans="1:12" x14ac:dyDescent="0.2">
      <c r="A2304" s="1" t="s">
        <v>8</v>
      </c>
      <c r="B2304" s="2" t="s">
        <v>222</v>
      </c>
      <c r="D2304" s="5" t="s">
        <v>464</v>
      </c>
      <c r="E2304" s="3" t="s">
        <v>465</v>
      </c>
      <c r="F2304" s="3">
        <v>132500</v>
      </c>
      <c r="G2304" s="57" t="s">
        <v>465</v>
      </c>
      <c r="H2304" s="4"/>
      <c r="I2304" s="4"/>
      <c r="J2304" s="1"/>
    </row>
    <row r="2305" spans="1:12" x14ac:dyDescent="0.2">
      <c r="A2305" s="1" t="s">
        <v>8</v>
      </c>
      <c r="B2305" s="2" t="s">
        <v>223</v>
      </c>
      <c r="D2305" s="5" t="s">
        <v>464</v>
      </c>
      <c r="E2305" s="3" t="s">
        <v>465</v>
      </c>
      <c r="F2305" s="3">
        <v>132500</v>
      </c>
      <c r="G2305" s="57" t="s">
        <v>465</v>
      </c>
      <c r="H2305" s="4"/>
      <c r="I2305" s="4"/>
      <c r="J2305" s="1"/>
    </row>
    <row r="2306" spans="1:12" x14ac:dyDescent="0.2">
      <c r="A2306" s="1" t="s">
        <v>6</v>
      </c>
      <c r="B2306" s="12" t="s">
        <v>231</v>
      </c>
      <c r="D2306" s="5" t="s">
        <v>464</v>
      </c>
      <c r="E2306" s="3" t="s">
        <v>465</v>
      </c>
      <c r="F2306" s="3">
        <v>132500</v>
      </c>
      <c r="G2306" s="57" t="s">
        <v>465</v>
      </c>
      <c r="H2306" s="4"/>
      <c r="I2306" s="4"/>
      <c r="J2306" s="1"/>
    </row>
    <row r="2307" spans="1:12" x14ac:dyDescent="0.2">
      <c r="A2307" s="1" t="s">
        <v>6</v>
      </c>
      <c r="B2307" s="2" t="s">
        <v>237</v>
      </c>
      <c r="D2307" s="7" t="s">
        <v>464</v>
      </c>
      <c r="E2307" s="6" t="s">
        <v>465</v>
      </c>
      <c r="F2307" s="6">
        <v>132500</v>
      </c>
      <c r="G2307" s="57" t="s">
        <v>465</v>
      </c>
      <c r="H2307" s="21"/>
      <c r="I2307" s="21"/>
      <c r="J2307" s="7" t="s">
        <v>539</v>
      </c>
    </row>
    <row r="2308" spans="1:12" x14ac:dyDescent="0.2">
      <c r="A2308" s="1" t="s">
        <v>25</v>
      </c>
      <c r="B2308" s="2" t="s">
        <v>243</v>
      </c>
      <c r="D2308" s="7" t="s">
        <v>464</v>
      </c>
      <c r="E2308" s="6" t="s">
        <v>465</v>
      </c>
      <c r="F2308" s="6">
        <v>132500</v>
      </c>
      <c r="G2308" s="57" t="s">
        <v>465</v>
      </c>
      <c r="H2308" s="21"/>
      <c r="I2308" s="21"/>
      <c r="J2308" s="7" t="s">
        <v>539</v>
      </c>
    </row>
    <row r="2309" spans="1:12" x14ac:dyDescent="0.2">
      <c r="A2309" s="1" t="s">
        <v>25</v>
      </c>
      <c r="B2309" s="2" t="s">
        <v>243</v>
      </c>
      <c r="D2309" s="7" t="s">
        <v>464</v>
      </c>
      <c r="E2309" s="6" t="s">
        <v>465</v>
      </c>
      <c r="F2309" s="6">
        <v>132500</v>
      </c>
      <c r="G2309" s="57" t="s">
        <v>465</v>
      </c>
      <c r="H2309" s="21"/>
      <c r="I2309" s="21"/>
      <c r="J2309" s="7"/>
    </row>
    <row r="2310" spans="1:12" x14ac:dyDescent="0.2">
      <c r="A2310" s="1" t="s">
        <v>25</v>
      </c>
      <c r="B2310" s="12" t="s">
        <v>259</v>
      </c>
      <c r="D2310" s="5" t="s">
        <v>464</v>
      </c>
      <c r="E2310" s="3" t="s">
        <v>465</v>
      </c>
      <c r="F2310" s="3">
        <v>132500</v>
      </c>
      <c r="G2310" s="57" t="s">
        <v>465</v>
      </c>
    </row>
    <row r="2311" spans="1:12" x14ac:dyDescent="0.2">
      <c r="A2311" s="1" t="s">
        <v>44</v>
      </c>
      <c r="B2311" s="12" t="s">
        <v>260</v>
      </c>
      <c r="C2311" s="7"/>
      <c r="D2311" s="7" t="s">
        <v>464</v>
      </c>
      <c r="E2311" s="6" t="s">
        <v>465</v>
      </c>
      <c r="F2311" s="6">
        <v>132500</v>
      </c>
      <c r="G2311" s="57" t="s">
        <v>465</v>
      </c>
      <c r="H2311" s="21"/>
      <c r="I2311" s="21"/>
      <c r="J2311" s="7" t="s">
        <v>539</v>
      </c>
      <c r="K2311" s="13"/>
      <c r="L2311" s="13"/>
    </row>
    <row r="2312" spans="1:12" x14ac:dyDescent="0.2">
      <c r="A2312" s="1" t="s">
        <v>44</v>
      </c>
      <c r="B2312" s="12" t="s">
        <v>260</v>
      </c>
      <c r="C2312" s="7"/>
      <c r="D2312" s="7" t="s">
        <v>464</v>
      </c>
      <c r="E2312" s="6" t="s">
        <v>465</v>
      </c>
      <c r="F2312" s="6">
        <v>132500</v>
      </c>
      <c r="G2312" s="57" t="s">
        <v>465</v>
      </c>
      <c r="H2312" s="21"/>
      <c r="I2312" s="21"/>
      <c r="J2312" s="7" t="s">
        <v>539</v>
      </c>
      <c r="K2312" s="13"/>
      <c r="L2312" s="13"/>
    </row>
    <row r="2313" spans="1:12" x14ac:dyDescent="0.2">
      <c r="A2313" s="1" t="s">
        <v>44</v>
      </c>
      <c r="B2313" s="12" t="s">
        <v>260</v>
      </c>
      <c r="C2313" s="7"/>
      <c r="D2313" s="7" t="s">
        <v>464</v>
      </c>
      <c r="E2313" s="6" t="s">
        <v>465</v>
      </c>
      <c r="F2313" s="6">
        <v>132500</v>
      </c>
      <c r="G2313" s="57" t="s">
        <v>465</v>
      </c>
      <c r="H2313" s="21"/>
      <c r="I2313" s="21"/>
      <c r="J2313" s="7" t="s">
        <v>539</v>
      </c>
      <c r="K2313" s="13"/>
      <c r="L2313" s="13"/>
    </row>
    <row r="2314" spans="1:12" x14ac:dyDescent="0.2">
      <c r="A2314" s="1" t="s">
        <v>20</v>
      </c>
      <c r="B2314" s="2" t="s">
        <v>263</v>
      </c>
      <c r="D2314" s="7" t="s">
        <v>464</v>
      </c>
      <c r="E2314" s="6" t="s">
        <v>465</v>
      </c>
      <c r="F2314" s="6">
        <v>132500</v>
      </c>
      <c r="G2314" s="57" t="s">
        <v>465</v>
      </c>
      <c r="H2314" s="21"/>
      <c r="I2314" s="21"/>
    </row>
    <row r="2315" spans="1:12" x14ac:dyDescent="0.2">
      <c r="A2315" s="1" t="s">
        <v>111</v>
      </c>
      <c r="B2315" s="2" t="s">
        <v>282</v>
      </c>
      <c r="D2315" s="5" t="s">
        <v>464</v>
      </c>
      <c r="E2315" s="3" t="s">
        <v>465</v>
      </c>
      <c r="F2315" s="3">
        <v>132500</v>
      </c>
      <c r="G2315" s="57" t="s">
        <v>465</v>
      </c>
      <c r="J2315" s="5" t="s">
        <v>539</v>
      </c>
    </row>
    <row r="2316" spans="1:12" x14ac:dyDescent="0.2">
      <c r="A2316" s="1" t="s">
        <v>8</v>
      </c>
      <c r="B2316" s="2" t="s">
        <v>285</v>
      </c>
      <c r="D2316" s="5" t="s">
        <v>464</v>
      </c>
      <c r="E2316" s="3" t="s">
        <v>465</v>
      </c>
      <c r="F2316" s="3">
        <v>132500</v>
      </c>
      <c r="G2316" s="57" t="s">
        <v>465</v>
      </c>
      <c r="H2316" s="4"/>
      <c r="I2316" s="4"/>
      <c r="J2316" s="1"/>
    </row>
    <row r="2317" spans="1:12" x14ac:dyDescent="0.2">
      <c r="A2317" s="1" t="s">
        <v>6</v>
      </c>
      <c r="B2317" s="2" t="s">
        <v>288</v>
      </c>
      <c r="D2317" s="5" t="s">
        <v>464</v>
      </c>
      <c r="E2317" s="3" t="s">
        <v>465</v>
      </c>
      <c r="F2317" s="3">
        <v>132500</v>
      </c>
      <c r="G2317" s="57" t="s">
        <v>465</v>
      </c>
      <c r="H2317" s="4"/>
      <c r="I2317" s="4"/>
      <c r="J2317" s="1"/>
    </row>
    <row r="2318" spans="1:12" x14ac:dyDescent="0.2">
      <c r="A2318" s="1" t="s">
        <v>6</v>
      </c>
      <c r="B2318" s="2" t="s">
        <v>288</v>
      </c>
      <c r="D2318" s="5" t="s">
        <v>464</v>
      </c>
      <c r="E2318" s="3" t="s">
        <v>465</v>
      </c>
      <c r="F2318" s="3">
        <v>132500</v>
      </c>
      <c r="G2318" s="57" t="s">
        <v>465</v>
      </c>
      <c r="H2318" s="4"/>
      <c r="I2318" s="4"/>
      <c r="J2318" s="1"/>
    </row>
    <row r="2319" spans="1:12" x14ac:dyDescent="0.2">
      <c r="A2319" s="1" t="s">
        <v>4</v>
      </c>
      <c r="B2319" s="2" t="s">
        <v>303</v>
      </c>
      <c r="D2319" s="5" t="s">
        <v>464</v>
      </c>
      <c r="E2319" s="3" t="s">
        <v>465</v>
      </c>
      <c r="F2319" s="3">
        <v>132500</v>
      </c>
      <c r="G2319" s="57" t="s">
        <v>465</v>
      </c>
      <c r="J2319" s="5" t="s">
        <v>539</v>
      </c>
    </row>
    <row r="2320" spans="1:12" x14ac:dyDescent="0.2">
      <c r="A2320" s="1" t="s">
        <v>28</v>
      </c>
      <c r="B2320" s="2" t="s">
        <v>317</v>
      </c>
      <c r="D2320" s="5" t="s">
        <v>464</v>
      </c>
      <c r="E2320" s="3" t="s">
        <v>465</v>
      </c>
      <c r="F2320" s="3">
        <v>132500</v>
      </c>
      <c r="G2320" s="57" t="s">
        <v>465</v>
      </c>
    </row>
    <row r="2321" spans="1:12" x14ac:dyDescent="0.2">
      <c r="A2321" s="1" t="s">
        <v>39</v>
      </c>
      <c r="B2321" s="2" t="s">
        <v>335</v>
      </c>
      <c r="D2321" s="7" t="s">
        <v>464</v>
      </c>
      <c r="E2321" s="6" t="s">
        <v>465</v>
      </c>
      <c r="F2321" s="6">
        <v>132500</v>
      </c>
      <c r="G2321" s="57" t="s">
        <v>465</v>
      </c>
      <c r="H2321" s="21"/>
      <c r="I2321" s="21"/>
    </row>
    <row r="2322" spans="1:12" x14ac:dyDescent="0.2">
      <c r="A2322" s="1" t="s">
        <v>39</v>
      </c>
      <c r="B2322" s="2" t="s">
        <v>364</v>
      </c>
      <c r="D2322" s="5" t="s">
        <v>464</v>
      </c>
      <c r="E2322" s="3" t="s">
        <v>465</v>
      </c>
      <c r="F2322" s="3">
        <v>132500</v>
      </c>
      <c r="G2322" s="57" t="s">
        <v>465</v>
      </c>
      <c r="J2322" s="5" t="s">
        <v>539</v>
      </c>
    </row>
    <row r="2323" spans="1:12" x14ac:dyDescent="0.2">
      <c r="A2323" s="1" t="s">
        <v>111</v>
      </c>
      <c r="B2323" s="2" t="s">
        <v>376</v>
      </c>
      <c r="D2323" s="5" t="s">
        <v>464</v>
      </c>
      <c r="E2323" s="3" t="s">
        <v>465</v>
      </c>
      <c r="F2323" s="3">
        <v>132500</v>
      </c>
      <c r="G2323" s="57" t="s">
        <v>465</v>
      </c>
    </row>
    <row r="2324" spans="1:12" x14ac:dyDescent="0.2">
      <c r="A2324" s="1" t="s">
        <v>25</v>
      </c>
      <c r="B2324" s="2" t="s">
        <v>406</v>
      </c>
      <c r="D2324" s="5" t="s">
        <v>464</v>
      </c>
      <c r="E2324" s="3" t="s">
        <v>465</v>
      </c>
      <c r="F2324" s="3">
        <v>132500</v>
      </c>
      <c r="G2324" s="57" t="s">
        <v>465</v>
      </c>
      <c r="J2324" s="1"/>
    </row>
    <row r="2325" spans="1:12" x14ac:dyDescent="0.2">
      <c r="A2325" s="1" t="s">
        <v>34</v>
      </c>
      <c r="B2325" s="2" t="s">
        <v>427</v>
      </c>
      <c r="D2325" s="5" t="s">
        <v>464</v>
      </c>
      <c r="E2325" s="3" t="s">
        <v>465</v>
      </c>
      <c r="F2325" s="3">
        <v>132500</v>
      </c>
      <c r="G2325" s="57" t="s">
        <v>465</v>
      </c>
      <c r="J2325" s="5" t="s">
        <v>1241</v>
      </c>
    </row>
    <row r="2326" spans="1:12" x14ac:dyDescent="0.2">
      <c r="A2326" s="1" t="s">
        <v>4</v>
      </c>
      <c r="B2326" s="2" t="s">
        <v>429</v>
      </c>
      <c r="D2326" s="5" t="s">
        <v>464</v>
      </c>
      <c r="E2326" s="3" t="s">
        <v>465</v>
      </c>
      <c r="F2326" s="3">
        <v>132500</v>
      </c>
      <c r="G2326" s="57" t="s">
        <v>465</v>
      </c>
    </row>
    <row r="2327" spans="1:12" x14ac:dyDescent="0.2">
      <c r="A2327" s="1" t="s">
        <v>28</v>
      </c>
      <c r="B2327" s="2" t="s">
        <v>441</v>
      </c>
      <c r="D2327" s="5" t="s">
        <v>464</v>
      </c>
      <c r="E2327" s="3" t="s">
        <v>465</v>
      </c>
      <c r="F2327" s="3">
        <v>132500</v>
      </c>
      <c r="G2327" s="57" t="s">
        <v>465</v>
      </c>
    </row>
    <row r="2328" spans="1:12" ht="25.5" x14ac:dyDescent="0.2">
      <c r="A2328" s="1" t="s">
        <v>34</v>
      </c>
      <c r="B2328" s="2" t="s">
        <v>169</v>
      </c>
      <c r="D2328" s="5" t="s">
        <v>1554</v>
      </c>
      <c r="E2328" s="3">
        <v>133237</v>
      </c>
      <c r="F2328" s="3">
        <v>132391</v>
      </c>
      <c r="G2328" s="57">
        <v>-6.3495875770243999E-3</v>
      </c>
      <c r="J2328" s="5" t="s">
        <v>4064</v>
      </c>
    </row>
    <row r="2329" spans="1:12" ht="25.5" x14ac:dyDescent="0.2">
      <c r="A2329" s="1" t="s">
        <v>28</v>
      </c>
      <c r="B2329" s="12" t="s">
        <v>50</v>
      </c>
      <c r="C2329" s="13"/>
      <c r="D2329" s="7" t="s">
        <v>3747</v>
      </c>
      <c r="E2329" s="6" t="s">
        <v>465</v>
      </c>
      <c r="F2329" s="6">
        <v>132314</v>
      </c>
      <c r="G2329" s="57" t="s">
        <v>465</v>
      </c>
      <c r="H2329" s="21"/>
      <c r="I2329" s="21"/>
      <c r="J2329" s="7" t="s">
        <v>3748</v>
      </c>
      <c r="K2329" s="13"/>
      <c r="L2329" s="13"/>
    </row>
    <row r="2330" spans="1:12" ht="51" x14ac:dyDescent="0.2">
      <c r="A2330" s="1" t="s">
        <v>25</v>
      </c>
      <c r="B2330" s="2" t="s">
        <v>406</v>
      </c>
      <c r="C2330" s="5" t="s">
        <v>631</v>
      </c>
      <c r="D2330" s="5" t="s">
        <v>506</v>
      </c>
      <c r="E2330" s="9">
        <v>218724</v>
      </c>
      <c r="F2330" s="3">
        <v>132247</v>
      </c>
      <c r="G2330" s="57">
        <v>-0.39537042117005905</v>
      </c>
      <c r="J2330" s="5" t="s">
        <v>4523</v>
      </c>
    </row>
    <row r="2331" spans="1:12" ht="25.5" x14ac:dyDescent="0.2">
      <c r="A2331" s="1" t="s">
        <v>25</v>
      </c>
      <c r="B2331" s="2" t="s">
        <v>70</v>
      </c>
      <c r="C2331" s="1"/>
      <c r="D2331" s="5" t="s">
        <v>520</v>
      </c>
      <c r="E2331" s="19">
        <v>131262</v>
      </c>
      <c r="F2331" s="19">
        <v>132246</v>
      </c>
      <c r="G2331" s="57">
        <v>7.4964574667458978E-3</v>
      </c>
      <c r="J2331" s="5" t="s">
        <v>3788</v>
      </c>
    </row>
    <row r="2332" spans="1:12" ht="38.25" x14ac:dyDescent="0.2">
      <c r="A2332" s="1" t="s">
        <v>4</v>
      </c>
      <c r="B2332" s="2" t="s">
        <v>292</v>
      </c>
      <c r="D2332" s="5" t="s">
        <v>2922</v>
      </c>
      <c r="E2332" s="9">
        <v>88660</v>
      </c>
      <c r="F2332" s="3">
        <v>132237</v>
      </c>
      <c r="G2332" s="57">
        <v>0.49150688021655764</v>
      </c>
      <c r="J2332" s="5" t="s">
        <v>2923</v>
      </c>
    </row>
    <row r="2333" spans="1:12" ht="25.5" x14ac:dyDescent="0.2">
      <c r="A2333" s="1" t="s">
        <v>28</v>
      </c>
      <c r="B2333" s="2" t="s">
        <v>50</v>
      </c>
      <c r="C2333" s="1"/>
      <c r="D2333" s="5" t="s">
        <v>1828</v>
      </c>
      <c r="E2333" s="3" t="s">
        <v>465</v>
      </c>
      <c r="F2333" s="3">
        <v>132214</v>
      </c>
      <c r="G2333" s="57" t="s">
        <v>465</v>
      </c>
      <c r="J2333" s="5" t="s">
        <v>1829</v>
      </c>
    </row>
    <row r="2334" spans="1:12" ht="25.5" x14ac:dyDescent="0.2">
      <c r="A2334" s="1" t="s">
        <v>25</v>
      </c>
      <c r="B2334" s="2" t="s">
        <v>406</v>
      </c>
      <c r="D2334" s="5" t="s">
        <v>632</v>
      </c>
      <c r="E2334" s="9">
        <v>128184</v>
      </c>
      <c r="F2334" s="3">
        <v>132168</v>
      </c>
      <c r="G2334" s="57">
        <v>3.1080322037071711E-2</v>
      </c>
      <c r="J2334" s="5" t="s">
        <v>2410</v>
      </c>
    </row>
    <row r="2335" spans="1:12" ht="25.5" x14ac:dyDescent="0.2">
      <c r="A2335" s="1" t="s">
        <v>1</v>
      </c>
      <c r="B2335" s="2" t="s">
        <v>295</v>
      </c>
      <c r="C2335" s="5" t="s">
        <v>2892</v>
      </c>
      <c r="D2335" s="5" t="s">
        <v>1005</v>
      </c>
      <c r="E2335" s="3">
        <v>124968</v>
      </c>
      <c r="F2335" s="3">
        <v>132157</v>
      </c>
      <c r="G2335" s="57">
        <v>5.7526726842071572E-2</v>
      </c>
      <c r="J2335" s="5" t="s">
        <v>2893</v>
      </c>
    </row>
    <row r="2336" spans="1:12" x14ac:dyDescent="0.2">
      <c r="A2336" s="1" t="s">
        <v>20</v>
      </c>
      <c r="B2336" s="2" t="s">
        <v>61</v>
      </c>
      <c r="C2336" s="1"/>
      <c r="D2336" s="5" t="s">
        <v>1874</v>
      </c>
      <c r="E2336" s="3">
        <v>134080</v>
      </c>
      <c r="F2336" s="3">
        <v>132147</v>
      </c>
      <c r="G2336" s="57">
        <v>-1.4416766109785203E-2</v>
      </c>
      <c r="J2336" s="5" t="s">
        <v>1875</v>
      </c>
    </row>
    <row r="2337" spans="1:12" ht="25.5" x14ac:dyDescent="0.2">
      <c r="A2337" s="1" t="s">
        <v>39</v>
      </c>
      <c r="B2337" s="12" t="s">
        <v>103</v>
      </c>
      <c r="C2337" s="13"/>
      <c r="D2337" s="7" t="s">
        <v>2207</v>
      </c>
      <c r="E2337" s="6">
        <v>124356</v>
      </c>
      <c r="F2337" s="6">
        <v>132100</v>
      </c>
      <c r="G2337" s="57">
        <v>6.2272829618192929E-2</v>
      </c>
      <c r="H2337" s="21"/>
      <c r="I2337" s="21"/>
      <c r="J2337" s="7" t="s">
        <v>4246</v>
      </c>
      <c r="K2337" s="13"/>
      <c r="L2337" s="13"/>
    </row>
    <row r="2338" spans="1:12" x14ac:dyDescent="0.2">
      <c r="A2338" s="1" t="s">
        <v>34</v>
      </c>
      <c r="B2338" s="2" t="s">
        <v>343</v>
      </c>
      <c r="D2338" s="5" t="s">
        <v>857</v>
      </c>
      <c r="E2338" s="3">
        <v>128875</v>
      </c>
      <c r="F2338" s="3">
        <v>132084</v>
      </c>
      <c r="G2338" s="57">
        <v>2.4900096993210476E-2</v>
      </c>
      <c r="J2338" s="5" t="s">
        <v>2702</v>
      </c>
    </row>
    <row r="2339" spans="1:12" ht="38.25" x14ac:dyDescent="0.2">
      <c r="A2339" s="1" t="s">
        <v>8</v>
      </c>
      <c r="B2339" s="2" t="s">
        <v>140</v>
      </c>
      <c r="C2339" s="1"/>
      <c r="D2339" s="5" t="s">
        <v>450</v>
      </c>
      <c r="E2339" s="3">
        <v>130998</v>
      </c>
      <c r="F2339" s="3">
        <v>132081</v>
      </c>
      <c r="G2339" s="57">
        <v>8.2673017908670363E-3</v>
      </c>
      <c r="J2339" s="5" t="s">
        <v>4630</v>
      </c>
    </row>
    <row r="2340" spans="1:12" ht="25.5" x14ac:dyDescent="0.2">
      <c r="A2340" s="1" t="s">
        <v>44</v>
      </c>
      <c r="B2340" s="2" t="s">
        <v>293</v>
      </c>
      <c r="D2340" s="5" t="s">
        <v>1013</v>
      </c>
      <c r="E2340" s="3">
        <v>130685</v>
      </c>
      <c r="F2340" s="3">
        <v>132078</v>
      </c>
      <c r="G2340" s="57">
        <v>1.0659218732065654E-2</v>
      </c>
      <c r="J2340" s="5" t="s">
        <v>2906</v>
      </c>
    </row>
    <row r="2341" spans="1:12" ht="25.5" x14ac:dyDescent="0.2">
      <c r="A2341" s="1" t="s">
        <v>4</v>
      </c>
      <c r="B2341" s="2" t="s">
        <v>89</v>
      </c>
      <c r="C2341" s="1"/>
      <c r="D2341" s="5" t="s">
        <v>450</v>
      </c>
      <c r="E2341" s="3">
        <v>132149</v>
      </c>
      <c r="F2341" s="3">
        <v>132061</v>
      </c>
      <c r="G2341" s="57">
        <v>-6.6591498989776693E-4</v>
      </c>
      <c r="J2341" s="5" t="s">
        <v>2065</v>
      </c>
    </row>
    <row r="2342" spans="1:12" ht="38.25" x14ac:dyDescent="0.2">
      <c r="A2342" s="1" t="s">
        <v>6</v>
      </c>
      <c r="B2342" s="2" t="s">
        <v>237</v>
      </c>
      <c r="D2342" s="14" t="s">
        <v>1233</v>
      </c>
      <c r="E2342" s="10">
        <v>127786</v>
      </c>
      <c r="F2342" s="10">
        <v>132046</v>
      </c>
      <c r="G2342" s="57">
        <v>3.3336985272252047E-2</v>
      </c>
      <c r="J2342" s="5" t="s">
        <v>3194</v>
      </c>
    </row>
    <row r="2343" spans="1:12" ht="25.5" x14ac:dyDescent="0.2">
      <c r="A2343" s="1" t="s">
        <v>6</v>
      </c>
      <c r="B2343" s="2" t="s">
        <v>383</v>
      </c>
      <c r="D2343" s="5" t="s">
        <v>707</v>
      </c>
      <c r="E2343" s="3">
        <v>128072</v>
      </c>
      <c r="F2343" s="3">
        <v>132038</v>
      </c>
      <c r="G2343" s="57">
        <v>3.0966956087200948E-2</v>
      </c>
      <c r="J2343" s="5" t="s">
        <v>2503</v>
      </c>
    </row>
    <row r="2344" spans="1:12" ht="38.25" x14ac:dyDescent="0.2">
      <c r="A2344" s="1" t="s">
        <v>8</v>
      </c>
      <c r="B2344" s="2" t="s">
        <v>322</v>
      </c>
      <c r="D2344" s="5" t="s">
        <v>450</v>
      </c>
      <c r="E2344" s="3">
        <v>129334</v>
      </c>
      <c r="F2344" s="3">
        <v>132024</v>
      </c>
      <c r="G2344" s="57">
        <v>2.0798861861536795E-2</v>
      </c>
      <c r="J2344" s="5" t="s">
        <v>2787</v>
      </c>
    </row>
    <row r="2345" spans="1:12" ht="25.5" x14ac:dyDescent="0.2">
      <c r="A2345" s="1" t="s">
        <v>25</v>
      </c>
      <c r="B2345" s="2" t="s">
        <v>197</v>
      </c>
      <c r="D2345" s="5" t="s">
        <v>1406</v>
      </c>
      <c r="E2345" s="9">
        <v>124562</v>
      </c>
      <c r="F2345" s="9">
        <v>132016</v>
      </c>
      <c r="G2345" s="57">
        <v>5.9841685265169156E-2</v>
      </c>
      <c r="J2345" s="5" t="s">
        <v>3442</v>
      </c>
    </row>
    <row r="2346" spans="1:12" ht="25.5" x14ac:dyDescent="0.2">
      <c r="A2346" s="1" t="s">
        <v>28</v>
      </c>
      <c r="B2346" s="2" t="s">
        <v>27</v>
      </c>
      <c r="C2346" s="1"/>
      <c r="D2346" s="5" t="s">
        <v>1726</v>
      </c>
      <c r="E2346" s="3">
        <v>131000</v>
      </c>
      <c r="F2346" s="3">
        <v>132000</v>
      </c>
      <c r="G2346" s="57">
        <v>7.6335877862595417E-3</v>
      </c>
      <c r="J2346" s="7" t="s">
        <v>4113</v>
      </c>
    </row>
    <row r="2347" spans="1:12" ht="25.5" x14ac:dyDescent="0.2">
      <c r="A2347" s="1" t="s">
        <v>28</v>
      </c>
      <c r="B2347" s="2" t="s">
        <v>67</v>
      </c>
      <c r="C2347" s="1"/>
      <c r="D2347" s="5" t="s">
        <v>455</v>
      </c>
      <c r="E2347" s="3">
        <v>138000</v>
      </c>
      <c r="F2347" s="3">
        <v>132000</v>
      </c>
      <c r="G2347" s="57">
        <v>-4.3478260869565216E-2</v>
      </c>
      <c r="J2347" s="5" t="s">
        <v>4431</v>
      </c>
    </row>
    <row r="2348" spans="1:12" x14ac:dyDescent="0.2">
      <c r="A2348" s="1" t="s">
        <v>6</v>
      </c>
      <c r="B2348" s="2" t="s">
        <v>362</v>
      </c>
      <c r="D2348" s="5" t="s">
        <v>788</v>
      </c>
      <c r="E2348" s="3">
        <v>132000</v>
      </c>
      <c r="F2348" s="3">
        <v>132000</v>
      </c>
      <c r="G2348" s="57">
        <v>0</v>
      </c>
      <c r="J2348" s="5" t="s">
        <v>2614</v>
      </c>
    </row>
    <row r="2349" spans="1:12" ht="25.5" x14ac:dyDescent="0.2">
      <c r="A2349" s="1" t="s">
        <v>4</v>
      </c>
      <c r="B2349" s="2" t="s">
        <v>356</v>
      </c>
      <c r="C2349" s="5" t="s">
        <v>821</v>
      </c>
      <c r="D2349" s="5" t="s">
        <v>822</v>
      </c>
      <c r="E2349" s="3">
        <v>105390</v>
      </c>
      <c r="F2349" s="3">
        <v>131999</v>
      </c>
      <c r="G2349" s="57">
        <v>0.25248126008160166</v>
      </c>
      <c r="J2349" s="5" t="s">
        <v>2649</v>
      </c>
    </row>
    <row r="2350" spans="1:12" x14ac:dyDescent="0.2">
      <c r="A2350" s="1" t="s">
        <v>34</v>
      </c>
      <c r="B2350" s="2" t="s">
        <v>57</v>
      </c>
      <c r="C2350" s="1"/>
      <c r="D2350" s="5" t="s">
        <v>1859</v>
      </c>
      <c r="E2350" s="3">
        <v>130950</v>
      </c>
      <c r="F2350" s="3">
        <v>131964</v>
      </c>
      <c r="G2350" s="57">
        <v>7.7434135166093926E-3</v>
      </c>
      <c r="J2350" s="5" t="s">
        <v>1860</v>
      </c>
    </row>
    <row r="2351" spans="1:12" ht="25.5" x14ac:dyDescent="0.2">
      <c r="A2351" s="1" t="s">
        <v>111</v>
      </c>
      <c r="B2351" s="2" t="s">
        <v>376</v>
      </c>
      <c r="D2351" s="5" t="s">
        <v>742</v>
      </c>
      <c r="E2351" s="3">
        <v>131495</v>
      </c>
      <c r="F2351" s="3">
        <v>131952</v>
      </c>
      <c r="G2351" s="57">
        <v>3.475417316247766E-3</v>
      </c>
      <c r="J2351" s="5" t="s">
        <v>2538</v>
      </c>
    </row>
    <row r="2352" spans="1:12" ht="51" x14ac:dyDescent="0.2">
      <c r="A2352" s="1" t="s">
        <v>8</v>
      </c>
      <c r="B2352" s="2" t="s">
        <v>140</v>
      </c>
      <c r="C2352" s="1"/>
      <c r="D2352" s="5" t="s">
        <v>529</v>
      </c>
      <c r="E2352" s="3">
        <v>84395</v>
      </c>
      <c r="F2352" s="3">
        <v>131862</v>
      </c>
      <c r="G2352" s="57">
        <v>0.56243853308845315</v>
      </c>
      <c r="J2352" s="5" t="s">
        <v>4631</v>
      </c>
    </row>
    <row r="2353" spans="1:10" ht="25.5" x14ac:dyDescent="0.2">
      <c r="A2353" s="1" t="s">
        <v>44</v>
      </c>
      <c r="B2353" s="2" t="s">
        <v>177</v>
      </c>
      <c r="D2353" s="5" t="s">
        <v>450</v>
      </c>
      <c r="E2353" s="9">
        <v>131425</v>
      </c>
      <c r="F2353" s="9">
        <v>131862</v>
      </c>
      <c r="G2353" s="57">
        <v>3.325090355716188E-3</v>
      </c>
      <c r="J2353" s="5" t="s">
        <v>3574</v>
      </c>
    </row>
    <row r="2354" spans="1:10" ht="25.5" x14ac:dyDescent="0.2">
      <c r="A2354" s="1" t="s">
        <v>39</v>
      </c>
      <c r="B2354" s="2" t="s">
        <v>193</v>
      </c>
      <c r="D2354" s="5" t="s">
        <v>4352</v>
      </c>
      <c r="E2354" s="9">
        <v>130784</v>
      </c>
      <c r="F2354" s="9">
        <v>131836</v>
      </c>
      <c r="G2354" s="57">
        <v>8.0437974064105702E-3</v>
      </c>
      <c r="J2354" s="5" t="s">
        <v>3483</v>
      </c>
    </row>
    <row r="2355" spans="1:10" x14ac:dyDescent="0.2">
      <c r="A2355" s="1" t="s">
        <v>34</v>
      </c>
      <c r="B2355" s="2" t="s">
        <v>297</v>
      </c>
      <c r="D2355" s="5" t="s">
        <v>997</v>
      </c>
      <c r="E2355" s="3">
        <v>64696</v>
      </c>
      <c r="F2355" s="3">
        <v>131833</v>
      </c>
      <c r="G2355" s="57">
        <v>1.0377303079015705</v>
      </c>
      <c r="J2355" s="5" t="s">
        <v>2871</v>
      </c>
    </row>
    <row r="2356" spans="1:10" ht="25.5" x14ac:dyDescent="0.2">
      <c r="A2356" s="1" t="s">
        <v>6</v>
      </c>
      <c r="B2356" s="2" t="s">
        <v>407</v>
      </c>
      <c r="D2356" s="5" t="s">
        <v>451</v>
      </c>
      <c r="E2356" s="3">
        <v>63000</v>
      </c>
      <c r="F2356" s="3">
        <v>131811</v>
      </c>
      <c r="G2356" s="57">
        <v>1.0922380952380952</v>
      </c>
      <c r="J2356" s="5" t="s">
        <v>4527</v>
      </c>
    </row>
    <row r="2357" spans="1:10" ht="25.5" x14ac:dyDescent="0.2">
      <c r="A2357" s="1" t="s">
        <v>44</v>
      </c>
      <c r="B2357" s="2" t="s">
        <v>73</v>
      </c>
      <c r="C2357" s="1"/>
      <c r="D2357" s="5" t="s">
        <v>3799</v>
      </c>
      <c r="E2357" s="3">
        <v>129576</v>
      </c>
      <c r="F2357" s="3">
        <v>131708</v>
      </c>
      <c r="G2357" s="57">
        <v>1.6453664258813359E-2</v>
      </c>
      <c r="J2357" s="5" t="s">
        <v>3800</v>
      </c>
    </row>
    <row r="2358" spans="1:10" x14ac:dyDescent="0.2">
      <c r="A2358" s="1" t="s">
        <v>34</v>
      </c>
      <c r="B2358" s="2" t="s">
        <v>343</v>
      </c>
      <c r="D2358" s="5" t="s">
        <v>855</v>
      </c>
      <c r="E2358" s="3">
        <v>128875</v>
      </c>
      <c r="F2358" s="3">
        <v>131628</v>
      </c>
      <c r="G2358" s="57">
        <v>2.1361784675072746E-2</v>
      </c>
      <c r="J2358" s="5" t="s">
        <v>2701</v>
      </c>
    </row>
    <row r="2359" spans="1:10" x14ac:dyDescent="0.2">
      <c r="A2359" s="1" t="s">
        <v>34</v>
      </c>
      <c r="B2359" s="2" t="s">
        <v>343</v>
      </c>
      <c r="D2359" s="5" t="s">
        <v>856</v>
      </c>
      <c r="E2359" s="3">
        <v>128875</v>
      </c>
      <c r="F2359" s="3">
        <v>131628</v>
      </c>
      <c r="G2359" s="57">
        <v>2.1361784675072746E-2</v>
      </c>
      <c r="J2359" s="5" t="s">
        <v>2701</v>
      </c>
    </row>
    <row r="2360" spans="1:10" ht="25.5" x14ac:dyDescent="0.2">
      <c r="A2360" s="1" t="s">
        <v>20</v>
      </c>
      <c r="B2360" s="2" t="s">
        <v>357</v>
      </c>
      <c r="C2360" s="5" t="s">
        <v>812</v>
      </c>
      <c r="D2360" s="15" t="s">
        <v>813</v>
      </c>
      <c r="E2360" s="9">
        <v>140157</v>
      </c>
      <c r="F2360" s="9">
        <v>131521</v>
      </c>
      <c r="G2360" s="57">
        <v>-6.1616615652446902E-2</v>
      </c>
      <c r="J2360" s="5" t="s">
        <v>2640</v>
      </c>
    </row>
    <row r="2361" spans="1:10" ht="38.25" x14ac:dyDescent="0.2">
      <c r="A2361" s="1" t="s">
        <v>20</v>
      </c>
      <c r="B2361" s="2" t="s">
        <v>357</v>
      </c>
      <c r="C2361" s="5" t="s">
        <v>808</v>
      </c>
      <c r="D2361" s="15" t="s">
        <v>809</v>
      </c>
      <c r="E2361" s="9">
        <v>136005</v>
      </c>
      <c r="F2361" s="9">
        <v>131520</v>
      </c>
      <c r="G2361" s="57">
        <v>-3.2976728796735418E-2</v>
      </c>
      <c r="J2361" s="5" t="s">
        <v>2877</v>
      </c>
    </row>
    <row r="2362" spans="1:10" ht="25.5" x14ac:dyDescent="0.2">
      <c r="A2362" s="1" t="s">
        <v>25</v>
      </c>
      <c r="B2362" s="2" t="s">
        <v>225</v>
      </c>
      <c r="D2362" s="5" t="s">
        <v>1260</v>
      </c>
      <c r="E2362" s="3">
        <v>130898</v>
      </c>
      <c r="F2362" s="3">
        <v>131446</v>
      </c>
      <c r="G2362" s="57">
        <v>4.1864657977967578E-3</v>
      </c>
      <c r="J2362" s="5" t="s">
        <v>3242</v>
      </c>
    </row>
    <row r="2363" spans="1:10" ht="25.5" x14ac:dyDescent="0.2">
      <c r="A2363" s="1" t="s">
        <v>39</v>
      </c>
      <c r="B2363" s="2" t="s">
        <v>409</v>
      </c>
      <c r="D2363" s="5" t="s">
        <v>451</v>
      </c>
      <c r="E2363" s="3">
        <v>126744</v>
      </c>
      <c r="F2363" s="3">
        <v>131422</v>
      </c>
      <c r="G2363" s="57">
        <v>3.6909045004102761E-2</v>
      </c>
      <c r="J2363" s="5" t="s">
        <v>2384</v>
      </c>
    </row>
    <row r="2364" spans="1:10" ht="38.25" x14ac:dyDescent="0.2">
      <c r="A2364" s="1" t="s">
        <v>4</v>
      </c>
      <c r="B2364" s="2" t="s">
        <v>190</v>
      </c>
      <c r="D2364" s="5" t="s">
        <v>450</v>
      </c>
      <c r="E2364" s="3">
        <v>132097</v>
      </c>
      <c r="F2364" s="3">
        <v>131402</v>
      </c>
      <c r="G2364" s="57">
        <v>-5.2612852676442315E-3</v>
      </c>
      <c r="J2364" s="5" t="s">
        <v>3500</v>
      </c>
    </row>
    <row r="2365" spans="1:10" ht="25.5" x14ac:dyDescent="0.2">
      <c r="A2365" s="1" t="s">
        <v>1</v>
      </c>
      <c r="B2365" s="2" t="s">
        <v>160</v>
      </c>
      <c r="C2365" s="5" t="s">
        <v>1587</v>
      </c>
      <c r="D2365" s="5" t="s">
        <v>1588</v>
      </c>
      <c r="E2365" s="3">
        <v>127519</v>
      </c>
      <c r="F2365" s="3">
        <v>131363</v>
      </c>
      <c r="G2365" s="57">
        <v>3.0144527482179127E-2</v>
      </c>
      <c r="J2365" s="5" t="s">
        <v>4037</v>
      </c>
    </row>
    <row r="2366" spans="1:10" ht="25.5" x14ac:dyDescent="0.2">
      <c r="A2366" s="1" t="s">
        <v>1</v>
      </c>
      <c r="B2366" s="2" t="s">
        <v>160</v>
      </c>
      <c r="C2366" s="5" t="s">
        <v>1589</v>
      </c>
      <c r="D2366" s="5" t="s">
        <v>1590</v>
      </c>
      <c r="E2366" s="3">
        <v>127519</v>
      </c>
      <c r="F2366" s="3">
        <v>131363</v>
      </c>
      <c r="G2366" s="57">
        <v>3.0144527482179127E-2</v>
      </c>
      <c r="J2366" s="5" t="s">
        <v>4037</v>
      </c>
    </row>
    <row r="2367" spans="1:10" ht="25.5" x14ac:dyDescent="0.2">
      <c r="A2367" s="1" t="s">
        <v>1</v>
      </c>
      <c r="B2367" s="2" t="s">
        <v>160</v>
      </c>
      <c r="C2367" s="5" t="s">
        <v>1591</v>
      </c>
      <c r="D2367" s="5" t="s">
        <v>4330</v>
      </c>
      <c r="E2367" s="3">
        <v>90803</v>
      </c>
      <c r="F2367" s="3">
        <v>131363</v>
      </c>
      <c r="G2367" s="57">
        <v>0.44668127705031774</v>
      </c>
      <c r="J2367" s="5" t="s">
        <v>4331</v>
      </c>
    </row>
    <row r="2368" spans="1:10" ht="25.5" x14ac:dyDescent="0.2">
      <c r="A2368" s="1" t="s">
        <v>1</v>
      </c>
      <c r="B2368" s="2" t="s">
        <v>160</v>
      </c>
      <c r="C2368" s="5" t="s">
        <v>1592</v>
      </c>
      <c r="D2368" s="5" t="s">
        <v>1593</v>
      </c>
      <c r="E2368" s="3">
        <v>127519</v>
      </c>
      <c r="F2368" s="3">
        <v>131363</v>
      </c>
      <c r="G2368" s="57">
        <v>3.0144527482179127E-2</v>
      </c>
      <c r="J2368" s="5" t="s">
        <v>4037</v>
      </c>
    </row>
    <row r="2369" spans="1:12" ht="25.5" x14ac:dyDescent="0.2">
      <c r="A2369" s="1" t="s">
        <v>1</v>
      </c>
      <c r="B2369" s="2" t="s">
        <v>160</v>
      </c>
      <c r="C2369" s="5" t="s">
        <v>1594</v>
      </c>
      <c r="D2369" s="5" t="s">
        <v>1595</v>
      </c>
      <c r="E2369" s="3">
        <v>127519</v>
      </c>
      <c r="F2369" s="3">
        <v>131363</v>
      </c>
      <c r="G2369" s="57">
        <v>3.0144527482179127E-2</v>
      </c>
      <c r="J2369" s="5" t="s">
        <v>4037</v>
      </c>
    </row>
    <row r="2370" spans="1:12" ht="25.5" x14ac:dyDescent="0.2">
      <c r="A2370" s="1" t="s">
        <v>25</v>
      </c>
      <c r="B2370" s="2" t="s">
        <v>187</v>
      </c>
      <c r="D2370" s="5" t="s">
        <v>451</v>
      </c>
      <c r="E2370" s="9">
        <v>127112</v>
      </c>
      <c r="F2370" s="9">
        <v>131350</v>
      </c>
      <c r="G2370" s="57">
        <v>3.3340675939329094E-2</v>
      </c>
      <c r="J2370" s="5" t="s">
        <v>3512</v>
      </c>
    </row>
    <row r="2371" spans="1:12" x14ac:dyDescent="0.2">
      <c r="A2371" s="13" t="s">
        <v>20</v>
      </c>
      <c r="B2371" s="12" t="s">
        <v>82</v>
      </c>
      <c r="C2371" s="13" t="s">
        <v>1997</v>
      </c>
      <c r="D2371" s="7" t="s">
        <v>450</v>
      </c>
      <c r="E2371" s="6">
        <v>189116</v>
      </c>
      <c r="F2371" s="6">
        <v>131347</v>
      </c>
      <c r="G2371" s="57">
        <v>-0.30546860128175302</v>
      </c>
      <c r="H2371" s="21"/>
      <c r="I2371" s="21"/>
      <c r="J2371" s="7" t="s">
        <v>1998</v>
      </c>
      <c r="K2371" s="13"/>
      <c r="L2371" s="13"/>
    </row>
    <row r="2372" spans="1:12" ht="25.5" x14ac:dyDescent="0.2">
      <c r="A2372" s="1" t="s">
        <v>39</v>
      </c>
      <c r="B2372" s="2" t="s">
        <v>372</v>
      </c>
      <c r="D2372" s="5" t="s">
        <v>450</v>
      </c>
      <c r="E2372" s="3">
        <v>129620</v>
      </c>
      <c r="F2372" s="3">
        <v>131305</v>
      </c>
      <c r="G2372" s="57">
        <v>1.2999537108470915E-2</v>
      </c>
      <c r="J2372" s="5" t="s">
        <v>2549</v>
      </c>
    </row>
    <row r="2373" spans="1:12" ht="38.25" x14ac:dyDescent="0.2">
      <c r="A2373" s="1" t="s">
        <v>4</v>
      </c>
      <c r="B2373" s="2" t="s">
        <v>31</v>
      </c>
      <c r="C2373" s="1"/>
      <c r="D2373" s="5" t="s">
        <v>468</v>
      </c>
      <c r="E2373" s="3">
        <v>125214</v>
      </c>
      <c r="F2373" s="3">
        <v>131276</v>
      </c>
      <c r="G2373" s="57">
        <v>4.8413116744134045E-2</v>
      </c>
      <c r="J2373" s="7" t="s">
        <v>4125</v>
      </c>
    </row>
    <row r="2374" spans="1:12" ht="25.5" x14ac:dyDescent="0.2">
      <c r="A2374" s="1" t="s">
        <v>39</v>
      </c>
      <c r="B2374" s="2" t="s">
        <v>404</v>
      </c>
      <c r="D2374" s="5" t="s">
        <v>648</v>
      </c>
      <c r="E2374" s="3">
        <v>145992</v>
      </c>
      <c r="F2374" s="3">
        <v>131272</v>
      </c>
      <c r="G2374" s="57">
        <v>-0.1008274425995945</v>
      </c>
      <c r="J2374" s="5" t="s">
        <v>2420</v>
      </c>
    </row>
    <row r="2375" spans="1:12" ht="38.25" x14ac:dyDescent="0.2">
      <c r="A2375" s="1" t="s">
        <v>6</v>
      </c>
      <c r="B2375" s="2" t="s">
        <v>179</v>
      </c>
      <c r="D2375" s="5" t="s">
        <v>1492</v>
      </c>
      <c r="E2375" s="9">
        <v>131200</v>
      </c>
      <c r="F2375" s="9">
        <v>131200</v>
      </c>
      <c r="G2375" s="57">
        <v>0</v>
      </c>
      <c r="J2375" s="5" t="s">
        <v>3553</v>
      </c>
    </row>
    <row r="2376" spans="1:12" ht="25.5" x14ac:dyDescent="0.2">
      <c r="A2376" s="1" t="s">
        <v>25</v>
      </c>
      <c r="B2376" s="2" t="s">
        <v>107</v>
      </c>
      <c r="C2376" s="1" t="s">
        <v>2198</v>
      </c>
      <c r="D2376" s="5" t="s">
        <v>2199</v>
      </c>
      <c r="E2376" s="3">
        <v>124985</v>
      </c>
      <c r="F2376" s="3">
        <v>131191</v>
      </c>
      <c r="G2376" s="57">
        <v>4.9653958475017003E-2</v>
      </c>
      <c r="J2376" s="5" t="s">
        <v>4256</v>
      </c>
    </row>
    <row r="2377" spans="1:12" ht="25.5" x14ac:dyDescent="0.2">
      <c r="A2377" s="1" t="s">
        <v>39</v>
      </c>
      <c r="B2377" s="2" t="s">
        <v>404</v>
      </c>
      <c r="D2377" s="5" t="s">
        <v>647</v>
      </c>
      <c r="E2377" s="3">
        <v>144525</v>
      </c>
      <c r="F2377" s="3">
        <v>131173</v>
      </c>
      <c r="G2377" s="57">
        <v>-9.2385400449749175E-2</v>
      </c>
      <c r="J2377" s="5" t="s">
        <v>2419</v>
      </c>
    </row>
    <row r="2378" spans="1:12" ht="25.5" x14ac:dyDescent="0.2">
      <c r="A2378" s="1" t="s">
        <v>8</v>
      </c>
      <c r="B2378" s="2" t="s">
        <v>320</v>
      </c>
      <c r="D2378" s="5" t="s">
        <v>450</v>
      </c>
      <c r="E2378" s="3">
        <v>127537</v>
      </c>
      <c r="F2378" s="3">
        <v>131170</v>
      </c>
      <c r="G2378" s="57">
        <v>2.8485851164760032E-2</v>
      </c>
      <c r="J2378" s="5" t="s">
        <v>2790</v>
      </c>
    </row>
    <row r="2379" spans="1:12" ht="25.5" x14ac:dyDescent="0.2">
      <c r="A2379" s="1" t="s">
        <v>4</v>
      </c>
      <c r="B2379" s="2" t="s">
        <v>291</v>
      </c>
      <c r="D2379" s="5" t="s">
        <v>1025</v>
      </c>
      <c r="E2379" s="3">
        <v>131114</v>
      </c>
      <c r="F2379" s="3">
        <v>131114</v>
      </c>
      <c r="G2379" s="57">
        <v>0</v>
      </c>
      <c r="J2379" s="5" t="s">
        <v>2941</v>
      </c>
    </row>
    <row r="2380" spans="1:12" ht="25.5" x14ac:dyDescent="0.2">
      <c r="A2380" s="1" t="s">
        <v>28</v>
      </c>
      <c r="B2380" s="2" t="s">
        <v>323</v>
      </c>
      <c r="D2380" s="5" t="s">
        <v>450</v>
      </c>
      <c r="E2380" s="3">
        <v>130858</v>
      </c>
      <c r="F2380" s="3">
        <v>131066</v>
      </c>
      <c r="G2380" s="57">
        <v>1.5895092390224518E-3</v>
      </c>
      <c r="J2380" s="5" t="s">
        <v>2785</v>
      </c>
    </row>
    <row r="2381" spans="1:12" x14ac:dyDescent="0.2">
      <c r="A2381" s="1" t="s">
        <v>6</v>
      </c>
      <c r="B2381" s="2" t="s">
        <v>74</v>
      </c>
      <c r="C2381" s="1"/>
      <c r="D2381" s="5" t="s">
        <v>450</v>
      </c>
      <c r="E2381" s="3">
        <v>130000</v>
      </c>
      <c r="F2381" s="3">
        <v>131000</v>
      </c>
      <c r="G2381" s="57">
        <v>7.6923076923076927E-3</v>
      </c>
      <c r="J2381" s="5" t="s">
        <v>1961</v>
      </c>
    </row>
    <row r="2382" spans="1:12" ht="25.5" x14ac:dyDescent="0.2">
      <c r="A2382" s="1" t="s">
        <v>8</v>
      </c>
      <c r="B2382" s="2" t="s">
        <v>238</v>
      </c>
      <c r="D2382" s="5" t="s">
        <v>470</v>
      </c>
      <c r="E2382" s="3">
        <v>132000</v>
      </c>
      <c r="F2382" s="3">
        <v>131000</v>
      </c>
      <c r="G2382" s="57">
        <v>-7.575757575757576E-3</v>
      </c>
      <c r="J2382" s="5" t="s">
        <v>3185</v>
      </c>
    </row>
    <row r="2383" spans="1:12" ht="38.25" x14ac:dyDescent="0.2">
      <c r="A2383" s="1" t="s">
        <v>6</v>
      </c>
      <c r="B2383" s="2" t="s">
        <v>399</v>
      </c>
      <c r="D2383" s="5" t="s">
        <v>662</v>
      </c>
      <c r="E2383" s="6">
        <v>86000</v>
      </c>
      <c r="F2383" s="3">
        <v>131000</v>
      </c>
      <c r="G2383" s="57">
        <v>0.52325581395348841</v>
      </c>
      <c r="J2383" s="5" t="s">
        <v>2885</v>
      </c>
    </row>
    <row r="2384" spans="1:12" ht="25.5" x14ac:dyDescent="0.2">
      <c r="A2384" s="1" t="s">
        <v>44</v>
      </c>
      <c r="B2384" s="2" t="s">
        <v>55</v>
      </c>
      <c r="C2384" s="1"/>
      <c r="D2384" s="5" t="s">
        <v>1840</v>
      </c>
      <c r="E2384" s="3">
        <v>130027</v>
      </c>
      <c r="F2384" s="3">
        <v>130990</v>
      </c>
      <c r="G2384" s="57">
        <v>7.4061541064548136E-3</v>
      </c>
      <c r="J2384" s="5" t="s">
        <v>1841</v>
      </c>
    </row>
    <row r="2385" spans="1:12" ht="38.25" x14ac:dyDescent="0.2">
      <c r="A2385" s="1" t="s">
        <v>6</v>
      </c>
      <c r="B2385" s="2" t="s">
        <v>218</v>
      </c>
      <c r="D2385" s="5" t="s">
        <v>886</v>
      </c>
      <c r="E2385" s="9">
        <v>133472</v>
      </c>
      <c r="F2385" s="9">
        <v>130963</v>
      </c>
      <c r="G2385" s="57">
        <v>-1.8797950131862862E-2</v>
      </c>
      <c r="J2385" s="5" t="s">
        <v>3291</v>
      </c>
    </row>
    <row r="2386" spans="1:12" ht="25.5" x14ac:dyDescent="0.2">
      <c r="A2386" s="13" t="s">
        <v>4</v>
      </c>
      <c r="B2386" s="12" t="s">
        <v>250</v>
      </c>
      <c r="C2386" s="7"/>
      <c r="D2386" s="7" t="s">
        <v>450</v>
      </c>
      <c r="E2386" s="6">
        <v>129763</v>
      </c>
      <c r="F2386" s="6">
        <v>130919</v>
      </c>
      <c r="G2386" s="57">
        <v>8.908548661791112E-3</v>
      </c>
      <c r="H2386" s="21"/>
      <c r="I2386" s="21"/>
      <c r="J2386" s="7" t="s">
        <v>3125</v>
      </c>
      <c r="K2386" s="13"/>
      <c r="L2386" s="13"/>
    </row>
    <row r="2387" spans="1:12" ht="25.5" x14ac:dyDescent="0.2">
      <c r="A2387" s="1" t="s">
        <v>1</v>
      </c>
      <c r="B2387" s="2" t="s">
        <v>2</v>
      </c>
      <c r="C2387" s="1" t="s">
        <v>1678</v>
      </c>
      <c r="D2387" s="5" t="s">
        <v>1679</v>
      </c>
      <c r="E2387" s="3">
        <v>127629</v>
      </c>
      <c r="F2387" s="3">
        <v>130914</v>
      </c>
      <c r="G2387" s="57">
        <v>2.5738664410126226E-2</v>
      </c>
      <c r="J2387" s="5" t="s">
        <v>3640</v>
      </c>
    </row>
    <row r="2388" spans="1:12" ht="38.25" x14ac:dyDescent="0.2">
      <c r="A2388" s="1" t="s">
        <v>1</v>
      </c>
      <c r="B2388" s="12" t="s">
        <v>2</v>
      </c>
      <c r="C2388" s="13" t="s">
        <v>1680</v>
      </c>
      <c r="D2388" s="7" t="s">
        <v>4730</v>
      </c>
      <c r="E2388" s="6">
        <v>127613</v>
      </c>
      <c r="F2388" s="6">
        <v>130914</v>
      </c>
      <c r="G2388" s="57">
        <v>2.5867270575881767E-2</v>
      </c>
      <c r="H2388" s="21"/>
      <c r="I2388" s="21"/>
      <c r="J2388" s="7" t="s">
        <v>4077</v>
      </c>
      <c r="K2388" s="13"/>
      <c r="L2388" s="13"/>
    </row>
    <row r="2389" spans="1:12" ht="25.5" x14ac:dyDescent="0.2">
      <c r="A2389" s="1" t="s">
        <v>1</v>
      </c>
      <c r="B2389" s="12" t="s">
        <v>2</v>
      </c>
      <c r="C2389" s="13" t="s">
        <v>1681</v>
      </c>
      <c r="D2389" s="7" t="s">
        <v>1682</v>
      </c>
      <c r="E2389" s="6">
        <v>127732</v>
      </c>
      <c r="F2389" s="6">
        <v>130914</v>
      </c>
      <c r="G2389" s="57">
        <v>2.491153352331444E-2</v>
      </c>
      <c r="H2389" s="21"/>
      <c r="I2389" s="21"/>
      <c r="J2389" s="7" t="s">
        <v>3640</v>
      </c>
      <c r="K2389" s="13"/>
      <c r="L2389" s="13"/>
    </row>
    <row r="2390" spans="1:12" ht="25.5" x14ac:dyDescent="0.2">
      <c r="A2390" s="1" t="s">
        <v>39</v>
      </c>
      <c r="B2390" s="2" t="s">
        <v>404</v>
      </c>
      <c r="D2390" s="5" t="s">
        <v>4511</v>
      </c>
      <c r="E2390" s="3" t="s">
        <v>465</v>
      </c>
      <c r="F2390" s="3">
        <v>130793</v>
      </c>
      <c r="G2390" s="57" t="s">
        <v>465</v>
      </c>
      <c r="J2390" s="5" t="s">
        <v>4513</v>
      </c>
    </row>
    <row r="2391" spans="1:12" x14ac:dyDescent="0.2">
      <c r="A2391" s="1" t="s">
        <v>39</v>
      </c>
      <c r="B2391" s="12" t="s">
        <v>236</v>
      </c>
      <c r="D2391" s="5" t="s">
        <v>450</v>
      </c>
      <c r="E2391" s="3">
        <v>122939</v>
      </c>
      <c r="F2391" s="3">
        <v>130725</v>
      </c>
      <c r="G2391" s="57">
        <v>6.3332221670909961E-2</v>
      </c>
      <c r="J2391" s="5" t="s">
        <v>3198</v>
      </c>
    </row>
    <row r="2392" spans="1:12" ht="25.5" x14ac:dyDescent="0.2">
      <c r="A2392" s="1" t="s">
        <v>25</v>
      </c>
      <c r="B2392" s="2" t="s">
        <v>26</v>
      </c>
      <c r="C2392" s="1"/>
      <c r="D2392" s="5" t="s">
        <v>1712</v>
      </c>
      <c r="E2392" s="6">
        <v>105256</v>
      </c>
      <c r="F2392" s="3">
        <v>130632</v>
      </c>
      <c r="G2392" s="57">
        <v>0.24108839401079274</v>
      </c>
      <c r="J2392" s="5" t="s">
        <v>3672</v>
      </c>
    </row>
    <row r="2393" spans="1:12" x14ac:dyDescent="0.2">
      <c r="A2393" s="1" t="s">
        <v>4</v>
      </c>
      <c r="B2393" s="2" t="s">
        <v>299</v>
      </c>
      <c r="D2393" s="5" t="s">
        <v>2861</v>
      </c>
      <c r="E2393" s="3">
        <v>136751</v>
      </c>
      <c r="F2393" s="3">
        <v>130331</v>
      </c>
      <c r="G2393" s="57">
        <v>-4.6946640243947027E-2</v>
      </c>
      <c r="J2393" s="5" t="s">
        <v>2858</v>
      </c>
    </row>
    <row r="2394" spans="1:12" x14ac:dyDescent="0.2">
      <c r="A2394" s="1" t="s">
        <v>4</v>
      </c>
      <c r="B2394" s="2" t="s">
        <v>299</v>
      </c>
      <c r="D2394" s="5" t="s">
        <v>986</v>
      </c>
      <c r="E2394" s="3">
        <v>129784</v>
      </c>
      <c r="F2394" s="3">
        <v>130331</v>
      </c>
      <c r="G2394" s="57">
        <v>4.2146951858472543E-3</v>
      </c>
      <c r="J2394" s="5" t="s">
        <v>2858</v>
      </c>
    </row>
    <row r="2395" spans="1:12" x14ac:dyDescent="0.2">
      <c r="A2395" s="1" t="s">
        <v>4</v>
      </c>
      <c r="B2395" s="2" t="s">
        <v>299</v>
      </c>
      <c r="D2395" s="5" t="s">
        <v>987</v>
      </c>
      <c r="E2395" s="3">
        <v>128489</v>
      </c>
      <c r="F2395" s="3">
        <v>130331</v>
      </c>
      <c r="G2395" s="57">
        <v>1.4335857544225577E-2</v>
      </c>
      <c r="J2395" s="5" t="s">
        <v>2858</v>
      </c>
    </row>
    <row r="2396" spans="1:12" x14ac:dyDescent="0.2">
      <c r="A2396" s="1" t="s">
        <v>4</v>
      </c>
      <c r="B2396" s="2" t="s">
        <v>299</v>
      </c>
      <c r="D2396" s="5" t="s">
        <v>990</v>
      </c>
      <c r="E2396" s="3">
        <v>75707</v>
      </c>
      <c r="F2396" s="3">
        <v>130331</v>
      </c>
      <c r="G2396" s="57">
        <v>0.7215184857410808</v>
      </c>
      <c r="J2396" s="5" t="s">
        <v>2858</v>
      </c>
    </row>
    <row r="2397" spans="1:12" ht="25.5" x14ac:dyDescent="0.2">
      <c r="A2397" s="1" t="s">
        <v>111</v>
      </c>
      <c r="B2397" s="2" t="s">
        <v>257</v>
      </c>
      <c r="D2397" s="5" t="s">
        <v>743</v>
      </c>
      <c r="E2397" s="3">
        <v>87247</v>
      </c>
      <c r="F2397" s="3">
        <v>130293</v>
      </c>
      <c r="G2397" s="57">
        <v>0.49338086123305097</v>
      </c>
      <c r="J2397" s="5" t="s">
        <v>3096</v>
      </c>
    </row>
    <row r="2398" spans="1:12" x14ac:dyDescent="0.2">
      <c r="A2398" s="1" t="s">
        <v>20</v>
      </c>
      <c r="B2398" s="2" t="s">
        <v>58</v>
      </c>
      <c r="C2398" s="1"/>
      <c r="D2398" s="5" t="s">
        <v>450</v>
      </c>
      <c r="E2398" s="3">
        <v>135371</v>
      </c>
      <c r="F2398" s="3">
        <v>130264</v>
      </c>
      <c r="G2398" s="57">
        <v>-3.7725953121421872E-2</v>
      </c>
      <c r="J2398" s="5" t="s">
        <v>1861</v>
      </c>
    </row>
    <row r="2399" spans="1:12" x14ac:dyDescent="0.2">
      <c r="A2399" s="13" t="s">
        <v>20</v>
      </c>
      <c r="B2399" s="12" t="s">
        <v>82</v>
      </c>
      <c r="C2399" s="1"/>
      <c r="D2399" s="5" t="s">
        <v>452</v>
      </c>
      <c r="E2399" s="3">
        <v>128040</v>
      </c>
      <c r="F2399" s="3">
        <v>130194</v>
      </c>
      <c r="G2399" s="57">
        <v>1.6822867853795689E-2</v>
      </c>
      <c r="J2399" s="5" t="s">
        <v>2000</v>
      </c>
    </row>
    <row r="2400" spans="1:12" ht="25.5" x14ac:dyDescent="0.2">
      <c r="A2400" s="1" t="s">
        <v>28</v>
      </c>
      <c r="B2400" s="2" t="s">
        <v>221</v>
      </c>
      <c r="C2400" s="5" t="s">
        <v>1277</v>
      </c>
      <c r="D2400" s="5" t="s">
        <v>450</v>
      </c>
      <c r="E2400" s="9" t="s">
        <v>465</v>
      </c>
      <c r="F2400" s="9">
        <v>130173</v>
      </c>
      <c r="G2400" s="57" t="s">
        <v>465</v>
      </c>
      <c r="J2400" s="5" t="s">
        <v>3266</v>
      </c>
    </row>
    <row r="2401" spans="1:12" ht="25.5" x14ac:dyDescent="0.2">
      <c r="A2401" s="1" t="s">
        <v>6</v>
      </c>
      <c r="B2401" s="2" t="s">
        <v>216</v>
      </c>
      <c r="D2401" s="5" t="s">
        <v>1309</v>
      </c>
      <c r="E2401" s="3">
        <v>183788</v>
      </c>
      <c r="F2401" s="3">
        <v>130114</v>
      </c>
      <c r="G2401" s="57">
        <v>-0.29204300607221362</v>
      </c>
      <c r="J2401" s="5" t="s">
        <v>3298</v>
      </c>
    </row>
    <row r="2402" spans="1:12" ht="25.5" x14ac:dyDescent="0.2">
      <c r="A2402" s="1" t="s">
        <v>20</v>
      </c>
      <c r="B2402" s="2" t="s">
        <v>296</v>
      </c>
      <c r="D2402" s="5" t="s">
        <v>1003</v>
      </c>
      <c r="E2402" s="3">
        <v>128537</v>
      </c>
      <c r="F2402" s="3">
        <v>130054</v>
      </c>
      <c r="G2402" s="57">
        <v>1.1802049215401013E-2</v>
      </c>
      <c r="J2402" s="5" t="s">
        <v>2889</v>
      </c>
    </row>
    <row r="2403" spans="1:12" x14ac:dyDescent="0.2">
      <c r="A2403" s="1" t="s">
        <v>6</v>
      </c>
      <c r="B2403" s="2" t="s">
        <v>41</v>
      </c>
      <c r="C2403" s="1"/>
      <c r="D2403" s="5" t="s">
        <v>496</v>
      </c>
      <c r="E2403" s="6">
        <v>129000</v>
      </c>
      <c r="F2403" s="6">
        <v>130000</v>
      </c>
      <c r="G2403" s="57">
        <v>7.7519379844961239E-3</v>
      </c>
      <c r="J2403" s="5" t="s">
        <v>1776</v>
      </c>
    </row>
    <row r="2404" spans="1:12" ht="25.5" x14ac:dyDescent="0.2">
      <c r="A2404" s="1" t="s">
        <v>6</v>
      </c>
      <c r="B2404" s="12" t="s">
        <v>41</v>
      </c>
      <c r="C2404" s="13"/>
      <c r="D2404" s="7" t="s">
        <v>3712</v>
      </c>
      <c r="E2404" s="6">
        <v>97000</v>
      </c>
      <c r="F2404" s="6">
        <v>130000</v>
      </c>
      <c r="G2404" s="57">
        <v>0.34020618556701032</v>
      </c>
      <c r="H2404" s="21"/>
      <c r="I2404" s="21"/>
      <c r="J2404" s="7" t="s">
        <v>3713</v>
      </c>
      <c r="K2404" s="13"/>
      <c r="L2404" s="13"/>
    </row>
    <row r="2405" spans="1:12" ht="25.5" x14ac:dyDescent="0.2">
      <c r="A2405" s="1" t="s">
        <v>28</v>
      </c>
      <c r="B2405" s="2" t="s">
        <v>67</v>
      </c>
      <c r="C2405" s="1"/>
      <c r="D2405" s="5" t="s">
        <v>1896</v>
      </c>
      <c r="E2405" s="3">
        <v>31000</v>
      </c>
      <c r="F2405" s="3">
        <v>130000</v>
      </c>
      <c r="G2405" s="57">
        <v>3.193548387096774</v>
      </c>
      <c r="J2405" s="5" t="s">
        <v>4434</v>
      </c>
    </row>
    <row r="2406" spans="1:12" x14ac:dyDescent="0.2">
      <c r="A2406" s="1" t="s">
        <v>34</v>
      </c>
      <c r="B2406" s="2" t="s">
        <v>121</v>
      </c>
      <c r="C2406" s="1" t="s">
        <v>2138</v>
      </c>
      <c r="D2406" s="5" t="s">
        <v>2139</v>
      </c>
      <c r="E2406" s="3" t="s">
        <v>465</v>
      </c>
      <c r="F2406" s="3">
        <v>130000</v>
      </c>
      <c r="G2406" s="57" t="s">
        <v>465</v>
      </c>
      <c r="J2406" s="5" t="s">
        <v>4285</v>
      </c>
    </row>
    <row r="2407" spans="1:12" ht="25.5" x14ac:dyDescent="0.2">
      <c r="A2407" s="1" t="s">
        <v>8</v>
      </c>
      <c r="B2407" s="2" t="s">
        <v>280</v>
      </c>
      <c r="D2407" s="5" t="s">
        <v>1082</v>
      </c>
      <c r="E2407" s="3">
        <v>122000</v>
      </c>
      <c r="F2407" s="3">
        <v>130000</v>
      </c>
      <c r="G2407" s="57">
        <v>6.5573770491803282E-2</v>
      </c>
      <c r="J2407" s="5" t="s">
        <v>2997</v>
      </c>
    </row>
    <row r="2408" spans="1:12" ht="25.5" x14ac:dyDescent="0.2">
      <c r="A2408" s="1" t="s">
        <v>4</v>
      </c>
      <c r="B2408" s="2" t="s">
        <v>395</v>
      </c>
      <c r="D2408" s="5" t="s">
        <v>450</v>
      </c>
      <c r="E2408" s="3">
        <v>129000</v>
      </c>
      <c r="F2408" s="3">
        <v>130000</v>
      </c>
      <c r="G2408" s="57">
        <v>7.7519379844961239E-3</v>
      </c>
      <c r="J2408" s="5" t="s">
        <v>2462</v>
      </c>
    </row>
    <row r="2409" spans="1:12" ht="25.5" x14ac:dyDescent="0.2">
      <c r="A2409" s="1" t="s">
        <v>25</v>
      </c>
      <c r="B2409" s="2" t="s">
        <v>184</v>
      </c>
      <c r="D2409" s="5" t="s">
        <v>1466</v>
      </c>
      <c r="E2409" s="9">
        <v>130312</v>
      </c>
      <c r="F2409" s="9">
        <v>129846</v>
      </c>
      <c r="G2409" s="57">
        <v>-3.5760329056418443E-3</v>
      </c>
      <c r="J2409" s="5" t="s">
        <v>3526</v>
      </c>
    </row>
    <row r="2410" spans="1:12" ht="25.5" x14ac:dyDescent="0.2">
      <c r="A2410" s="1" t="s">
        <v>44</v>
      </c>
      <c r="B2410" s="2" t="s">
        <v>293</v>
      </c>
      <c r="D2410" s="5" t="s">
        <v>1014</v>
      </c>
      <c r="E2410" s="3">
        <v>129771</v>
      </c>
      <c r="F2410" s="3">
        <v>129836</v>
      </c>
      <c r="G2410" s="57">
        <v>5.0088232347751042E-4</v>
      </c>
      <c r="J2410" s="5" t="s">
        <v>2907</v>
      </c>
    </row>
    <row r="2411" spans="1:12" x14ac:dyDescent="0.2">
      <c r="A2411" s="13" t="s">
        <v>20</v>
      </c>
      <c r="B2411" s="12" t="s">
        <v>82</v>
      </c>
      <c r="C2411" s="1"/>
      <c r="D2411" s="5" t="s">
        <v>683</v>
      </c>
      <c r="E2411" s="3">
        <v>129573</v>
      </c>
      <c r="F2411" s="3">
        <v>129789</v>
      </c>
      <c r="G2411" s="57">
        <v>1.6670139612419254E-3</v>
      </c>
      <c r="J2411" s="5" t="s">
        <v>2007</v>
      </c>
    </row>
    <row r="2412" spans="1:12" ht="25.5" x14ac:dyDescent="0.2">
      <c r="A2412" s="1" t="s">
        <v>1</v>
      </c>
      <c r="B2412" s="2" t="s">
        <v>130</v>
      </c>
      <c r="C2412" s="1" t="s">
        <v>2086</v>
      </c>
      <c r="D2412" s="5" t="s">
        <v>2087</v>
      </c>
      <c r="E2412" s="3">
        <v>125661</v>
      </c>
      <c r="F2412" s="3">
        <v>129779</v>
      </c>
      <c r="G2412" s="57">
        <v>3.2770708493486442E-2</v>
      </c>
      <c r="J2412" s="5" t="s">
        <v>3950</v>
      </c>
    </row>
    <row r="2413" spans="1:12" x14ac:dyDescent="0.2">
      <c r="A2413" s="1" t="s">
        <v>4</v>
      </c>
      <c r="B2413" s="2" t="s">
        <v>359</v>
      </c>
      <c r="D2413" s="5" t="s">
        <v>450</v>
      </c>
      <c r="E2413" s="3">
        <v>121277</v>
      </c>
      <c r="F2413" s="3">
        <v>129720</v>
      </c>
      <c r="G2413" s="57">
        <v>6.9617487239954812E-2</v>
      </c>
      <c r="J2413" s="5" t="s">
        <v>2626</v>
      </c>
    </row>
    <row r="2414" spans="1:12" ht="25.5" x14ac:dyDescent="0.2">
      <c r="A2414" s="1" t="s">
        <v>4</v>
      </c>
      <c r="B2414" s="2" t="s">
        <v>291</v>
      </c>
      <c r="D2414" s="5" t="s">
        <v>1026</v>
      </c>
      <c r="E2414" s="3">
        <v>131114</v>
      </c>
      <c r="F2414" s="3">
        <v>129704</v>
      </c>
      <c r="G2414" s="57">
        <v>-1.0754000335585826E-2</v>
      </c>
      <c r="J2414" s="5" t="s">
        <v>2942</v>
      </c>
    </row>
    <row r="2415" spans="1:12" ht="51" x14ac:dyDescent="0.2">
      <c r="A2415" s="1" t="s">
        <v>1</v>
      </c>
      <c r="B2415" s="12" t="s">
        <v>0</v>
      </c>
      <c r="C2415" s="13" t="s">
        <v>1675</v>
      </c>
      <c r="D2415" s="7" t="s">
        <v>1874</v>
      </c>
      <c r="E2415" s="6">
        <v>170086</v>
      </c>
      <c r="F2415" s="6">
        <v>129698</v>
      </c>
      <c r="G2415" s="57">
        <v>-0.23745634561339557</v>
      </c>
      <c r="H2415" s="21"/>
      <c r="I2415" s="21"/>
      <c r="J2415" s="7" t="s">
        <v>4073</v>
      </c>
      <c r="K2415" s="13"/>
      <c r="L2415" s="13"/>
    </row>
    <row r="2416" spans="1:12" ht="25.5" x14ac:dyDescent="0.2">
      <c r="A2416" s="1" t="s">
        <v>44</v>
      </c>
      <c r="B2416" s="2" t="s">
        <v>381</v>
      </c>
      <c r="D2416" s="5" t="s">
        <v>715</v>
      </c>
      <c r="E2416" s="3">
        <v>126264</v>
      </c>
      <c r="F2416" s="3">
        <v>129697</v>
      </c>
      <c r="G2416" s="57">
        <v>2.7189064182981688E-2</v>
      </c>
      <c r="J2416" s="5" t="s">
        <v>2509</v>
      </c>
    </row>
    <row r="2417" spans="1:10" ht="25.5" x14ac:dyDescent="0.2">
      <c r="A2417" s="1" t="s">
        <v>4</v>
      </c>
      <c r="B2417" s="2" t="s">
        <v>432</v>
      </c>
      <c r="C2417" s="5" t="s">
        <v>490</v>
      </c>
      <c r="D2417" s="5" t="s">
        <v>491</v>
      </c>
      <c r="E2417" s="3">
        <v>137152</v>
      </c>
      <c r="F2417" s="3">
        <v>129643</v>
      </c>
      <c r="G2417" s="57">
        <v>-5.474947503499767E-2</v>
      </c>
      <c r="J2417" s="5" t="s">
        <v>2288</v>
      </c>
    </row>
    <row r="2418" spans="1:10" ht="38.25" x14ac:dyDescent="0.2">
      <c r="A2418" s="1" t="s">
        <v>4</v>
      </c>
      <c r="B2418" s="2" t="s">
        <v>431</v>
      </c>
      <c r="D2418" s="5" t="s">
        <v>450</v>
      </c>
      <c r="E2418" s="3">
        <v>130995</v>
      </c>
      <c r="F2418" s="3">
        <v>129605</v>
      </c>
      <c r="G2418" s="57">
        <v>-1.0611092026413221E-2</v>
      </c>
      <c r="J2418" s="5" t="s">
        <v>4575</v>
      </c>
    </row>
    <row r="2419" spans="1:10" ht="25.5" x14ac:dyDescent="0.2">
      <c r="A2419" s="1" t="s">
        <v>44</v>
      </c>
      <c r="B2419" s="2" t="s">
        <v>293</v>
      </c>
      <c r="D2419" s="5" t="s">
        <v>1012</v>
      </c>
      <c r="E2419" s="3">
        <v>130514</v>
      </c>
      <c r="F2419" s="3">
        <v>129587</v>
      </c>
      <c r="G2419" s="57">
        <v>-7.1026863018526752E-3</v>
      </c>
      <c r="J2419" s="5" t="s">
        <v>2905</v>
      </c>
    </row>
    <row r="2420" spans="1:10" x14ac:dyDescent="0.2">
      <c r="A2420" s="1" t="s">
        <v>44</v>
      </c>
      <c r="B2420" s="2" t="s">
        <v>73</v>
      </c>
      <c r="C2420" s="1"/>
      <c r="D2420" s="5" t="s">
        <v>1948</v>
      </c>
      <c r="E2420" s="3" t="s">
        <v>465</v>
      </c>
      <c r="F2420" s="3">
        <v>129576</v>
      </c>
      <c r="G2420" s="57" t="s">
        <v>465</v>
      </c>
      <c r="J2420" s="5" t="s">
        <v>1949</v>
      </c>
    </row>
    <row r="2421" spans="1:10" ht="51" x14ac:dyDescent="0.2">
      <c r="A2421" s="1" t="s">
        <v>8</v>
      </c>
      <c r="B2421" s="2" t="s">
        <v>322</v>
      </c>
      <c r="D2421" s="5" t="s">
        <v>920</v>
      </c>
      <c r="E2421" s="3">
        <v>89005</v>
      </c>
      <c r="F2421" s="3">
        <v>129537</v>
      </c>
      <c r="G2421" s="57">
        <v>0.45539014662097638</v>
      </c>
      <c r="J2421" s="5" t="s">
        <v>4683</v>
      </c>
    </row>
    <row r="2422" spans="1:10" x14ac:dyDescent="0.2">
      <c r="A2422" s="1" t="s">
        <v>4</v>
      </c>
      <c r="B2422" s="2" t="s">
        <v>331</v>
      </c>
      <c r="D2422" s="5" t="s">
        <v>890</v>
      </c>
      <c r="E2422" s="3">
        <v>123328</v>
      </c>
      <c r="F2422" s="3">
        <v>129426</v>
      </c>
      <c r="G2422" s="57">
        <v>4.9445381421899325E-2</v>
      </c>
      <c r="J2422" s="5" t="s">
        <v>2758</v>
      </c>
    </row>
    <row r="2423" spans="1:10" x14ac:dyDescent="0.2">
      <c r="A2423" s="1" t="s">
        <v>6</v>
      </c>
      <c r="B2423" s="2" t="s">
        <v>65</v>
      </c>
      <c r="C2423" s="1"/>
      <c r="D2423" s="5" t="s">
        <v>4605</v>
      </c>
      <c r="E2423" s="3">
        <v>125661</v>
      </c>
      <c r="F2423" s="3">
        <v>129417</v>
      </c>
      <c r="G2423" s="57">
        <v>2.988994198677394E-2</v>
      </c>
      <c r="J2423" s="5" t="s">
        <v>1883</v>
      </c>
    </row>
    <row r="2424" spans="1:10" x14ac:dyDescent="0.2">
      <c r="A2424" s="1" t="s">
        <v>4</v>
      </c>
      <c r="B2424" s="2" t="s">
        <v>331</v>
      </c>
      <c r="D2424" s="5" t="s">
        <v>889</v>
      </c>
      <c r="E2424" s="3">
        <v>123961</v>
      </c>
      <c r="F2424" s="3">
        <v>129405</v>
      </c>
      <c r="G2424" s="57">
        <v>4.391703842337509E-2</v>
      </c>
      <c r="J2424" s="5" t="s">
        <v>2757</v>
      </c>
    </row>
    <row r="2425" spans="1:10" ht="25.5" x14ac:dyDescent="0.2">
      <c r="A2425" s="1" t="s">
        <v>6</v>
      </c>
      <c r="B2425" s="2" t="s">
        <v>179</v>
      </c>
      <c r="D2425" s="5" t="s">
        <v>1490</v>
      </c>
      <c r="E2425" s="9">
        <v>128100</v>
      </c>
      <c r="F2425" s="9">
        <v>129400</v>
      </c>
      <c r="G2425" s="57">
        <v>1.0148321623731461E-2</v>
      </c>
      <c r="J2425" s="5" t="s">
        <v>4649</v>
      </c>
    </row>
    <row r="2426" spans="1:10" ht="25.5" x14ac:dyDescent="0.2">
      <c r="A2426" s="1" t="s">
        <v>25</v>
      </c>
      <c r="B2426" s="2" t="s">
        <v>107</v>
      </c>
      <c r="C2426" s="1" t="s">
        <v>2200</v>
      </c>
      <c r="D2426" s="5" t="s">
        <v>2201</v>
      </c>
      <c r="E2426" s="3">
        <v>124985</v>
      </c>
      <c r="F2426" s="3">
        <v>129342</v>
      </c>
      <c r="G2426" s="57">
        <v>3.486018322198664E-2</v>
      </c>
      <c r="J2426" s="5" t="s">
        <v>4257</v>
      </c>
    </row>
    <row r="2427" spans="1:10" ht="25.5" x14ac:dyDescent="0.2">
      <c r="A2427" s="1" t="s">
        <v>4</v>
      </c>
      <c r="B2427" s="2" t="s">
        <v>432</v>
      </c>
      <c r="C2427" s="5" t="s">
        <v>493</v>
      </c>
      <c r="D2427" s="5" t="s">
        <v>496</v>
      </c>
      <c r="E2427" s="3">
        <v>127808</v>
      </c>
      <c r="F2427" s="3">
        <v>129341</v>
      </c>
      <c r="G2427" s="57">
        <v>1.1994554331497246E-2</v>
      </c>
      <c r="J2427" s="5" t="s">
        <v>2289</v>
      </c>
    </row>
    <row r="2428" spans="1:10" ht="25.5" x14ac:dyDescent="0.2">
      <c r="A2428" s="1" t="s">
        <v>20</v>
      </c>
      <c r="B2428" s="2" t="s">
        <v>296</v>
      </c>
      <c r="D2428" s="5" t="s">
        <v>1000</v>
      </c>
      <c r="E2428" s="3">
        <v>106894</v>
      </c>
      <c r="F2428" s="3">
        <v>129256</v>
      </c>
      <c r="G2428" s="57">
        <v>0.20919789698205699</v>
      </c>
      <c r="J2428" s="5" t="s">
        <v>4398</v>
      </c>
    </row>
    <row r="2429" spans="1:10" x14ac:dyDescent="0.2">
      <c r="A2429" s="1" t="s">
        <v>44</v>
      </c>
      <c r="B2429" s="2" t="s">
        <v>55</v>
      </c>
      <c r="C2429" s="1"/>
      <c r="D2429" s="5" t="s">
        <v>1843</v>
      </c>
      <c r="E2429" s="3">
        <v>126773</v>
      </c>
      <c r="F2429" s="3">
        <v>129173</v>
      </c>
      <c r="G2429" s="57">
        <v>1.8931475945193378E-2</v>
      </c>
      <c r="J2429" s="5" t="s">
        <v>1844</v>
      </c>
    </row>
    <row r="2430" spans="1:10" ht="25.5" x14ac:dyDescent="0.2">
      <c r="A2430" s="1" t="s">
        <v>44</v>
      </c>
      <c r="B2430" s="2" t="s">
        <v>293</v>
      </c>
      <c r="D2430" s="5" t="s">
        <v>944</v>
      </c>
      <c r="E2430" s="3">
        <v>125294</v>
      </c>
      <c r="F2430" s="3">
        <v>129162</v>
      </c>
      <c r="G2430" s="57">
        <v>3.0871390489568534E-2</v>
      </c>
      <c r="J2430" s="5" t="s">
        <v>2903</v>
      </c>
    </row>
    <row r="2431" spans="1:10" x14ac:dyDescent="0.2">
      <c r="A2431" s="13" t="s">
        <v>20</v>
      </c>
      <c r="B2431" s="12" t="s">
        <v>82</v>
      </c>
      <c r="C2431" s="1"/>
      <c r="D2431" s="5" t="s">
        <v>477</v>
      </c>
      <c r="E2431" s="3">
        <v>128320</v>
      </c>
      <c r="F2431" s="3">
        <v>129131</v>
      </c>
      <c r="G2431" s="57">
        <v>6.3201371571072317E-3</v>
      </c>
      <c r="J2431" s="5" t="s">
        <v>2001</v>
      </c>
    </row>
    <row r="2432" spans="1:10" ht="25.5" x14ac:dyDescent="0.2">
      <c r="A2432" s="1" t="s">
        <v>6</v>
      </c>
      <c r="B2432" s="2" t="s">
        <v>42</v>
      </c>
      <c r="C2432" s="1"/>
      <c r="D2432" s="5" t="s">
        <v>1787</v>
      </c>
      <c r="E2432" s="3" t="s">
        <v>465</v>
      </c>
      <c r="F2432" s="3">
        <v>129096</v>
      </c>
      <c r="G2432" s="57" t="s">
        <v>465</v>
      </c>
      <c r="J2432" s="5" t="s">
        <v>1788</v>
      </c>
    </row>
    <row r="2433" spans="1:10" ht="51" x14ac:dyDescent="0.2">
      <c r="A2433" s="1" t="s">
        <v>25</v>
      </c>
      <c r="B2433" s="2" t="s">
        <v>406</v>
      </c>
      <c r="D2433" s="5" t="s">
        <v>633</v>
      </c>
      <c r="E2433" s="9">
        <v>53001</v>
      </c>
      <c r="F2433" s="3">
        <v>129051</v>
      </c>
      <c r="G2433" s="57">
        <v>1.434878587196468</v>
      </c>
      <c r="J2433" s="5" t="s">
        <v>2887</v>
      </c>
    </row>
    <row r="2434" spans="1:10" ht="25.5" x14ac:dyDescent="0.2">
      <c r="A2434" s="1" t="s">
        <v>25</v>
      </c>
      <c r="B2434" s="2" t="s">
        <v>225</v>
      </c>
      <c r="D2434" s="5" t="s">
        <v>1261</v>
      </c>
      <c r="E2434" s="3">
        <v>128508</v>
      </c>
      <c r="F2434" s="3">
        <v>129046</v>
      </c>
      <c r="G2434" s="57">
        <v>4.1865097892738196E-3</v>
      </c>
      <c r="J2434" s="5" t="s">
        <v>3243</v>
      </c>
    </row>
    <row r="2435" spans="1:10" ht="25.5" x14ac:dyDescent="0.2">
      <c r="A2435" s="1" t="s">
        <v>6</v>
      </c>
      <c r="B2435" s="2" t="s">
        <v>219</v>
      </c>
      <c r="C2435" s="5" t="s">
        <v>1285</v>
      </c>
      <c r="D2435" s="5" t="s">
        <v>450</v>
      </c>
      <c r="E2435" s="3">
        <v>128000</v>
      </c>
      <c r="F2435" s="3">
        <v>129000</v>
      </c>
      <c r="G2435" s="57">
        <v>7.8125E-3</v>
      </c>
      <c r="J2435" s="5" t="s">
        <v>3277</v>
      </c>
    </row>
    <row r="2436" spans="1:10" ht="25.5" x14ac:dyDescent="0.2">
      <c r="A2436" s="1" t="s">
        <v>6</v>
      </c>
      <c r="B2436" s="2" t="s">
        <v>362</v>
      </c>
      <c r="D2436" s="5" t="s">
        <v>790</v>
      </c>
      <c r="E2436" s="3">
        <v>129000</v>
      </c>
      <c r="F2436" s="3">
        <v>129000</v>
      </c>
      <c r="G2436" s="57">
        <v>0</v>
      </c>
      <c r="J2436" s="5" t="s">
        <v>2616</v>
      </c>
    </row>
    <row r="2437" spans="1:10" ht="38.25" x14ac:dyDescent="0.2">
      <c r="A2437" s="1" t="s">
        <v>39</v>
      </c>
      <c r="B2437" s="2" t="s">
        <v>388</v>
      </c>
      <c r="D2437" s="5" t="s">
        <v>695</v>
      </c>
      <c r="E2437" s="3">
        <v>89393</v>
      </c>
      <c r="F2437" s="3">
        <v>128927</v>
      </c>
      <c r="G2437" s="57">
        <v>0.44224939312921591</v>
      </c>
      <c r="J2437" s="5" t="s">
        <v>4485</v>
      </c>
    </row>
    <row r="2438" spans="1:10" ht="25.5" x14ac:dyDescent="0.2">
      <c r="A2438" s="1" t="s">
        <v>1</v>
      </c>
      <c r="B2438" s="12" t="s">
        <v>420</v>
      </c>
      <c r="C2438" s="5" t="s">
        <v>576</v>
      </c>
      <c r="D2438" s="5" t="s">
        <v>577</v>
      </c>
      <c r="E2438" s="9">
        <v>125799</v>
      </c>
      <c r="F2438" s="9">
        <v>128925</v>
      </c>
      <c r="G2438" s="57">
        <v>2.4849164142799227E-2</v>
      </c>
      <c r="J2438" s="5" t="s">
        <v>3631</v>
      </c>
    </row>
    <row r="2439" spans="1:10" ht="38.25" x14ac:dyDescent="0.2">
      <c r="A2439" s="1" t="s">
        <v>4</v>
      </c>
      <c r="B2439" s="2" t="s">
        <v>149</v>
      </c>
      <c r="C2439" s="1"/>
      <c r="D2439" s="5" t="s">
        <v>1637</v>
      </c>
      <c r="E2439" s="3">
        <v>122270.52</v>
      </c>
      <c r="F2439" s="3">
        <v>128815.91</v>
      </c>
      <c r="G2439" s="57">
        <v>5.3532036994690127E-2</v>
      </c>
      <c r="J2439" s="5" t="s">
        <v>3997</v>
      </c>
    </row>
    <row r="2440" spans="1:10" ht="25.5" x14ac:dyDescent="0.2">
      <c r="A2440" s="1" t="s">
        <v>25</v>
      </c>
      <c r="B2440" s="2" t="s">
        <v>243</v>
      </c>
      <c r="C2440" s="5" t="s">
        <v>1209</v>
      </c>
      <c r="D2440" s="5" t="s">
        <v>501</v>
      </c>
      <c r="E2440" s="3">
        <v>56095</v>
      </c>
      <c r="F2440" s="3">
        <v>128725</v>
      </c>
      <c r="G2440" s="57">
        <v>1.2947678046171673</v>
      </c>
      <c r="J2440" s="5" t="s">
        <v>3161</v>
      </c>
    </row>
    <row r="2441" spans="1:10" ht="25.5" x14ac:dyDescent="0.2">
      <c r="A2441" s="1" t="s">
        <v>6</v>
      </c>
      <c r="B2441" s="2" t="s">
        <v>179</v>
      </c>
      <c r="D2441" s="5" t="s">
        <v>1493</v>
      </c>
      <c r="E2441" s="9">
        <v>127200</v>
      </c>
      <c r="F2441" s="9">
        <v>128700</v>
      </c>
      <c r="G2441" s="57">
        <v>1.179245283018868E-2</v>
      </c>
      <c r="J2441" s="5" t="s">
        <v>3554</v>
      </c>
    </row>
    <row r="2442" spans="1:10" ht="25.5" x14ac:dyDescent="0.2">
      <c r="A2442" s="1" t="s">
        <v>28</v>
      </c>
      <c r="B2442" s="2" t="s">
        <v>215</v>
      </c>
      <c r="D2442" s="5" t="s">
        <v>1316</v>
      </c>
      <c r="E2442" s="3">
        <v>123766</v>
      </c>
      <c r="F2442" s="3">
        <v>128622</v>
      </c>
      <c r="G2442" s="57">
        <v>3.9235331189502773E-2</v>
      </c>
      <c r="J2442" s="5" t="s">
        <v>3308</v>
      </c>
    </row>
    <row r="2443" spans="1:10" x14ac:dyDescent="0.2">
      <c r="A2443" s="1" t="s">
        <v>39</v>
      </c>
      <c r="B2443" s="2" t="s">
        <v>435</v>
      </c>
      <c r="D2443" s="5" t="s">
        <v>463</v>
      </c>
      <c r="E2443" s="3">
        <v>126229</v>
      </c>
      <c r="F2443" s="3">
        <v>128459</v>
      </c>
      <c r="G2443" s="57">
        <v>1.7666304890318389E-2</v>
      </c>
      <c r="J2443" s="5" t="s">
        <v>2273</v>
      </c>
    </row>
    <row r="2444" spans="1:10" ht="25.5" x14ac:dyDescent="0.2">
      <c r="A2444" s="1" t="s">
        <v>4</v>
      </c>
      <c r="B2444" s="2" t="s">
        <v>432</v>
      </c>
      <c r="C2444" s="5" t="s">
        <v>497</v>
      </c>
      <c r="D2444" s="5" t="s">
        <v>495</v>
      </c>
      <c r="E2444" s="3">
        <v>127213</v>
      </c>
      <c r="F2444" s="3">
        <v>128446</v>
      </c>
      <c r="G2444" s="57">
        <v>9.692405650365922E-3</v>
      </c>
      <c r="J2444" s="5" t="s">
        <v>2290</v>
      </c>
    </row>
    <row r="2445" spans="1:10" ht="25.5" x14ac:dyDescent="0.2">
      <c r="A2445" s="1" t="s">
        <v>20</v>
      </c>
      <c r="B2445" s="2" t="s">
        <v>263</v>
      </c>
      <c r="C2445" s="5" t="s">
        <v>1158</v>
      </c>
      <c r="D2445" s="5" t="s">
        <v>740</v>
      </c>
      <c r="E2445" s="3">
        <v>121500</v>
      </c>
      <c r="F2445" s="3">
        <v>128400</v>
      </c>
      <c r="G2445" s="57">
        <v>5.6790123456790124E-2</v>
      </c>
      <c r="J2445" s="5" t="s">
        <v>3077</v>
      </c>
    </row>
    <row r="2446" spans="1:10" ht="25.5" x14ac:dyDescent="0.2">
      <c r="A2446" s="1" t="s">
        <v>4</v>
      </c>
      <c r="B2446" s="2" t="s">
        <v>340</v>
      </c>
      <c r="D2446" s="5" t="s">
        <v>450</v>
      </c>
      <c r="E2446" s="6">
        <v>128238</v>
      </c>
      <c r="F2446" s="6">
        <v>128388</v>
      </c>
      <c r="G2446" s="57">
        <v>1.1697000888972067E-3</v>
      </c>
      <c r="J2446" s="5" t="s">
        <v>2710</v>
      </c>
    </row>
    <row r="2447" spans="1:10" ht="25.5" x14ac:dyDescent="0.2">
      <c r="A2447" s="1" t="s">
        <v>39</v>
      </c>
      <c r="B2447" s="2" t="s">
        <v>103</v>
      </c>
      <c r="C2447" s="1"/>
      <c r="D2447" s="5" t="s">
        <v>2208</v>
      </c>
      <c r="E2447" s="3">
        <v>128705</v>
      </c>
      <c r="F2447" s="3">
        <v>128350</v>
      </c>
      <c r="G2447" s="57">
        <v>-2.7582456004040246E-3</v>
      </c>
      <c r="J2447" s="5" t="s">
        <v>4249</v>
      </c>
    </row>
    <row r="2448" spans="1:10" ht="25.5" x14ac:dyDescent="0.2">
      <c r="A2448" s="1" t="s">
        <v>39</v>
      </c>
      <c r="B2448" s="2" t="s">
        <v>103</v>
      </c>
      <c r="C2448" s="1"/>
      <c r="D2448" s="5" t="s">
        <v>2209</v>
      </c>
      <c r="E2448" s="3">
        <v>125595</v>
      </c>
      <c r="F2448" s="3">
        <v>128350</v>
      </c>
      <c r="G2448" s="57">
        <v>2.1935586607747123E-2</v>
      </c>
      <c r="J2448" s="5" t="s">
        <v>4249</v>
      </c>
    </row>
    <row r="2449" spans="1:12" ht="25.5" x14ac:dyDescent="0.2">
      <c r="A2449" s="1" t="s">
        <v>4</v>
      </c>
      <c r="B2449" s="2" t="s">
        <v>145</v>
      </c>
      <c r="C2449" s="1"/>
      <c r="D2449" s="5" t="s">
        <v>450</v>
      </c>
      <c r="E2449" s="3">
        <v>129790</v>
      </c>
      <c r="F2449" s="3">
        <v>128333</v>
      </c>
      <c r="G2449" s="57">
        <v>-1.1225826334848601E-2</v>
      </c>
      <c r="J2449" s="5" t="s">
        <v>3992</v>
      </c>
    </row>
    <row r="2450" spans="1:12" ht="38.25" x14ac:dyDescent="0.2">
      <c r="A2450" s="1" t="s">
        <v>1</v>
      </c>
      <c r="B2450" s="12" t="s">
        <v>308</v>
      </c>
      <c r="C2450" s="5" t="s">
        <v>954</v>
      </c>
      <c r="D2450" s="5" t="s">
        <v>938</v>
      </c>
      <c r="E2450" s="6">
        <v>108170</v>
      </c>
      <c r="F2450" s="3">
        <v>128144</v>
      </c>
      <c r="G2450" s="57">
        <v>0.18465378570768234</v>
      </c>
      <c r="J2450" s="5" t="s">
        <v>4409</v>
      </c>
    </row>
    <row r="2451" spans="1:12" ht="25.5" x14ac:dyDescent="0.2">
      <c r="A2451" s="1" t="s">
        <v>1</v>
      </c>
      <c r="B2451" s="2" t="s">
        <v>0</v>
      </c>
      <c r="C2451" s="1" t="s">
        <v>1667</v>
      </c>
      <c r="D2451" s="5" t="s">
        <v>1417</v>
      </c>
      <c r="E2451" s="3">
        <v>77415</v>
      </c>
      <c r="F2451" s="3">
        <v>128131</v>
      </c>
      <c r="G2451" s="57">
        <v>0.65511851708325264</v>
      </c>
      <c r="J2451" s="5" t="s">
        <v>3634</v>
      </c>
    </row>
    <row r="2452" spans="1:12" ht="25.5" x14ac:dyDescent="0.2">
      <c r="A2452" s="1" t="s">
        <v>1</v>
      </c>
      <c r="B2452" s="2" t="s">
        <v>0</v>
      </c>
      <c r="C2452" s="1" t="s">
        <v>1668</v>
      </c>
      <c r="D2452" s="5" t="s">
        <v>1271</v>
      </c>
      <c r="E2452" s="3">
        <v>74600</v>
      </c>
      <c r="F2452" s="3">
        <v>128131</v>
      </c>
      <c r="G2452" s="57">
        <v>0.71757372654155493</v>
      </c>
      <c r="J2452" s="5" t="s">
        <v>3634</v>
      </c>
    </row>
    <row r="2453" spans="1:12" ht="25.5" x14ac:dyDescent="0.2">
      <c r="A2453" s="1" t="s">
        <v>1</v>
      </c>
      <c r="B2453" s="2" t="s">
        <v>0</v>
      </c>
      <c r="C2453" s="1" t="s">
        <v>1669</v>
      </c>
      <c r="D2453" s="5" t="s">
        <v>1670</v>
      </c>
      <c r="E2453" s="3">
        <v>128435</v>
      </c>
      <c r="F2453" s="3">
        <v>128131</v>
      </c>
      <c r="G2453" s="57">
        <v>-2.3669560478062832E-3</v>
      </c>
      <c r="J2453" s="5" t="s">
        <v>3634</v>
      </c>
    </row>
    <row r="2454" spans="1:12" ht="25.5" x14ac:dyDescent="0.2">
      <c r="A2454" s="1" t="s">
        <v>1</v>
      </c>
      <c r="B2454" s="12" t="s">
        <v>0</v>
      </c>
      <c r="C2454" s="13" t="s">
        <v>1671</v>
      </c>
      <c r="D2454" s="7" t="s">
        <v>1672</v>
      </c>
      <c r="E2454" s="6">
        <v>97118</v>
      </c>
      <c r="F2454" s="6">
        <v>128131</v>
      </c>
      <c r="G2454" s="57">
        <v>0.31933318231429808</v>
      </c>
      <c r="H2454" s="21"/>
      <c r="I2454" s="21"/>
      <c r="J2454" s="7" t="s">
        <v>3634</v>
      </c>
      <c r="K2454" s="13"/>
      <c r="L2454" s="13"/>
    </row>
    <row r="2455" spans="1:12" ht="25.5" x14ac:dyDescent="0.2">
      <c r="A2455" s="1" t="s">
        <v>1</v>
      </c>
      <c r="B2455" s="2" t="s">
        <v>0</v>
      </c>
      <c r="C2455" s="1" t="s">
        <v>1673</v>
      </c>
      <c r="D2455" s="5" t="s">
        <v>1674</v>
      </c>
      <c r="E2455" s="3">
        <v>128435</v>
      </c>
      <c r="F2455" s="3">
        <v>128131</v>
      </c>
      <c r="G2455" s="57">
        <v>-2.3669560478062832E-3</v>
      </c>
      <c r="J2455" s="5" t="s">
        <v>3634</v>
      </c>
    </row>
    <row r="2456" spans="1:12" ht="25.5" x14ac:dyDescent="0.2">
      <c r="A2456" s="1" t="s">
        <v>44</v>
      </c>
      <c r="B2456" s="2" t="s">
        <v>2429</v>
      </c>
      <c r="D2456" s="5" t="s">
        <v>687</v>
      </c>
      <c r="E2456" s="3">
        <v>129367</v>
      </c>
      <c r="F2456" s="3">
        <v>128115</v>
      </c>
      <c r="G2456" s="57">
        <v>-9.6778931257585007E-3</v>
      </c>
      <c r="J2456" s="5" t="s">
        <v>2431</v>
      </c>
    </row>
    <row r="2457" spans="1:12" ht="25.5" x14ac:dyDescent="0.2">
      <c r="A2457" s="1" t="s">
        <v>1</v>
      </c>
      <c r="B2457" s="2" t="s">
        <v>148</v>
      </c>
      <c r="C2457" s="1" t="s">
        <v>1639</v>
      </c>
      <c r="D2457" s="5" t="s">
        <v>450</v>
      </c>
      <c r="E2457" s="3">
        <v>126221</v>
      </c>
      <c r="F2457" s="3">
        <v>128086</v>
      </c>
      <c r="G2457" s="57">
        <v>1.477567124329549E-2</v>
      </c>
      <c r="J2457" s="5" t="s">
        <v>3994</v>
      </c>
    </row>
    <row r="2458" spans="1:12" ht="25.5" x14ac:dyDescent="0.2">
      <c r="A2458" s="13" t="s">
        <v>1</v>
      </c>
      <c r="B2458" s="12" t="s">
        <v>9</v>
      </c>
      <c r="C2458" s="13" t="s">
        <v>1686</v>
      </c>
      <c r="D2458" s="7" t="s">
        <v>3645</v>
      </c>
      <c r="E2458" s="6">
        <v>124958</v>
      </c>
      <c r="F2458" s="6">
        <v>128083</v>
      </c>
      <c r="G2458" s="57">
        <v>2.5008402823348645E-2</v>
      </c>
      <c r="H2458" s="21"/>
      <c r="I2458" s="21"/>
      <c r="J2458" s="7" t="s">
        <v>2242</v>
      </c>
      <c r="K2458" s="13"/>
      <c r="L2458" s="13"/>
    </row>
    <row r="2459" spans="1:12" ht="38.25" x14ac:dyDescent="0.2">
      <c r="A2459" s="1" t="s">
        <v>1</v>
      </c>
      <c r="B2459" s="12" t="s">
        <v>308</v>
      </c>
      <c r="C2459" s="5" t="s">
        <v>953</v>
      </c>
      <c r="D2459" s="5" t="s">
        <v>476</v>
      </c>
      <c r="E2459" s="6">
        <v>107349</v>
      </c>
      <c r="F2459" s="3">
        <v>128044</v>
      </c>
      <c r="G2459" s="57">
        <v>0.19278241995733542</v>
      </c>
      <c r="J2459" s="5" t="s">
        <v>4408</v>
      </c>
    </row>
    <row r="2460" spans="1:12" x14ac:dyDescent="0.2">
      <c r="A2460" s="1" t="s">
        <v>25</v>
      </c>
      <c r="B2460" s="2" t="s">
        <v>59</v>
      </c>
      <c r="C2460" s="1"/>
      <c r="D2460" s="5" t="s">
        <v>1867</v>
      </c>
      <c r="E2460" s="3">
        <v>123687</v>
      </c>
      <c r="F2460" s="3">
        <v>128037</v>
      </c>
      <c r="G2460" s="57">
        <v>3.5169419583303017E-2</v>
      </c>
      <c r="J2460" s="5" t="s">
        <v>1868</v>
      </c>
    </row>
    <row r="2461" spans="1:12" ht="25.5" x14ac:dyDescent="0.2">
      <c r="A2461" s="1" t="s">
        <v>39</v>
      </c>
      <c r="B2461" s="12" t="s">
        <v>38</v>
      </c>
      <c r="C2461" s="13"/>
      <c r="D2461" s="7" t="s">
        <v>4145</v>
      </c>
      <c r="E2461" s="6">
        <v>165455</v>
      </c>
      <c r="F2461" s="6">
        <v>128027</v>
      </c>
      <c r="G2461" s="57">
        <v>-0.22621256535009518</v>
      </c>
      <c r="H2461" s="21"/>
      <c r="I2461" s="21"/>
      <c r="J2461" s="7" t="s">
        <v>4146</v>
      </c>
      <c r="K2461" s="13"/>
      <c r="L2461" s="13"/>
    </row>
    <row r="2462" spans="1:12" ht="25.5" x14ac:dyDescent="0.2">
      <c r="A2462" s="1" t="s">
        <v>20</v>
      </c>
      <c r="B2462" s="2" t="s">
        <v>341</v>
      </c>
      <c r="D2462" s="5" t="s">
        <v>861</v>
      </c>
      <c r="E2462" s="3">
        <v>126994</v>
      </c>
      <c r="F2462" s="3">
        <v>128021</v>
      </c>
      <c r="G2462" s="57">
        <v>8.086996236042648E-3</v>
      </c>
      <c r="J2462" s="5" t="s">
        <v>2708</v>
      </c>
    </row>
    <row r="2463" spans="1:12" ht="76.5" x14ac:dyDescent="0.2">
      <c r="A2463" s="1" t="s">
        <v>25</v>
      </c>
      <c r="B2463" s="2" t="s">
        <v>93</v>
      </c>
      <c r="C2463" s="1" t="s">
        <v>2222</v>
      </c>
      <c r="D2463" s="5" t="s">
        <v>2223</v>
      </c>
      <c r="E2463" s="3">
        <v>126000</v>
      </c>
      <c r="F2463" s="3">
        <v>128000</v>
      </c>
      <c r="G2463" s="57">
        <v>1.5873015873015872E-2</v>
      </c>
      <c r="J2463" s="5" t="s">
        <v>4231</v>
      </c>
    </row>
    <row r="2464" spans="1:12" ht="25.5" x14ac:dyDescent="0.2">
      <c r="A2464" s="1" t="s">
        <v>44</v>
      </c>
      <c r="B2464" s="2" t="s">
        <v>2429</v>
      </c>
      <c r="D2464" s="5" t="s">
        <v>688</v>
      </c>
      <c r="E2464" s="3">
        <v>129191</v>
      </c>
      <c r="F2464" s="3">
        <v>127964</v>
      </c>
      <c r="G2464" s="57">
        <v>-9.4975656198961235E-3</v>
      </c>
      <c r="J2464" s="5" t="s">
        <v>2433</v>
      </c>
    </row>
    <row r="2465" spans="1:12" ht="51" x14ac:dyDescent="0.2">
      <c r="A2465" s="1" t="s">
        <v>4</v>
      </c>
      <c r="B2465" s="2" t="s">
        <v>377</v>
      </c>
      <c r="C2465" s="5" t="s">
        <v>739</v>
      </c>
      <c r="D2465" s="5" t="s">
        <v>740</v>
      </c>
      <c r="E2465" s="3">
        <v>123932</v>
      </c>
      <c r="F2465" s="3">
        <v>127947</v>
      </c>
      <c r="G2465" s="57">
        <v>3.239679824419843E-2</v>
      </c>
      <c r="J2465" s="5" t="s">
        <v>4476</v>
      </c>
    </row>
    <row r="2466" spans="1:12" ht="25.5" x14ac:dyDescent="0.2">
      <c r="A2466" s="1" t="s">
        <v>4</v>
      </c>
      <c r="B2466" s="2" t="s">
        <v>146</v>
      </c>
      <c r="C2466" s="1"/>
      <c r="D2466" s="5" t="s">
        <v>450</v>
      </c>
      <c r="E2466" s="3">
        <v>129703</v>
      </c>
      <c r="F2466" s="3">
        <v>127912</v>
      </c>
      <c r="G2466" s="57">
        <v>-1.3808470120197683E-2</v>
      </c>
      <c r="J2466" s="5" t="s">
        <v>4634</v>
      </c>
    </row>
    <row r="2467" spans="1:12" ht="25.5" x14ac:dyDescent="0.2">
      <c r="A2467" s="1" t="s">
        <v>4</v>
      </c>
      <c r="B2467" s="2" t="s">
        <v>333</v>
      </c>
      <c r="D2467" s="5" t="s">
        <v>450</v>
      </c>
      <c r="E2467" s="3">
        <v>136377</v>
      </c>
      <c r="F2467" s="3">
        <v>127886</v>
      </c>
      <c r="G2467" s="57">
        <v>-6.2261231732623538E-2</v>
      </c>
      <c r="J2467" s="5" t="s">
        <v>2743</v>
      </c>
    </row>
    <row r="2468" spans="1:12" ht="25.5" x14ac:dyDescent="0.2">
      <c r="A2468" s="1" t="s">
        <v>44</v>
      </c>
      <c r="B2468" s="2" t="s">
        <v>2429</v>
      </c>
      <c r="D2468" s="5" t="s">
        <v>689</v>
      </c>
      <c r="E2468" s="3">
        <v>129085</v>
      </c>
      <c r="F2468" s="3">
        <v>127858</v>
      </c>
      <c r="G2468" s="57">
        <v>-9.505364682186157E-3</v>
      </c>
      <c r="J2468" s="5" t="s">
        <v>2434</v>
      </c>
    </row>
    <row r="2469" spans="1:12" ht="25.5" x14ac:dyDescent="0.2">
      <c r="A2469" s="1" t="s">
        <v>4</v>
      </c>
      <c r="B2469" s="2" t="s">
        <v>438</v>
      </c>
      <c r="D2469" s="5" t="s">
        <v>468</v>
      </c>
      <c r="E2469" s="3">
        <v>127777</v>
      </c>
      <c r="F2469" s="3">
        <v>127851</v>
      </c>
      <c r="G2469" s="57">
        <v>5.791339599458431E-4</v>
      </c>
      <c r="J2469" s="5" t="s">
        <v>2261</v>
      </c>
    </row>
    <row r="2470" spans="1:12" ht="25.5" x14ac:dyDescent="0.2">
      <c r="A2470" s="1" t="s">
        <v>1</v>
      </c>
      <c r="B2470" s="12" t="s">
        <v>308</v>
      </c>
      <c r="C2470" s="5" t="s">
        <v>951</v>
      </c>
      <c r="D2470" s="5" t="s">
        <v>4404</v>
      </c>
      <c r="E2470" s="6" t="s">
        <v>465</v>
      </c>
      <c r="F2470" s="3">
        <v>127844</v>
      </c>
      <c r="G2470" s="57" t="s">
        <v>465</v>
      </c>
      <c r="J2470" s="5" t="s">
        <v>4405</v>
      </c>
    </row>
    <row r="2471" spans="1:12" ht="25.5" x14ac:dyDescent="0.2">
      <c r="A2471" s="1" t="s">
        <v>1</v>
      </c>
      <c r="B2471" s="12" t="s">
        <v>308</v>
      </c>
      <c r="C2471" s="5" t="s">
        <v>955</v>
      </c>
      <c r="D2471" s="5" t="s">
        <v>956</v>
      </c>
      <c r="E2471" s="6">
        <v>107149</v>
      </c>
      <c r="F2471" s="3">
        <v>127844</v>
      </c>
      <c r="G2471" s="57">
        <v>0.19314225984376895</v>
      </c>
      <c r="J2471" s="5" t="s">
        <v>4410</v>
      </c>
    </row>
    <row r="2472" spans="1:12" ht="25.5" x14ac:dyDescent="0.2">
      <c r="A2472" s="1" t="s">
        <v>1</v>
      </c>
      <c r="B2472" s="12" t="s">
        <v>308</v>
      </c>
      <c r="C2472" s="5" t="s">
        <v>957</v>
      </c>
      <c r="D2472" s="5" t="s">
        <v>958</v>
      </c>
      <c r="E2472" s="6">
        <v>107149</v>
      </c>
      <c r="F2472" s="3">
        <v>127844</v>
      </c>
      <c r="G2472" s="57">
        <v>0.19314225984376895</v>
      </c>
      <c r="J2472" s="5" t="s">
        <v>4410</v>
      </c>
    </row>
    <row r="2473" spans="1:12" ht="25.5" x14ac:dyDescent="0.2">
      <c r="A2473" s="1" t="s">
        <v>1</v>
      </c>
      <c r="B2473" s="12" t="s">
        <v>308</v>
      </c>
      <c r="C2473" s="5" t="s">
        <v>959</v>
      </c>
      <c r="D2473" s="5" t="s">
        <v>908</v>
      </c>
      <c r="E2473" s="6">
        <v>107149</v>
      </c>
      <c r="F2473" s="3">
        <v>127844</v>
      </c>
      <c r="G2473" s="57">
        <v>0.19314225984376895</v>
      </c>
      <c r="J2473" s="5" t="s">
        <v>4410</v>
      </c>
    </row>
    <row r="2474" spans="1:12" x14ac:dyDescent="0.2">
      <c r="A2474" s="1" t="s">
        <v>39</v>
      </c>
      <c r="B2474" s="2" t="s">
        <v>435</v>
      </c>
      <c r="D2474" s="5" t="s">
        <v>2274</v>
      </c>
      <c r="E2474" s="3">
        <v>127024</v>
      </c>
      <c r="F2474" s="3">
        <v>127828</v>
      </c>
      <c r="G2474" s="57">
        <v>6.3295125330646174E-3</v>
      </c>
      <c r="J2474" s="5" t="s">
        <v>4591</v>
      </c>
    </row>
    <row r="2475" spans="1:12" ht="25.5" x14ac:dyDescent="0.2">
      <c r="A2475" s="1" t="s">
        <v>6</v>
      </c>
      <c r="B2475" s="2" t="s">
        <v>383</v>
      </c>
      <c r="D2475" s="5" t="s">
        <v>708</v>
      </c>
      <c r="E2475" s="3">
        <v>123452</v>
      </c>
      <c r="F2475" s="3">
        <v>127810</v>
      </c>
      <c r="G2475" s="57">
        <v>3.5301169685383792E-2</v>
      </c>
      <c r="J2475" s="5" t="s">
        <v>2504</v>
      </c>
    </row>
    <row r="2476" spans="1:12" ht="25.5" x14ac:dyDescent="0.2">
      <c r="A2476" s="1" t="s">
        <v>25</v>
      </c>
      <c r="B2476" s="12" t="s">
        <v>70</v>
      </c>
      <c r="C2476" s="13"/>
      <c r="D2476" s="7" t="s">
        <v>1931</v>
      </c>
      <c r="E2476" s="21">
        <v>128308</v>
      </c>
      <c r="F2476" s="21">
        <v>127687</v>
      </c>
      <c r="G2476" s="57">
        <v>-4.8399164510396862E-3</v>
      </c>
      <c r="H2476" s="21"/>
      <c r="I2476" s="21"/>
      <c r="J2476" s="7" t="s">
        <v>1932</v>
      </c>
      <c r="K2476" s="13"/>
      <c r="L2476" s="13"/>
    </row>
    <row r="2477" spans="1:12" ht="25.5" x14ac:dyDescent="0.2">
      <c r="A2477" s="1" t="s">
        <v>4</v>
      </c>
      <c r="B2477" s="2" t="s">
        <v>380</v>
      </c>
      <c r="D2477" s="5" t="s">
        <v>452</v>
      </c>
      <c r="E2477" s="3">
        <v>132515</v>
      </c>
      <c r="F2477" s="3">
        <v>127547</v>
      </c>
      <c r="G2477" s="57">
        <v>-3.7490095460891222E-2</v>
      </c>
      <c r="J2477" s="5" t="s">
        <v>2517</v>
      </c>
    </row>
    <row r="2478" spans="1:12" x14ac:dyDescent="0.2">
      <c r="A2478" s="1" t="s">
        <v>4</v>
      </c>
      <c r="B2478" s="12" t="s">
        <v>400</v>
      </c>
      <c r="D2478" s="5" t="s">
        <v>450</v>
      </c>
      <c r="E2478" s="3">
        <v>131856</v>
      </c>
      <c r="F2478" s="3">
        <v>127527</v>
      </c>
      <c r="G2478" s="57">
        <v>-3.2831270476883875E-2</v>
      </c>
      <c r="J2478" s="5" t="s">
        <v>2437</v>
      </c>
    </row>
    <row r="2479" spans="1:12" x14ac:dyDescent="0.2">
      <c r="A2479" s="1" t="s">
        <v>25</v>
      </c>
      <c r="B2479" s="2" t="s">
        <v>26</v>
      </c>
      <c r="C2479" s="1"/>
      <c r="D2479" s="5" t="s">
        <v>464</v>
      </c>
      <c r="E2479" s="58" t="s">
        <v>465</v>
      </c>
      <c r="F2479" s="3">
        <v>127500</v>
      </c>
      <c r="G2479" s="57" t="s">
        <v>465</v>
      </c>
      <c r="J2479" s="1"/>
    </row>
    <row r="2480" spans="1:12" x14ac:dyDescent="0.2">
      <c r="A2480" s="1" t="s">
        <v>25</v>
      </c>
      <c r="B2480" s="2" t="s">
        <v>26</v>
      </c>
      <c r="C2480" s="1"/>
      <c r="D2480" s="5" t="s">
        <v>464</v>
      </c>
      <c r="E2480" s="58" t="s">
        <v>465</v>
      </c>
      <c r="F2480" s="3">
        <v>127500</v>
      </c>
      <c r="G2480" s="57" t="s">
        <v>465</v>
      </c>
      <c r="J2480" s="1"/>
    </row>
    <row r="2481" spans="1:10" x14ac:dyDescent="0.2">
      <c r="A2481" s="1" t="s">
        <v>44</v>
      </c>
      <c r="B2481" s="2" t="s">
        <v>43</v>
      </c>
      <c r="C2481" s="1"/>
      <c r="D2481" s="5" t="s">
        <v>464</v>
      </c>
      <c r="E2481" s="3" t="s">
        <v>465</v>
      </c>
      <c r="F2481" s="3">
        <v>127500</v>
      </c>
      <c r="G2481" s="57" t="s">
        <v>465</v>
      </c>
      <c r="J2481" s="7" t="s">
        <v>539</v>
      </c>
    </row>
    <row r="2482" spans="1:10" x14ac:dyDescent="0.2">
      <c r="A2482" s="1" t="s">
        <v>6</v>
      </c>
      <c r="B2482" s="2" t="s">
        <v>46</v>
      </c>
      <c r="C2482" s="1"/>
      <c r="D2482" s="5" t="s">
        <v>464</v>
      </c>
      <c r="E2482" s="3" t="s">
        <v>465</v>
      </c>
      <c r="F2482" s="3">
        <v>127500</v>
      </c>
      <c r="G2482" s="57" t="s">
        <v>465</v>
      </c>
    </row>
    <row r="2483" spans="1:10" x14ac:dyDescent="0.2">
      <c r="A2483" s="1" t="s">
        <v>6</v>
      </c>
      <c r="B2483" s="2" t="s">
        <v>46</v>
      </c>
      <c r="C2483" s="1"/>
      <c r="D2483" s="5" t="s">
        <v>464</v>
      </c>
      <c r="E2483" s="3" t="s">
        <v>465</v>
      </c>
      <c r="F2483" s="3">
        <v>127500</v>
      </c>
      <c r="G2483" s="57" t="s">
        <v>465</v>
      </c>
    </row>
    <row r="2484" spans="1:10" x14ac:dyDescent="0.2">
      <c r="A2484" s="1" t="s">
        <v>6</v>
      </c>
      <c r="B2484" s="2" t="s">
        <v>46</v>
      </c>
      <c r="C2484" s="1"/>
      <c r="D2484" s="5" t="s">
        <v>464</v>
      </c>
      <c r="E2484" s="3" t="s">
        <v>465</v>
      </c>
      <c r="F2484" s="3">
        <v>127500</v>
      </c>
      <c r="G2484" s="57" t="s">
        <v>465</v>
      </c>
    </row>
    <row r="2485" spans="1:10" x14ac:dyDescent="0.2">
      <c r="A2485" s="1" t="s">
        <v>20</v>
      </c>
      <c r="B2485" s="2" t="s">
        <v>79</v>
      </c>
      <c r="C2485" s="1"/>
      <c r="D2485" s="5" t="s">
        <v>464</v>
      </c>
      <c r="E2485" s="3" t="s">
        <v>465</v>
      </c>
      <c r="F2485" s="3">
        <v>127500</v>
      </c>
      <c r="G2485" s="57" t="s">
        <v>465</v>
      </c>
    </row>
    <row r="2486" spans="1:10" x14ac:dyDescent="0.2">
      <c r="A2486" s="1" t="s">
        <v>6</v>
      </c>
      <c r="B2486" s="2" t="s">
        <v>85</v>
      </c>
      <c r="C2486" s="1"/>
      <c r="D2486" s="5" t="s">
        <v>464</v>
      </c>
      <c r="E2486" s="3" t="s">
        <v>465</v>
      </c>
      <c r="F2486" s="3">
        <v>127500</v>
      </c>
      <c r="G2486" s="57" t="s">
        <v>465</v>
      </c>
    </row>
    <row r="2487" spans="1:10" x14ac:dyDescent="0.2">
      <c r="A2487" s="1" t="s">
        <v>25</v>
      </c>
      <c r="B2487" s="2" t="s">
        <v>93</v>
      </c>
      <c r="C2487" s="1"/>
      <c r="D2487" s="5" t="s">
        <v>464</v>
      </c>
      <c r="E2487" s="3" t="s">
        <v>465</v>
      </c>
      <c r="F2487" s="3">
        <v>127500</v>
      </c>
      <c r="G2487" s="57" t="s">
        <v>465</v>
      </c>
    </row>
    <row r="2488" spans="1:10" x14ac:dyDescent="0.2">
      <c r="A2488" s="1" t="s">
        <v>25</v>
      </c>
      <c r="B2488" s="2" t="s">
        <v>93</v>
      </c>
      <c r="C2488" s="1"/>
      <c r="D2488" s="5" t="s">
        <v>464</v>
      </c>
      <c r="E2488" s="3" t="s">
        <v>465</v>
      </c>
      <c r="F2488" s="3">
        <v>127500</v>
      </c>
      <c r="G2488" s="57" t="s">
        <v>465</v>
      </c>
    </row>
    <row r="2489" spans="1:10" x14ac:dyDescent="0.2">
      <c r="A2489" s="1" t="s">
        <v>39</v>
      </c>
      <c r="B2489" s="2" t="s">
        <v>124</v>
      </c>
      <c r="C2489" s="1"/>
      <c r="D2489" s="5" t="s">
        <v>464</v>
      </c>
      <c r="E2489" s="3" t="s">
        <v>465</v>
      </c>
      <c r="F2489" s="3">
        <v>127500</v>
      </c>
      <c r="G2489" s="57" t="s">
        <v>465</v>
      </c>
    </row>
    <row r="2490" spans="1:10" x14ac:dyDescent="0.2">
      <c r="A2490" s="1" t="s">
        <v>111</v>
      </c>
      <c r="B2490" s="2" t="s">
        <v>128</v>
      </c>
      <c r="C2490" s="1"/>
      <c r="D2490" s="5" t="s">
        <v>464</v>
      </c>
      <c r="E2490" s="3" t="s">
        <v>465</v>
      </c>
      <c r="F2490" s="3">
        <v>127500</v>
      </c>
      <c r="G2490" s="57" t="s">
        <v>465</v>
      </c>
      <c r="J2490" s="1"/>
    </row>
    <row r="2491" spans="1:10" x14ac:dyDescent="0.2">
      <c r="A2491" s="1" t="s">
        <v>4</v>
      </c>
      <c r="B2491" s="2" t="s">
        <v>144</v>
      </c>
      <c r="C2491" s="1"/>
      <c r="D2491" s="5" t="s">
        <v>464</v>
      </c>
      <c r="E2491" s="3" t="s">
        <v>465</v>
      </c>
      <c r="F2491" s="3">
        <v>127500</v>
      </c>
      <c r="G2491" s="57" t="s">
        <v>465</v>
      </c>
    </row>
    <row r="2492" spans="1:10" x14ac:dyDescent="0.2">
      <c r="A2492" s="1" t="s">
        <v>4</v>
      </c>
      <c r="B2492" s="2" t="s">
        <v>144</v>
      </c>
      <c r="C2492" s="1"/>
      <c r="D2492" s="5" t="s">
        <v>464</v>
      </c>
      <c r="E2492" s="3" t="s">
        <v>465</v>
      </c>
      <c r="F2492" s="3">
        <v>127500</v>
      </c>
      <c r="G2492" s="57" t="s">
        <v>465</v>
      </c>
    </row>
    <row r="2493" spans="1:10" x14ac:dyDescent="0.2">
      <c r="A2493" s="1" t="s">
        <v>1</v>
      </c>
      <c r="B2493" s="2" t="s">
        <v>148</v>
      </c>
      <c r="C2493" s="1"/>
      <c r="D2493" s="5" t="s">
        <v>464</v>
      </c>
      <c r="E2493" s="3" t="s">
        <v>465</v>
      </c>
      <c r="F2493" s="3">
        <v>127500</v>
      </c>
      <c r="G2493" s="57" t="s">
        <v>465</v>
      </c>
    </row>
    <row r="2494" spans="1:10" x14ac:dyDescent="0.2">
      <c r="A2494" s="1" t="s">
        <v>1</v>
      </c>
      <c r="B2494" s="2" t="s">
        <v>148</v>
      </c>
      <c r="C2494" s="1"/>
      <c r="D2494" s="5" t="s">
        <v>464</v>
      </c>
      <c r="E2494" s="3" t="s">
        <v>465</v>
      </c>
      <c r="F2494" s="3">
        <v>127500</v>
      </c>
      <c r="G2494" s="57" t="s">
        <v>465</v>
      </c>
    </row>
    <row r="2495" spans="1:10" x14ac:dyDescent="0.2">
      <c r="A2495" s="1" t="s">
        <v>20</v>
      </c>
      <c r="B2495" s="2" t="s">
        <v>154</v>
      </c>
      <c r="C2495" s="1"/>
      <c r="D2495" s="5" t="s">
        <v>464</v>
      </c>
      <c r="E2495" s="3" t="s">
        <v>465</v>
      </c>
      <c r="F2495" s="3">
        <v>127500</v>
      </c>
      <c r="G2495" s="57" t="s">
        <v>465</v>
      </c>
      <c r="J2495" s="1"/>
    </row>
    <row r="2496" spans="1:10" x14ac:dyDescent="0.2">
      <c r="A2496" s="1" t="s">
        <v>111</v>
      </c>
      <c r="B2496" s="2" t="s">
        <v>166</v>
      </c>
      <c r="D2496" s="5" t="s">
        <v>464</v>
      </c>
      <c r="E2496" s="3" t="s">
        <v>465</v>
      </c>
      <c r="F2496" s="3">
        <v>127500</v>
      </c>
      <c r="G2496" s="57" t="s">
        <v>465</v>
      </c>
    </row>
    <row r="2497" spans="1:10" x14ac:dyDescent="0.2">
      <c r="A2497" s="1" t="s">
        <v>25</v>
      </c>
      <c r="B2497" s="2" t="s">
        <v>175</v>
      </c>
      <c r="D2497" s="5" t="s">
        <v>464</v>
      </c>
      <c r="E2497" s="3" t="s">
        <v>465</v>
      </c>
      <c r="F2497" s="3">
        <v>127500</v>
      </c>
      <c r="G2497" s="57" t="s">
        <v>465</v>
      </c>
    </row>
    <row r="2498" spans="1:10" x14ac:dyDescent="0.2">
      <c r="A2498" s="1" t="s">
        <v>25</v>
      </c>
      <c r="B2498" s="2" t="s">
        <v>181</v>
      </c>
      <c r="D2498" s="5" t="s">
        <v>464</v>
      </c>
      <c r="E2498" s="3" t="s">
        <v>465</v>
      </c>
      <c r="F2498" s="3">
        <v>127500</v>
      </c>
      <c r="G2498" s="57" t="s">
        <v>465</v>
      </c>
    </row>
    <row r="2499" spans="1:10" x14ac:dyDescent="0.2">
      <c r="A2499" s="1" t="s">
        <v>4</v>
      </c>
      <c r="B2499" s="2" t="s">
        <v>182</v>
      </c>
      <c r="D2499" s="5" t="s">
        <v>464</v>
      </c>
      <c r="E2499" s="3" t="s">
        <v>465</v>
      </c>
      <c r="F2499" s="3">
        <v>127500</v>
      </c>
      <c r="G2499" s="57" t="s">
        <v>465</v>
      </c>
      <c r="J2499" s="5" t="s">
        <v>1475</v>
      </c>
    </row>
    <row r="2500" spans="1:10" x14ac:dyDescent="0.2">
      <c r="A2500" s="1" t="s">
        <v>25</v>
      </c>
      <c r="B2500" s="2" t="s">
        <v>184</v>
      </c>
      <c r="D2500" s="5" t="s">
        <v>464</v>
      </c>
      <c r="E2500" s="3" t="s">
        <v>465</v>
      </c>
      <c r="F2500" s="3">
        <v>127500</v>
      </c>
      <c r="G2500" s="57" t="s">
        <v>465</v>
      </c>
    </row>
    <row r="2501" spans="1:10" x14ac:dyDescent="0.2">
      <c r="A2501" s="1" t="s">
        <v>6</v>
      </c>
      <c r="B2501" s="2" t="s">
        <v>216</v>
      </c>
      <c r="D2501" s="5" t="s">
        <v>464</v>
      </c>
      <c r="E2501" s="3" t="s">
        <v>465</v>
      </c>
      <c r="F2501" s="3">
        <v>127500</v>
      </c>
      <c r="G2501" s="57" t="s">
        <v>465</v>
      </c>
      <c r="J2501" s="1"/>
    </row>
    <row r="2502" spans="1:10" x14ac:dyDescent="0.2">
      <c r="A2502" s="1" t="s">
        <v>25</v>
      </c>
      <c r="B2502" s="2" t="s">
        <v>217</v>
      </c>
      <c r="D2502" s="5" t="s">
        <v>464</v>
      </c>
      <c r="E2502" s="3" t="s">
        <v>465</v>
      </c>
      <c r="F2502" s="3">
        <v>127500</v>
      </c>
      <c r="G2502" s="57" t="s">
        <v>465</v>
      </c>
    </row>
    <row r="2503" spans="1:10" x14ac:dyDescent="0.2">
      <c r="A2503" s="1" t="s">
        <v>6</v>
      </c>
      <c r="B2503" s="2" t="s">
        <v>218</v>
      </c>
      <c r="D2503" s="5" t="s">
        <v>464</v>
      </c>
      <c r="E2503" s="3" t="s">
        <v>465</v>
      </c>
      <c r="F2503" s="3">
        <v>127500</v>
      </c>
      <c r="G2503" s="57" t="s">
        <v>465</v>
      </c>
      <c r="J2503" s="5" t="s">
        <v>1241</v>
      </c>
    </row>
    <row r="2504" spans="1:10" x14ac:dyDescent="0.2">
      <c r="A2504" s="1" t="s">
        <v>6</v>
      </c>
      <c r="B2504" s="2" t="s">
        <v>237</v>
      </c>
      <c r="D2504" s="7" t="s">
        <v>464</v>
      </c>
      <c r="E2504" s="6" t="s">
        <v>465</v>
      </c>
      <c r="F2504" s="6">
        <v>127500</v>
      </c>
      <c r="G2504" s="57" t="s">
        <v>465</v>
      </c>
      <c r="H2504" s="21"/>
      <c r="I2504" s="21"/>
      <c r="J2504" s="7" t="s">
        <v>539</v>
      </c>
    </row>
    <row r="2505" spans="1:10" x14ac:dyDescent="0.2">
      <c r="A2505" s="1" t="s">
        <v>25</v>
      </c>
      <c r="B2505" s="2" t="s">
        <v>243</v>
      </c>
      <c r="D2505" s="7" t="s">
        <v>464</v>
      </c>
      <c r="E2505" s="6" t="s">
        <v>465</v>
      </c>
      <c r="F2505" s="6">
        <v>127500</v>
      </c>
      <c r="G2505" s="57" t="s">
        <v>465</v>
      </c>
      <c r="H2505" s="21"/>
      <c r="I2505" s="21"/>
      <c r="J2505" s="7" t="s">
        <v>539</v>
      </c>
    </row>
    <row r="2506" spans="1:10" x14ac:dyDescent="0.2">
      <c r="A2506" s="1" t="s">
        <v>25</v>
      </c>
      <c r="B2506" s="2" t="s">
        <v>243</v>
      </c>
      <c r="D2506" s="7" t="s">
        <v>464</v>
      </c>
      <c r="E2506" s="6" t="s">
        <v>465</v>
      </c>
      <c r="F2506" s="6">
        <v>127500</v>
      </c>
      <c r="G2506" s="57" t="s">
        <v>465</v>
      </c>
      <c r="H2506" s="21"/>
      <c r="I2506" s="21"/>
      <c r="J2506" s="7" t="s">
        <v>539</v>
      </c>
    </row>
    <row r="2507" spans="1:10" x14ac:dyDescent="0.2">
      <c r="A2507" s="1" t="s">
        <v>25</v>
      </c>
      <c r="B2507" s="2" t="s">
        <v>243</v>
      </c>
      <c r="D2507" s="7" t="s">
        <v>464</v>
      </c>
      <c r="E2507" s="6" t="s">
        <v>465</v>
      </c>
      <c r="F2507" s="6">
        <v>127500</v>
      </c>
      <c r="G2507" s="57" t="s">
        <v>465</v>
      </c>
      <c r="H2507" s="21"/>
      <c r="I2507" s="21"/>
      <c r="J2507" s="7"/>
    </row>
    <row r="2508" spans="1:10" x14ac:dyDescent="0.2">
      <c r="A2508" s="1" t="s">
        <v>4</v>
      </c>
      <c r="B2508" s="12" t="s">
        <v>249</v>
      </c>
      <c r="D2508" s="7" t="s">
        <v>464</v>
      </c>
      <c r="E2508" s="3" t="s">
        <v>465</v>
      </c>
      <c r="F2508" s="3">
        <v>127500</v>
      </c>
      <c r="G2508" s="57" t="s">
        <v>465</v>
      </c>
    </row>
    <row r="2509" spans="1:10" x14ac:dyDescent="0.2">
      <c r="A2509" s="1" t="s">
        <v>111</v>
      </c>
      <c r="B2509" s="12" t="s">
        <v>257</v>
      </c>
      <c r="D2509" s="5" t="s">
        <v>464</v>
      </c>
      <c r="E2509" s="3" t="s">
        <v>465</v>
      </c>
      <c r="F2509" s="3">
        <v>127500</v>
      </c>
      <c r="G2509" s="57" t="s">
        <v>465</v>
      </c>
    </row>
    <row r="2510" spans="1:10" x14ac:dyDescent="0.2">
      <c r="A2510" s="1" t="s">
        <v>25</v>
      </c>
      <c r="B2510" s="12" t="s">
        <v>259</v>
      </c>
      <c r="D2510" s="5" t="s">
        <v>464</v>
      </c>
      <c r="E2510" s="3" t="s">
        <v>465</v>
      </c>
      <c r="F2510" s="3">
        <v>127500</v>
      </c>
      <c r="G2510" s="57" t="s">
        <v>465</v>
      </c>
    </row>
    <row r="2511" spans="1:10" x14ac:dyDescent="0.2">
      <c r="A2511" s="1" t="s">
        <v>25</v>
      </c>
      <c r="B2511" s="12" t="s">
        <v>259</v>
      </c>
      <c r="D2511" s="5" t="s">
        <v>464</v>
      </c>
      <c r="E2511" s="3" t="s">
        <v>465</v>
      </c>
      <c r="F2511" s="3">
        <v>127500</v>
      </c>
      <c r="G2511" s="57" t="s">
        <v>465</v>
      </c>
    </row>
    <row r="2512" spans="1:10" x14ac:dyDescent="0.2">
      <c r="A2512" s="1" t="s">
        <v>25</v>
      </c>
      <c r="B2512" s="12" t="s">
        <v>259</v>
      </c>
      <c r="D2512" s="5" t="s">
        <v>464</v>
      </c>
      <c r="E2512" s="3" t="s">
        <v>465</v>
      </c>
      <c r="F2512" s="3">
        <v>127500</v>
      </c>
      <c r="G2512" s="57" t="s">
        <v>465</v>
      </c>
    </row>
    <row r="2513" spans="1:10" x14ac:dyDescent="0.2">
      <c r="A2513" s="1" t="s">
        <v>20</v>
      </c>
      <c r="B2513" s="2" t="s">
        <v>263</v>
      </c>
      <c r="D2513" s="7" t="s">
        <v>464</v>
      </c>
      <c r="E2513" s="6" t="s">
        <v>465</v>
      </c>
      <c r="F2513" s="6">
        <v>127500</v>
      </c>
      <c r="G2513" s="57" t="s">
        <v>465</v>
      </c>
      <c r="H2513" s="21"/>
      <c r="I2513" s="21"/>
      <c r="J2513" s="1"/>
    </row>
    <row r="2514" spans="1:10" x14ac:dyDescent="0.2">
      <c r="A2514" s="1" t="s">
        <v>20</v>
      </c>
      <c r="B2514" s="2" t="s">
        <v>263</v>
      </c>
      <c r="D2514" s="7" t="s">
        <v>464</v>
      </c>
      <c r="E2514" s="6" t="s">
        <v>465</v>
      </c>
      <c r="F2514" s="6">
        <v>127500</v>
      </c>
      <c r="G2514" s="57" t="s">
        <v>465</v>
      </c>
      <c r="H2514" s="21"/>
      <c r="I2514" s="21"/>
    </row>
    <row r="2515" spans="1:10" x14ac:dyDescent="0.2">
      <c r="A2515" s="1" t="s">
        <v>28</v>
      </c>
      <c r="B2515" s="2" t="s">
        <v>269</v>
      </c>
      <c r="D2515" s="5" t="s">
        <v>464</v>
      </c>
      <c r="E2515" s="3" t="s">
        <v>465</v>
      </c>
      <c r="F2515" s="3">
        <v>127500</v>
      </c>
      <c r="G2515" s="57" t="s">
        <v>465</v>
      </c>
    </row>
    <row r="2516" spans="1:10" x14ac:dyDescent="0.2">
      <c r="A2516" s="1" t="s">
        <v>111</v>
      </c>
      <c r="B2516" s="2" t="s">
        <v>282</v>
      </c>
      <c r="D2516" s="5" t="s">
        <v>464</v>
      </c>
      <c r="E2516" s="3" t="s">
        <v>465</v>
      </c>
      <c r="F2516" s="3">
        <v>127500</v>
      </c>
      <c r="G2516" s="57" t="s">
        <v>465</v>
      </c>
      <c r="J2516" s="5" t="s">
        <v>539</v>
      </c>
    </row>
    <row r="2517" spans="1:10" x14ac:dyDescent="0.2">
      <c r="A2517" s="1" t="s">
        <v>111</v>
      </c>
      <c r="B2517" s="2" t="s">
        <v>282</v>
      </c>
      <c r="D2517" s="5" t="s">
        <v>464</v>
      </c>
      <c r="E2517" s="3" t="s">
        <v>465</v>
      </c>
      <c r="F2517" s="3">
        <v>127500</v>
      </c>
      <c r="G2517" s="57" t="s">
        <v>465</v>
      </c>
      <c r="J2517" s="5" t="s">
        <v>539</v>
      </c>
    </row>
    <row r="2518" spans="1:10" x14ac:dyDescent="0.2">
      <c r="A2518" s="1" t="s">
        <v>8</v>
      </c>
      <c r="B2518" s="2" t="s">
        <v>285</v>
      </c>
      <c r="D2518" s="5" t="s">
        <v>464</v>
      </c>
      <c r="E2518" s="3" t="s">
        <v>465</v>
      </c>
      <c r="F2518" s="3">
        <v>127500</v>
      </c>
      <c r="G2518" s="57" t="s">
        <v>465</v>
      </c>
      <c r="H2518" s="4"/>
      <c r="I2518" s="4"/>
      <c r="J2518" s="1"/>
    </row>
    <row r="2519" spans="1:10" x14ac:dyDescent="0.2">
      <c r="A2519" s="1" t="s">
        <v>8</v>
      </c>
      <c r="B2519" s="2" t="s">
        <v>285</v>
      </c>
      <c r="D2519" s="5" t="s">
        <v>464</v>
      </c>
      <c r="E2519" s="3" t="s">
        <v>465</v>
      </c>
      <c r="F2519" s="3">
        <v>127500</v>
      </c>
      <c r="G2519" s="57" t="s">
        <v>465</v>
      </c>
      <c r="H2519" s="4"/>
      <c r="I2519" s="4"/>
      <c r="J2519" s="1"/>
    </row>
    <row r="2520" spans="1:10" x14ac:dyDescent="0.2">
      <c r="A2520" s="1" t="s">
        <v>8</v>
      </c>
      <c r="B2520" s="2" t="s">
        <v>285</v>
      </c>
      <c r="D2520" s="5" t="s">
        <v>464</v>
      </c>
      <c r="E2520" s="3" t="s">
        <v>465</v>
      </c>
      <c r="F2520" s="3">
        <v>127500</v>
      </c>
      <c r="G2520" s="57" t="s">
        <v>465</v>
      </c>
      <c r="H2520" s="4"/>
      <c r="I2520" s="4"/>
      <c r="J2520" s="1"/>
    </row>
    <row r="2521" spans="1:10" x14ac:dyDescent="0.2">
      <c r="A2521" s="1" t="s">
        <v>6</v>
      </c>
      <c r="B2521" s="2" t="s">
        <v>288</v>
      </c>
      <c r="D2521" s="5" t="s">
        <v>464</v>
      </c>
      <c r="E2521" s="3" t="s">
        <v>465</v>
      </c>
      <c r="F2521" s="3">
        <v>127500</v>
      </c>
      <c r="G2521" s="57" t="s">
        <v>465</v>
      </c>
      <c r="H2521" s="4"/>
      <c r="I2521" s="4"/>
      <c r="J2521" s="1"/>
    </row>
    <row r="2522" spans="1:10" x14ac:dyDescent="0.2">
      <c r="A2522" s="1" t="s">
        <v>4</v>
      </c>
      <c r="B2522" s="2" t="s">
        <v>299</v>
      </c>
      <c r="D2522" s="5" t="s">
        <v>464</v>
      </c>
      <c r="E2522" s="3" t="s">
        <v>465</v>
      </c>
      <c r="F2522" s="3">
        <v>127500</v>
      </c>
      <c r="G2522" s="57" t="s">
        <v>465</v>
      </c>
    </row>
    <row r="2523" spans="1:10" x14ac:dyDescent="0.2">
      <c r="A2523" s="1" t="s">
        <v>39</v>
      </c>
      <c r="B2523" s="2" t="s">
        <v>325</v>
      </c>
      <c r="D2523" s="5" t="s">
        <v>464</v>
      </c>
      <c r="F2523" s="3">
        <v>127500</v>
      </c>
      <c r="G2523" s="57" t="s">
        <v>465</v>
      </c>
      <c r="J2523" s="5" t="s">
        <v>1241</v>
      </c>
    </row>
    <row r="2524" spans="1:10" x14ac:dyDescent="0.2">
      <c r="A2524" s="1" t="s">
        <v>39</v>
      </c>
      <c r="B2524" s="2" t="s">
        <v>325</v>
      </c>
      <c r="D2524" s="5" t="s">
        <v>464</v>
      </c>
      <c r="F2524" s="3">
        <v>127500</v>
      </c>
      <c r="G2524" s="57" t="s">
        <v>465</v>
      </c>
      <c r="J2524" s="5" t="s">
        <v>1241</v>
      </c>
    </row>
    <row r="2525" spans="1:10" x14ac:dyDescent="0.2">
      <c r="A2525" s="1" t="s">
        <v>39</v>
      </c>
      <c r="B2525" s="2" t="s">
        <v>335</v>
      </c>
      <c r="D2525" s="7" t="s">
        <v>464</v>
      </c>
      <c r="E2525" s="6" t="s">
        <v>465</v>
      </c>
      <c r="F2525" s="6">
        <v>127500</v>
      </c>
      <c r="G2525" s="57" t="s">
        <v>465</v>
      </c>
      <c r="H2525" s="21"/>
      <c r="I2525" s="21"/>
    </row>
    <row r="2526" spans="1:10" x14ac:dyDescent="0.2">
      <c r="A2526" s="1" t="s">
        <v>4</v>
      </c>
      <c r="B2526" s="2" t="s">
        <v>336</v>
      </c>
      <c r="D2526" s="5" t="s">
        <v>464</v>
      </c>
      <c r="E2526" s="3" t="s">
        <v>465</v>
      </c>
      <c r="F2526" s="3">
        <v>127500</v>
      </c>
      <c r="G2526" s="57" t="s">
        <v>465</v>
      </c>
    </row>
    <row r="2527" spans="1:10" x14ac:dyDescent="0.2">
      <c r="A2527" s="1" t="s">
        <v>4</v>
      </c>
      <c r="B2527" s="2" t="s">
        <v>336</v>
      </c>
      <c r="D2527" s="5" t="s">
        <v>464</v>
      </c>
      <c r="E2527" s="3" t="s">
        <v>465</v>
      </c>
      <c r="F2527" s="3">
        <v>127500</v>
      </c>
      <c r="G2527" s="57" t="s">
        <v>465</v>
      </c>
    </row>
    <row r="2528" spans="1:10" x14ac:dyDescent="0.2">
      <c r="A2528" s="1" t="s">
        <v>39</v>
      </c>
      <c r="B2528" s="2" t="s">
        <v>337</v>
      </c>
      <c r="D2528" s="5" t="s">
        <v>464</v>
      </c>
      <c r="E2528" s="3" t="s">
        <v>465</v>
      </c>
      <c r="F2528" s="3">
        <v>127500</v>
      </c>
      <c r="G2528" s="57" t="s">
        <v>465</v>
      </c>
    </row>
    <row r="2529" spans="1:10" x14ac:dyDescent="0.2">
      <c r="A2529" s="1" t="s">
        <v>39</v>
      </c>
      <c r="B2529" s="2" t="s">
        <v>364</v>
      </c>
      <c r="D2529" s="5" t="s">
        <v>464</v>
      </c>
      <c r="E2529" s="3" t="s">
        <v>465</v>
      </c>
      <c r="F2529" s="3">
        <v>127500</v>
      </c>
      <c r="G2529" s="57" t="s">
        <v>465</v>
      </c>
      <c r="J2529" s="5" t="s">
        <v>539</v>
      </c>
    </row>
    <row r="2530" spans="1:10" x14ac:dyDescent="0.2">
      <c r="A2530" s="1" t="s">
        <v>39</v>
      </c>
      <c r="B2530" s="2" t="s">
        <v>370</v>
      </c>
      <c r="D2530" s="5" t="s">
        <v>464</v>
      </c>
      <c r="E2530" s="3" t="s">
        <v>465</v>
      </c>
      <c r="F2530" s="3">
        <v>127500</v>
      </c>
      <c r="G2530" s="57" t="s">
        <v>465</v>
      </c>
      <c r="J2530" s="5" t="s">
        <v>539</v>
      </c>
    </row>
    <row r="2531" spans="1:10" x14ac:dyDescent="0.2">
      <c r="A2531" s="1" t="s">
        <v>111</v>
      </c>
      <c r="B2531" s="2" t="s">
        <v>376</v>
      </c>
      <c r="D2531" s="5" t="s">
        <v>464</v>
      </c>
      <c r="E2531" s="3" t="s">
        <v>465</v>
      </c>
      <c r="F2531" s="3">
        <v>127500</v>
      </c>
      <c r="G2531" s="57" t="s">
        <v>465</v>
      </c>
    </row>
    <row r="2532" spans="1:10" x14ac:dyDescent="0.2">
      <c r="A2532" s="1" t="s">
        <v>25</v>
      </c>
      <c r="B2532" s="2" t="s">
        <v>398</v>
      </c>
      <c r="D2532" s="5" t="s">
        <v>464</v>
      </c>
      <c r="E2532" s="3" t="s">
        <v>465</v>
      </c>
      <c r="F2532" s="3">
        <v>127500</v>
      </c>
      <c r="G2532" s="57" t="s">
        <v>465</v>
      </c>
      <c r="J2532" s="5" t="s">
        <v>1241</v>
      </c>
    </row>
    <row r="2533" spans="1:10" x14ac:dyDescent="0.2">
      <c r="A2533" s="1" t="s">
        <v>25</v>
      </c>
      <c r="B2533" s="2" t="s">
        <v>398</v>
      </c>
      <c r="D2533" s="5" t="s">
        <v>464</v>
      </c>
      <c r="E2533" s="3" t="s">
        <v>465</v>
      </c>
      <c r="F2533" s="3">
        <v>127500</v>
      </c>
      <c r="G2533" s="57" t="s">
        <v>465</v>
      </c>
      <c r="J2533" s="5" t="s">
        <v>1241</v>
      </c>
    </row>
    <row r="2534" spans="1:10" x14ac:dyDescent="0.2">
      <c r="A2534" s="1" t="s">
        <v>25</v>
      </c>
      <c r="B2534" s="2" t="s">
        <v>405</v>
      </c>
      <c r="D2534" s="5" t="s">
        <v>464</v>
      </c>
      <c r="E2534" s="3" t="s">
        <v>465</v>
      </c>
      <c r="F2534" s="3">
        <v>127500</v>
      </c>
      <c r="G2534" s="57" t="s">
        <v>465</v>
      </c>
    </row>
    <row r="2535" spans="1:10" x14ac:dyDescent="0.2">
      <c r="A2535" s="1" t="s">
        <v>25</v>
      </c>
      <c r="B2535" s="2" t="s">
        <v>406</v>
      </c>
      <c r="D2535" s="5" t="s">
        <v>464</v>
      </c>
      <c r="E2535" s="3" t="s">
        <v>465</v>
      </c>
      <c r="F2535" s="3">
        <v>127500</v>
      </c>
      <c r="G2535" s="57" t="s">
        <v>465</v>
      </c>
      <c r="J2535" s="1"/>
    </row>
    <row r="2536" spans="1:10" x14ac:dyDescent="0.2">
      <c r="A2536" s="1" t="s">
        <v>39</v>
      </c>
      <c r="B2536" s="2" t="s">
        <v>409</v>
      </c>
      <c r="D2536" s="5" t="s">
        <v>587</v>
      </c>
      <c r="E2536" s="3" t="s">
        <v>465</v>
      </c>
      <c r="F2536" s="3">
        <v>127500</v>
      </c>
      <c r="G2536" s="57" t="s">
        <v>465</v>
      </c>
      <c r="J2536" s="5" t="s">
        <v>540</v>
      </c>
    </row>
    <row r="2537" spans="1:10" x14ac:dyDescent="0.2">
      <c r="A2537" s="1" t="s">
        <v>39</v>
      </c>
      <c r="B2537" s="2" t="s">
        <v>409</v>
      </c>
      <c r="D2537" s="5" t="s">
        <v>587</v>
      </c>
      <c r="E2537" s="3" t="s">
        <v>465</v>
      </c>
      <c r="F2537" s="3">
        <v>127500</v>
      </c>
      <c r="G2537" s="57" t="s">
        <v>465</v>
      </c>
      <c r="J2537" s="5" t="s">
        <v>540</v>
      </c>
    </row>
    <row r="2538" spans="1:10" x14ac:dyDescent="0.2">
      <c r="A2538" s="1" t="s">
        <v>4</v>
      </c>
      <c r="B2538" s="2" t="s">
        <v>415</v>
      </c>
      <c r="D2538" s="5" t="s">
        <v>464</v>
      </c>
      <c r="E2538" s="3" t="s">
        <v>465</v>
      </c>
      <c r="F2538" s="3">
        <v>127500</v>
      </c>
      <c r="G2538" s="57" t="s">
        <v>465</v>
      </c>
      <c r="J2538" s="5" t="s">
        <v>539</v>
      </c>
    </row>
    <row r="2539" spans="1:10" x14ac:dyDescent="0.2">
      <c r="A2539" s="1" t="s">
        <v>34</v>
      </c>
      <c r="B2539" s="2" t="s">
        <v>427</v>
      </c>
      <c r="D2539" s="5" t="s">
        <v>464</v>
      </c>
      <c r="E2539" s="3" t="s">
        <v>465</v>
      </c>
      <c r="F2539" s="3">
        <v>127500</v>
      </c>
      <c r="G2539" s="57" t="s">
        <v>465</v>
      </c>
      <c r="J2539" s="5" t="s">
        <v>1241</v>
      </c>
    </row>
    <row r="2540" spans="1:10" x14ac:dyDescent="0.2">
      <c r="A2540" s="1" t="s">
        <v>34</v>
      </c>
      <c r="B2540" s="2" t="s">
        <v>427</v>
      </c>
      <c r="D2540" s="5" t="s">
        <v>464</v>
      </c>
      <c r="E2540" s="3" t="s">
        <v>465</v>
      </c>
      <c r="F2540" s="3">
        <v>127500</v>
      </c>
      <c r="G2540" s="57" t="s">
        <v>465</v>
      </c>
      <c r="J2540" s="5" t="s">
        <v>1241</v>
      </c>
    </row>
    <row r="2541" spans="1:10" x14ac:dyDescent="0.2">
      <c r="A2541" s="1" t="s">
        <v>34</v>
      </c>
      <c r="B2541" s="2" t="s">
        <v>427</v>
      </c>
      <c r="D2541" s="5" t="s">
        <v>464</v>
      </c>
      <c r="E2541" s="3" t="s">
        <v>465</v>
      </c>
      <c r="F2541" s="3">
        <v>127500</v>
      </c>
      <c r="G2541" s="57" t="s">
        <v>465</v>
      </c>
    </row>
    <row r="2542" spans="1:10" x14ac:dyDescent="0.2">
      <c r="A2542" s="1" t="s">
        <v>39</v>
      </c>
      <c r="B2542" s="2" t="s">
        <v>433</v>
      </c>
      <c r="D2542" s="5" t="s">
        <v>464</v>
      </c>
      <c r="E2542" s="3" t="s">
        <v>465</v>
      </c>
      <c r="F2542" s="3">
        <v>127500</v>
      </c>
      <c r="G2542" s="57" t="s">
        <v>465</v>
      </c>
      <c r="J2542" s="5" t="s">
        <v>539</v>
      </c>
    </row>
    <row r="2543" spans="1:10" x14ac:dyDescent="0.2">
      <c r="A2543" s="1" t="s">
        <v>44</v>
      </c>
      <c r="B2543" s="2" t="s">
        <v>436</v>
      </c>
      <c r="D2543" s="5" t="s">
        <v>464</v>
      </c>
      <c r="E2543" s="3" t="s">
        <v>465</v>
      </c>
      <c r="F2543" s="3">
        <v>127500</v>
      </c>
      <c r="G2543" s="57" t="s">
        <v>465</v>
      </c>
    </row>
    <row r="2544" spans="1:10" ht="25.5" x14ac:dyDescent="0.2">
      <c r="A2544" s="1" t="s">
        <v>8</v>
      </c>
      <c r="B2544" s="2" t="s">
        <v>419</v>
      </c>
      <c r="C2544" s="5" t="s">
        <v>579</v>
      </c>
      <c r="D2544" s="5" t="s">
        <v>450</v>
      </c>
      <c r="E2544" s="3" t="s">
        <v>465</v>
      </c>
      <c r="F2544" s="3">
        <v>127468</v>
      </c>
      <c r="G2544" s="57" t="s">
        <v>465</v>
      </c>
      <c r="J2544" s="5" t="s">
        <v>4552</v>
      </c>
    </row>
    <row r="2545" spans="1:12" ht="25.5" x14ac:dyDescent="0.2">
      <c r="A2545" s="1" t="s">
        <v>20</v>
      </c>
      <c r="B2545" s="2" t="s">
        <v>357</v>
      </c>
      <c r="C2545" s="5" t="s">
        <v>814</v>
      </c>
      <c r="D2545" s="15" t="s">
        <v>815</v>
      </c>
      <c r="E2545" s="9">
        <v>126135</v>
      </c>
      <c r="F2545" s="9">
        <v>127453</v>
      </c>
      <c r="G2545" s="57">
        <v>1.0449121972489792E-2</v>
      </c>
      <c r="J2545" s="5" t="s">
        <v>4690</v>
      </c>
    </row>
    <row r="2546" spans="1:12" x14ac:dyDescent="0.2">
      <c r="A2546" s="1" t="s">
        <v>8</v>
      </c>
      <c r="B2546" s="2" t="s">
        <v>62</v>
      </c>
      <c r="C2546" s="1"/>
      <c r="D2546" s="5" t="s">
        <v>450</v>
      </c>
      <c r="E2546" s="3">
        <v>124328</v>
      </c>
      <c r="F2546" s="3">
        <v>127448</v>
      </c>
      <c r="G2546" s="57">
        <v>2.5094910237436457E-2</v>
      </c>
      <c r="J2546" s="5" t="s">
        <v>1876</v>
      </c>
    </row>
    <row r="2547" spans="1:12" x14ac:dyDescent="0.2">
      <c r="A2547" s="1" t="s">
        <v>34</v>
      </c>
      <c r="B2547" s="2" t="s">
        <v>297</v>
      </c>
      <c r="D2547" s="5" t="s">
        <v>996</v>
      </c>
      <c r="E2547" s="3">
        <v>130081</v>
      </c>
      <c r="F2547" s="3">
        <v>127436</v>
      </c>
      <c r="G2547" s="57">
        <v>-2.0333484521182957E-2</v>
      </c>
      <c r="J2547" s="5" t="s">
        <v>2870</v>
      </c>
    </row>
    <row r="2548" spans="1:12" x14ac:dyDescent="0.2">
      <c r="A2548" s="1" t="s">
        <v>6</v>
      </c>
      <c r="B2548" s="2" t="s">
        <v>46</v>
      </c>
      <c r="C2548" s="1"/>
      <c r="D2548" s="5" t="s">
        <v>476</v>
      </c>
      <c r="E2548" s="3">
        <v>148773</v>
      </c>
      <c r="F2548" s="3">
        <v>127380</v>
      </c>
      <c r="G2548" s="57">
        <v>-0.14379625335242283</v>
      </c>
      <c r="J2548" s="5" t="s">
        <v>1798</v>
      </c>
    </row>
    <row r="2549" spans="1:12" x14ac:dyDescent="0.2">
      <c r="A2549" s="1" t="s">
        <v>6</v>
      </c>
      <c r="B2549" s="2" t="s">
        <v>46</v>
      </c>
      <c r="C2549" s="1"/>
      <c r="D2549" s="5" t="s">
        <v>1799</v>
      </c>
      <c r="E2549" s="3">
        <v>125836</v>
      </c>
      <c r="F2549" s="3">
        <v>127380</v>
      </c>
      <c r="G2549" s="57">
        <v>1.2269938650306749E-2</v>
      </c>
      <c r="J2549" s="5" t="s">
        <v>1798</v>
      </c>
    </row>
    <row r="2550" spans="1:12" ht="25.5" x14ac:dyDescent="0.2">
      <c r="A2550" s="1" t="s">
        <v>44</v>
      </c>
      <c r="B2550" s="2" t="s">
        <v>2429</v>
      </c>
      <c r="D2550" s="5" t="s">
        <v>690</v>
      </c>
      <c r="E2550" s="3">
        <v>123850</v>
      </c>
      <c r="F2550" s="3">
        <v>127125</v>
      </c>
      <c r="G2550" s="57">
        <v>2.6443278159063385E-2</v>
      </c>
      <c r="J2550" s="5" t="s">
        <v>2435</v>
      </c>
    </row>
    <row r="2551" spans="1:12" ht="25.5" x14ac:dyDescent="0.2">
      <c r="A2551" s="1" t="s">
        <v>8</v>
      </c>
      <c r="B2551" s="2" t="s">
        <v>115</v>
      </c>
      <c r="C2551" s="1"/>
      <c r="D2551" s="5" t="s">
        <v>2158</v>
      </c>
      <c r="E2551" s="3" t="s">
        <v>465</v>
      </c>
      <c r="F2551" s="3">
        <v>127111</v>
      </c>
      <c r="G2551" s="57" t="s">
        <v>465</v>
      </c>
      <c r="J2551" s="5" t="s">
        <v>4274</v>
      </c>
    </row>
    <row r="2552" spans="1:12" ht="25.5" x14ac:dyDescent="0.2">
      <c r="A2552" s="1" t="s">
        <v>28</v>
      </c>
      <c r="B2552" s="12" t="s">
        <v>50</v>
      </c>
      <c r="C2552" s="13"/>
      <c r="D2552" s="7" t="s">
        <v>3751</v>
      </c>
      <c r="E2552" s="6">
        <v>117544</v>
      </c>
      <c r="F2552" s="6">
        <v>127104</v>
      </c>
      <c r="G2552" s="57">
        <v>8.133124617164636E-2</v>
      </c>
      <c r="H2552" s="21"/>
      <c r="I2552" s="21"/>
      <c r="J2552" s="7" t="s">
        <v>3752</v>
      </c>
      <c r="K2552" s="13"/>
      <c r="L2552" s="13"/>
    </row>
    <row r="2553" spans="1:12" ht="51" x14ac:dyDescent="0.2">
      <c r="A2553" s="13" t="s">
        <v>4719</v>
      </c>
      <c r="B2553" s="12" t="s">
        <v>246</v>
      </c>
      <c r="C2553" s="7"/>
      <c r="D2553" s="7" t="s">
        <v>4365</v>
      </c>
      <c r="E2553" s="6">
        <v>116162</v>
      </c>
      <c r="F2553" s="6">
        <v>127101</v>
      </c>
      <c r="G2553" s="57">
        <v>9.417021056799986E-2</v>
      </c>
      <c r="H2553" s="21"/>
      <c r="I2553" s="21"/>
      <c r="J2553" s="7" t="s">
        <v>4366</v>
      </c>
      <c r="K2553" s="13"/>
      <c r="L2553" s="13"/>
    </row>
    <row r="2554" spans="1:12" ht="25.5" x14ac:dyDescent="0.2">
      <c r="A2554" s="1" t="s">
        <v>39</v>
      </c>
      <c r="B2554" s="2" t="s">
        <v>193</v>
      </c>
      <c r="D2554" s="5" t="s">
        <v>463</v>
      </c>
      <c r="E2554" s="9">
        <v>131491</v>
      </c>
      <c r="F2554" s="9">
        <v>127006</v>
      </c>
      <c r="G2554" s="57">
        <v>-3.410879832079762E-2</v>
      </c>
      <c r="J2554" s="5" t="s">
        <v>3484</v>
      </c>
    </row>
    <row r="2555" spans="1:12" ht="38.25" x14ac:dyDescent="0.2">
      <c r="A2555" s="1" t="s">
        <v>4</v>
      </c>
      <c r="B2555" s="2" t="s">
        <v>152</v>
      </c>
      <c r="C2555" s="1"/>
      <c r="D2555" s="5" t="s">
        <v>450</v>
      </c>
      <c r="E2555" s="3">
        <v>118000</v>
      </c>
      <c r="F2555" s="3">
        <v>127000</v>
      </c>
      <c r="G2555" s="57">
        <v>7.6271186440677971E-2</v>
      </c>
      <c r="J2555" s="5" t="s">
        <v>4320</v>
      </c>
    </row>
    <row r="2556" spans="1:12" ht="38.25" x14ac:dyDescent="0.2">
      <c r="A2556" s="1" t="s">
        <v>39</v>
      </c>
      <c r="B2556" s="2" t="s">
        <v>434</v>
      </c>
      <c r="D2556" s="5" t="s">
        <v>470</v>
      </c>
      <c r="E2556" s="3">
        <v>8220</v>
      </c>
      <c r="F2556" s="3">
        <v>126988</v>
      </c>
      <c r="G2556" s="57">
        <v>14.448661800486619</v>
      </c>
      <c r="J2556" s="5" t="s">
        <v>4578</v>
      </c>
    </row>
    <row r="2557" spans="1:12" ht="25.5" x14ac:dyDescent="0.2">
      <c r="A2557" s="1" t="s">
        <v>39</v>
      </c>
      <c r="B2557" s="2" t="s">
        <v>408</v>
      </c>
      <c r="D2557" s="5" t="s">
        <v>450</v>
      </c>
      <c r="E2557" s="3">
        <v>129822</v>
      </c>
      <c r="F2557" s="3">
        <v>126985</v>
      </c>
      <c r="G2557" s="57">
        <v>-2.1852998721326122E-2</v>
      </c>
      <c r="J2557" s="5" t="s">
        <v>1626</v>
      </c>
    </row>
    <row r="2558" spans="1:12" ht="25.5" x14ac:dyDescent="0.2">
      <c r="A2558" s="1" t="s">
        <v>39</v>
      </c>
      <c r="B2558" s="2" t="s">
        <v>384</v>
      </c>
      <c r="D2558" s="5" t="s">
        <v>450</v>
      </c>
      <c r="E2558" s="3">
        <v>125569</v>
      </c>
      <c r="F2558" s="3">
        <v>126959</v>
      </c>
      <c r="G2558" s="57">
        <v>1.1069611130135623E-2</v>
      </c>
      <c r="J2558" s="5" t="s">
        <v>2495</v>
      </c>
    </row>
    <row r="2559" spans="1:12" x14ac:dyDescent="0.2">
      <c r="A2559" s="1" t="s">
        <v>25</v>
      </c>
      <c r="B2559" s="2" t="s">
        <v>197</v>
      </c>
      <c r="D2559" s="5" t="s">
        <v>1407</v>
      </c>
      <c r="E2559" s="9">
        <v>118965</v>
      </c>
      <c r="F2559" s="9">
        <v>126829</v>
      </c>
      <c r="G2559" s="57">
        <v>6.610347581221368E-2</v>
      </c>
      <c r="J2559" s="5" t="s">
        <v>3444</v>
      </c>
    </row>
    <row r="2560" spans="1:12" ht="25.5" x14ac:dyDescent="0.2">
      <c r="A2560" s="1" t="s">
        <v>4</v>
      </c>
      <c r="B2560" s="2" t="s">
        <v>292</v>
      </c>
      <c r="D2560" s="5" t="s">
        <v>1016</v>
      </c>
      <c r="E2560" s="3">
        <v>126838</v>
      </c>
      <c r="F2560" s="3">
        <v>126821</v>
      </c>
      <c r="G2560" s="57">
        <v>-1.3402923414118797E-4</v>
      </c>
      <c r="J2560" s="5" t="s">
        <v>2910</v>
      </c>
    </row>
    <row r="2561" spans="1:12" ht="25.5" x14ac:dyDescent="0.2">
      <c r="A2561" s="1" t="s">
        <v>4</v>
      </c>
      <c r="B2561" s="2" t="s">
        <v>292</v>
      </c>
      <c r="D2561" s="5" t="s">
        <v>1017</v>
      </c>
      <c r="E2561" s="3">
        <v>126794</v>
      </c>
      <c r="F2561" s="3">
        <v>126794</v>
      </c>
      <c r="G2561" s="57">
        <v>0</v>
      </c>
      <c r="J2561" s="5" t="s">
        <v>2911</v>
      </c>
    </row>
    <row r="2562" spans="1:12" ht="25.5" x14ac:dyDescent="0.2">
      <c r="A2562" s="1" t="s">
        <v>39</v>
      </c>
      <c r="B2562" s="2" t="s">
        <v>226</v>
      </c>
      <c r="D2562" s="5" t="s">
        <v>450</v>
      </c>
      <c r="E2562" s="3">
        <v>126476</v>
      </c>
      <c r="F2562" s="3">
        <v>126708</v>
      </c>
      <c r="G2562" s="57">
        <v>1.834340111958E-3</v>
      </c>
      <c r="J2562" s="5" t="s">
        <v>3238</v>
      </c>
    </row>
    <row r="2563" spans="1:12" ht="25.5" x14ac:dyDescent="0.2">
      <c r="A2563" s="1" t="s">
        <v>39</v>
      </c>
      <c r="B2563" s="2" t="s">
        <v>437</v>
      </c>
      <c r="D2563" s="5" t="s">
        <v>470</v>
      </c>
      <c r="E2563" s="3">
        <v>126501</v>
      </c>
      <c r="F2563" s="3">
        <v>126684</v>
      </c>
      <c r="G2563" s="57">
        <v>1.4466288804041074E-3</v>
      </c>
      <c r="J2563" s="5" t="s">
        <v>2262</v>
      </c>
    </row>
    <row r="2564" spans="1:12" ht="38.25" x14ac:dyDescent="0.2">
      <c r="A2564" s="1" t="s">
        <v>20</v>
      </c>
      <c r="B2564" s="2" t="s">
        <v>131</v>
      </c>
      <c r="C2564" s="1"/>
      <c r="D2564" s="5" t="s">
        <v>455</v>
      </c>
      <c r="E2564" s="3">
        <v>119441</v>
      </c>
      <c r="F2564" s="3">
        <v>126651</v>
      </c>
      <c r="G2564" s="57">
        <v>6.0364531442302055E-2</v>
      </c>
      <c r="J2564" s="5" t="s">
        <v>3953</v>
      </c>
    </row>
    <row r="2565" spans="1:12" ht="25.5" x14ac:dyDescent="0.2">
      <c r="A2565" s="1" t="s">
        <v>44</v>
      </c>
      <c r="B2565" s="2" t="s">
        <v>2429</v>
      </c>
      <c r="D2565" s="5" t="s">
        <v>4708</v>
      </c>
      <c r="E2565" s="3">
        <v>127915</v>
      </c>
      <c r="F2565" s="3">
        <v>126619</v>
      </c>
      <c r="G2565" s="57">
        <v>-1.0131728100691866E-2</v>
      </c>
      <c r="J2565" s="5" t="s">
        <v>2432</v>
      </c>
    </row>
    <row r="2566" spans="1:12" ht="25.5" x14ac:dyDescent="0.2">
      <c r="A2566" s="1" t="s">
        <v>25</v>
      </c>
      <c r="B2566" s="2" t="s">
        <v>405</v>
      </c>
      <c r="D2566" s="5" t="s">
        <v>451</v>
      </c>
      <c r="E2566" s="3" t="s">
        <v>465</v>
      </c>
      <c r="F2566" s="3">
        <v>126391</v>
      </c>
      <c r="G2566" s="57" t="s">
        <v>465</v>
      </c>
      <c r="J2566" s="5" t="s">
        <v>2416</v>
      </c>
    </row>
    <row r="2567" spans="1:12" ht="25.5" x14ac:dyDescent="0.2">
      <c r="A2567" s="1" t="s">
        <v>6</v>
      </c>
      <c r="B2567" s="2" t="s">
        <v>430</v>
      </c>
      <c r="D2567" s="5" t="s">
        <v>510</v>
      </c>
      <c r="E2567" s="3">
        <v>122486</v>
      </c>
      <c r="F2567" s="3">
        <v>126370</v>
      </c>
      <c r="G2567" s="57">
        <v>3.1709746419999019E-2</v>
      </c>
      <c r="J2567" s="5" t="s">
        <v>2299</v>
      </c>
    </row>
    <row r="2568" spans="1:12" ht="25.5" x14ac:dyDescent="0.2">
      <c r="A2568" s="1" t="s">
        <v>1</v>
      </c>
      <c r="B2568" s="2" t="s">
        <v>339</v>
      </c>
      <c r="C2568" s="5" t="s">
        <v>865</v>
      </c>
      <c r="D2568" s="5" t="s">
        <v>866</v>
      </c>
      <c r="E2568" s="3">
        <v>120479</v>
      </c>
      <c r="F2568" s="3">
        <v>126290</v>
      </c>
      <c r="G2568" s="57">
        <v>4.8232472049070794E-2</v>
      </c>
      <c r="J2568" s="5" t="s">
        <v>2717</v>
      </c>
    </row>
    <row r="2569" spans="1:12" ht="25.5" x14ac:dyDescent="0.2">
      <c r="A2569" s="1" t="s">
        <v>1</v>
      </c>
      <c r="B2569" s="2" t="s">
        <v>295</v>
      </c>
      <c r="C2569" s="5" t="s">
        <v>1006</v>
      </c>
      <c r="D2569" s="5" t="s">
        <v>1007</v>
      </c>
      <c r="E2569" s="3">
        <v>122985</v>
      </c>
      <c r="F2569" s="3">
        <v>126060</v>
      </c>
      <c r="G2569" s="57">
        <v>2.500304915233565E-2</v>
      </c>
      <c r="J2569" s="5" t="s">
        <v>2894</v>
      </c>
    </row>
    <row r="2570" spans="1:12" ht="25.5" x14ac:dyDescent="0.2">
      <c r="A2570" s="1" t="s">
        <v>1</v>
      </c>
      <c r="B2570" s="2" t="s">
        <v>295</v>
      </c>
      <c r="C2570" s="5" t="s">
        <v>1008</v>
      </c>
      <c r="D2570" s="5" t="s">
        <v>1009</v>
      </c>
      <c r="E2570" s="3">
        <v>122985</v>
      </c>
      <c r="F2570" s="3">
        <v>126060</v>
      </c>
      <c r="G2570" s="57">
        <v>2.500304915233565E-2</v>
      </c>
      <c r="J2570" s="5" t="s">
        <v>2894</v>
      </c>
    </row>
    <row r="2571" spans="1:12" ht="25.5" x14ac:dyDescent="0.2">
      <c r="A2571" s="1" t="s">
        <v>4</v>
      </c>
      <c r="B2571" s="2" t="s">
        <v>423</v>
      </c>
      <c r="D2571" s="5" t="s">
        <v>560</v>
      </c>
      <c r="E2571" s="6">
        <v>125714</v>
      </c>
      <c r="F2571" s="3">
        <v>126052</v>
      </c>
      <c r="G2571" s="57">
        <v>2.6886424741874413E-3</v>
      </c>
      <c r="J2571" s="5" t="s">
        <v>2340</v>
      </c>
    </row>
    <row r="2572" spans="1:12" ht="25.5" x14ac:dyDescent="0.2">
      <c r="A2572" s="1" t="s">
        <v>44</v>
      </c>
      <c r="B2572" s="2" t="s">
        <v>254</v>
      </c>
      <c r="D2572" s="5" t="s">
        <v>1184</v>
      </c>
      <c r="E2572" s="3">
        <v>126520</v>
      </c>
      <c r="F2572" s="3">
        <v>126047</v>
      </c>
      <c r="G2572" s="57">
        <v>-3.7385393613657918E-3</v>
      </c>
      <c r="J2572" s="5" t="s">
        <v>3112</v>
      </c>
    </row>
    <row r="2573" spans="1:12" ht="25.5" x14ac:dyDescent="0.2">
      <c r="A2573" s="1" t="s">
        <v>4</v>
      </c>
      <c r="B2573" s="12" t="s">
        <v>18</v>
      </c>
      <c r="C2573" s="13"/>
      <c r="D2573" s="7" t="s">
        <v>455</v>
      </c>
      <c r="E2573" s="6" t="s">
        <v>465</v>
      </c>
      <c r="F2573" s="6">
        <v>126000</v>
      </c>
      <c r="G2573" s="57" t="s">
        <v>465</v>
      </c>
      <c r="H2573" s="21"/>
      <c r="I2573" s="21"/>
      <c r="J2573" s="7" t="s">
        <v>4099</v>
      </c>
      <c r="K2573" s="13"/>
      <c r="L2573" s="13"/>
    </row>
    <row r="2574" spans="1:12" ht="25.5" x14ac:dyDescent="0.2">
      <c r="A2574" s="1" t="s">
        <v>4</v>
      </c>
      <c r="B2574" s="12" t="s">
        <v>49</v>
      </c>
      <c r="C2574" s="13"/>
      <c r="D2574" s="7" t="s">
        <v>1814</v>
      </c>
      <c r="E2574" s="6">
        <v>5800</v>
      </c>
      <c r="F2574" s="6">
        <v>126000</v>
      </c>
      <c r="G2574" s="57">
        <v>20.724137931034484</v>
      </c>
      <c r="H2574" s="21"/>
      <c r="I2574" s="21"/>
      <c r="J2574" s="7" t="s">
        <v>4156</v>
      </c>
      <c r="K2574" s="13"/>
      <c r="L2574" s="13"/>
    </row>
    <row r="2575" spans="1:12" x14ac:dyDescent="0.2">
      <c r="A2575" s="1" t="s">
        <v>34</v>
      </c>
      <c r="B2575" s="2" t="s">
        <v>121</v>
      </c>
      <c r="C2575" s="1" t="s">
        <v>2140</v>
      </c>
      <c r="D2575" s="5" t="s">
        <v>487</v>
      </c>
      <c r="E2575" s="3">
        <v>122000</v>
      </c>
      <c r="F2575" s="3">
        <v>126000</v>
      </c>
      <c r="G2575" s="57">
        <v>3.2786885245901641E-2</v>
      </c>
      <c r="J2575" s="5" t="s">
        <v>3920</v>
      </c>
    </row>
    <row r="2576" spans="1:12" ht="25.5" x14ac:dyDescent="0.2">
      <c r="A2576" s="1" t="s">
        <v>4</v>
      </c>
      <c r="B2576" s="2" t="s">
        <v>234</v>
      </c>
      <c r="D2576" s="5" t="s">
        <v>1234</v>
      </c>
      <c r="E2576" s="3" t="s">
        <v>465</v>
      </c>
      <c r="F2576" s="3">
        <v>126000</v>
      </c>
      <c r="G2576" s="57" t="s">
        <v>465</v>
      </c>
      <c r="J2576" s="5" t="s">
        <v>3201</v>
      </c>
    </row>
    <row r="2577" spans="1:12" ht="25.5" x14ac:dyDescent="0.2">
      <c r="A2577" s="1" t="s">
        <v>134</v>
      </c>
      <c r="B2577" s="2" t="s">
        <v>396</v>
      </c>
      <c r="C2577" s="5" t="s">
        <v>673</v>
      </c>
      <c r="D2577" s="5" t="s">
        <v>455</v>
      </c>
      <c r="E2577" s="3">
        <v>126000</v>
      </c>
      <c r="F2577" s="3">
        <v>126000</v>
      </c>
      <c r="G2577" s="57">
        <v>0</v>
      </c>
      <c r="J2577" s="5" t="s">
        <v>2458</v>
      </c>
    </row>
    <row r="2578" spans="1:12" ht="25.5" x14ac:dyDescent="0.2">
      <c r="A2578" s="1" t="s">
        <v>134</v>
      </c>
      <c r="B2578" s="2" t="s">
        <v>396</v>
      </c>
      <c r="C2578" s="5" t="s">
        <v>675</v>
      </c>
      <c r="D2578" s="5" t="s">
        <v>676</v>
      </c>
      <c r="E2578" s="3">
        <v>126000</v>
      </c>
      <c r="F2578" s="3">
        <v>126000</v>
      </c>
      <c r="G2578" s="57">
        <v>0</v>
      </c>
      <c r="J2578" s="5" t="s">
        <v>2458</v>
      </c>
    </row>
    <row r="2579" spans="1:12" ht="38.25" x14ac:dyDescent="0.2">
      <c r="A2579" s="1" t="s">
        <v>6</v>
      </c>
      <c r="B2579" s="2" t="s">
        <v>399</v>
      </c>
      <c r="D2579" s="5" t="s">
        <v>663</v>
      </c>
      <c r="E2579" s="3" t="s">
        <v>465</v>
      </c>
      <c r="F2579" s="3">
        <v>126000</v>
      </c>
      <c r="G2579" s="57" t="s">
        <v>465</v>
      </c>
      <c r="J2579" s="5" t="s">
        <v>2441</v>
      </c>
    </row>
    <row r="2580" spans="1:12" ht="25.5" x14ac:dyDescent="0.2">
      <c r="A2580" s="1" t="s">
        <v>4</v>
      </c>
      <c r="B2580" s="2" t="s">
        <v>423</v>
      </c>
      <c r="D2580" s="5" t="s">
        <v>457</v>
      </c>
      <c r="E2580" s="6">
        <v>125580</v>
      </c>
      <c r="F2580" s="3">
        <v>125903</v>
      </c>
      <c r="G2580" s="57">
        <v>2.5720656155438764E-3</v>
      </c>
      <c r="J2580" s="5" t="s">
        <v>2343</v>
      </c>
    </row>
    <row r="2581" spans="1:12" x14ac:dyDescent="0.2">
      <c r="A2581" s="13" t="s">
        <v>20</v>
      </c>
      <c r="B2581" s="12" t="s">
        <v>82</v>
      </c>
      <c r="C2581" s="1"/>
      <c r="D2581" s="5" t="s">
        <v>3820</v>
      </c>
      <c r="E2581" s="3">
        <v>121713</v>
      </c>
      <c r="F2581" s="3">
        <v>125851</v>
      </c>
      <c r="G2581" s="57">
        <v>3.3998011716086206E-2</v>
      </c>
      <c r="J2581" s="5" t="s">
        <v>2004</v>
      </c>
    </row>
    <row r="2582" spans="1:12" ht="25.5" x14ac:dyDescent="0.2">
      <c r="A2582" s="1" t="s">
        <v>34</v>
      </c>
      <c r="B2582" s="2" t="s">
        <v>155</v>
      </c>
      <c r="C2582" s="1"/>
      <c r="D2582" s="5" t="s">
        <v>450</v>
      </c>
      <c r="E2582" s="3">
        <v>141265</v>
      </c>
      <c r="F2582" s="3">
        <v>125816</v>
      </c>
      <c r="G2582" s="57">
        <v>-0.10936183768095424</v>
      </c>
      <c r="J2582" s="5" t="s">
        <v>4022</v>
      </c>
    </row>
    <row r="2583" spans="1:12" ht="25.5" x14ac:dyDescent="0.2">
      <c r="A2583" s="1" t="s">
        <v>111</v>
      </c>
      <c r="B2583" s="2" t="s">
        <v>376</v>
      </c>
      <c r="D2583" s="5" t="s">
        <v>743</v>
      </c>
      <c r="E2583" s="3">
        <v>136129</v>
      </c>
      <c r="F2583" s="3">
        <v>125814</v>
      </c>
      <c r="G2583" s="57">
        <v>-7.5773714638320999E-2</v>
      </c>
      <c r="J2583" s="5" t="s">
        <v>2539</v>
      </c>
    </row>
    <row r="2584" spans="1:12" ht="25.5" x14ac:dyDescent="0.2">
      <c r="A2584" s="13" t="s">
        <v>1</v>
      </c>
      <c r="B2584" s="12" t="s">
        <v>9</v>
      </c>
      <c r="C2584" s="13" t="s">
        <v>1685</v>
      </c>
      <c r="D2584" s="7" t="s">
        <v>452</v>
      </c>
      <c r="E2584" s="6">
        <v>122599</v>
      </c>
      <c r="F2584" s="6">
        <v>125798</v>
      </c>
      <c r="G2584" s="57">
        <v>2.6093198150066478E-2</v>
      </c>
      <c r="H2584" s="21"/>
      <c r="I2584" s="21"/>
      <c r="J2584" s="7" t="s">
        <v>2241</v>
      </c>
      <c r="K2584" s="13"/>
      <c r="L2584" s="13"/>
    </row>
    <row r="2585" spans="1:12" ht="25.5" x14ac:dyDescent="0.2">
      <c r="A2585" s="1" t="s">
        <v>6</v>
      </c>
      <c r="B2585" s="2" t="s">
        <v>329</v>
      </c>
      <c r="D2585" s="5" t="s">
        <v>894</v>
      </c>
      <c r="E2585" s="3">
        <v>125844</v>
      </c>
      <c r="F2585" s="3">
        <v>125794</v>
      </c>
      <c r="G2585" s="57">
        <v>-3.9731731349925304E-4</v>
      </c>
      <c r="J2585" s="5" t="s">
        <v>2761</v>
      </c>
    </row>
    <row r="2586" spans="1:12" ht="25.5" x14ac:dyDescent="0.2">
      <c r="A2586" s="13" t="s">
        <v>111</v>
      </c>
      <c r="B2586" s="2" t="s">
        <v>247</v>
      </c>
      <c r="D2586" s="5" t="s">
        <v>1200</v>
      </c>
      <c r="E2586" s="3">
        <v>120135</v>
      </c>
      <c r="F2586" s="3">
        <v>125715</v>
      </c>
      <c r="G2586" s="57">
        <v>4.6447746285428894E-2</v>
      </c>
      <c r="J2586" s="5" t="s">
        <v>3151</v>
      </c>
    </row>
    <row r="2587" spans="1:12" x14ac:dyDescent="0.2">
      <c r="A2587" s="1" t="s">
        <v>28</v>
      </c>
      <c r="B2587" s="2" t="s">
        <v>273</v>
      </c>
      <c r="D2587" s="5" t="s">
        <v>1109</v>
      </c>
      <c r="E2587" s="3">
        <v>120824</v>
      </c>
      <c r="F2587" s="3">
        <v>125649</v>
      </c>
      <c r="G2587" s="57">
        <v>3.9934119049195527E-2</v>
      </c>
      <c r="J2587" s="5" t="s">
        <v>3036</v>
      </c>
    </row>
    <row r="2588" spans="1:12" ht="25.5" x14ac:dyDescent="0.2">
      <c r="A2588" s="1" t="s">
        <v>44</v>
      </c>
      <c r="B2588" s="2" t="s">
        <v>254</v>
      </c>
      <c r="D2588" s="5" t="s">
        <v>938</v>
      </c>
      <c r="E2588" s="3">
        <v>125515</v>
      </c>
      <c r="F2588" s="3">
        <v>125515</v>
      </c>
      <c r="G2588" s="57">
        <v>0</v>
      </c>
      <c r="J2588" s="5" t="s">
        <v>3113</v>
      </c>
    </row>
    <row r="2589" spans="1:12" ht="25.5" x14ac:dyDescent="0.2">
      <c r="A2589" s="1" t="s">
        <v>111</v>
      </c>
      <c r="B2589" s="2" t="s">
        <v>276</v>
      </c>
      <c r="D2589" s="5" t="s">
        <v>1095</v>
      </c>
      <c r="E2589" s="9">
        <v>95354</v>
      </c>
      <c r="F2589" s="3">
        <v>125484</v>
      </c>
      <c r="G2589" s="57">
        <v>0.31598045179017137</v>
      </c>
      <c r="J2589" s="5" t="s">
        <v>3017</v>
      </c>
    </row>
    <row r="2590" spans="1:12" ht="25.5" x14ac:dyDescent="0.2">
      <c r="A2590" s="1" t="s">
        <v>44</v>
      </c>
      <c r="B2590" s="2" t="s">
        <v>242</v>
      </c>
      <c r="D2590" s="5" t="s">
        <v>450</v>
      </c>
      <c r="E2590" s="3">
        <v>158394</v>
      </c>
      <c r="F2590" s="3">
        <v>125437</v>
      </c>
      <c r="G2590" s="57">
        <v>-0.20806975011679735</v>
      </c>
      <c r="J2590" s="5" t="s">
        <v>3162</v>
      </c>
    </row>
    <row r="2591" spans="1:12" ht="25.5" x14ac:dyDescent="0.2">
      <c r="A2591" s="1" t="s">
        <v>20</v>
      </c>
      <c r="B2591" s="2" t="s">
        <v>410</v>
      </c>
      <c r="D2591" s="5" t="s">
        <v>598</v>
      </c>
      <c r="E2591" s="3">
        <v>121063</v>
      </c>
      <c r="F2591" s="3">
        <v>125424</v>
      </c>
      <c r="G2591" s="57">
        <v>3.6022566762759882E-2</v>
      </c>
      <c r="J2591" s="5" t="s">
        <v>1624</v>
      </c>
    </row>
    <row r="2592" spans="1:12" ht="25.5" x14ac:dyDescent="0.2">
      <c r="A2592" s="1" t="s">
        <v>20</v>
      </c>
      <c r="B2592" s="2" t="s">
        <v>410</v>
      </c>
      <c r="D2592" s="5" t="s">
        <v>599</v>
      </c>
      <c r="E2592" s="3">
        <v>125211</v>
      </c>
      <c r="F2592" s="3">
        <v>125423</v>
      </c>
      <c r="G2592" s="57">
        <v>1.6931419763439315E-3</v>
      </c>
      <c r="J2592" s="5" t="s">
        <v>1625</v>
      </c>
    </row>
    <row r="2593" spans="1:12" x14ac:dyDescent="0.2">
      <c r="A2593" s="1" t="s">
        <v>4</v>
      </c>
      <c r="B2593" s="2" t="s">
        <v>299</v>
      </c>
      <c r="D2593" s="5" t="s">
        <v>988</v>
      </c>
      <c r="E2593" s="3">
        <v>122367</v>
      </c>
      <c r="F2593" s="3">
        <v>125366</v>
      </c>
      <c r="G2593" s="57">
        <v>2.4508241601085261E-2</v>
      </c>
      <c r="J2593" s="5" t="s">
        <v>2859</v>
      </c>
    </row>
    <row r="2594" spans="1:12" ht="25.5" x14ac:dyDescent="0.2">
      <c r="A2594" s="1" t="s">
        <v>20</v>
      </c>
      <c r="B2594" s="2" t="s">
        <v>194</v>
      </c>
      <c r="C2594" s="5" t="s">
        <v>1436</v>
      </c>
      <c r="D2594" s="5" t="s">
        <v>1437</v>
      </c>
      <c r="E2594" s="9">
        <v>114033</v>
      </c>
      <c r="F2594" s="9">
        <v>125359</v>
      </c>
      <c r="G2594" s="57">
        <v>9.932212605123078E-2</v>
      </c>
      <c r="J2594" s="5" t="s">
        <v>3476</v>
      </c>
    </row>
    <row r="2595" spans="1:12" ht="25.5" x14ac:dyDescent="0.2">
      <c r="A2595" s="1" t="s">
        <v>20</v>
      </c>
      <c r="B2595" s="2" t="s">
        <v>137</v>
      </c>
      <c r="C2595" s="1"/>
      <c r="D2595" s="5" t="s">
        <v>1661</v>
      </c>
      <c r="E2595" s="3">
        <v>125277</v>
      </c>
      <c r="F2595" s="3">
        <v>125308</v>
      </c>
      <c r="G2595" s="57">
        <v>2.4745164714991578E-4</v>
      </c>
      <c r="J2595" s="5" t="s">
        <v>3964</v>
      </c>
    </row>
    <row r="2596" spans="1:12" ht="25.5" x14ac:dyDescent="0.2">
      <c r="A2596" s="13" t="s">
        <v>1</v>
      </c>
      <c r="B2596" s="12" t="s">
        <v>9</v>
      </c>
      <c r="C2596" s="13" t="s">
        <v>1683</v>
      </c>
      <c r="D2596" s="7" t="s">
        <v>454</v>
      </c>
      <c r="E2596" s="6">
        <v>121986</v>
      </c>
      <c r="F2596" s="6">
        <v>125152</v>
      </c>
      <c r="G2596" s="57">
        <v>2.5953797976817013E-2</v>
      </c>
      <c r="H2596" s="21"/>
      <c r="I2596" s="21"/>
      <c r="J2596" s="7" t="s">
        <v>3644</v>
      </c>
      <c r="K2596" s="13"/>
      <c r="L2596" s="13"/>
    </row>
    <row r="2597" spans="1:12" ht="38.25" x14ac:dyDescent="0.2">
      <c r="A2597" s="1" t="s">
        <v>4</v>
      </c>
      <c r="B2597" s="2" t="s">
        <v>144</v>
      </c>
      <c r="C2597" s="1"/>
      <c r="D2597" s="5" t="s">
        <v>1645</v>
      </c>
      <c r="E2597" s="3" t="s">
        <v>465</v>
      </c>
      <c r="F2597" s="3">
        <v>125119</v>
      </c>
      <c r="G2597" s="57" t="s">
        <v>465</v>
      </c>
      <c r="J2597" s="5" t="s">
        <v>4313</v>
      </c>
    </row>
    <row r="2598" spans="1:12" x14ac:dyDescent="0.2">
      <c r="A2598" s="1" t="s">
        <v>28</v>
      </c>
      <c r="B2598" s="2" t="s">
        <v>273</v>
      </c>
      <c r="D2598" s="5" t="s">
        <v>455</v>
      </c>
      <c r="E2598" s="3">
        <v>138457</v>
      </c>
      <c r="F2598" s="3">
        <v>125117</v>
      </c>
      <c r="G2598" s="57">
        <v>-9.6347602504748761E-2</v>
      </c>
      <c r="J2598" s="5" t="s">
        <v>3037</v>
      </c>
    </row>
    <row r="2599" spans="1:12" ht="38.25" x14ac:dyDescent="0.2">
      <c r="A2599" s="1" t="s">
        <v>4</v>
      </c>
      <c r="B2599" s="2" t="s">
        <v>149</v>
      </c>
      <c r="C2599" s="1"/>
      <c r="D2599" s="5" t="s">
        <v>1638</v>
      </c>
      <c r="E2599" s="3">
        <v>124482.23</v>
      </c>
      <c r="F2599" s="3">
        <v>125111.15</v>
      </c>
      <c r="G2599" s="57">
        <v>5.0522873827051323E-3</v>
      </c>
      <c r="J2599" s="5" t="s">
        <v>3998</v>
      </c>
    </row>
    <row r="2600" spans="1:12" ht="25.5" x14ac:dyDescent="0.2">
      <c r="A2600" s="1" t="s">
        <v>39</v>
      </c>
      <c r="B2600" s="2" t="s">
        <v>388</v>
      </c>
      <c r="D2600" s="5" t="s">
        <v>451</v>
      </c>
      <c r="E2600" s="3" t="s">
        <v>465</v>
      </c>
      <c r="F2600" s="3">
        <v>125052</v>
      </c>
      <c r="G2600" s="57" t="s">
        <v>465</v>
      </c>
      <c r="J2600" s="5" t="s">
        <v>2485</v>
      </c>
    </row>
    <row r="2601" spans="1:12" ht="51" x14ac:dyDescent="0.2">
      <c r="A2601" s="1" t="s">
        <v>6</v>
      </c>
      <c r="B2601" s="2" t="s">
        <v>219</v>
      </c>
      <c r="C2601" s="5" t="s">
        <v>1288</v>
      </c>
      <c r="D2601" s="5" t="s">
        <v>1289</v>
      </c>
      <c r="E2601" s="3">
        <v>68000</v>
      </c>
      <c r="F2601" s="3">
        <v>125000</v>
      </c>
      <c r="G2601" s="57">
        <v>0.83823529411764708</v>
      </c>
      <c r="J2601" s="5" t="s">
        <v>3278</v>
      </c>
    </row>
    <row r="2602" spans="1:12" ht="25.5" x14ac:dyDescent="0.2">
      <c r="A2602" s="1" t="s">
        <v>6</v>
      </c>
      <c r="B2602" s="2" t="s">
        <v>288</v>
      </c>
      <c r="D2602" s="5" t="s">
        <v>1041</v>
      </c>
      <c r="E2602" s="3">
        <v>116000</v>
      </c>
      <c r="F2602" s="3">
        <v>125000</v>
      </c>
      <c r="G2602" s="57">
        <v>7.7586206896551727E-2</v>
      </c>
      <c r="J2602" s="5" t="s">
        <v>4395</v>
      </c>
    </row>
    <row r="2603" spans="1:12" ht="38.25" x14ac:dyDescent="0.2">
      <c r="A2603" s="1" t="s">
        <v>28</v>
      </c>
      <c r="B2603" s="2" t="s">
        <v>105</v>
      </c>
      <c r="C2603" s="1"/>
      <c r="D2603" s="5" t="s">
        <v>450</v>
      </c>
      <c r="E2603" s="3">
        <v>118655</v>
      </c>
      <c r="F2603" s="3">
        <v>124998</v>
      </c>
      <c r="G2603" s="57">
        <v>5.3457502844380771E-2</v>
      </c>
      <c r="J2603" s="5" t="s">
        <v>3857</v>
      </c>
    </row>
    <row r="2604" spans="1:12" ht="25.5" x14ac:dyDescent="0.2">
      <c r="A2604" s="13" t="s">
        <v>34</v>
      </c>
      <c r="B2604" s="2" t="s">
        <v>48</v>
      </c>
      <c r="C2604" s="1"/>
      <c r="D2604" s="5" t="s">
        <v>1804</v>
      </c>
      <c r="E2604" s="6">
        <v>123817</v>
      </c>
      <c r="F2604" s="3">
        <v>124949</v>
      </c>
      <c r="G2604" s="57">
        <v>9.1425248552298964E-3</v>
      </c>
      <c r="J2604" s="5" t="s">
        <v>1805</v>
      </c>
    </row>
    <row r="2605" spans="1:12" ht="25.5" x14ac:dyDescent="0.2">
      <c r="A2605" s="1" t="s">
        <v>1</v>
      </c>
      <c r="B2605" s="2" t="s">
        <v>367</v>
      </c>
      <c r="C2605" s="5" t="s">
        <v>776</v>
      </c>
      <c r="D2605" s="5" t="s">
        <v>450</v>
      </c>
      <c r="E2605" s="3">
        <v>119429</v>
      </c>
      <c r="F2605" s="3">
        <v>124937</v>
      </c>
      <c r="G2605" s="57">
        <v>4.6119451724455536E-2</v>
      </c>
      <c r="J2605" s="5" t="s">
        <v>2582</v>
      </c>
    </row>
    <row r="2606" spans="1:12" ht="38.25" x14ac:dyDescent="0.2">
      <c r="A2606" s="1" t="s">
        <v>25</v>
      </c>
      <c r="B2606" s="2" t="s">
        <v>209</v>
      </c>
      <c r="C2606" s="5" t="s">
        <v>1369</v>
      </c>
      <c r="D2606" s="5" t="s">
        <v>1370</v>
      </c>
      <c r="E2606" s="9">
        <v>124545</v>
      </c>
      <c r="F2606" s="9">
        <v>124916</v>
      </c>
      <c r="G2606" s="57">
        <v>2.97884298847806E-3</v>
      </c>
      <c r="J2606" s="5" t="s">
        <v>3375</v>
      </c>
    </row>
    <row r="2607" spans="1:12" x14ac:dyDescent="0.2">
      <c r="A2607" s="1" t="s">
        <v>39</v>
      </c>
      <c r="B2607" s="2" t="s">
        <v>435</v>
      </c>
      <c r="D2607" s="5" t="s">
        <v>476</v>
      </c>
      <c r="E2607" s="3">
        <v>123973</v>
      </c>
      <c r="F2607" s="3">
        <v>124872</v>
      </c>
      <c r="G2607" s="57">
        <v>7.2515789728408607E-3</v>
      </c>
      <c r="J2607" s="5" t="s">
        <v>2272</v>
      </c>
    </row>
    <row r="2608" spans="1:12" ht="25.5" x14ac:dyDescent="0.2">
      <c r="A2608" s="13" t="s">
        <v>34</v>
      </c>
      <c r="B2608" s="2" t="s">
        <v>48</v>
      </c>
      <c r="C2608" s="1"/>
      <c r="D2608" s="5" t="s">
        <v>1802</v>
      </c>
      <c r="E2608" s="6">
        <v>125628</v>
      </c>
      <c r="F2608" s="3">
        <v>124822</v>
      </c>
      <c r="G2608" s="57">
        <v>-6.4157671856592477E-3</v>
      </c>
      <c r="J2608" s="5" t="s">
        <v>1803</v>
      </c>
    </row>
    <row r="2609" spans="1:12" ht="25.5" x14ac:dyDescent="0.2">
      <c r="A2609" s="1" t="s">
        <v>1</v>
      </c>
      <c r="B2609" s="2" t="s">
        <v>339</v>
      </c>
      <c r="C2609" s="5" t="s">
        <v>867</v>
      </c>
      <c r="D2609" s="5" t="s">
        <v>868</v>
      </c>
      <c r="E2609" s="3">
        <v>121275</v>
      </c>
      <c r="F2609" s="3">
        <v>124774</v>
      </c>
      <c r="G2609" s="57">
        <v>2.8851783137497422E-2</v>
      </c>
      <c r="J2609" s="5" t="s">
        <v>2718</v>
      </c>
    </row>
    <row r="2610" spans="1:12" ht="25.5" x14ac:dyDescent="0.2">
      <c r="A2610" s="1" t="s">
        <v>6</v>
      </c>
      <c r="B2610" s="12" t="s">
        <v>231</v>
      </c>
      <c r="C2610" s="5" t="s">
        <v>1242</v>
      </c>
      <c r="D2610" s="5" t="s">
        <v>505</v>
      </c>
      <c r="E2610" s="9" t="s">
        <v>465</v>
      </c>
      <c r="F2610" s="9">
        <v>124755</v>
      </c>
      <c r="G2610" s="57" t="s">
        <v>465</v>
      </c>
      <c r="J2610" s="5" t="s">
        <v>3217</v>
      </c>
    </row>
    <row r="2611" spans="1:12" ht="25.5" x14ac:dyDescent="0.2">
      <c r="A2611" s="1" t="s">
        <v>28</v>
      </c>
      <c r="B2611" s="2" t="s">
        <v>279</v>
      </c>
      <c r="D2611" s="5" t="s">
        <v>1088</v>
      </c>
      <c r="E2611" s="3" t="s">
        <v>465</v>
      </c>
      <c r="F2611" s="3">
        <v>124746</v>
      </c>
      <c r="G2611" s="57" t="s">
        <v>465</v>
      </c>
      <c r="J2611" s="5" t="s">
        <v>3009</v>
      </c>
    </row>
    <row r="2612" spans="1:12" ht="25.5" x14ac:dyDescent="0.2">
      <c r="A2612" s="1" t="s">
        <v>4</v>
      </c>
      <c r="B2612" s="2" t="s">
        <v>423</v>
      </c>
      <c r="D2612" s="5" t="s">
        <v>564</v>
      </c>
      <c r="E2612" s="6">
        <v>126240</v>
      </c>
      <c r="F2612" s="3">
        <v>124696</v>
      </c>
      <c r="G2612" s="57">
        <v>-1.2230671736375159E-2</v>
      </c>
      <c r="J2612" s="5" t="s">
        <v>2345</v>
      </c>
    </row>
    <row r="2613" spans="1:12" ht="25.5" x14ac:dyDescent="0.2">
      <c r="A2613" s="1" t="s">
        <v>20</v>
      </c>
      <c r="B2613" s="12" t="s">
        <v>30</v>
      </c>
      <c r="C2613" s="13"/>
      <c r="D2613" s="7" t="s">
        <v>529</v>
      </c>
      <c r="E2613" s="6">
        <v>9886</v>
      </c>
      <c r="F2613" s="6">
        <v>124684</v>
      </c>
      <c r="G2613" s="57">
        <v>11.612178838761885</v>
      </c>
      <c r="H2613" s="21"/>
      <c r="I2613" s="21"/>
      <c r="J2613" s="7" t="s">
        <v>4120</v>
      </c>
      <c r="K2613" s="13"/>
      <c r="L2613" s="13"/>
    </row>
    <row r="2614" spans="1:12" x14ac:dyDescent="0.2">
      <c r="A2614" s="1" t="s">
        <v>8</v>
      </c>
      <c r="B2614" s="2" t="s">
        <v>87</v>
      </c>
      <c r="C2614" s="1"/>
      <c r="D2614" s="5" t="s">
        <v>450</v>
      </c>
      <c r="E2614" s="3">
        <v>124868</v>
      </c>
      <c r="F2614" s="3">
        <v>124630</v>
      </c>
      <c r="G2614" s="57">
        <v>-1.9060127494634335E-3</v>
      </c>
      <c r="J2614" s="5" t="s">
        <v>2055</v>
      </c>
    </row>
    <row r="2615" spans="1:12" ht="25.5" x14ac:dyDescent="0.2">
      <c r="A2615" s="1" t="s">
        <v>20</v>
      </c>
      <c r="B2615" s="2" t="s">
        <v>194</v>
      </c>
      <c r="C2615" s="5" t="s">
        <v>1435</v>
      </c>
      <c r="D2615" s="5" t="s">
        <v>486</v>
      </c>
      <c r="E2615" s="9">
        <v>61907</v>
      </c>
      <c r="F2615" s="9">
        <v>124615</v>
      </c>
      <c r="G2615" s="57">
        <v>1.0129387629831845</v>
      </c>
      <c r="J2615" s="5" t="s">
        <v>3478</v>
      </c>
    </row>
    <row r="2616" spans="1:12" ht="25.5" x14ac:dyDescent="0.2">
      <c r="A2616" s="1" t="s">
        <v>111</v>
      </c>
      <c r="B2616" s="2" t="s">
        <v>355</v>
      </c>
      <c r="D2616" s="5" t="s">
        <v>832</v>
      </c>
      <c r="E2616" s="3" t="s">
        <v>465</v>
      </c>
      <c r="F2616" s="3">
        <v>124597</v>
      </c>
      <c r="G2616" s="57" t="s">
        <v>465</v>
      </c>
      <c r="J2616" s="5" t="s">
        <v>2656</v>
      </c>
    </row>
    <row r="2617" spans="1:12" x14ac:dyDescent="0.2">
      <c r="A2617" s="1" t="s">
        <v>44</v>
      </c>
      <c r="B2617" s="2" t="s">
        <v>73</v>
      </c>
      <c r="C2617" s="1" t="s">
        <v>3791</v>
      </c>
      <c r="D2617" s="5" t="s">
        <v>450</v>
      </c>
      <c r="E2617" s="3" t="s">
        <v>465</v>
      </c>
      <c r="F2617" s="3">
        <v>124492</v>
      </c>
      <c r="G2617" s="57" t="s">
        <v>465</v>
      </c>
      <c r="J2617" s="5" t="s">
        <v>3792</v>
      </c>
    </row>
    <row r="2618" spans="1:12" ht="25.5" x14ac:dyDescent="0.2">
      <c r="A2618" s="1" t="s">
        <v>25</v>
      </c>
      <c r="B2618" s="2" t="s">
        <v>70</v>
      </c>
      <c r="C2618" s="1"/>
      <c r="D2618" s="5" t="s">
        <v>4214</v>
      </c>
      <c r="E2618" s="19">
        <v>123665</v>
      </c>
      <c r="F2618" s="19">
        <v>124439</v>
      </c>
      <c r="G2618" s="57">
        <v>6.2588444588202001E-3</v>
      </c>
      <c r="J2618" s="5" t="s">
        <v>1924</v>
      </c>
    </row>
    <row r="2619" spans="1:12" ht="38.25" x14ac:dyDescent="0.2">
      <c r="A2619" s="1" t="s">
        <v>25</v>
      </c>
      <c r="B2619" s="2" t="s">
        <v>197</v>
      </c>
      <c r="D2619" s="5" t="s">
        <v>1409</v>
      </c>
      <c r="E2619" s="9">
        <v>12835</v>
      </c>
      <c r="F2619" s="9">
        <v>124404</v>
      </c>
      <c r="G2619" s="57">
        <v>8.6925594078691084</v>
      </c>
      <c r="J2619" s="5" t="s">
        <v>3448</v>
      </c>
    </row>
    <row r="2620" spans="1:12" ht="25.5" x14ac:dyDescent="0.2">
      <c r="A2620" s="1" t="s">
        <v>1</v>
      </c>
      <c r="B2620" s="2" t="s">
        <v>125</v>
      </c>
      <c r="C2620" s="1" t="s">
        <v>2116</v>
      </c>
      <c r="D2620" s="5" t="s">
        <v>2117</v>
      </c>
      <c r="E2620" s="3">
        <v>101837</v>
      </c>
      <c r="F2620" s="3">
        <v>124392</v>
      </c>
      <c r="G2620" s="57">
        <v>0.22148138692223848</v>
      </c>
      <c r="J2620" s="5" t="s">
        <v>4624</v>
      </c>
    </row>
    <row r="2621" spans="1:12" ht="38.25" x14ac:dyDescent="0.2">
      <c r="A2621" s="1" t="s">
        <v>25</v>
      </c>
      <c r="B2621" s="2" t="s">
        <v>70</v>
      </c>
      <c r="C2621" s="1"/>
      <c r="D2621" s="5" t="s">
        <v>4215</v>
      </c>
      <c r="E2621" s="19">
        <v>127433</v>
      </c>
      <c r="F2621" s="19">
        <v>124374</v>
      </c>
      <c r="G2621" s="57">
        <v>-2.4004771134635457E-2</v>
      </c>
      <c r="J2621" s="5" t="s">
        <v>1918</v>
      </c>
    </row>
    <row r="2622" spans="1:12" ht="25.5" x14ac:dyDescent="0.2">
      <c r="A2622" s="1" t="s">
        <v>25</v>
      </c>
      <c r="B2622" s="2" t="s">
        <v>26</v>
      </c>
      <c r="C2622" s="1"/>
      <c r="D2622" s="5" t="s">
        <v>1713</v>
      </c>
      <c r="E2622" s="6" t="s">
        <v>465</v>
      </c>
      <c r="F2622" s="3">
        <v>124245</v>
      </c>
      <c r="G2622" s="57" t="s">
        <v>465</v>
      </c>
      <c r="J2622" s="5" t="s">
        <v>3673</v>
      </c>
    </row>
    <row r="2623" spans="1:12" ht="25.5" x14ac:dyDescent="0.2">
      <c r="A2623" s="1" t="s">
        <v>8</v>
      </c>
      <c r="B2623" s="2" t="s">
        <v>115</v>
      </c>
      <c r="C2623" s="1"/>
      <c r="D2623" s="5" t="s">
        <v>2159</v>
      </c>
      <c r="E2623" s="3" t="s">
        <v>465</v>
      </c>
      <c r="F2623" s="3">
        <v>124198</v>
      </c>
      <c r="G2623" s="57" t="s">
        <v>465</v>
      </c>
      <c r="J2623" s="5" t="s">
        <v>4276</v>
      </c>
    </row>
    <row r="2624" spans="1:12" ht="25.5" x14ac:dyDescent="0.2">
      <c r="A2624" s="13" t="s">
        <v>25</v>
      </c>
      <c r="B2624" s="12" t="s">
        <v>37</v>
      </c>
      <c r="C2624" s="13"/>
      <c r="D2624" s="7" t="s">
        <v>451</v>
      </c>
      <c r="E2624" s="36">
        <v>121761</v>
      </c>
      <c r="F2624" s="36">
        <v>124113</v>
      </c>
      <c r="G2624" s="57">
        <v>1.931652992337448E-2</v>
      </c>
      <c r="H2624" s="21"/>
      <c r="I2624" s="21"/>
      <c r="J2624" s="7" t="s">
        <v>1763</v>
      </c>
      <c r="K2624" s="13"/>
      <c r="L2624" s="13"/>
    </row>
    <row r="2625" spans="1:12" x14ac:dyDescent="0.2">
      <c r="A2625" s="1" t="s">
        <v>34</v>
      </c>
      <c r="B2625" s="2" t="s">
        <v>275</v>
      </c>
      <c r="D2625" s="5" t="s">
        <v>1104</v>
      </c>
      <c r="E2625" s="3" t="s">
        <v>465</v>
      </c>
      <c r="F2625" s="3">
        <v>124096</v>
      </c>
      <c r="G2625" s="57" t="s">
        <v>465</v>
      </c>
      <c r="J2625" s="5" t="s">
        <v>3030</v>
      </c>
    </row>
    <row r="2626" spans="1:12" ht="38.25" x14ac:dyDescent="0.2">
      <c r="A2626" s="1" t="s">
        <v>25</v>
      </c>
      <c r="B2626" s="2" t="s">
        <v>53</v>
      </c>
      <c r="C2626" s="1"/>
      <c r="D2626" s="5" t="s">
        <v>4176</v>
      </c>
      <c r="E2626" s="3">
        <v>144657</v>
      </c>
      <c r="F2626" s="3">
        <v>124080</v>
      </c>
      <c r="G2626" s="57">
        <v>-0.14224683216159606</v>
      </c>
      <c r="J2626" s="5" t="s">
        <v>1836</v>
      </c>
    </row>
    <row r="2627" spans="1:12" ht="25.5" x14ac:dyDescent="0.2">
      <c r="A2627" s="1" t="s">
        <v>4</v>
      </c>
      <c r="B2627" s="2" t="s">
        <v>239</v>
      </c>
      <c r="D2627" s="5" t="s">
        <v>1220</v>
      </c>
      <c r="E2627" s="3">
        <v>118737</v>
      </c>
      <c r="F2627" s="3">
        <v>124053</v>
      </c>
      <c r="G2627" s="57">
        <v>4.4771217059551782E-2</v>
      </c>
      <c r="J2627" s="5" t="s">
        <v>3180</v>
      </c>
    </row>
    <row r="2628" spans="1:12" ht="38.25" x14ac:dyDescent="0.2">
      <c r="A2628" s="1" t="s">
        <v>8</v>
      </c>
      <c r="B2628" s="2" t="s">
        <v>7</v>
      </c>
      <c r="C2628" s="1"/>
      <c r="D2628" s="5" t="s">
        <v>450</v>
      </c>
      <c r="E2628" s="3">
        <v>118000</v>
      </c>
      <c r="F2628" s="3">
        <v>124000</v>
      </c>
      <c r="G2628" s="57">
        <v>5.0847457627118647E-2</v>
      </c>
      <c r="J2628" s="5" t="s">
        <v>3643</v>
      </c>
    </row>
    <row r="2629" spans="1:12" ht="25.5" x14ac:dyDescent="0.2">
      <c r="A2629" s="1" t="s">
        <v>6</v>
      </c>
      <c r="B2629" s="2" t="s">
        <v>41</v>
      </c>
      <c r="C2629" s="1"/>
      <c r="D2629" s="7" t="s">
        <v>3710</v>
      </c>
      <c r="E2629" s="3">
        <v>114000</v>
      </c>
      <c r="F2629" s="6">
        <v>124000</v>
      </c>
      <c r="G2629" s="57">
        <v>8.771929824561403E-2</v>
      </c>
      <c r="J2629" s="5" t="s">
        <v>1780</v>
      </c>
    </row>
    <row r="2630" spans="1:12" ht="25.5" x14ac:dyDescent="0.2">
      <c r="A2630" s="1" t="s">
        <v>20</v>
      </c>
      <c r="B2630" s="2" t="s">
        <v>195</v>
      </c>
      <c r="D2630" s="5" t="s">
        <v>942</v>
      </c>
      <c r="E2630" s="3">
        <v>122000</v>
      </c>
      <c r="F2630" s="3">
        <v>124000</v>
      </c>
      <c r="G2630" s="57">
        <v>1.6393442622950821E-2</v>
      </c>
      <c r="J2630" s="5" t="s">
        <v>3467</v>
      </c>
    </row>
    <row r="2631" spans="1:12" x14ac:dyDescent="0.2">
      <c r="A2631" s="1" t="s">
        <v>25</v>
      </c>
      <c r="B2631" s="2" t="s">
        <v>70</v>
      </c>
      <c r="C2631" s="1"/>
      <c r="D2631" s="5" t="s">
        <v>1921</v>
      </c>
      <c r="E2631" s="19">
        <v>125971</v>
      </c>
      <c r="F2631" s="19">
        <v>123996</v>
      </c>
      <c r="G2631" s="57">
        <v>-1.5678211651888135E-2</v>
      </c>
      <c r="J2631" s="5" t="s">
        <v>1922</v>
      </c>
    </row>
    <row r="2632" spans="1:12" ht="25.5" x14ac:dyDescent="0.2">
      <c r="A2632" s="1" t="s">
        <v>1</v>
      </c>
      <c r="B2632" s="2" t="s">
        <v>126</v>
      </c>
      <c r="C2632" s="1" t="s">
        <v>2107</v>
      </c>
      <c r="D2632" s="5" t="s">
        <v>2108</v>
      </c>
      <c r="E2632" s="3">
        <v>117014</v>
      </c>
      <c r="F2632" s="3">
        <v>123942</v>
      </c>
      <c r="G2632" s="57">
        <v>5.9206590664364948E-2</v>
      </c>
      <c r="J2632" s="5" t="s">
        <v>3938</v>
      </c>
    </row>
    <row r="2633" spans="1:12" ht="25.5" x14ac:dyDescent="0.2">
      <c r="A2633" s="1" t="s">
        <v>4</v>
      </c>
      <c r="B2633" s="2" t="s">
        <v>206</v>
      </c>
      <c r="D2633" s="5" t="s">
        <v>452</v>
      </c>
      <c r="E2633" s="9">
        <v>124392</v>
      </c>
      <c r="F2633" s="9">
        <v>123937</v>
      </c>
      <c r="G2633" s="57">
        <v>-3.6577914978455205E-3</v>
      </c>
      <c r="J2633" s="5" t="s">
        <v>3391</v>
      </c>
    </row>
    <row r="2634" spans="1:12" ht="25.5" x14ac:dyDescent="0.2">
      <c r="A2634" s="1" t="s">
        <v>111</v>
      </c>
      <c r="B2634" s="2" t="s">
        <v>282</v>
      </c>
      <c r="C2634" s="5" t="s">
        <v>1060</v>
      </c>
      <c r="D2634" s="5" t="s">
        <v>1061</v>
      </c>
      <c r="E2634" s="9" t="s">
        <v>465</v>
      </c>
      <c r="F2634" s="3">
        <v>123926</v>
      </c>
      <c r="G2634" s="57" t="s">
        <v>465</v>
      </c>
      <c r="J2634" s="5" t="s">
        <v>4385</v>
      </c>
    </row>
    <row r="2635" spans="1:12" ht="25.5" x14ac:dyDescent="0.2">
      <c r="A2635" s="1" t="s">
        <v>25</v>
      </c>
      <c r="B2635" s="2" t="s">
        <v>70</v>
      </c>
      <c r="C2635" s="1"/>
      <c r="D2635" s="5" t="s">
        <v>3787</v>
      </c>
      <c r="E2635" s="19">
        <v>126111</v>
      </c>
      <c r="F2635" s="19">
        <v>123862</v>
      </c>
      <c r="G2635" s="57">
        <v>-1.7833495888542633E-2</v>
      </c>
      <c r="J2635" s="5" t="s">
        <v>1923</v>
      </c>
    </row>
    <row r="2636" spans="1:12" x14ac:dyDescent="0.2">
      <c r="A2636" s="1" t="s">
        <v>25</v>
      </c>
      <c r="B2636" s="2" t="s">
        <v>70</v>
      </c>
      <c r="C2636" s="1"/>
      <c r="D2636" s="5" t="s">
        <v>1919</v>
      </c>
      <c r="E2636" s="19">
        <v>124865</v>
      </c>
      <c r="F2636" s="19">
        <v>123801</v>
      </c>
      <c r="G2636" s="57">
        <v>-8.5212028991310616E-3</v>
      </c>
      <c r="J2636" s="5" t="s">
        <v>1920</v>
      </c>
    </row>
    <row r="2637" spans="1:12" ht="25.5" x14ac:dyDescent="0.2">
      <c r="A2637" s="1" t="s">
        <v>4</v>
      </c>
      <c r="B2637" s="12" t="s">
        <v>49</v>
      </c>
      <c r="C2637" s="13"/>
      <c r="D2637" s="7" t="s">
        <v>790</v>
      </c>
      <c r="E2637" s="6">
        <v>108200</v>
      </c>
      <c r="F2637" s="6">
        <v>123800</v>
      </c>
      <c r="G2637" s="57">
        <v>0.14417744916820702</v>
      </c>
      <c r="H2637" s="21"/>
      <c r="I2637" s="21"/>
      <c r="J2637" s="7" t="s">
        <v>4157</v>
      </c>
      <c r="K2637" s="13"/>
      <c r="L2637" s="13"/>
    </row>
    <row r="2638" spans="1:12" ht="25.5" x14ac:dyDescent="0.2">
      <c r="A2638" s="1" t="s">
        <v>6</v>
      </c>
      <c r="B2638" s="2" t="s">
        <v>407</v>
      </c>
      <c r="D2638" s="5" t="s">
        <v>462</v>
      </c>
      <c r="E2638" s="3">
        <v>112000</v>
      </c>
      <c r="F2638" s="3">
        <v>123777</v>
      </c>
      <c r="G2638" s="57">
        <v>0.10515178571428571</v>
      </c>
      <c r="J2638" s="5" t="s">
        <v>2394</v>
      </c>
    </row>
    <row r="2639" spans="1:12" ht="38.25" x14ac:dyDescent="0.2">
      <c r="A2639" s="1" t="s">
        <v>34</v>
      </c>
      <c r="B2639" s="2" t="s">
        <v>119</v>
      </c>
      <c r="C2639" s="1"/>
      <c r="D2639" s="5" t="s">
        <v>1269</v>
      </c>
      <c r="E2639" s="3">
        <v>29940</v>
      </c>
      <c r="F2639" s="3">
        <v>123742</v>
      </c>
      <c r="G2639" s="57">
        <v>3.1329993319973282</v>
      </c>
      <c r="J2639" s="5" t="s">
        <v>4620</v>
      </c>
    </row>
    <row r="2640" spans="1:12" ht="25.5" x14ac:dyDescent="0.2">
      <c r="A2640" s="1" t="s">
        <v>34</v>
      </c>
      <c r="B2640" s="2" t="s">
        <v>119</v>
      </c>
      <c r="C2640" s="1"/>
      <c r="D2640" s="5" t="s">
        <v>507</v>
      </c>
      <c r="E2640" s="3">
        <v>123918</v>
      </c>
      <c r="F2640" s="3">
        <v>123709</v>
      </c>
      <c r="G2640" s="57">
        <v>-1.6865992026985587E-3</v>
      </c>
      <c r="J2640" s="5" t="s">
        <v>4621</v>
      </c>
    </row>
    <row r="2641" spans="1:10" ht="25.5" x14ac:dyDescent="0.2">
      <c r="A2641" s="1" t="s">
        <v>44</v>
      </c>
      <c r="B2641" s="2" t="s">
        <v>381</v>
      </c>
      <c r="D2641" s="5" t="s">
        <v>716</v>
      </c>
      <c r="E2641" s="3">
        <v>120259</v>
      </c>
      <c r="F2641" s="3">
        <v>123672</v>
      </c>
      <c r="G2641" s="57">
        <v>2.8380412276835829E-2</v>
      </c>
      <c r="J2641" s="5" t="s">
        <v>2510</v>
      </c>
    </row>
    <row r="2642" spans="1:10" ht="25.5" x14ac:dyDescent="0.2">
      <c r="A2642" s="1" t="s">
        <v>34</v>
      </c>
      <c r="B2642" s="2" t="s">
        <v>133</v>
      </c>
      <c r="C2642" s="1"/>
      <c r="D2642" s="5" t="s">
        <v>450</v>
      </c>
      <c r="E2642" s="3">
        <v>77390</v>
      </c>
      <c r="F2642" s="3">
        <v>123632</v>
      </c>
      <c r="G2642" s="57">
        <v>0.59751905930998839</v>
      </c>
      <c r="J2642" s="5" t="s">
        <v>4302</v>
      </c>
    </row>
    <row r="2643" spans="1:10" ht="25.5" x14ac:dyDescent="0.2">
      <c r="A2643" s="1" t="s">
        <v>39</v>
      </c>
      <c r="B2643" s="2" t="s">
        <v>364</v>
      </c>
      <c r="C2643" s="7"/>
      <c r="D2643" s="5" t="s">
        <v>2600</v>
      </c>
      <c r="E2643" s="9">
        <v>160684</v>
      </c>
      <c r="F2643" s="9">
        <v>123609</v>
      </c>
      <c r="G2643" s="57">
        <v>-0.23073236912200343</v>
      </c>
      <c r="J2643" s="5" t="s">
        <v>2601</v>
      </c>
    </row>
    <row r="2644" spans="1:10" ht="25.5" x14ac:dyDescent="0.2">
      <c r="A2644" s="1" t="s">
        <v>4</v>
      </c>
      <c r="B2644" s="2" t="s">
        <v>210</v>
      </c>
      <c r="D2644" s="5" t="s">
        <v>1355</v>
      </c>
      <c r="E2644" s="9">
        <v>112306</v>
      </c>
      <c r="F2644" s="9">
        <v>123577</v>
      </c>
      <c r="G2644" s="57">
        <v>0.10035973144800812</v>
      </c>
      <c r="J2644" s="5" t="s">
        <v>3356</v>
      </c>
    </row>
    <row r="2645" spans="1:10" ht="25.5" x14ac:dyDescent="0.2">
      <c r="A2645" s="13" t="s">
        <v>34</v>
      </c>
      <c r="B2645" s="2" t="s">
        <v>48</v>
      </c>
      <c r="C2645" s="1"/>
      <c r="D2645" s="5" t="s">
        <v>1806</v>
      </c>
      <c r="E2645" s="6">
        <v>123817</v>
      </c>
      <c r="F2645" s="3">
        <v>123514</v>
      </c>
      <c r="G2645" s="57">
        <v>-2.4471599214970479E-3</v>
      </c>
      <c r="J2645" s="5" t="s">
        <v>1807</v>
      </c>
    </row>
    <row r="2646" spans="1:10" ht="25.5" x14ac:dyDescent="0.2">
      <c r="A2646" s="1" t="s">
        <v>1</v>
      </c>
      <c r="B2646" s="2" t="s">
        <v>135</v>
      </c>
      <c r="C2646" s="1" t="s">
        <v>1664</v>
      </c>
      <c r="D2646" s="5" t="s">
        <v>1665</v>
      </c>
      <c r="E2646" s="3">
        <v>123558</v>
      </c>
      <c r="F2646" s="3">
        <v>123469</v>
      </c>
      <c r="G2646" s="57">
        <v>-7.203094902798686E-4</v>
      </c>
      <c r="J2646" s="5" t="s">
        <v>3959</v>
      </c>
    </row>
    <row r="2647" spans="1:10" ht="25.5" x14ac:dyDescent="0.2">
      <c r="A2647" s="1" t="s">
        <v>6</v>
      </c>
      <c r="B2647" s="2" t="s">
        <v>179</v>
      </c>
      <c r="D2647" s="5" t="s">
        <v>1491</v>
      </c>
      <c r="E2647" s="9">
        <v>126300</v>
      </c>
      <c r="F2647" s="9">
        <v>123300</v>
      </c>
      <c r="G2647" s="57">
        <v>-2.3752969121140142E-2</v>
      </c>
      <c r="J2647" s="5" t="s">
        <v>3552</v>
      </c>
    </row>
    <row r="2648" spans="1:10" ht="25.5" x14ac:dyDescent="0.2">
      <c r="A2648" s="1" t="s">
        <v>1</v>
      </c>
      <c r="B2648" s="2" t="s">
        <v>141</v>
      </c>
      <c r="C2648" s="1" t="s">
        <v>1651</v>
      </c>
      <c r="D2648" s="5" t="s">
        <v>450</v>
      </c>
      <c r="E2648" s="3">
        <v>120299</v>
      </c>
      <c r="F2648" s="3">
        <v>123257</v>
      </c>
      <c r="G2648" s="57">
        <v>2.4588733073425382E-2</v>
      </c>
      <c r="J2648" s="5" t="s">
        <v>3970</v>
      </c>
    </row>
    <row r="2649" spans="1:10" ht="25.5" x14ac:dyDescent="0.2">
      <c r="A2649" s="1" t="s">
        <v>8</v>
      </c>
      <c r="B2649" s="2" t="s">
        <v>100</v>
      </c>
      <c r="C2649" s="1"/>
      <c r="D2649" s="5" t="s">
        <v>450</v>
      </c>
      <c r="E2649" s="3">
        <v>120814</v>
      </c>
      <c r="F2649" s="3">
        <v>123239</v>
      </c>
      <c r="G2649" s="57">
        <v>2.0072177065571871E-2</v>
      </c>
      <c r="J2649" s="5" t="s">
        <v>3850</v>
      </c>
    </row>
    <row r="2650" spans="1:10" ht="38.25" x14ac:dyDescent="0.2">
      <c r="A2650" s="1" t="s">
        <v>4</v>
      </c>
      <c r="B2650" s="2" t="s">
        <v>351</v>
      </c>
      <c r="D2650" s="5" t="s">
        <v>660</v>
      </c>
      <c r="E2650" s="3">
        <v>121779</v>
      </c>
      <c r="F2650" s="3">
        <v>123213</v>
      </c>
      <c r="G2650" s="57">
        <v>1.1775429261202671E-2</v>
      </c>
      <c r="J2650" s="5" t="s">
        <v>4510</v>
      </c>
    </row>
    <row r="2651" spans="1:10" x14ac:dyDescent="0.2">
      <c r="A2651" s="1" t="s">
        <v>34</v>
      </c>
      <c r="B2651" s="2" t="s">
        <v>275</v>
      </c>
      <c r="D2651" s="5" t="s">
        <v>1102</v>
      </c>
      <c r="E2651" s="3">
        <v>122300</v>
      </c>
      <c r="F2651" s="3">
        <v>123184</v>
      </c>
      <c r="G2651" s="57">
        <v>7.2281275551921501E-3</v>
      </c>
      <c r="J2651" s="5" t="s">
        <v>3029</v>
      </c>
    </row>
    <row r="2652" spans="1:10" x14ac:dyDescent="0.2">
      <c r="A2652" s="1" t="s">
        <v>34</v>
      </c>
      <c r="B2652" s="2" t="s">
        <v>275</v>
      </c>
      <c r="D2652" s="5" t="s">
        <v>1103</v>
      </c>
      <c r="E2652" s="3">
        <v>122300</v>
      </c>
      <c r="F2652" s="3">
        <v>123184</v>
      </c>
      <c r="G2652" s="57">
        <v>7.2281275551921501E-3</v>
      </c>
      <c r="J2652" s="5" t="s">
        <v>3029</v>
      </c>
    </row>
    <row r="2653" spans="1:10" x14ac:dyDescent="0.2">
      <c r="A2653" s="1" t="s">
        <v>111</v>
      </c>
      <c r="B2653" s="2" t="s">
        <v>257</v>
      </c>
      <c r="D2653" s="5" t="s">
        <v>1180</v>
      </c>
      <c r="E2653" s="3">
        <v>122480</v>
      </c>
      <c r="F2653" s="3">
        <v>123105</v>
      </c>
      <c r="G2653" s="57">
        <v>5.1028739386022211E-3</v>
      </c>
      <c r="J2653" s="5" t="s">
        <v>3098</v>
      </c>
    </row>
    <row r="2654" spans="1:10" ht="25.5" x14ac:dyDescent="0.2">
      <c r="A2654" s="1" t="s">
        <v>4</v>
      </c>
      <c r="B2654" s="2" t="s">
        <v>112</v>
      </c>
      <c r="C2654" s="1"/>
      <c r="D2654" s="5" t="s">
        <v>529</v>
      </c>
      <c r="E2654" s="3">
        <v>120883</v>
      </c>
      <c r="F2654" s="3">
        <v>123092</v>
      </c>
      <c r="G2654" s="57">
        <v>1.8273868120413955E-2</v>
      </c>
      <c r="J2654" s="5" t="s">
        <v>3891</v>
      </c>
    </row>
    <row r="2655" spans="1:10" ht="25.5" x14ac:dyDescent="0.2">
      <c r="A2655" s="1" t="s">
        <v>44</v>
      </c>
      <c r="B2655" s="2" t="s">
        <v>260</v>
      </c>
      <c r="D2655" s="5" t="s">
        <v>3083</v>
      </c>
      <c r="E2655" s="3">
        <v>117544</v>
      </c>
      <c r="F2655" s="3">
        <v>123078</v>
      </c>
      <c r="G2655" s="57">
        <v>4.7080242292248012E-2</v>
      </c>
      <c r="J2655" s="5" t="s">
        <v>3081</v>
      </c>
    </row>
    <row r="2656" spans="1:10" ht="25.5" x14ac:dyDescent="0.2">
      <c r="A2656" s="1" t="s">
        <v>20</v>
      </c>
      <c r="B2656" s="2" t="s">
        <v>69</v>
      </c>
      <c r="C2656" s="1"/>
      <c r="D2656" s="5" t="s">
        <v>1911</v>
      </c>
      <c r="E2656" s="3">
        <v>121598</v>
      </c>
      <c r="F2656" s="3">
        <v>123046</v>
      </c>
      <c r="G2656" s="57">
        <v>1.1908090593595289E-2</v>
      </c>
      <c r="J2656" s="5" t="s">
        <v>4608</v>
      </c>
    </row>
    <row r="2657" spans="1:12" ht="25.5" x14ac:dyDescent="0.2">
      <c r="A2657" s="1" t="s">
        <v>4</v>
      </c>
      <c r="B2657" s="2" t="s">
        <v>234</v>
      </c>
      <c r="D2657" s="5" t="s">
        <v>1235</v>
      </c>
      <c r="E2657" s="3" t="s">
        <v>465</v>
      </c>
      <c r="F2657" s="3">
        <v>123000</v>
      </c>
      <c r="G2657" s="57" t="s">
        <v>465</v>
      </c>
      <c r="J2657" s="5" t="s">
        <v>3202</v>
      </c>
    </row>
    <row r="2658" spans="1:12" ht="25.5" x14ac:dyDescent="0.2">
      <c r="A2658" s="1" t="s">
        <v>6</v>
      </c>
      <c r="B2658" s="2" t="s">
        <v>216</v>
      </c>
      <c r="D2658" s="5" t="s">
        <v>1313</v>
      </c>
      <c r="E2658" s="3">
        <v>122662</v>
      </c>
      <c r="F2658" s="3">
        <v>122916</v>
      </c>
      <c r="G2658" s="57">
        <v>2.0707309517209896E-3</v>
      </c>
      <c r="J2658" s="5" t="s">
        <v>3302</v>
      </c>
    </row>
    <row r="2659" spans="1:12" ht="25.5" x14ac:dyDescent="0.2">
      <c r="A2659" s="1" t="s">
        <v>34</v>
      </c>
      <c r="B2659" s="2" t="s">
        <v>298</v>
      </c>
      <c r="D2659" s="5" t="s">
        <v>992</v>
      </c>
      <c r="E2659" s="3">
        <v>125354</v>
      </c>
      <c r="F2659" s="3">
        <v>122902</v>
      </c>
      <c r="G2659" s="57">
        <v>-1.9560604368428609E-2</v>
      </c>
      <c r="J2659" s="5" t="s">
        <v>2864</v>
      </c>
    </row>
    <row r="2660" spans="1:12" x14ac:dyDescent="0.2">
      <c r="A2660" s="1" t="s">
        <v>4</v>
      </c>
      <c r="B2660" s="2" t="s">
        <v>299</v>
      </c>
      <c r="D2660" s="5" t="s">
        <v>989</v>
      </c>
      <c r="E2660" s="3">
        <v>119896</v>
      </c>
      <c r="F2660" s="3">
        <v>122883</v>
      </c>
      <c r="G2660" s="57">
        <v>2.4913258157069459E-2</v>
      </c>
      <c r="J2660" s="5" t="s">
        <v>2860</v>
      </c>
    </row>
    <row r="2661" spans="1:12" ht="25.5" x14ac:dyDescent="0.2">
      <c r="A2661" s="13" t="s">
        <v>1</v>
      </c>
      <c r="B2661" s="12" t="s">
        <v>9</v>
      </c>
      <c r="C2661" s="13" t="s">
        <v>1684</v>
      </c>
      <c r="D2661" s="7" t="s">
        <v>1682</v>
      </c>
      <c r="E2661" s="6">
        <v>119762</v>
      </c>
      <c r="F2661" s="6">
        <v>122862</v>
      </c>
      <c r="G2661" s="57">
        <v>2.588467126467494E-2</v>
      </c>
      <c r="H2661" s="21"/>
      <c r="I2661" s="21"/>
      <c r="J2661" s="7" t="s">
        <v>2240</v>
      </c>
      <c r="K2661" s="13"/>
      <c r="L2661" s="13"/>
    </row>
    <row r="2662" spans="1:12" ht="25.5" x14ac:dyDescent="0.2">
      <c r="A2662" s="1" t="s">
        <v>20</v>
      </c>
      <c r="B2662" s="2" t="s">
        <v>151</v>
      </c>
      <c r="C2662" s="1"/>
      <c r="D2662" s="5" t="s">
        <v>1632</v>
      </c>
      <c r="E2662" s="3" t="s">
        <v>465</v>
      </c>
      <c r="F2662" s="3">
        <v>122819</v>
      </c>
      <c r="G2662" s="57" t="s">
        <v>465</v>
      </c>
      <c r="J2662" s="5" t="s">
        <v>4636</v>
      </c>
    </row>
    <row r="2663" spans="1:12" x14ac:dyDescent="0.2">
      <c r="A2663" s="1" t="s">
        <v>44</v>
      </c>
      <c r="B2663" s="2" t="s">
        <v>80</v>
      </c>
      <c r="C2663" s="1"/>
      <c r="D2663" s="5" t="s">
        <v>450</v>
      </c>
      <c r="E2663" s="3">
        <v>118571</v>
      </c>
      <c r="F2663" s="3">
        <v>122797</v>
      </c>
      <c r="G2663" s="57">
        <v>3.5641092678648234E-2</v>
      </c>
      <c r="J2663" s="5" t="s">
        <v>1988</v>
      </c>
    </row>
    <row r="2664" spans="1:12" ht="25.5" x14ac:dyDescent="0.2">
      <c r="A2664" s="1" t="s">
        <v>4</v>
      </c>
      <c r="B2664" s="2" t="s">
        <v>239</v>
      </c>
      <c r="D2664" s="5" t="s">
        <v>611</v>
      </c>
      <c r="E2664" s="3">
        <v>119819</v>
      </c>
      <c r="F2664" s="3">
        <v>122773</v>
      </c>
      <c r="G2664" s="57">
        <v>2.4653852894782963E-2</v>
      </c>
      <c r="J2664" s="5" t="s">
        <v>3181</v>
      </c>
    </row>
    <row r="2665" spans="1:12" ht="38.25" x14ac:dyDescent="0.2">
      <c r="A2665" s="1" t="s">
        <v>25</v>
      </c>
      <c r="B2665" s="2" t="s">
        <v>406</v>
      </c>
      <c r="D2665" s="5" t="s">
        <v>634</v>
      </c>
      <c r="E2665" s="9">
        <v>117295</v>
      </c>
      <c r="F2665" s="3">
        <v>122709</v>
      </c>
      <c r="G2665" s="57">
        <v>4.6157125197152482E-2</v>
      </c>
      <c r="J2665" s="5" t="s">
        <v>2411</v>
      </c>
    </row>
    <row r="2666" spans="1:12" ht="76.5" x14ac:dyDescent="0.2">
      <c r="A2666" s="1" t="s">
        <v>4</v>
      </c>
      <c r="B2666" s="2" t="s">
        <v>210</v>
      </c>
      <c r="D2666" s="5" t="s">
        <v>1350</v>
      </c>
      <c r="E2666" s="9" t="s">
        <v>465</v>
      </c>
      <c r="F2666" s="9">
        <v>122691</v>
      </c>
      <c r="G2666" s="57" t="s">
        <v>465</v>
      </c>
      <c r="J2666" s="5" t="s">
        <v>4657</v>
      </c>
    </row>
    <row r="2667" spans="1:12" ht="38.25" x14ac:dyDescent="0.2">
      <c r="A2667" s="1" t="s">
        <v>28</v>
      </c>
      <c r="B2667" s="2" t="s">
        <v>213</v>
      </c>
      <c r="D2667" s="5" t="s">
        <v>1328</v>
      </c>
      <c r="E2667" s="9" t="s">
        <v>465</v>
      </c>
      <c r="F2667" s="9">
        <v>122553</v>
      </c>
      <c r="G2667" s="57" t="s">
        <v>465</v>
      </c>
      <c r="J2667" s="5" t="s">
        <v>3323</v>
      </c>
    </row>
    <row r="2668" spans="1:12" x14ac:dyDescent="0.2">
      <c r="A2668" s="1" t="s">
        <v>25</v>
      </c>
      <c r="B2668" s="12" t="s">
        <v>24</v>
      </c>
      <c r="C2668" s="13"/>
      <c r="D2668" s="7" t="s">
        <v>464</v>
      </c>
      <c r="E2668" s="6" t="s">
        <v>465</v>
      </c>
      <c r="F2668" s="6">
        <v>122500</v>
      </c>
      <c r="G2668" s="57" t="s">
        <v>465</v>
      </c>
      <c r="H2668" s="21"/>
      <c r="I2668" s="21"/>
      <c r="J2668" s="7"/>
      <c r="K2668" s="13"/>
      <c r="L2668" s="13"/>
    </row>
    <row r="2669" spans="1:12" x14ac:dyDescent="0.2">
      <c r="A2669" s="1" t="s">
        <v>25</v>
      </c>
      <c r="B2669" s="2" t="s">
        <v>26</v>
      </c>
      <c r="C2669" s="1"/>
      <c r="D2669" s="5" t="s">
        <v>464</v>
      </c>
      <c r="E2669" s="58" t="s">
        <v>465</v>
      </c>
      <c r="F2669" s="3">
        <v>122500</v>
      </c>
      <c r="G2669" s="57" t="s">
        <v>465</v>
      </c>
      <c r="J2669" s="1"/>
    </row>
    <row r="2670" spans="1:12" x14ac:dyDescent="0.2">
      <c r="A2670" s="1" t="s">
        <v>6</v>
      </c>
      <c r="B2670" s="2" t="s">
        <v>46</v>
      </c>
      <c r="C2670" s="1"/>
      <c r="D2670" s="5" t="s">
        <v>464</v>
      </c>
      <c r="E2670" s="3" t="s">
        <v>465</v>
      </c>
      <c r="F2670" s="3">
        <v>122500</v>
      </c>
      <c r="G2670" s="57" t="s">
        <v>465</v>
      </c>
    </row>
    <row r="2671" spans="1:12" x14ac:dyDescent="0.2">
      <c r="A2671" s="1" t="s">
        <v>28</v>
      </c>
      <c r="B2671" s="2" t="s">
        <v>50</v>
      </c>
      <c r="C2671" s="1"/>
      <c r="D2671" s="5" t="s">
        <v>464</v>
      </c>
      <c r="E2671" s="58" t="s">
        <v>465</v>
      </c>
      <c r="F2671" s="3">
        <v>122500</v>
      </c>
      <c r="G2671" s="57" t="s">
        <v>465</v>
      </c>
    </row>
    <row r="2672" spans="1:12" x14ac:dyDescent="0.2">
      <c r="A2672" s="1" t="s">
        <v>28</v>
      </c>
      <c r="B2672" s="2" t="s">
        <v>50</v>
      </c>
      <c r="C2672" s="1"/>
      <c r="D2672" s="5" t="s">
        <v>464</v>
      </c>
      <c r="E2672" s="58" t="s">
        <v>465</v>
      </c>
      <c r="F2672" s="3">
        <v>122500</v>
      </c>
      <c r="G2672" s="57" t="s">
        <v>465</v>
      </c>
    </row>
    <row r="2673" spans="1:12" x14ac:dyDescent="0.2">
      <c r="A2673" s="1" t="s">
        <v>28</v>
      </c>
      <c r="B2673" s="2" t="s">
        <v>50</v>
      </c>
      <c r="C2673" s="1"/>
      <c r="D2673" s="5" t="s">
        <v>464</v>
      </c>
      <c r="E2673" s="58" t="s">
        <v>465</v>
      </c>
      <c r="F2673" s="3">
        <v>122500</v>
      </c>
      <c r="G2673" s="57" t="s">
        <v>465</v>
      </c>
    </row>
    <row r="2674" spans="1:12" x14ac:dyDescent="0.2">
      <c r="A2674" s="1" t="s">
        <v>25</v>
      </c>
      <c r="B2674" s="2" t="s">
        <v>53</v>
      </c>
      <c r="C2674" s="1"/>
      <c r="D2674" s="5" t="s">
        <v>464</v>
      </c>
      <c r="E2674" s="3" t="s">
        <v>465</v>
      </c>
      <c r="F2674" s="3">
        <v>122500</v>
      </c>
      <c r="G2674" s="57" t="s">
        <v>465</v>
      </c>
    </row>
    <row r="2675" spans="1:12" x14ac:dyDescent="0.2">
      <c r="A2675" s="1" t="s">
        <v>25</v>
      </c>
      <c r="B2675" s="2" t="s">
        <v>93</v>
      </c>
      <c r="C2675" s="1"/>
      <c r="D2675" s="5" t="s">
        <v>464</v>
      </c>
      <c r="E2675" s="3" t="s">
        <v>465</v>
      </c>
      <c r="F2675" s="3">
        <v>122500</v>
      </c>
      <c r="G2675" s="57" t="s">
        <v>465</v>
      </c>
    </row>
    <row r="2676" spans="1:12" x14ac:dyDescent="0.2">
      <c r="A2676" s="1" t="s">
        <v>34</v>
      </c>
      <c r="B2676" s="12" t="s">
        <v>101</v>
      </c>
      <c r="C2676" s="13"/>
      <c r="D2676" s="7" t="s">
        <v>464</v>
      </c>
      <c r="E2676" s="6" t="s">
        <v>465</v>
      </c>
      <c r="F2676" s="6">
        <v>122500</v>
      </c>
      <c r="G2676" s="57" t="s">
        <v>465</v>
      </c>
      <c r="H2676" s="21"/>
      <c r="I2676" s="21"/>
      <c r="J2676" s="7"/>
      <c r="K2676" s="13"/>
      <c r="L2676" s="13"/>
    </row>
    <row r="2677" spans="1:12" x14ac:dyDescent="0.2">
      <c r="A2677" s="1" t="s">
        <v>25</v>
      </c>
      <c r="B2677" s="2" t="s">
        <v>107</v>
      </c>
      <c r="C2677" s="1"/>
      <c r="D2677" s="5" t="s">
        <v>464</v>
      </c>
      <c r="E2677" s="3" t="s">
        <v>465</v>
      </c>
      <c r="F2677" s="3">
        <v>122500</v>
      </c>
      <c r="G2677" s="57" t="s">
        <v>465</v>
      </c>
    </row>
    <row r="2678" spans="1:12" x14ac:dyDescent="0.2">
      <c r="A2678" s="1" t="s">
        <v>25</v>
      </c>
      <c r="B2678" s="2" t="s">
        <v>107</v>
      </c>
      <c r="C2678" s="1"/>
      <c r="D2678" s="5" t="s">
        <v>464</v>
      </c>
      <c r="E2678" s="3" t="s">
        <v>465</v>
      </c>
      <c r="F2678" s="3">
        <v>122500</v>
      </c>
      <c r="G2678" s="57" t="s">
        <v>465</v>
      </c>
    </row>
    <row r="2679" spans="1:12" x14ac:dyDescent="0.2">
      <c r="A2679" s="1" t="s">
        <v>4</v>
      </c>
      <c r="B2679" s="2" t="s">
        <v>112</v>
      </c>
      <c r="C2679" s="1"/>
      <c r="D2679" s="5" t="s">
        <v>464</v>
      </c>
      <c r="E2679" s="3" t="s">
        <v>465</v>
      </c>
      <c r="F2679" s="3">
        <v>122500</v>
      </c>
      <c r="G2679" s="57" t="s">
        <v>465</v>
      </c>
    </row>
    <row r="2680" spans="1:12" x14ac:dyDescent="0.2">
      <c r="A2680" s="1" t="s">
        <v>34</v>
      </c>
      <c r="B2680" s="2" t="s">
        <v>119</v>
      </c>
      <c r="C2680" s="1"/>
      <c r="D2680" s="5" t="s">
        <v>464</v>
      </c>
      <c r="E2680" s="3" t="s">
        <v>465</v>
      </c>
      <c r="F2680" s="3">
        <v>122500</v>
      </c>
      <c r="G2680" s="57" t="s">
        <v>465</v>
      </c>
    </row>
    <row r="2681" spans="1:12" x14ac:dyDescent="0.2">
      <c r="A2681" s="1" t="s">
        <v>28</v>
      </c>
      <c r="B2681" s="2" t="s">
        <v>120</v>
      </c>
      <c r="C2681" s="1"/>
      <c r="D2681" s="5" t="s">
        <v>464</v>
      </c>
      <c r="E2681" s="3" t="s">
        <v>465</v>
      </c>
      <c r="F2681" s="3">
        <v>122500</v>
      </c>
      <c r="G2681" s="57" t="s">
        <v>465</v>
      </c>
    </row>
    <row r="2682" spans="1:12" x14ac:dyDescent="0.2">
      <c r="A2682" s="1" t="s">
        <v>111</v>
      </c>
      <c r="B2682" s="2" t="s">
        <v>128</v>
      </c>
      <c r="C2682" s="1"/>
      <c r="D2682" s="5" t="s">
        <v>464</v>
      </c>
      <c r="E2682" s="3" t="s">
        <v>465</v>
      </c>
      <c r="F2682" s="3">
        <v>122500</v>
      </c>
      <c r="G2682" s="57" t="s">
        <v>465</v>
      </c>
      <c r="J2682" s="1"/>
    </row>
    <row r="2683" spans="1:12" x14ac:dyDescent="0.2">
      <c r="A2683" s="1" t="s">
        <v>25</v>
      </c>
      <c r="B2683" s="2" t="s">
        <v>129</v>
      </c>
      <c r="C2683" s="1"/>
      <c r="D2683" s="5" t="s">
        <v>464</v>
      </c>
      <c r="E2683" s="3" t="s">
        <v>465</v>
      </c>
      <c r="F2683" s="3">
        <v>122500</v>
      </c>
      <c r="G2683" s="57" t="s">
        <v>465</v>
      </c>
    </row>
    <row r="2684" spans="1:12" x14ac:dyDescent="0.2">
      <c r="A2684" s="1" t="s">
        <v>4</v>
      </c>
      <c r="B2684" s="2" t="s">
        <v>144</v>
      </c>
      <c r="C2684" s="1"/>
      <c r="D2684" s="5" t="s">
        <v>464</v>
      </c>
      <c r="E2684" s="3" t="s">
        <v>465</v>
      </c>
      <c r="F2684" s="3">
        <v>122500</v>
      </c>
      <c r="G2684" s="57" t="s">
        <v>465</v>
      </c>
    </row>
    <row r="2685" spans="1:12" x14ac:dyDescent="0.2">
      <c r="A2685" s="1" t="s">
        <v>4</v>
      </c>
      <c r="B2685" s="2" t="s">
        <v>144</v>
      </c>
      <c r="C2685" s="1"/>
      <c r="D2685" s="5" t="s">
        <v>464</v>
      </c>
      <c r="E2685" s="3" t="s">
        <v>465</v>
      </c>
      <c r="F2685" s="3">
        <v>122500</v>
      </c>
      <c r="G2685" s="57" t="s">
        <v>465</v>
      </c>
    </row>
    <row r="2686" spans="1:12" x14ac:dyDescent="0.2">
      <c r="A2686" s="1" t="s">
        <v>20</v>
      </c>
      <c r="B2686" s="2" t="s">
        <v>154</v>
      </c>
      <c r="C2686" s="1"/>
      <c r="D2686" s="5" t="s">
        <v>464</v>
      </c>
      <c r="E2686" s="3" t="s">
        <v>465</v>
      </c>
      <c r="F2686" s="3">
        <v>122500</v>
      </c>
      <c r="G2686" s="57" t="s">
        <v>465</v>
      </c>
      <c r="J2686" s="1"/>
    </row>
    <row r="2687" spans="1:12" x14ac:dyDescent="0.2">
      <c r="A2687" s="1" t="s">
        <v>1</v>
      </c>
      <c r="B2687" s="2" t="s">
        <v>168</v>
      </c>
      <c r="C2687" s="1"/>
      <c r="D2687" s="5" t="s">
        <v>464</v>
      </c>
      <c r="E2687" s="3" t="s">
        <v>465</v>
      </c>
      <c r="F2687" s="3">
        <v>122500</v>
      </c>
      <c r="G2687" s="57" t="s">
        <v>465</v>
      </c>
    </row>
    <row r="2688" spans="1:12" x14ac:dyDescent="0.2">
      <c r="A2688" s="1" t="s">
        <v>25</v>
      </c>
      <c r="B2688" s="2" t="s">
        <v>175</v>
      </c>
      <c r="D2688" s="5" t="s">
        <v>464</v>
      </c>
      <c r="E2688" s="3" t="s">
        <v>465</v>
      </c>
      <c r="F2688" s="3">
        <v>122500</v>
      </c>
      <c r="G2688" s="57" t="s">
        <v>465</v>
      </c>
      <c r="J2688" s="5" t="s">
        <v>1241</v>
      </c>
    </row>
    <row r="2689" spans="1:10" x14ac:dyDescent="0.2">
      <c r="A2689" s="1" t="s">
        <v>25</v>
      </c>
      <c r="B2689" s="2" t="s">
        <v>175</v>
      </c>
      <c r="D2689" s="5" t="s">
        <v>464</v>
      </c>
      <c r="E2689" s="3" t="s">
        <v>465</v>
      </c>
      <c r="F2689" s="3">
        <v>122500</v>
      </c>
      <c r="G2689" s="57" t="s">
        <v>465</v>
      </c>
    </row>
    <row r="2690" spans="1:10" x14ac:dyDescent="0.2">
      <c r="A2690" s="1" t="s">
        <v>4</v>
      </c>
      <c r="B2690" s="2" t="s">
        <v>182</v>
      </c>
      <c r="D2690" s="5" t="s">
        <v>464</v>
      </c>
      <c r="E2690" s="3" t="s">
        <v>465</v>
      </c>
      <c r="F2690" s="3">
        <v>122500</v>
      </c>
      <c r="G2690" s="57" t="s">
        <v>465</v>
      </c>
      <c r="J2690" s="5" t="s">
        <v>1475</v>
      </c>
    </row>
    <row r="2691" spans="1:10" x14ac:dyDescent="0.2">
      <c r="A2691" s="1" t="s">
        <v>4</v>
      </c>
      <c r="B2691" s="2" t="s">
        <v>182</v>
      </c>
      <c r="D2691" s="5" t="s">
        <v>464</v>
      </c>
      <c r="E2691" s="3" t="s">
        <v>465</v>
      </c>
      <c r="F2691" s="3">
        <v>122500</v>
      </c>
      <c r="G2691" s="57" t="s">
        <v>465</v>
      </c>
    </row>
    <row r="2692" spans="1:10" x14ac:dyDescent="0.2">
      <c r="A2692" s="1" t="s">
        <v>20</v>
      </c>
      <c r="B2692" s="2" t="s">
        <v>194</v>
      </c>
      <c r="D2692" s="5" t="s">
        <v>464</v>
      </c>
      <c r="E2692" s="3" t="s">
        <v>465</v>
      </c>
      <c r="F2692" s="3">
        <v>122500</v>
      </c>
      <c r="G2692" s="57" t="s">
        <v>465</v>
      </c>
    </row>
    <row r="2693" spans="1:10" x14ac:dyDescent="0.2">
      <c r="A2693" s="1" t="s">
        <v>25</v>
      </c>
      <c r="B2693" s="2" t="s">
        <v>209</v>
      </c>
      <c r="D2693" s="5" t="s">
        <v>464</v>
      </c>
      <c r="E2693" s="3" t="s">
        <v>465</v>
      </c>
      <c r="F2693" s="3">
        <v>122500</v>
      </c>
      <c r="G2693" s="57" t="s">
        <v>465</v>
      </c>
    </row>
    <row r="2694" spans="1:10" x14ac:dyDescent="0.2">
      <c r="A2694" s="1" t="s">
        <v>4</v>
      </c>
      <c r="B2694" s="2" t="s">
        <v>210</v>
      </c>
      <c r="D2694" s="5" t="s">
        <v>464</v>
      </c>
      <c r="E2694" s="3" t="s">
        <v>465</v>
      </c>
      <c r="F2694" s="3">
        <v>122500</v>
      </c>
      <c r="G2694" s="57" t="s">
        <v>465</v>
      </c>
      <c r="H2694" s="4"/>
      <c r="I2694" s="4"/>
      <c r="J2694" s="1"/>
    </row>
    <row r="2695" spans="1:10" x14ac:dyDescent="0.2">
      <c r="A2695" s="1" t="s">
        <v>25</v>
      </c>
      <c r="B2695" s="2" t="s">
        <v>217</v>
      </c>
      <c r="D2695" s="5" t="s">
        <v>464</v>
      </c>
      <c r="E2695" s="3" t="s">
        <v>465</v>
      </c>
      <c r="F2695" s="3">
        <v>122500</v>
      </c>
      <c r="G2695" s="57" t="s">
        <v>465</v>
      </c>
    </row>
    <row r="2696" spans="1:10" x14ac:dyDescent="0.2">
      <c r="A2696" s="1" t="s">
        <v>25</v>
      </c>
      <c r="B2696" s="2" t="s">
        <v>217</v>
      </c>
      <c r="D2696" s="5" t="s">
        <v>464</v>
      </c>
      <c r="E2696" s="3" t="s">
        <v>465</v>
      </c>
      <c r="F2696" s="3">
        <v>122500</v>
      </c>
      <c r="G2696" s="57" t="s">
        <v>465</v>
      </c>
    </row>
    <row r="2697" spans="1:10" x14ac:dyDescent="0.2">
      <c r="A2697" s="1" t="s">
        <v>28</v>
      </c>
      <c r="B2697" s="2" t="s">
        <v>221</v>
      </c>
      <c r="D2697" s="5" t="s">
        <v>464</v>
      </c>
      <c r="E2697" s="3" t="s">
        <v>465</v>
      </c>
      <c r="F2697" s="3">
        <v>122500</v>
      </c>
      <c r="G2697" s="57" t="s">
        <v>465</v>
      </c>
    </row>
    <row r="2698" spans="1:10" x14ac:dyDescent="0.2">
      <c r="A2698" s="1" t="s">
        <v>8</v>
      </c>
      <c r="B2698" s="2" t="s">
        <v>222</v>
      </c>
      <c r="D2698" s="5" t="s">
        <v>464</v>
      </c>
      <c r="E2698" s="3" t="s">
        <v>465</v>
      </c>
      <c r="F2698" s="3">
        <v>122500</v>
      </c>
      <c r="G2698" s="57" t="s">
        <v>465</v>
      </c>
      <c r="H2698" s="4"/>
      <c r="I2698" s="4"/>
      <c r="J2698" s="1"/>
    </row>
    <row r="2699" spans="1:10" x14ac:dyDescent="0.2">
      <c r="A2699" s="1" t="s">
        <v>8</v>
      </c>
      <c r="B2699" s="2" t="s">
        <v>223</v>
      </c>
      <c r="D2699" s="5" t="s">
        <v>464</v>
      </c>
      <c r="E2699" s="3" t="s">
        <v>465</v>
      </c>
      <c r="F2699" s="3">
        <v>122500</v>
      </c>
      <c r="G2699" s="57" t="s">
        <v>465</v>
      </c>
      <c r="H2699" s="4"/>
      <c r="I2699" s="4"/>
      <c r="J2699" s="1"/>
    </row>
    <row r="2700" spans="1:10" x14ac:dyDescent="0.2">
      <c r="A2700" s="1" t="s">
        <v>6</v>
      </c>
      <c r="B2700" s="12" t="s">
        <v>231</v>
      </c>
      <c r="D2700" s="5" t="s">
        <v>464</v>
      </c>
      <c r="E2700" s="3" t="s">
        <v>465</v>
      </c>
      <c r="F2700" s="3">
        <v>122500</v>
      </c>
      <c r="G2700" s="57" t="s">
        <v>465</v>
      </c>
      <c r="H2700" s="4"/>
      <c r="I2700" s="4"/>
      <c r="J2700" s="1"/>
    </row>
    <row r="2701" spans="1:10" x14ac:dyDescent="0.2">
      <c r="A2701" s="1" t="s">
        <v>6</v>
      </c>
      <c r="B2701" s="12" t="s">
        <v>231</v>
      </c>
      <c r="D2701" s="5" t="s">
        <v>464</v>
      </c>
      <c r="E2701" s="3" t="s">
        <v>465</v>
      </c>
      <c r="F2701" s="3">
        <v>122500</v>
      </c>
      <c r="G2701" s="57" t="s">
        <v>465</v>
      </c>
      <c r="H2701" s="4"/>
      <c r="I2701" s="4"/>
      <c r="J2701" s="1"/>
    </row>
    <row r="2702" spans="1:10" x14ac:dyDescent="0.2">
      <c r="A2702" s="1" t="s">
        <v>25</v>
      </c>
      <c r="B2702" s="12" t="s">
        <v>259</v>
      </c>
      <c r="D2702" s="5" t="s">
        <v>464</v>
      </c>
      <c r="E2702" s="3" t="s">
        <v>465</v>
      </c>
      <c r="F2702" s="3">
        <v>122500</v>
      </c>
      <c r="G2702" s="57" t="s">
        <v>465</v>
      </c>
      <c r="H2702" s="4"/>
      <c r="I2702" s="4"/>
      <c r="J2702" s="1"/>
    </row>
    <row r="2703" spans="1:10" x14ac:dyDescent="0.2">
      <c r="A2703" s="1" t="s">
        <v>25</v>
      </c>
      <c r="B2703" s="12" t="s">
        <v>259</v>
      </c>
      <c r="D2703" s="5" t="s">
        <v>464</v>
      </c>
      <c r="E2703" s="3" t="s">
        <v>465</v>
      </c>
      <c r="F2703" s="3">
        <v>122500</v>
      </c>
      <c r="G2703" s="57" t="s">
        <v>465</v>
      </c>
      <c r="H2703" s="4"/>
      <c r="I2703" s="4"/>
      <c r="J2703" s="1"/>
    </row>
    <row r="2704" spans="1:10" x14ac:dyDescent="0.2">
      <c r="A2704" s="1" t="s">
        <v>111</v>
      </c>
      <c r="B2704" s="2" t="s">
        <v>282</v>
      </c>
      <c r="D2704" s="5" t="s">
        <v>464</v>
      </c>
      <c r="E2704" s="3" t="s">
        <v>465</v>
      </c>
      <c r="F2704" s="3">
        <v>122500</v>
      </c>
      <c r="G2704" s="57" t="s">
        <v>465</v>
      </c>
      <c r="J2704" s="5" t="s">
        <v>539</v>
      </c>
    </row>
    <row r="2705" spans="1:10" x14ac:dyDescent="0.2">
      <c r="A2705" s="1" t="s">
        <v>111</v>
      </c>
      <c r="B2705" s="2" t="s">
        <v>282</v>
      </c>
      <c r="D2705" s="5" t="s">
        <v>464</v>
      </c>
      <c r="E2705" s="3" t="s">
        <v>465</v>
      </c>
      <c r="F2705" s="3">
        <v>122500</v>
      </c>
      <c r="G2705" s="57" t="s">
        <v>465</v>
      </c>
      <c r="J2705" s="5" t="s">
        <v>539</v>
      </c>
    </row>
    <row r="2706" spans="1:10" x14ac:dyDescent="0.2">
      <c r="A2706" s="1" t="s">
        <v>34</v>
      </c>
      <c r="B2706" s="2" t="s">
        <v>298</v>
      </c>
      <c r="D2706" s="5" t="s">
        <v>464</v>
      </c>
      <c r="E2706" s="3" t="s">
        <v>465</v>
      </c>
      <c r="F2706" s="3">
        <v>122500</v>
      </c>
      <c r="G2706" s="57" t="s">
        <v>465</v>
      </c>
    </row>
    <row r="2707" spans="1:10" x14ac:dyDescent="0.2">
      <c r="A2707" s="1" t="s">
        <v>1</v>
      </c>
      <c r="B2707" s="12" t="s">
        <v>308</v>
      </c>
      <c r="D2707" s="5" t="s">
        <v>464</v>
      </c>
      <c r="E2707" s="3" t="s">
        <v>465</v>
      </c>
      <c r="F2707" s="3">
        <v>122500</v>
      </c>
      <c r="G2707" s="57" t="s">
        <v>465</v>
      </c>
      <c r="J2707" s="5" t="s">
        <v>539</v>
      </c>
    </row>
    <row r="2708" spans="1:10" x14ac:dyDescent="0.2">
      <c r="A2708" s="1" t="s">
        <v>44</v>
      </c>
      <c r="B2708" s="2" t="s">
        <v>309</v>
      </c>
      <c r="D2708" s="5" t="s">
        <v>464</v>
      </c>
      <c r="E2708" s="3" t="s">
        <v>465</v>
      </c>
      <c r="F2708" s="3">
        <v>122500</v>
      </c>
      <c r="G2708" s="57" t="s">
        <v>465</v>
      </c>
      <c r="J2708" s="5" t="s">
        <v>539</v>
      </c>
    </row>
    <row r="2709" spans="1:10" x14ac:dyDescent="0.2">
      <c r="A2709" s="1" t="s">
        <v>28</v>
      </c>
      <c r="B2709" s="2" t="s">
        <v>332</v>
      </c>
      <c r="D2709" s="5" t="s">
        <v>464</v>
      </c>
      <c r="E2709" s="3" t="s">
        <v>465</v>
      </c>
      <c r="F2709" s="3">
        <v>122500</v>
      </c>
      <c r="G2709" s="57" t="s">
        <v>465</v>
      </c>
    </row>
    <row r="2710" spans="1:10" x14ac:dyDescent="0.2">
      <c r="A2710" s="1" t="s">
        <v>28</v>
      </c>
      <c r="B2710" s="2" t="s">
        <v>332</v>
      </c>
      <c r="D2710" s="5" t="s">
        <v>464</v>
      </c>
      <c r="E2710" s="3" t="s">
        <v>465</v>
      </c>
      <c r="F2710" s="3">
        <v>122500</v>
      </c>
      <c r="G2710" s="57" t="s">
        <v>465</v>
      </c>
    </row>
    <row r="2711" spans="1:10" x14ac:dyDescent="0.2">
      <c r="A2711" s="1" t="s">
        <v>39</v>
      </c>
      <c r="B2711" s="2" t="s">
        <v>335</v>
      </c>
      <c r="D2711" s="7" t="s">
        <v>464</v>
      </c>
      <c r="E2711" s="6" t="s">
        <v>465</v>
      </c>
      <c r="F2711" s="6">
        <v>122500</v>
      </c>
      <c r="G2711" s="57" t="s">
        <v>465</v>
      </c>
      <c r="H2711" s="21"/>
      <c r="I2711" s="21"/>
    </row>
    <row r="2712" spans="1:10" x14ac:dyDescent="0.2">
      <c r="A2712" s="1" t="s">
        <v>4</v>
      </c>
      <c r="B2712" s="2" t="s">
        <v>336</v>
      </c>
      <c r="D2712" s="5" t="s">
        <v>464</v>
      </c>
      <c r="E2712" s="3" t="s">
        <v>465</v>
      </c>
      <c r="F2712" s="3">
        <v>122500</v>
      </c>
      <c r="G2712" s="57" t="s">
        <v>465</v>
      </c>
    </row>
    <row r="2713" spans="1:10" x14ac:dyDescent="0.2">
      <c r="A2713" s="1" t="s">
        <v>4</v>
      </c>
      <c r="B2713" s="2" t="s">
        <v>336</v>
      </c>
      <c r="D2713" s="5" t="s">
        <v>464</v>
      </c>
      <c r="E2713" s="3" t="s">
        <v>465</v>
      </c>
      <c r="F2713" s="3">
        <v>122500</v>
      </c>
      <c r="G2713" s="57" t="s">
        <v>465</v>
      </c>
    </row>
    <row r="2714" spans="1:10" x14ac:dyDescent="0.2">
      <c r="A2714" s="1" t="s">
        <v>8</v>
      </c>
      <c r="B2714" s="2" t="s">
        <v>342</v>
      </c>
      <c r="D2714" s="5" t="s">
        <v>464</v>
      </c>
      <c r="E2714" s="3" t="s">
        <v>465</v>
      </c>
      <c r="F2714" s="3">
        <v>122500</v>
      </c>
      <c r="G2714" s="57" t="s">
        <v>465</v>
      </c>
    </row>
    <row r="2715" spans="1:10" x14ac:dyDescent="0.2">
      <c r="A2715" s="1" t="s">
        <v>20</v>
      </c>
      <c r="B2715" s="2" t="s">
        <v>360</v>
      </c>
      <c r="E2715" s="3" t="s">
        <v>465</v>
      </c>
      <c r="F2715" s="3">
        <v>122500</v>
      </c>
      <c r="G2715" s="57" t="s">
        <v>465</v>
      </c>
      <c r="J2715" s="5" t="s">
        <v>1241</v>
      </c>
    </row>
    <row r="2716" spans="1:10" x14ac:dyDescent="0.2">
      <c r="A2716" s="1" t="s">
        <v>39</v>
      </c>
      <c r="B2716" s="2" t="s">
        <v>364</v>
      </c>
      <c r="D2716" s="5" t="s">
        <v>464</v>
      </c>
      <c r="E2716" s="3" t="s">
        <v>465</v>
      </c>
      <c r="F2716" s="3">
        <v>122500</v>
      </c>
      <c r="G2716" s="57" t="s">
        <v>465</v>
      </c>
    </row>
    <row r="2717" spans="1:10" x14ac:dyDescent="0.2">
      <c r="A2717" s="1" t="s">
        <v>6</v>
      </c>
      <c r="B2717" s="2" t="s">
        <v>368</v>
      </c>
      <c r="D2717" s="5" t="s">
        <v>464</v>
      </c>
      <c r="E2717" s="3" t="s">
        <v>465</v>
      </c>
      <c r="F2717" s="3">
        <v>122500</v>
      </c>
      <c r="G2717" s="57" t="s">
        <v>465</v>
      </c>
    </row>
    <row r="2718" spans="1:10" x14ac:dyDescent="0.2">
      <c r="A2718" s="1" t="s">
        <v>34</v>
      </c>
      <c r="B2718" s="2" t="s">
        <v>386</v>
      </c>
      <c r="D2718" s="5" t="s">
        <v>2490</v>
      </c>
      <c r="E2718" s="3" t="s">
        <v>465</v>
      </c>
      <c r="F2718" s="3">
        <v>122500</v>
      </c>
      <c r="G2718" s="57" t="s">
        <v>465</v>
      </c>
    </row>
    <row r="2719" spans="1:10" x14ac:dyDescent="0.2">
      <c r="A2719" s="1" t="s">
        <v>25</v>
      </c>
      <c r="B2719" s="2" t="s">
        <v>398</v>
      </c>
      <c r="D2719" s="5" t="s">
        <v>464</v>
      </c>
      <c r="E2719" s="3" t="s">
        <v>465</v>
      </c>
      <c r="F2719" s="3">
        <v>122500</v>
      </c>
      <c r="G2719" s="57" t="s">
        <v>465</v>
      </c>
      <c r="J2719" s="5" t="s">
        <v>1241</v>
      </c>
    </row>
    <row r="2720" spans="1:10" x14ac:dyDescent="0.2">
      <c r="A2720" s="1" t="s">
        <v>25</v>
      </c>
      <c r="B2720" s="2" t="s">
        <v>398</v>
      </c>
      <c r="D2720" s="5" t="s">
        <v>464</v>
      </c>
      <c r="E2720" s="3" t="s">
        <v>465</v>
      </c>
      <c r="F2720" s="3">
        <v>122500</v>
      </c>
      <c r="G2720" s="57" t="s">
        <v>465</v>
      </c>
    </row>
    <row r="2721" spans="1:10" x14ac:dyDescent="0.2">
      <c r="A2721" s="1" t="s">
        <v>4</v>
      </c>
      <c r="B2721" s="12" t="s">
        <v>400</v>
      </c>
      <c r="D2721" s="5" t="s">
        <v>464</v>
      </c>
      <c r="E2721" s="3" t="s">
        <v>465</v>
      </c>
      <c r="F2721" s="3">
        <v>122500</v>
      </c>
      <c r="G2721" s="57" t="s">
        <v>465</v>
      </c>
      <c r="J2721" s="5" t="s">
        <v>1555</v>
      </c>
    </row>
    <row r="2722" spans="1:10" x14ac:dyDescent="0.2">
      <c r="A2722" s="1" t="s">
        <v>25</v>
      </c>
      <c r="B2722" s="2" t="s">
        <v>405</v>
      </c>
      <c r="D2722" s="5" t="s">
        <v>464</v>
      </c>
      <c r="E2722" s="3" t="s">
        <v>465</v>
      </c>
      <c r="F2722" s="3">
        <v>122500</v>
      </c>
      <c r="G2722" s="57" t="s">
        <v>465</v>
      </c>
    </row>
    <row r="2723" spans="1:10" x14ac:dyDescent="0.2">
      <c r="A2723" s="1" t="s">
        <v>25</v>
      </c>
      <c r="B2723" s="2" t="s">
        <v>406</v>
      </c>
      <c r="D2723" s="5" t="s">
        <v>464</v>
      </c>
      <c r="E2723" s="3" t="s">
        <v>465</v>
      </c>
      <c r="F2723" s="3">
        <v>122500</v>
      </c>
      <c r="G2723" s="57" t="s">
        <v>465</v>
      </c>
      <c r="J2723" s="1"/>
    </row>
    <row r="2724" spans="1:10" x14ac:dyDescent="0.2">
      <c r="A2724" s="1" t="s">
        <v>6</v>
      </c>
      <c r="B2724" s="2" t="s">
        <v>407</v>
      </c>
      <c r="D2724" s="5" t="s">
        <v>464</v>
      </c>
      <c r="E2724" s="3" t="s">
        <v>465</v>
      </c>
      <c r="F2724" s="3">
        <v>122500</v>
      </c>
      <c r="G2724" s="57" t="s">
        <v>465</v>
      </c>
      <c r="J2724" s="5" t="s">
        <v>651</v>
      </c>
    </row>
    <row r="2725" spans="1:10" x14ac:dyDescent="0.2">
      <c r="A2725" s="1" t="s">
        <v>6</v>
      </c>
      <c r="B2725" s="2" t="s">
        <v>407</v>
      </c>
      <c r="D2725" s="5" t="s">
        <v>464</v>
      </c>
      <c r="E2725" s="3" t="s">
        <v>465</v>
      </c>
      <c r="F2725" s="3">
        <v>122500</v>
      </c>
      <c r="G2725" s="57" t="s">
        <v>465</v>
      </c>
      <c r="J2725" s="5" t="s">
        <v>651</v>
      </c>
    </row>
    <row r="2726" spans="1:10" x14ac:dyDescent="0.2">
      <c r="A2726" s="1" t="s">
        <v>39</v>
      </c>
      <c r="B2726" s="2" t="s">
        <v>409</v>
      </c>
      <c r="D2726" s="5" t="s">
        <v>587</v>
      </c>
      <c r="E2726" s="3" t="s">
        <v>465</v>
      </c>
      <c r="F2726" s="3">
        <v>122500</v>
      </c>
      <c r="G2726" s="57" t="s">
        <v>465</v>
      </c>
      <c r="J2726" s="5" t="s">
        <v>540</v>
      </c>
    </row>
    <row r="2727" spans="1:10" x14ac:dyDescent="0.2">
      <c r="A2727" s="1" t="s">
        <v>25</v>
      </c>
      <c r="B2727" s="2" t="s">
        <v>424</v>
      </c>
      <c r="D2727" s="5" t="s">
        <v>464</v>
      </c>
      <c r="E2727" s="3" t="s">
        <v>465</v>
      </c>
      <c r="F2727" s="3">
        <v>122500</v>
      </c>
      <c r="G2727" s="57" t="s">
        <v>465</v>
      </c>
      <c r="J2727" s="1"/>
    </row>
    <row r="2728" spans="1:10" x14ac:dyDescent="0.2">
      <c r="A2728" s="1" t="s">
        <v>34</v>
      </c>
      <c r="B2728" s="2" t="s">
        <v>427</v>
      </c>
      <c r="D2728" s="5" t="s">
        <v>464</v>
      </c>
      <c r="E2728" s="3" t="s">
        <v>465</v>
      </c>
      <c r="F2728" s="3">
        <v>122500</v>
      </c>
      <c r="G2728" s="57" t="s">
        <v>465</v>
      </c>
      <c r="J2728" s="5" t="s">
        <v>1241</v>
      </c>
    </row>
    <row r="2729" spans="1:10" x14ac:dyDescent="0.2">
      <c r="A2729" s="1" t="s">
        <v>34</v>
      </c>
      <c r="B2729" s="2" t="s">
        <v>427</v>
      </c>
      <c r="D2729" s="5" t="s">
        <v>464</v>
      </c>
      <c r="E2729" s="3" t="s">
        <v>465</v>
      </c>
      <c r="F2729" s="3">
        <v>122500</v>
      </c>
      <c r="G2729" s="57" t="s">
        <v>465</v>
      </c>
      <c r="J2729" s="5" t="s">
        <v>1241</v>
      </c>
    </row>
    <row r="2730" spans="1:10" x14ac:dyDescent="0.2">
      <c r="A2730" s="1" t="s">
        <v>34</v>
      </c>
      <c r="B2730" s="2" t="s">
        <v>427</v>
      </c>
      <c r="D2730" s="5" t="s">
        <v>464</v>
      </c>
      <c r="E2730" s="3" t="s">
        <v>465</v>
      </c>
      <c r="F2730" s="3">
        <v>122500</v>
      </c>
      <c r="G2730" s="57" t="s">
        <v>465</v>
      </c>
      <c r="J2730" s="5" t="s">
        <v>1241</v>
      </c>
    </row>
    <row r="2731" spans="1:10" x14ac:dyDescent="0.2">
      <c r="A2731" s="1" t="s">
        <v>34</v>
      </c>
      <c r="B2731" s="2" t="s">
        <v>427</v>
      </c>
      <c r="D2731" s="5" t="s">
        <v>464</v>
      </c>
      <c r="E2731" s="3" t="s">
        <v>465</v>
      </c>
      <c r="F2731" s="3">
        <v>122500</v>
      </c>
      <c r="G2731" s="57" t="s">
        <v>465</v>
      </c>
      <c r="J2731" s="5" t="s">
        <v>1241</v>
      </c>
    </row>
    <row r="2732" spans="1:10" x14ac:dyDescent="0.2">
      <c r="A2732" s="1" t="s">
        <v>34</v>
      </c>
      <c r="B2732" s="2" t="s">
        <v>427</v>
      </c>
      <c r="D2732" s="5" t="s">
        <v>464</v>
      </c>
      <c r="E2732" s="3" t="s">
        <v>465</v>
      </c>
      <c r="F2732" s="3">
        <v>122500</v>
      </c>
      <c r="G2732" s="57" t="s">
        <v>465</v>
      </c>
    </row>
    <row r="2733" spans="1:10" x14ac:dyDescent="0.2">
      <c r="A2733" s="1" t="s">
        <v>39</v>
      </c>
      <c r="B2733" s="2" t="s">
        <v>433</v>
      </c>
      <c r="D2733" s="5" t="s">
        <v>464</v>
      </c>
      <c r="E2733" s="3" t="s">
        <v>465</v>
      </c>
      <c r="F2733" s="3">
        <v>122500</v>
      </c>
      <c r="G2733" s="57" t="s">
        <v>465</v>
      </c>
      <c r="J2733" s="5" t="s">
        <v>539</v>
      </c>
    </row>
    <row r="2734" spans="1:10" ht="51" x14ac:dyDescent="0.2">
      <c r="A2734" s="1" t="s">
        <v>25</v>
      </c>
      <c r="B2734" s="2" t="s">
        <v>70</v>
      </c>
      <c r="C2734" s="1"/>
      <c r="D2734" s="5" t="s">
        <v>4213</v>
      </c>
      <c r="E2734" s="19">
        <v>123443</v>
      </c>
      <c r="F2734" s="19">
        <v>122489</v>
      </c>
      <c r="G2734" s="57">
        <v>-7.7282632470046901E-3</v>
      </c>
      <c r="J2734" s="5" t="s">
        <v>1925</v>
      </c>
    </row>
    <row r="2735" spans="1:10" ht="25.5" x14ac:dyDescent="0.2">
      <c r="A2735" s="1" t="s">
        <v>4</v>
      </c>
      <c r="B2735" s="2" t="s">
        <v>188</v>
      </c>
      <c r="D2735" s="5" t="s">
        <v>450</v>
      </c>
      <c r="E2735" s="3">
        <v>121662</v>
      </c>
      <c r="F2735" s="3">
        <v>122456</v>
      </c>
      <c r="G2735" s="57">
        <v>6.5262777202413245E-3</v>
      </c>
      <c r="J2735" s="5" t="s">
        <v>3505</v>
      </c>
    </row>
    <row r="2736" spans="1:10" ht="25.5" x14ac:dyDescent="0.2">
      <c r="A2736" s="1" t="s">
        <v>39</v>
      </c>
      <c r="B2736" s="2" t="s">
        <v>337</v>
      </c>
      <c r="D2736" s="5" t="s">
        <v>874</v>
      </c>
      <c r="E2736" s="3">
        <v>117828</v>
      </c>
      <c r="F2736" s="3">
        <v>122271</v>
      </c>
      <c r="G2736" s="57">
        <v>3.770750585599348E-2</v>
      </c>
      <c r="J2736" s="5" t="s">
        <v>2730</v>
      </c>
    </row>
    <row r="2737" spans="1:12" ht="38.25" x14ac:dyDescent="0.2">
      <c r="A2737" s="1" t="s">
        <v>1</v>
      </c>
      <c r="B2737" s="2" t="s">
        <v>290</v>
      </c>
      <c r="C2737" s="5" t="s">
        <v>1028</v>
      </c>
      <c r="D2737" s="5" t="s">
        <v>450</v>
      </c>
      <c r="E2737" s="6">
        <v>121138</v>
      </c>
      <c r="F2737" s="3">
        <v>122207</v>
      </c>
      <c r="G2737" s="57">
        <v>8.8246462711948359E-3</v>
      </c>
      <c r="J2737" s="5" t="s">
        <v>2944</v>
      </c>
    </row>
    <row r="2738" spans="1:12" ht="51" x14ac:dyDescent="0.2">
      <c r="A2738" s="1" t="s">
        <v>111</v>
      </c>
      <c r="B2738" s="2" t="s">
        <v>166</v>
      </c>
      <c r="D2738" s="5" t="s">
        <v>1584</v>
      </c>
      <c r="E2738" s="3">
        <v>324881</v>
      </c>
      <c r="F2738" s="3">
        <v>122083</v>
      </c>
      <c r="G2738" s="57">
        <v>-0.62422240758924041</v>
      </c>
      <c r="J2738" s="5" t="s">
        <v>4337</v>
      </c>
    </row>
    <row r="2739" spans="1:12" ht="25.5" x14ac:dyDescent="0.2">
      <c r="A2739" s="13" t="s">
        <v>6</v>
      </c>
      <c r="B2739" s="12" t="s">
        <v>5</v>
      </c>
      <c r="C2739" s="13"/>
      <c r="D2739" s="7" t="s">
        <v>450</v>
      </c>
      <c r="E2739" s="6">
        <v>117966.32</v>
      </c>
      <c r="F2739" s="6">
        <v>122055.42</v>
      </c>
      <c r="G2739" s="57">
        <v>3.4663283554153344E-2</v>
      </c>
      <c r="H2739" s="21"/>
      <c r="I2739" s="21"/>
      <c r="J2739" s="7" t="s">
        <v>3642</v>
      </c>
      <c r="K2739" s="13"/>
      <c r="L2739" s="13"/>
    </row>
    <row r="2740" spans="1:12" ht="25.5" x14ac:dyDescent="0.2">
      <c r="A2740" s="1" t="s">
        <v>165</v>
      </c>
      <c r="B2740" s="2" t="s">
        <v>164</v>
      </c>
      <c r="D2740" s="5" t="s">
        <v>450</v>
      </c>
      <c r="E2740" s="3">
        <v>125000</v>
      </c>
      <c r="F2740" s="3">
        <v>122000</v>
      </c>
      <c r="G2740" s="57">
        <v>-2.4E-2</v>
      </c>
      <c r="J2740" s="5" t="s">
        <v>4050</v>
      </c>
    </row>
    <row r="2741" spans="1:12" x14ac:dyDescent="0.2">
      <c r="A2741" s="1" t="s">
        <v>20</v>
      </c>
      <c r="B2741" s="2" t="s">
        <v>195</v>
      </c>
      <c r="D2741" s="5" t="s">
        <v>1423</v>
      </c>
      <c r="E2741" s="3">
        <v>119000</v>
      </c>
      <c r="F2741" s="3">
        <v>122000</v>
      </c>
      <c r="G2741" s="57">
        <v>2.5210084033613446E-2</v>
      </c>
      <c r="J2741" s="5" t="s">
        <v>3466</v>
      </c>
    </row>
    <row r="2742" spans="1:12" ht="25.5" x14ac:dyDescent="0.2">
      <c r="A2742" s="1" t="s">
        <v>4</v>
      </c>
      <c r="B2742" s="2" t="s">
        <v>316</v>
      </c>
      <c r="D2742" s="5" t="s">
        <v>450</v>
      </c>
      <c r="E2742" s="3">
        <v>121000</v>
      </c>
      <c r="F2742" s="3">
        <v>122000</v>
      </c>
      <c r="G2742" s="57">
        <v>8.2644628099173556E-3</v>
      </c>
      <c r="J2742" s="5" t="s">
        <v>2798</v>
      </c>
    </row>
    <row r="2743" spans="1:12" x14ac:dyDescent="0.2">
      <c r="A2743" s="1" t="s">
        <v>6</v>
      </c>
      <c r="B2743" s="2" t="s">
        <v>362</v>
      </c>
      <c r="D2743" s="5" t="s">
        <v>791</v>
      </c>
      <c r="E2743" s="3">
        <v>122000</v>
      </c>
      <c r="F2743" s="3">
        <v>122000</v>
      </c>
      <c r="G2743" s="57">
        <v>0</v>
      </c>
      <c r="J2743" s="5" t="s">
        <v>2617</v>
      </c>
    </row>
    <row r="2744" spans="1:12" ht="51" x14ac:dyDescent="0.2">
      <c r="A2744" s="1" t="s">
        <v>28</v>
      </c>
      <c r="B2744" s="2" t="s">
        <v>441</v>
      </c>
      <c r="D2744" s="5" t="s">
        <v>458</v>
      </c>
      <c r="E2744" s="3">
        <v>129000</v>
      </c>
      <c r="F2744" s="3">
        <v>122000</v>
      </c>
      <c r="G2744" s="57">
        <v>-5.4263565891472867E-2</v>
      </c>
      <c r="J2744" s="5" t="s">
        <v>4584</v>
      </c>
    </row>
    <row r="2745" spans="1:12" ht="25.5" x14ac:dyDescent="0.2">
      <c r="A2745" s="1" t="s">
        <v>28</v>
      </c>
      <c r="B2745" s="2" t="s">
        <v>441</v>
      </c>
      <c r="D2745" s="5" t="s">
        <v>461</v>
      </c>
      <c r="E2745" s="3" t="s">
        <v>465</v>
      </c>
      <c r="F2745" s="3">
        <v>122000</v>
      </c>
      <c r="G2745" s="57" t="s">
        <v>465</v>
      </c>
      <c r="J2745" s="5" t="s">
        <v>4582</v>
      </c>
    </row>
    <row r="2746" spans="1:12" ht="25.5" x14ac:dyDescent="0.2">
      <c r="A2746" s="1" t="s">
        <v>4</v>
      </c>
      <c r="B2746" s="2" t="s">
        <v>239</v>
      </c>
      <c r="D2746" s="5" t="s">
        <v>1221</v>
      </c>
      <c r="E2746" s="3">
        <v>118686</v>
      </c>
      <c r="F2746" s="3">
        <v>121936</v>
      </c>
      <c r="G2746" s="57">
        <v>2.7383179144970762E-2</v>
      </c>
      <c r="J2746" s="5" t="s">
        <v>3182</v>
      </c>
    </row>
    <row r="2747" spans="1:12" ht="25.5" x14ac:dyDescent="0.2">
      <c r="A2747" s="1" t="s">
        <v>4</v>
      </c>
      <c r="B2747" s="2" t="s">
        <v>157</v>
      </c>
      <c r="C2747" s="1"/>
      <c r="D2747" s="5" t="s">
        <v>783</v>
      </c>
      <c r="E2747" s="3">
        <v>128000</v>
      </c>
      <c r="F2747" s="3">
        <v>121835</v>
      </c>
      <c r="G2747" s="57">
        <v>-4.81640625E-2</v>
      </c>
      <c r="J2747" s="5" t="s">
        <v>4029</v>
      </c>
    </row>
    <row r="2748" spans="1:12" ht="25.5" x14ac:dyDescent="0.2">
      <c r="A2748" s="1" t="s">
        <v>20</v>
      </c>
      <c r="B2748" s="2" t="s">
        <v>162</v>
      </c>
      <c r="D2748" s="5" t="s">
        <v>450</v>
      </c>
      <c r="E2748" s="3">
        <v>118391</v>
      </c>
      <c r="F2748" s="3">
        <v>121797</v>
      </c>
      <c r="G2748" s="57">
        <v>2.8769078730646755E-2</v>
      </c>
      <c r="J2748" s="5" t="s">
        <v>4047</v>
      </c>
    </row>
    <row r="2749" spans="1:12" ht="25.5" x14ac:dyDescent="0.2">
      <c r="A2749" s="1" t="s">
        <v>4</v>
      </c>
      <c r="B2749" s="2" t="s">
        <v>423</v>
      </c>
      <c r="D2749" s="5" t="s">
        <v>563</v>
      </c>
      <c r="E2749" s="6">
        <v>118477</v>
      </c>
      <c r="F2749" s="3">
        <v>121748</v>
      </c>
      <c r="G2749" s="57">
        <v>2.7608734184694075E-2</v>
      </c>
      <c r="J2749" s="5" t="s">
        <v>2344</v>
      </c>
    </row>
    <row r="2750" spans="1:12" ht="25.5" x14ac:dyDescent="0.2">
      <c r="A2750" s="1" t="s">
        <v>4</v>
      </c>
      <c r="B2750" s="2" t="s">
        <v>377</v>
      </c>
      <c r="C2750" s="5" t="s">
        <v>738</v>
      </c>
      <c r="D2750" s="5" t="s">
        <v>451</v>
      </c>
      <c r="E2750" s="3">
        <v>27151</v>
      </c>
      <c r="F2750" s="3">
        <v>121668</v>
      </c>
      <c r="G2750" s="57">
        <v>3.4811609148834295</v>
      </c>
      <c r="J2750" s="5" t="s">
        <v>4475</v>
      </c>
    </row>
    <row r="2751" spans="1:12" ht="38.25" x14ac:dyDescent="0.2">
      <c r="A2751" s="1" t="s">
        <v>28</v>
      </c>
      <c r="B2751" s="2" t="s">
        <v>323</v>
      </c>
      <c r="D2751" s="5" t="s">
        <v>468</v>
      </c>
      <c r="E2751" s="3">
        <v>81275</v>
      </c>
      <c r="F2751" s="3">
        <v>121561</v>
      </c>
      <c r="G2751" s="57">
        <v>0.49567517686865581</v>
      </c>
      <c r="J2751" s="5" t="s">
        <v>2786</v>
      </c>
    </row>
    <row r="2752" spans="1:12" ht="25.5" x14ac:dyDescent="0.2">
      <c r="A2752" s="1" t="s">
        <v>1</v>
      </c>
      <c r="B2752" s="2" t="s">
        <v>135</v>
      </c>
      <c r="C2752" s="1" t="s">
        <v>1666</v>
      </c>
      <c r="D2752" s="5" t="s">
        <v>3960</v>
      </c>
      <c r="E2752" s="3">
        <v>117125</v>
      </c>
      <c r="F2752" s="3">
        <v>121545</v>
      </c>
      <c r="G2752" s="57">
        <v>3.7737459978655283E-2</v>
      </c>
      <c r="J2752" s="5" t="s">
        <v>4628</v>
      </c>
    </row>
    <row r="2753" spans="1:10" ht="51" x14ac:dyDescent="0.2">
      <c r="A2753" s="1" t="s">
        <v>8</v>
      </c>
      <c r="B2753" s="30" t="s">
        <v>4357</v>
      </c>
      <c r="D2753" s="5" t="s">
        <v>4355</v>
      </c>
      <c r="E2753" s="3">
        <v>119786</v>
      </c>
      <c r="F2753" s="3">
        <v>121545</v>
      </c>
      <c r="G2753" s="57">
        <v>1.4684520728632728E-2</v>
      </c>
      <c r="J2753" s="5" t="s">
        <v>2590</v>
      </c>
    </row>
    <row r="2754" spans="1:10" ht="25.5" x14ac:dyDescent="0.2">
      <c r="A2754" s="1" t="s">
        <v>25</v>
      </c>
      <c r="B2754" s="2" t="s">
        <v>192</v>
      </c>
      <c r="D2754" s="5" t="s">
        <v>1446</v>
      </c>
      <c r="E2754" s="9">
        <v>125374</v>
      </c>
      <c r="F2754" s="9">
        <v>121380</v>
      </c>
      <c r="G2754" s="57">
        <v>-3.1856684799081152E-2</v>
      </c>
      <c r="J2754" s="5" t="s">
        <v>3493</v>
      </c>
    </row>
    <row r="2755" spans="1:10" ht="25.5" x14ac:dyDescent="0.2">
      <c r="A2755" s="1" t="s">
        <v>20</v>
      </c>
      <c r="B2755" s="2" t="s">
        <v>232</v>
      </c>
      <c r="D2755" s="15" t="s">
        <v>1237</v>
      </c>
      <c r="E2755" s="9" t="s">
        <v>465</v>
      </c>
      <c r="F2755" s="9">
        <v>121342</v>
      </c>
      <c r="G2755" s="57" t="s">
        <v>465</v>
      </c>
      <c r="J2755" s="5" t="s">
        <v>3207</v>
      </c>
    </row>
    <row r="2756" spans="1:10" ht="38.25" x14ac:dyDescent="0.2">
      <c r="A2756" s="1" t="s">
        <v>28</v>
      </c>
      <c r="B2756" s="2" t="s">
        <v>213</v>
      </c>
      <c r="D2756" s="5" t="s">
        <v>1329</v>
      </c>
      <c r="E2756" s="9" t="s">
        <v>465</v>
      </c>
      <c r="F2756" s="9">
        <v>121281</v>
      </c>
      <c r="G2756" s="57" t="s">
        <v>465</v>
      </c>
      <c r="J2756" s="5" t="s">
        <v>4662</v>
      </c>
    </row>
    <row r="2757" spans="1:10" ht="25.5" x14ac:dyDescent="0.2">
      <c r="A2757" s="1" t="s">
        <v>6</v>
      </c>
      <c r="B2757" s="2" t="s">
        <v>202</v>
      </c>
      <c r="D2757" s="5" t="s">
        <v>1392</v>
      </c>
      <c r="E2757" s="3">
        <v>119053</v>
      </c>
      <c r="F2757" s="3">
        <v>121251</v>
      </c>
      <c r="G2757" s="57">
        <v>1.846236550107935E-2</v>
      </c>
      <c r="J2757" s="5" t="s">
        <v>3408</v>
      </c>
    </row>
    <row r="2758" spans="1:10" ht="25.5" x14ac:dyDescent="0.2">
      <c r="A2758" s="1" t="s">
        <v>20</v>
      </c>
      <c r="B2758" s="2" t="s">
        <v>366</v>
      </c>
      <c r="D2758" s="5" t="s">
        <v>574</v>
      </c>
      <c r="E2758" s="3">
        <v>115579</v>
      </c>
      <c r="F2758" s="3">
        <v>121039</v>
      </c>
      <c r="G2758" s="57">
        <v>4.7240415646440964E-2</v>
      </c>
      <c r="J2758" s="5" t="s">
        <v>2588</v>
      </c>
    </row>
    <row r="2759" spans="1:10" ht="25.5" x14ac:dyDescent="0.2">
      <c r="A2759" s="1" t="s">
        <v>44</v>
      </c>
      <c r="B2759" s="2" t="s">
        <v>300</v>
      </c>
      <c r="D2759" s="5" t="s">
        <v>982</v>
      </c>
      <c r="E2759" s="3">
        <v>121000</v>
      </c>
      <c r="F2759" s="3">
        <v>121000</v>
      </c>
      <c r="G2759" s="57">
        <v>0</v>
      </c>
      <c r="J2759" s="5" t="s">
        <v>2854</v>
      </c>
    </row>
    <row r="2760" spans="1:10" ht="25.5" x14ac:dyDescent="0.2">
      <c r="A2760" s="1" t="s">
        <v>44</v>
      </c>
      <c r="B2760" s="2" t="s">
        <v>300</v>
      </c>
      <c r="D2760" s="5" t="s">
        <v>983</v>
      </c>
      <c r="E2760" s="3">
        <v>113000</v>
      </c>
      <c r="F2760" s="3">
        <v>121000</v>
      </c>
      <c r="G2760" s="57">
        <v>7.0796460176991149E-2</v>
      </c>
      <c r="J2760" s="5" t="s">
        <v>2854</v>
      </c>
    </row>
    <row r="2761" spans="1:10" ht="25.5" x14ac:dyDescent="0.2">
      <c r="A2761" s="1" t="s">
        <v>28</v>
      </c>
      <c r="B2761" s="2" t="s">
        <v>441</v>
      </c>
      <c r="D2761" s="5" t="s">
        <v>459</v>
      </c>
      <c r="E2761" s="3" t="s">
        <v>465</v>
      </c>
      <c r="F2761" s="3">
        <v>121000</v>
      </c>
      <c r="G2761" s="57" t="s">
        <v>465</v>
      </c>
      <c r="J2761" s="5" t="s">
        <v>4583</v>
      </c>
    </row>
    <row r="2762" spans="1:10" ht="25.5" x14ac:dyDescent="0.2">
      <c r="A2762" s="1" t="s">
        <v>28</v>
      </c>
      <c r="B2762" s="2" t="s">
        <v>441</v>
      </c>
      <c r="D2762" s="5" t="s">
        <v>460</v>
      </c>
      <c r="E2762" s="3" t="s">
        <v>465</v>
      </c>
      <c r="F2762" s="3">
        <v>121000</v>
      </c>
      <c r="G2762" s="57" t="s">
        <v>465</v>
      </c>
      <c r="J2762" s="5" t="s">
        <v>4583</v>
      </c>
    </row>
    <row r="2763" spans="1:10" x14ac:dyDescent="0.2">
      <c r="A2763" s="1" t="s">
        <v>44</v>
      </c>
      <c r="B2763" s="2" t="s">
        <v>73</v>
      </c>
      <c r="C2763" s="1"/>
      <c r="D2763" s="5" t="s">
        <v>3793</v>
      </c>
      <c r="E2763" s="3">
        <v>120766</v>
      </c>
      <c r="F2763" s="3">
        <v>120993</v>
      </c>
      <c r="G2763" s="57">
        <v>1.8796681185101766E-3</v>
      </c>
      <c r="J2763" s="5" t="s">
        <v>3794</v>
      </c>
    </row>
    <row r="2764" spans="1:10" ht="25.5" x14ac:dyDescent="0.2">
      <c r="A2764" s="1" t="s">
        <v>20</v>
      </c>
      <c r="B2764" s="2" t="s">
        <v>341</v>
      </c>
      <c r="D2764" s="5" t="s">
        <v>862</v>
      </c>
      <c r="E2764" s="3">
        <v>57313</v>
      </c>
      <c r="F2764" s="3">
        <v>120927</v>
      </c>
      <c r="G2764" s="57">
        <v>1.1099401531938653</v>
      </c>
      <c r="J2764" s="5" t="s">
        <v>2709</v>
      </c>
    </row>
    <row r="2765" spans="1:10" ht="25.5" x14ac:dyDescent="0.2">
      <c r="A2765" s="1" t="s">
        <v>6</v>
      </c>
      <c r="B2765" s="2" t="s">
        <v>426</v>
      </c>
      <c r="C2765" s="5" t="s">
        <v>536</v>
      </c>
      <c r="D2765" s="5" t="s">
        <v>538</v>
      </c>
      <c r="E2765" s="3">
        <v>111386</v>
      </c>
      <c r="F2765" s="3">
        <v>120910</v>
      </c>
      <c r="G2765" s="57">
        <v>8.5504461961108225E-2</v>
      </c>
      <c r="J2765" s="5" t="s">
        <v>2327</v>
      </c>
    </row>
    <row r="2766" spans="1:10" ht="25.5" x14ac:dyDescent="0.2">
      <c r="A2766" s="1" t="s">
        <v>25</v>
      </c>
      <c r="B2766" s="2" t="s">
        <v>209</v>
      </c>
      <c r="C2766" s="5" t="s">
        <v>1361</v>
      </c>
      <c r="D2766" s="5" t="s">
        <v>1362</v>
      </c>
      <c r="E2766" s="9">
        <v>192748</v>
      </c>
      <c r="F2766" s="9">
        <v>120867</v>
      </c>
      <c r="G2766" s="57">
        <v>-0.37292734554962959</v>
      </c>
      <c r="J2766" s="5" t="s">
        <v>3371</v>
      </c>
    </row>
    <row r="2767" spans="1:10" ht="25.5" x14ac:dyDescent="0.2">
      <c r="A2767" s="1" t="s">
        <v>4</v>
      </c>
      <c r="B2767" s="2" t="s">
        <v>336</v>
      </c>
      <c r="D2767" s="5" t="s">
        <v>877</v>
      </c>
      <c r="E2767" s="3">
        <v>115410</v>
      </c>
      <c r="F2767" s="3">
        <v>120840</v>
      </c>
      <c r="G2767" s="57">
        <v>4.7049649077203014E-2</v>
      </c>
      <c r="J2767" s="5" t="s">
        <v>2733</v>
      </c>
    </row>
    <row r="2768" spans="1:10" x14ac:dyDescent="0.2">
      <c r="A2768" s="1" t="s">
        <v>1</v>
      </c>
      <c r="B2768" s="2" t="s">
        <v>348</v>
      </c>
      <c r="C2768" s="5" t="s">
        <v>846</v>
      </c>
      <c r="D2768" s="5" t="s">
        <v>529</v>
      </c>
      <c r="E2768" s="36">
        <v>142271</v>
      </c>
      <c r="F2768" s="6">
        <v>120787</v>
      </c>
      <c r="G2768" s="57">
        <v>-0.15100758411763465</v>
      </c>
      <c r="H2768" s="21"/>
      <c r="I2768" s="21"/>
      <c r="J2768" s="7" t="s">
        <v>2685</v>
      </c>
    </row>
    <row r="2769" spans="1:10" ht="25.5" x14ac:dyDescent="0.2">
      <c r="A2769" s="1" t="s">
        <v>1</v>
      </c>
      <c r="B2769" s="2" t="s">
        <v>203</v>
      </c>
      <c r="C2769" s="5" t="s">
        <v>1389</v>
      </c>
      <c r="D2769" s="5" t="s">
        <v>1390</v>
      </c>
      <c r="E2769" s="9">
        <v>116351</v>
      </c>
      <c r="F2769" s="9">
        <v>120767</v>
      </c>
      <c r="G2769" s="57">
        <v>3.7954121580390368E-2</v>
      </c>
      <c r="J2769" s="5" t="s">
        <v>3405</v>
      </c>
    </row>
    <row r="2770" spans="1:10" ht="25.5" x14ac:dyDescent="0.2">
      <c r="A2770" s="1" t="s">
        <v>44</v>
      </c>
      <c r="B2770" s="2" t="s">
        <v>55</v>
      </c>
      <c r="C2770" s="1"/>
      <c r="D2770" s="5" t="s">
        <v>1845</v>
      </c>
      <c r="E2770" s="3">
        <v>116139</v>
      </c>
      <c r="F2770" s="3">
        <v>120739</v>
      </c>
      <c r="G2770" s="57">
        <v>3.960771144921172E-2</v>
      </c>
      <c r="J2770" s="5" t="s">
        <v>1846</v>
      </c>
    </row>
    <row r="2771" spans="1:10" ht="51" x14ac:dyDescent="0.2">
      <c r="A2771" s="1" t="s">
        <v>4</v>
      </c>
      <c r="B2771" s="2" t="s">
        <v>210</v>
      </c>
      <c r="D2771" s="5" t="s">
        <v>1353</v>
      </c>
      <c r="E2771" s="9" t="s">
        <v>465</v>
      </c>
      <c r="F2771" s="9">
        <v>120730</v>
      </c>
      <c r="G2771" s="57" t="s">
        <v>465</v>
      </c>
      <c r="J2771" s="5" t="s">
        <v>4658</v>
      </c>
    </row>
    <row r="2772" spans="1:10" ht="25.5" x14ac:dyDescent="0.2">
      <c r="A2772" s="1" t="s">
        <v>1</v>
      </c>
      <c r="B2772" s="2" t="s">
        <v>130</v>
      </c>
      <c r="C2772" s="1" t="s">
        <v>2088</v>
      </c>
      <c r="D2772" s="5" t="s">
        <v>2089</v>
      </c>
      <c r="E2772" s="3">
        <v>116899</v>
      </c>
      <c r="F2772" s="3">
        <v>120704</v>
      </c>
      <c r="G2772" s="57">
        <v>3.254946577815037E-2</v>
      </c>
      <c r="J2772" s="5" t="s">
        <v>3951</v>
      </c>
    </row>
    <row r="2773" spans="1:10" x14ac:dyDescent="0.2">
      <c r="A2773" s="1" t="s">
        <v>44</v>
      </c>
      <c r="B2773" s="2" t="s">
        <v>73</v>
      </c>
      <c r="C2773" s="1"/>
      <c r="D2773" s="5" t="s">
        <v>1950</v>
      </c>
      <c r="E2773" s="3" t="s">
        <v>465</v>
      </c>
      <c r="F2773" s="3">
        <v>120687</v>
      </c>
      <c r="G2773" s="57" t="s">
        <v>465</v>
      </c>
      <c r="J2773" s="5" t="s">
        <v>1951</v>
      </c>
    </row>
    <row r="2774" spans="1:10" ht="38.25" x14ac:dyDescent="0.2">
      <c r="A2774" s="1" t="s">
        <v>4</v>
      </c>
      <c r="B2774" s="2" t="s">
        <v>210</v>
      </c>
      <c r="D2774" s="5" t="s">
        <v>1354</v>
      </c>
      <c r="E2774" s="9" t="s">
        <v>465</v>
      </c>
      <c r="F2774" s="9">
        <v>120679</v>
      </c>
      <c r="G2774" s="57" t="s">
        <v>465</v>
      </c>
      <c r="J2774" s="5" t="s">
        <v>4659</v>
      </c>
    </row>
    <row r="2775" spans="1:10" ht="25.5" x14ac:dyDescent="0.2">
      <c r="A2775" s="1" t="s">
        <v>4</v>
      </c>
      <c r="B2775" s="2" t="s">
        <v>210</v>
      </c>
      <c r="D2775" s="5" t="s">
        <v>1352</v>
      </c>
      <c r="E2775" s="9">
        <v>125414</v>
      </c>
      <c r="F2775" s="9">
        <v>120638</v>
      </c>
      <c r="G2775" s="57">
        <v>-3.8081872837163314E-2</v>
      </c>
      <c r="J2775" s="5" t="s">
        <v>3355</v>
      </c>
    </row>
    <row r="2776" spans="1:10" ht="25.5" x14ac:dyDescent="0.2">
      <c r="A2776" s="1" t="s">
        <v>20</v>
      </c>
      <c r="B2776" s="2" t="s">
        <v>201</v>
      </c>
      <c r="D2776" s="5" t="s">
        <v>1396</v>
      </c>
      <c r="E2776" s="3">
        <v>120294</v>
      </c>
      <c r="F2776" s="3">
        <v>120622</v>
      </c>
      <c r="G2776" s="57">
        <v>2.7266530334014998E-3</v>
      </c>
      <c r="J2776" s="5" t="s">
        <v>3412</v>
      </c>
    </row>
    <row r="2777" spans="1:10" ht="25.5" x14ac:dyDescent="0.2">
      <c r="A2777" s="1" t="s">
        <v>1</v>
      </c>
      <c r="B2777" s="2" t="s">
        <v>203</v>
      </c>
      <c r="C2777" s="5" t="s">
        <v>1383</v>
      </c>
      <c r="D2777" s="5" t="s">
        <v>1384</v>
      </c>
      <c r="E2777" s="9">
        <v>116788</v>
      </c>
      <c r="F2777" s="9">
        <v>120617</v>
      </c>
      <c r="G2777" s="57">
        <v>3.2785902661232318E-2</v>
      </c>
      <c r="J2777" s="5" t="s">
        <v>3402</v>
      </c>
    </row>
    <row r="2778" spans="1:10" ht="25.5" x14ac:dyDescent="0.2">
      <c r="A2778" s="1" t="s">
        <v>4</v>
      </c>
      <c r="B2778" s="2" t="s">
        <v>415</v>
      </c>
      <c r="D2778" s="5" t="s">
        <v>588</v>
      </c>
      <c r="E2778" s="3">
        <v>120354</v>
      </c>
      <c r="F2778" s="3">
        <v>120556</v>
      </c>
      <c r="G2778" s="57">
        <v>1.6783821061202785E-3</v>
      </c>
      <c r="J2778" s="5" t="s">
        <v>2359</v>
      </c>
    </row>
    <row r="2779" spans="1:10" x14ac:dyDescent="0.2">
      <c r="A2779" s="1" t="s">
        <v>4</v>
      </c>
      <c r="B2779" s="2" t="s">
        <v>88</v>
      </c>
      <c r="C2779" s="1"/>
      <c r="D2779" s="5" t="s">
        <v>2061</v>
      </c>
      <c r="E2779" s="3">
        <v>86669</v>
      </c>
      <c r="F2779" s="3">
        <v>120538</v>
      </c>
      <c r="G2779" s="57">
        <v>0.39078563269450439</v>
      </c>
      <c r="J2779" s="5" t="s">
        <v>2062</v>
      </c>
    </row>
    <row r="2780" spans="1:10" ht="38.25" x14ac:dyDescent="0.2">
      <c r="A2780" s="1" t="s">
        <v>34</v>
      </c>
      <c r="B2780" s="2" t="s">
        <v>170</v>
      </c>
      <c r="D2780" s="5" t="s">
        <v>1550</v>
      </c>
      <c r="E2780" s="3" t="s">
        <v>465</v>
      </c>
      <c r="F2780" s="3">
        <v>120536</v>
      </c>
      <c r="G2780" s="57" t="s">
        <v>465</v>
      </c>
      <c r="J2780" s="5" t="s">
        <v>4345</v>
      </c>
    </row>
    <row r="2781" spans="1:10" ht="25.5" x14ac:dyDescent="0.2">
      <c r="A2781" s="1" t="s">
        <v>1</v>
      </c>
      <c r="B2781" s="2" t="s">
        <v>203</v>
      </c>
      <c r="C2781" s="5" t="s">
        <v>1385</v>
      </c>
      <c r="D2781" s="5" t="s">
        <v>1386</v>
      </c>
      <c r="E2781" s="9">
        <v>100777</v>
      </c>
      <c r="F2781" s="9">
        <v>120535</v>
      </c>
      <c r="G2781" s="57">
        <v>0.1960566399079155</v>
      </c>
      <c r="J2781" s="5" t="s">
        <v>3403</v>
      </c>
    </row>
    <row r="2782" spans="1:10" x14ac:dyDescent="0.2">
      <c r="A2782" s="1" t="s">
        <v>44</v>
      </c>
      <c r="B2782" s="2" t="s">
        <v>66</v>
      </c>
      <c r="C2782" s="1"/>
      <c r="D2782" s="5" t="s">
        <v>690</v>
      </c>
      <c r="E2782" s="3">
        <v>116642</v>
      </c>
      <c r="F2782" s="3">
        <v>120520</v>
      </c>
      <c r="G2782" s="57">
        <v>3.324702937192435E-2</v>
      </c>
      <c r="J2782" s="5" t="s">
        <v>1889</v>
      </c>
    </row>
    <row r="2783" spans="1:10" ht="25.5" x14ac:dyDescent="0.2">
      <c r="A2783" s="1" t="s">
        <v>44</v>
      </c>
      <c r="B2783" s="2" t="s">
        <v>381</v>
      </c>
      <c r="D2783" s="5" t="s">
        <v>717</v>
      </c>
      <c r="E2783" s="3">
        <v>117191</v>
      </c>
      <c r="F2783" s="3">
        <v>120500</v>
      </c>
      <c r="G2783" s="57">
        <v>2.8235956686093643E-2</v>
      </c>
      <c r="J2783" s="5" t="s">
        <v>2511</v>
      </c>
    </row>
    <row r="2784" spans="1:10" ht="25.5" x14ac:dyDescent="0.2">
      <c r="A2784" s="1" t="s">
        <v>20</v>
      </c>
      <c r="B2784" s="2" t="s">
        <v>54</v>
      </c>
      <c r="C2784" s="1"/>
      <c r="D2784" s="5" t="s">
        <v>1838</v>
      </c>
      <c r="E2784" s="3">
        <v>34247</v>
      </c>
      <c r="F2784" s="3">
        <v>120482</v>
      </c>
      <c r="G2784" s="57">
        <v>2.5180307764183723</v>
      </c>
      <c r="J2784" s="5" t="s">
        <v>4428</v>
      </c>
    </row>
    <row r="2785" spans="1:10" ht="25.5" x14ac:dyDescent="0.2">
      <c r="A2785" s="1" t="s">
        <v>1</v>
      </c>
      <c r="B2785" s="2" t="s">
        <v>203</v>
      </c>
      <c r="C2785" s="5" t="s">
        <v>1387</v>
      </c>
      <c r="D2785" s="5" t="s">
        <v>1388</v>
      </c>
      <c r="E2785" s="9">
        <v>103467</v>
      </c>
      <c r="F2785" s="9">
        <v>120467</v>
      </c>
      <c r="G2785" s="57">
        <v>0.16430359438275005</v>
      </c>
      <c r="J2785" s="5" t="s">
        <v>3404</v>
      </c>
    </row>
    <row r="2786" spans="1:10" ht="25.5" x14ac:dyDescent="0.2">
      <c r="A2786" s="1" t="s">
        <v>25</v>
      </c>
      <c r="B2786" s="2" t="s">
        <v>406</v>
      </c>
      <c r="D2786" s="5" t="s">
        <v>635</v>
      </c>
      <c r="E2786" s="9">
        <v>127210</v>
      </c>
      <c r="F2786" s="3">
        <v>120451</v>
      </c>
      <c r="G2786" s="57">
        <v>-5.313261536042764E-2</v>
      </c>
      <c r="J2786" s="5" t="s">
        <v>2412</v>
      </c>
    </row>
    <row r="2787" spans="1:10" ht="25.5" x14ac:dyDescent="0.2">
      <c r="A2787" s="1" t="s">
        <v>1</v>
      </c>
      <c r="B2787" s="2" t="s">
        <v>139</v>
      </c>
      <c r="C2787" s="1" t="s">
        <v>1657</v>
      </c>
      <c r="D2787" s="5" t="s">
        <v>452</v>
      </c>
      <c r="E2787" s="3">
        <v>119590</v>
      </c>
      <c r="F2787" s="3">
        <v>120436</v>
      </c>
      <c r="G2787" s="57">
        <v>7.0741700811104606E-3</v>
      </c>
      <c r="J2787" s="5" t="s">
        <v>3968</v>
      </c>
    </row>
    <row r="2788" spans="1:10" ht="25.5" x14ac:dyDescent="0.2">
      <c r="A2788" s="1" t="s">
        <v>1</v>
      </c>
      <c r="B2788" s="2" t="s">
        <v>139</v>
      </c>
      <c r="C2788" s="1" t="s">
        <v>1659</v>
      </c>
      <c r="D2788" s="5" t="s">
        <v>942</v>
      </c>
      <c r="E2788" s="3">
        <v>119590</v>
      </c>
      <c r="F2788" s="3">
        <v>120436</v>
      </c>
      <c r="G2788" s="57">
        <v>7.0741700811104606E-3</v>
      </c>
      <c r="J2788" s="5" t="s">
        <v>3968</v>
      </c>
    </row>
    <row r="2789" spans="1:10" ht="38.25" x14ac:dyDescent="0.2">
      <c r="A2789" s="1" t="s">
        <v>34</v>
      </c>
      <c r="B2789" s="2" t="s">
        <v>391</v>
      </c>
      <c r="D2789" s="5" t="s">
        <v>450</v>
      </c>
      <c r="E2789" s="3">
        <v>62057</v>
      </c>
      <c r="F2789" s="3">
        <v>120435</v>
      </c>
      <c r="G2789" s="57">
        <v>0.94071579354464441</v>
      </c>
      <c r="J2789" s="5" t="s">
        <v>4490</v>
      </c>
    </row>
    <row r="2790" spans="1:10" ht="38.25" x14ac:dyDescent="0.2">
      <c r="A2790" s="1" t="s">
        <v>8</v>
      </c>
      <c r="B2790" s="2" t="s">
        <v>342</v>
      </c>
      <c r="D2790" s="5" t="s">
        <v>860</v>
      </c>
      <c r="E2790" s="3">
        <v>74848</v>
      </c>
      <c r="F2790" s="3">
        <v>120415</v>
      </c>
      <c r="G2790" s="57">
        <v>0.60879382214621636</v>
      </c>
      <c r="J2790" s="5" t="s">
        <v>2707</v>
      </c>
    </row>
    <row r="2791" spans="1:10" ht="25.5" x14ac:dyDescent="0.2">
      <c r="A2791" s="1" t="s">
        <v>4</v>
      </c>
      <c r="B2791" s="2" t="s">
        <v>415</v>
      </c>
      <c r="D2791" s="5" t="s">
        <v>589</v>
      </c>
      <c r="E2791" s="3">
        <v>119975</v>
      </c>
      <c r="F2791" s="3">
        <v>120357</v>
      </c>
      <c r="G2791" s="57">
        <v>3.1839966659720775E-3</v>
      </c>
      <c r="J2791" s="5" t="s">
        <v>2360</v>
      </c>
    </row>
    <row r="2792" spans="1:10" ht="25.5" x14ac:dyDescent="0.2">
      <c r="A2792" s="1" t="s">
        <v>39</v>
      </c>
      <c r="B2792" s="2" t="s">
        <v>364</v>
      </c>
      <c r="C2792" s="7"/>
      <c r="D2792" s="5" t="s">
        <v>4465</v>
      </c>
      <c r="E2792" s="9">
        <v>119454</v>
      </c>
      <c r="F2792" s="9">
        <v>120287</v>
      </c>
      <c r="G2792" s="57">
        <v>6.9733956167227556E-3</v>
      </c>
      <c r="J2792" s="5" t="s">
        <v>2608</v>
      </c>
    </row>
    <row r="2793" spans="1:10" ht="25.5" x14ac:dyDescent="0.2">
      <c r="A2793" s="1" t="s">
        <v>34</v>
      </c>
      <c r="B2793" s="2" t="s">
        <v>298</v>
      </c>
      <c r="D2793" s="5" t="s">
        <v>504</v>
      </c>
      <c r="E2793" s="3" t="s">
        <v>465</v>
      </c>
      <c r="F2793" s="3">
        <v>120283</v>
      </c>
      <c r="G2793" s="57" t="s">
        <v>465</v>
      </c>
      <c r="J2793" s="5" t="s">
        <v>2866</v>
      </c>
    </row>
    <row r="2794" spans="1:10" ht="25.5" x14ac:dyDescent="0.2">
      <c r="A2794" s="1" t="s">
        <v>34</v>
      </c>
      <c r="B2794" s="2" t="s">
        <v>386</v>
      </c>
      <c r="D2794" s="5" t="s">
        <v>450</v>
      </c>
      <c r="E2794" s="3">
        <v>121685</v>
      </c>
      <c r="F2794" s="3">
        <v>120221</v>
      </c>
      <c r="G2794" s="57">
        <v>-1.2031063812302257E-2</v>
      </c>
      <c r="J2794" s="5" t="s">
        <v>2489</v>
      </c>
    </row>
    <row r="2795" spans="1:10" ht="51" x14ac:dyDescent="0.2">
      <c r="A2795" s="1" t="s">
        <v>1</v>
      </c>
      <c r="B2795" s="2" t="s">
        <v>130</v>
      </c>
      <c r="C2795" s="1" t="s">
        <v>2090</v>
      </c>
      <c r="D2795" s="5" t="s">
        <v>2091</v>
      </c>
      <c r="E2795" s="3">
        <v>106526</v>
      </c>
      <c r="F2795" s="3">
        <v>120003</v>
      </c>
      <c r="G2795" s="57">
        <v>0.12651371496160563</v>
      </c>
      <c r="J2795" s="5" t="s">
        <v>4296</v>
      </c>
    </row>
    <row r="2796" spans="1:10" ht="25.5" x14ac:dyDescent="0.2">
      <c r="A2796" s="1" t="s">
        <v>20</v>
      </c>
      <c r="B2796" s="2" t="s">
        <v>51</v>
      </c>
      <c r="C2796" s="1"/>
      <c r="D2796" s="5" t="s">
        <v>4162</v>
      </c>
      <c r="E2796" s="3">
        <v>69000</v>
      </c>
      <c r="F2796" s="3">
        <v>120000</v>
      </c>
      <c r="G2796" s="57">
        <v>0.73913043478260865</v>
      </c>
      <c r="J2796" s="5" t="s">
        <v>4163</v>
      </c>
    </row>
    <row r="2797" spans="1:10" ht="25.5" x14ac:dyDescent="0.2">
      <c r="A2797" s="1" t="s">
        <v>25</v>
      </c>
      <c r="B2797" s="2" t="s">
        <v>214</v>
      </c>
      <c r="D2797" s="15" t="s">
        <v>1324</v>
      </c>
      <c r="E2797" s="9">
        <v>119000</v>
      </c>
      <c r="F2797" s="9">
        <v>120000</v>
      </c>
      <c r="G2797" s="57">
        <v>8.4033613445378148E-3</v>
      </c>
      <c r="J2797" s="5" t="s">
        <v>2235</v>
      </c>
    </row>
    <row r="2798" spans="1:10" ht="25.5" x14ac:dyDescent="0.2">
      <c r="A2798" s="1" t="s">
        <v>1</v>
      </c>
      <c r="B2798" s="2" t="s">
        <v>126</v>
      </c>
      <c r="C2798" s="1" t="s">
        <v>2110</v>
      </c>
      <c r="D2798" s="5" t="s">
        <v>2111</v>
      </c>
      <c r="E2798" s="3">
        <v>119094</v>
      </c>
      <c r="F2798" s="3">
        <v>119942</v>
      </c>
      <c r="G2798" s="57">
        <v>7.1204258820763431E-3</v>
      </c>
      <c r="J2798" s="5" t="s">
        <v>3939</v>
      </c>
    </row>
    <row r="2799" spans="1:10" ht="25.5" x14ac:dyDescent="0.2">
      <c r="A2799" s="1" t="s">
        <v>1</v>
      </c>
      <c r="B2799" s="2" t="s">
        <v>126</v>
      </c>
      <c r="C2799" s="1" t="s">
        <v>2112</v>
      </c>
      <c r="D2799" s="5" t="s">
        <v>908</v>
      </c>
      <c r="E2799" s="3">
        <v>117014</v>
      </c>
      <c r="F2799" s="3">
        <v>119942</v>
      </c>
      <c r="G2799" s="57">
        <v>2.5022646862768557E-2</v>
      </c>
      <c r="J2799" s="5" t="s">
        <v>3939</v>
      </c>
    </row>
    <row r="2800" spans="1:10" ht="25.5" x14ac:dyDescent="0.2">
      <c r="A2800" s="1" t="s">
        <v>1</v>
      </c>
      <c r="B2800" s="2" t="s">
        <v>126</v>
      </c>
      <c r="C2800" s="1" t="s">
        <v>2114</v>
      </c>
      <c r="D2800" s="5" t="s">
        <v>3274</v>
      </c>
      <c r="E2800" s="3">
        <v>116277</v>
      </c>
      <c r="F2800" s="3">
        <v>119942</v>
      </c>
      <c r="G2800" s="57">
        <v>3.1519561048186658E-2</v>
      </c>
      <c r="J2800" s="5" t="s">
        <v>4291</v>
      </c>
    </row>
    <row r="2801" spans="1:10" ht="63.75" x14ac:dyDescent="0.2">
      <c r="A2801" s="13" t="s">
        <v>34</v>
      </c>
      <c r="B2801" s="2" t="s">
        <v>425</v>
      </c>
      <c r="C2801" s="5" t="s">
        <v>4564</v>
      </c>
      <c r="D2801" s="5" t="s">
        <v>450</v>
      </c>
      <c r="E2801" s="3">
        <v>115892</v>
      </c>
      <c r="F2801" s="3">
        <v>119842</v>
      </c>
      <c r="G2801" s="57">
        <v>3.4083457011700548E-2</v>
      </c>
      <c r="J2801" s="5" t="s">
        <v>4565</v>
      </c>
    </row>
    <row r="2802" spans="1:10" ht="25.5" x14ac:dyDescent="0.2">
      <c r="A2802" s="1" t="s">
        <v>8</v>
      </c>
      <c r="B2802" s="2" t="s">
        <v>183</v>
      </c>
      <c r="D2802" s="5" t="s">
        <v>450</v>
      </c>
      <c r="E2802" s="3">
        <v>107378</v>
      </c>
      <c r="F2802" s="3">
        <v>119792</v>
      </c>
      <c r="G2802" s="57">
        <v>0.11561027398536013</v>
      </c>
      <c r="J2802" s="5" t="s">
        <v>3528</v>
      </c>
    </row>
    <row r="2803" spans="1:10" x14ac:dyDescent="0.2">
      <c r="A2803" s="1" t="s">
        <v>25</v>
      </c>
      <c r="B2803" s="2" t="s">
        <v>70</v>
      </c>
      <c r="C2803" s="1"/>
      <c r="D2803" s="5" t="s">
        <v>1926</v>
      </c>
      <c r="E2803" s="19">
        <v>121139</v>
      </c>
      <c r="F2803" s="19">
        <v>119739</v>
      </c>
      <c r="G2803" s="57">
        <v>-1.1556971743204088E-2</v>
      </c>
      <c r="J2803" s="5" t="s">
        <v>1927</v>
      </c>
    </row>
    <row r="2804" spans="1:10" x14ac:dyDescent="0.2">
      <c r="A2804" s="1" t="s">
        <v>25</v>
      </c>
      <c r="B2804" s="2" t="s">
        <v>197</v>
      </c>
      <c r="D2804" s="5" t="s">
        <v>1405</v>
      </c>
      <c r="E2804" s="9">
        <v>14669</v>
      </c>
      <c r="F2804" s="9">
        <v>119716</v>
      </c>
      <c r="G2804" s="57">
        <v>7.1611561796986845</v>
      </c>
      <c r="J2804" s="5" t="s">
        <v>3441</v>
      </c>
    </row>
    <row r="2805" spans="1:10" ht="25.5" x14ac:dyDescent="0.2">
      <c r="A2805" s="1" t="s">
        <v>1</v>
      </c>
      <c r="B2805" s="2" t="s">
        <v>327</v>
      </c>
      <c r="C2805" s="5" t="s">
        <v>903</v>
      </c>
      <c r="D2805" s="5" t="s">
        <v>904</v>
      </c>
      <c r="E2805" s="3">
        <v>116834</v>
      </c>
      <c r="F2805" s="3">
        <v>119594</v>
      </c>
      <c r="G2805" s="57">
        <v>2.3623260352294707E-2</v>
      </c>
      <c r="J2805" s="5" t="s">
        <v>2769</v>
      </c>
    </row>
    <row r="2806" spans="1:10" ht="25.5" x14ac:dyDescent="0.2">
      <c r="A2806" s="1" t="s">
        <v>1</v>
      </c>
      <c r="B2806" s="2" t="s">
        <v>327</v>
      </c>
      <c r="C2806" s="5" t="s">
        <v>907</v>
      </c>
      <c r="D2806" s="5" t="s">
        <v>908</v>
      </c>
      <c r="E2806" s="3">
        <v>116866</v>
      </c>
      <c r="F2806" s="3">
        <v>119594</v>
      </c>
      <c r="G2806" s="57">
        <v>2.3342974004415314E-2</v>
      </c>
      <c r="J2806" s="5" t="s">
        <v>2769</v>
      </c>
    </row>
    <row r="2807" spans="1:10" ht="25.5" x14ac:dyDescent="0.2">
      <c r="A2807" s="1" t="s">
        <v>1</v>
      </c>
      <c r="B2807" s="2" t="s">
        <v>327</v>
      </c>
      <c r="C2807" s="5" t="s">
        <v>902</v>
      </c>
      <c r="D2807" s="5" t="s">
        <v>463</v>
      </c>
      <c r="E2807" s="3">
        <v>112698</v>
      </c>
      <c r="F2807" s="3">
        <v>119522</v>
      </c>
      <c r="G2807" s="57">
        <v>6.0551207652309716E-2</v>
      </c>
      <c r="J2807" s="5" t="s">
        <v>4454</v>
      </c>
    </row>
    <row r="2808" spans="1:10" ht="25.5" x14ac:dyDescent="0.2">
      <c r="A2808" s="1" t="s">
        <v>1</v>
      </c>
      <c r="B2808" s="12" t="s">
        <v>417</v>
      </c>
      <c r="C2808" s="5" t="s">
        <v>583</v>
      </c>
      <c r="D2808" s="5" t="s">
        <v>584</v>
      </c>
      <c r="E2808" s="3">
        <v>115667</v>
      </c>
      <c r="F2808" s="3">
        <v>119511</v>
      </c>
      <c r="G2808" s="57">
        <v>3.3233333621516939E-2</v>
      </c>
      <c r="J2808" s="7" t="s">
        <v>4548</v>
      </c>
    </row>
    <row r="2809" spans="1:10" ht="25.5" x14ac:dyDescent="0.2">
      <c r="A2809" s="1" t="s">
        <v>1</v>
      </c>
      <c r="B2809" s="12" t="s">
        <v>417</v>
      </c>
      <c r="C2809" s="5" t="s">
        <v>585</v>
      </c>
      <c r="D2809" s="5" t="s">
        <v>586</v>
      </c>
      <c r="E2809" s="3">
        <v>115667</v>
      </c>
      <c r="F2809" s="3">
        <v>119511</v>
      </c>
      <c r="G2809" s="57">
        <v>3.3233333621516939E-2</v>
      </c>
      <c r="J2809" s="7" t="s">
        <v>4548</v>
      </c>
    </row>
    <row r="2810" spans="1:10" ht="25.5" x14ac:dyDescent="0.2">
      <c r="A2810" s="1" t="s">
        <v>6</v>
      </c>
      <c r="B2810" s="2" t="s">
        <v>315</v>
      </c>
      <c r="D2810" s="5" t="s">
        <v>450</v>
      </c>
      <c r="E2810" s="3">
        <v>116269</v>
      </c>
      <c r="F2810" s="3">
        <v>119459</v>
      </c>
      <c r="G2810" s="57">
        <v>2.7436375990160747E-2</v>
      </c>
      <c r="J2810" s="5" t="s">
        <v>2799</v>
      </c>
    </row>
    <row r="2811" spans="1:10" ht="25.5" x14ac:dyDescent="0.2">
      <c r="A2811" s="1" t="s">
        <v>39</v>
      </c>
      <c r="B2811" s="2" t="s">
        <v>337</v>
      </c>
      <c r="D2811" s="5" t="s">
        <v>4457</v>
      </c>
      <c r="E2811" s="3">
        <v>114050</v>
      </c>
      <c r="F2811" s="3">
        <v>119402</v>
      </c>
      <c r="G2811" s="57">
        <v>4.6926786497150375E-2</v>
      </c>
      <c r="J2811" s="5" t="s">
        <v>2727</v>
      </c>
    </row>
    <row r="2812" spans="1:10" ht="25.5" x14ac:dyDescent="0.2">
      <c r="A2812" s="13" t="s">
        <v>4</v>
      </c>
      <c r="B2812" s="2" t="s">
        <v>17</v>
      </c>
      <c r="C2812" s="1"/>
      <c r="D2812" s="5" t="s">
        <v>455</v>
      </c>
      <c r="E2812" s="3">
        <v>118284.02</v>
      </c>
      <c r="F2812" s="3">
        <v>119362.79</v>
      </c>
      <c r="G2812" s="57">
        <v>9.1201668661581633E-3</v>
      </c>
      <c r="J2812" s="5" t="s">
        <v>3649</v>
      </c>
    </row>
    <row r="2813" spans="1:10" ht="25.5" x14ac:dyDescent="0.2">
      <c r="A2813" s="1" t="s">
        <v>34</v>
      </c>
      <c r="B2813" s="2" t="s">
        <v>328</v>
      </c>
      <c r="D2813" s="5" t="s">
        <v>450</v>
      </c>
      <c r="E2813" s="3">
        <v>119376</v>
      </c>
      <c r="F2813" s="3">
        <v>119331</v>
      </c>
      <c r="G2813" s="57">
        <v>-3.7696019300361881E-4</v>
      </c>
      <c r="J2813" s="5" t="s">
        <v>2767</v>
      </c>
    </row>
    <row r="2814" spans="1:10" ht="25.5" x14ac:dyDescent="0.2">
      <c r="A2814" s="1" t="s">
        <v>4</v>
      </c>
      <c r="B2814" s="2" t="s">
        <v>199</v>
      </c>
      <c r="D2814" s="5" t="s">
        <v>1397</v>
      </c>
      <c r="E2814" s="9">
        <v>119957</v>
      </c>
      <c r="F2814" s="9">
        <v>119256</v>
      </c>
      <c r="G2814" s="57">
        <v>-5.8437606809106594E-3</v>
      </c>
      <c r="J2814" s="5" t="s">
        <v>3421</v>
      </c>
    </row>
    <row r="2815" spans="1:10" x14ac:dyDescent="0.2">
      <c r="A2815" s="1" t="s">
        <v>44</v>
      </c>
      <c r="B2815" s="2" t="s">
        <v>66</v>
      </c>
      <c r="C2815" s="1"/>
      <c r="D2815" s="5" t="s">
        <v>1890</v>
      </c>
      <c r="E2815" s="3">
        <v>115470</v>
      </c>
      <c r="F2815" s="3">
        <v>119251</v>
      </c>
      <c r="G2815" s="57">
        <v>3.2744435784186371E-2</v>
      </c>
      <c r="J2815" s="5" t="s">
        <v>1891</v>
      </c>
    </row>
    <row r="2816" spans="1:10" ht="25.5" x14ac:dyDescent="0.2">
      <c r="A2816" s="1" t="s">
        <v>25</v>
      </c>
      <c r="B2816" s="2" t="s">
        <v>26</v>
      </c>
      <c r="C2816" s="1"/>
      <c r="D2816" s="5" t="s">
        <v>1714</v>
      </c>
      <c r="E2816" s="6" t="s">
        <v>465</v>
      </c>
      <c r="F2816" s="3">
        <v>119143</v>
      </c>
      <c r="G2816" s="57" t="s">
        <v>465</v>
      </c>
      <c r="J2816" s="5" t="s">
        <v>3674</v>
      </c>
    </row>
    <row r="2817" spans="1:12" ht="25.5" x14ac:dyDescent="0.2">
      <c r="A2817" s="1" t="s">
        <v>1</v>
      </c>
      <c r="B2817" s="2" t="s">
        <v>125</v>
      </c>
      <c r="C2817" s="1" t="s">
        <v>2124</v>
      </c>
      <c r="D2817" s="5" t="s">
        <v>2125</v>
      </c>
      <c r="E2817" s="3">
        <v>115554</v>
      </c>
      <c r="F2817" s="3">
        <v>119109</v>
      </c>
      <c r="G2817" s="57">
        <v>3.0764837218962563E-2</v>
      </c>
      <c r="J2817" s="5" t="s">
        <v>3933</v>
      </c>
    </row>
    <row r="2818" spans="1:12" ht="25.5" x14ac:dyDescent="0.2">
      <c r="A2818" s="13" t="s">
        <v>34</v>
      </c>
      <c r="B2818" s="12" t="s">
        <v>48</v>
      </c>
      <c r="C2818" s="13"/>
      <c r="D2818" s="7" t="s">
        <v>3741</v>
      </c>
      <c r="E2818" s="6">
        <v>92211</v>
      </c>
      <c r="F2818" s="6">
        <v>119055</v>
      </c>
      <c r="G2818" s="57">
        <v>0.29111494290269058</v>
      </c>
      <c r="H2818" s="21"/>
      <c r="I2818" s="21"/>
      <c r="J2818" s="7" t="s">
        <v>1810</v>
      </c>
      <c r="K2818" s="13"/>
      <c r="L2818" s="13"/>
    </row>
    <row r="2819" spans="1:12" x14ac:dyDescent="0.2">
      <c r="A2819" s="1" t="s">
        <v>44</v>
      </c>
      <c r="B2819" s="2" t="s">
        <v>161</v>
      </c>
      <c r="D2819" s="5" t="s">
        <v>942</v>
      </c>
      <c r="E2819" s="3">
        <v>114646</v>
      </c>
      <c r="F2819" s="3">
        <v>119032</v>
      </c>
      <c r="G2819" s="57">
        <v>3.8256895138077208E-2</v>
      </c>
      <c r="J2819" s="5" t="s">
        <v>4044</v>
      </c>
    </row>
    <row r="2820" spans="1:12" x14ac:dyDescent="0.2">
      <c r="A2820" s="1" t="s">
        <v>44</v>
      </c>
      <c r="B2820" s="2" t="s">
        <v>161</v>
      </c>
      <c r="D2820" s="5" t="s">
        <v>1585</v>
      </c>
      <c r="E2820" s="3">
        <v>114646</v>
      </c>
      <c r="F2820" s="3">
        <v>119032</v>
      </c>
      <c r="G2820" s="57">
        <v>3.8256895138077208E-2</v>
      </c>
      <c r="J2820" s="5" t="s">
        <v>4044</v>
      </c>
    </row>
    <row r="2821" spans="1:12" x14ac:dyDescent="0.2">
      <c r="A2821" s="1" t="s">
        <v>28</v>
      </c>
      <c r="B2821" s="2" t="s">
        <v>27</v>
      </c>
      <c r="C2821" s="1"/>
      <c r="D2821" s="5" t="s">
        <v>1727</v>
      </c>
      <c r="E2821" s="3">
        <v>119000</v>
      </c>
      <c r="F2821" s="3">
        <v>119000</v>
      </c>
      <c r="G2821" s="57">
        <v>0</v>
      </c>
      <c r="J2821" s="7" t="s">
        <v>4114</v>
      </c>
    </row>
    <row r="2822" spans="1:12" x14ac:dyDescent="0.2">
      <c r="A2822" s="1" t="s">
        <v>28</v>
      </c>
      <c r="B2822" s="2" t="s">
        <v>27</v>
      </c>
      <c r="C2822" s="1"/>
      <c r="D2822" s="5" t="s">
        <v>1728</v>
      </c>
      <c r="E2822" s="3">
        <v>119000</v>
      </c>
      <c r="F2822" s="3">
        <v>119000</v>
      </c>
      <c r="G2822" s="57">
        <v>0</v>
      </c>
      <c r="J2822" s="7" t="s">
        <v>4114</v>
      </c>
    </row>
    <row r="2823" spans="1:12" x14ac:dyDescent="0.2">
      <c r="A2823" s="1" t="s">
        <v>28</v>
      </c>
      <c r="B2823" s="2" t="s">
        <v>27</v>
      </c>
      <c r="C2823" s="1"/>
      <c r="D2823" s="5" t="s">
        <v>1729</v>
      </c>
      <c r="E2823" s="3">
        <v>119000</v>
      </c>
      <c r="F2823" s="3">
        <v>119000</v>
      </c>
      <c r="G2823" s="57">
        <v>0</v>
      </c>
      <c r="J2823" s="7" t="s">
        <v>4114</v>
      </c>
    </row>
    <row r="2824" spans="1:12" ht="25.5" x14ac:dyDescent="0.2">
      <c r="A2824" s="1" t="s">
        <v>39</v>
      </c>
      <c r="B2824" s="2" t="s">
        <v>124</v>
      </c>
      <c r="C2824" s="1"/>
      <c r="D2824" s="5" t="s">
        <v>854</v>
      </c>
      <c r="E2824" s="3">
        <v>148000</v>
      </c>
      <c r="F2824" s="3">
        <v>119000</v>
      </c>
      <c r="G2824" s="57">
        <v>-0.19594594594594594</v>
      </c>
      <c r="J2824" s="5" t="s">
        <v>3927</v>
      </c>
    </row>
    <row r="2825" spans="1:12" x14ac:dyDescent="0.2">
      <c r="A2825" s="1" t="s">
        <v>4</v>
      </c>
      <c r="B2825" s="2" t="s">
        <v>307</v>
      </c>
      <c r="D2825" s="5" t="s">
        <v>450</v>
      </c>
      <c r="E2825" s="3">
        <v>143000</v>
      </c>
      <c r="F2825" s="3">
        <v>119000</v>
      </c>
      <c r="G2825" s="57">
        <v>-0.16783216783216784</v>
      </c>
      <c r="J2825" s="5" t="s">
        <v>2823</v>
      </c>
    </row>
    <row r="2826" spans="1:12" x14ac:dyDescent="0.2">
      <c r="A2826" s="1" t="s">
        <v>4</v>
      </c>
      <c r="B2826" s="2" t="s">
        <v>307</v>
      </c>
      <c r="D2826" s="5" t="s">
        <v>960</v>
      </c>
      <c r="E2826" s="3">
        <v>112000</v>
      </c>
      <c r="F2826" s="3">
        <v>119000</v>
      </c>
      <c r="G2826" s="57">
        <v>6.25E-2</v>
      </c>
      <c r="J2826" s="5" t="s">
        <v>2826</v>
      </c>
    </row>
    <row r="2827" spans="1:12" ht="38.25" x14ac:dyDescent="0.2">
      <c r="A2827" s="1" t="s">
        <v>4</v>
      </c>
      <c r="B2827" s="2" t="s">
        <v>191</v>
      </c>
      <c r="D2827" s="5" t="s">
        <v>1450</v>
      </c>
      <c r="E2827" s="9">
        <v>78865</v>
      </c>
      <c r="F2827" s="9">
        <v>118976</v>
      </c>
      <c r="G2827" s="57">
        <v>0.50860330945286247</v>
      </c>
      <c r="J2827" s="5" t="s">
        <v>3499</v>
      </c>
    </row>
    <row r="2828" spans="1:12" ht="25.5" x14ac:dyDescent="0.2">
      <c r="A2828" s="1" t="s">
        <v>1</v>
      </c>
      <c r="B2828" s="2" t="s">
        <v>125</v>
      </c>
      <c r="C2828" s="1" t="s">
        <v>2122</v>
      </c>
      <c r="D2828" s="5" t="s">
        <v>2123</v>
      </c>
      <c r="E2828" s="3">
        <v>115258</v>
      </c>
      <c r="F2828" s="3">
        <v>118932</v>
      </c>
      <c r="G2828" s="57">
        <v>3.1876312273334609E-2</v>
      </c>
      <c r="J2828" s="5" t="s">
        <v>3932</v>
      </c>
    </row>
    <row r="2829" spans="1:12" ht="25.5" x14ac:dyDescent="0.2">
      <c r="A2829" s="1" t="s">
        <v>1</v>
      </c>
      <c r="B2829" s="2" t="s">
        <v>126</v>
      </c>
      <c r="C2829" s="1" t="s">
        <v>2109</v>
      </c>
      <c r="D2829" s="5" t="s">
        <v>507</v>
      </c>
      <c r="E2829" s="3">
        <v>109410</v>
      </c>
      <c r="F2829" s="3">
        <v>118898</v>
      </c>
      <c r="G2829" s="57">
        <v>8.6719678274380776E-2</v>
      </c>
      <c r="J2829" s="5" t="s">
        <v>4292</v>
      </c>
    </row>
    <row r="2830" spans="1:12" ht="38.25" x14ac:dyDescent="0.2">
      <c r="A2830" s="1" t="s">
        <v>111</v>
      </c>
      <c r="B2830" s="2" t="s">
        <v>276</v>
      </c>
      <c r="D2830" s="5" t="s">
        <v>1099</v>
      </c>
      <c r="E2830" s="9">
        <v>108788</v>
      </c>
      <c r="F2830" s="3">
        <v>118892</v>
      </c>
      <c r="G2830" s="57">
        <v>9.2877890943854097E-2</v>
      </c>
      <c r="J2830" s="5" t="s">
        <v>3020</v>
      </c>
    </row>
    <row r="2831" spans="1:12" ht="25.5" x14ac:dyDescent="0.2">
      <c r="A2831" s="1" t="s">
        <v>39</v>
      </c>
      <c r="B2831" s="2" t="s">
        <v>277</v>
      </c>
      <c r="D2831" s="5" t="s">
        <v>450</v>
      </c>
      <c r="E2831" s="3">
        <v>117060</v>
      </c>
      <c r="F2831" s="3">
        <v>118891</v>
      </c>
      <c r="G2831" s="57">
        <v>1.564155134119255E-2</v>
      </c>
      <c r="J2831" s="5" t="s">
        <v>3012</v>
      </c>
    </row>
    <row r="2832" spans="1:12" ht="25.5" x14ac:dyDescent="0.2">
      <c r="A2832" s="1" t="s">
        <v>34</v>
      </c>
      <c r="B2832" s="2" t="s">
        <v>265</v>
      </c>
      <c r="C2832" s="5" t="s">
        <v>1144</v>
      </c>
      <c r="D2832" s="5" t="s">
        <v>3067</v>
      </c>
      <c r="E2832" s="3">
        <v>100732.27</v>
      </c>
      <c r="F2832" s="3">
        <v>118822.44</v>
      </c>
      <c r="G2832" s="57">
        <v>0.17958664090464752</v>
      </c>
      <c r="J2832" s="5" t="s">
        <v>4669</v>
      </c>
    </row>
    <row r="2833" spans="1:12" ht="25.5" x14ac:dyDescent="0.2">
      <c r="A2833" s="1" t="s">
        <v>25</v>
      </c>
      <c r="B2833" s="2" t="s">
        <v>26</v>
      </c>
      <c r="C2833" s="1"/>
      <c r="D2833" s="5" t="s">
        <v>1715</v>
      </c>
      <c r="E2833" s="6" t="s">
        <v>465</v>
      </c>
      <c r="F2833" s="3">
        <v>118574</v>
      </c>
      <c r="G2833" s="57" t="s">
        <v>465</v>
      </c>
      <c r="J2833" s="5" t="s">
        <v>3675</v>
      </c>
    </row>
    <row r="2834" spans="1:12" x14ac:dyDescent="0.2">
      <c r="A2834" s="1" t="s">
        <v>44</v>
      </c>
      <c r="B2834" s="2" t="s">
        <v>75</v>
      </c>
      <c r="C2834" s="1"/>
      <c r="D2834" s="5" t="s">
        <v>1011</v>
      </c>
      <c r="E2834" s="3">
        <v>135333</v>
      </c>
      <c r="F2834" s="3">
        <v>118565</v>
      </c>
      <c r="G2834" s="57">
        <v>-0.12390178300931776</v>
      </c>
      <c r="J2834" s="5" t="s">
        <v>1969</v>
      </c>
    </row>
    <row r="2835" spans="1:12" ht="25.5" x14ac:dyDescent="0.2">
      <c r="A2835" s="1" t="s">
        <v>25</v>
      </c>
      <c r="B2835" s="2" t="s">
        <v>379</v>
      </c>
      <c r="D2835" s="5" t="s">
        <v>4480</v>
      </c>
      <c r="E2835" s="3" t="s">
        <v>465</v>
      </c>
      <c r="F2835" s="3">
        <v>118542</v>
      </c>
      <c r="G2835" s="57" t="s">
        <v>465</v>
      </c>
      <c r="J2835" s="5" t="s">
        <v>2519</v>
      </c>
    </row>
    <row r="2836" spans="1:12" ht="25.5" x14ac:dyDescent="0.2">
      <c r="A2836" s="1" t="s">
        <v>20</v>
      </c>
      <c r="B2836" s="2" t="s">
        <v>201</v>
      </c>
      <c r="D2836" s="5" t="s">
        <v>1395</v>
      </c>
      <c r="E2836" s="3">
        <v>118584</v>
      </c>
      <c r="F2836" s="3">
        <v>118537</v>
      </c>
      <c r="G2836" s="57">
        <v>-3.963435202050867E-4</v>
      </c>
      <c r="J2836" s="5" t="s">
        <v>3411</v>
      </c>
    </row>
    <row r="2837" spans="1:12" ht="25.5" x14ac:dyDescent="0.2">
      <c r="A2837" s="1" t="s">
        <v>8</v>
      </c>
      <c r="B2837" s="2" t="s">
        <v>222</v>
      </c>
      <c r="D2837" s="5" t="s">
        <v>611</v>
      </c>
      <c r="E2837" s="3">
        <v>112968</v>
      </c>
      <c r="F2837" s="3">
        <v>118484</v>
      </c>
      <c r="G2837" s="57">
        <v>4.8827986686495288E-2</v>
      </c>
      <c r="J2837" s="5" t="s">
        <v>3260</v>
      </c>
    </row>
    <row r="2838" spans="1:12" ht="25.5" x14ac:dyDescent="0.2">
      <c r="A2838" s="1" t="s">
        <v>39</v>
      </c>
      <c r="B2838" s="2" t="s">
        <v>335</v>
      </c>
      <c r="D2838" s="5" t="s">
        <v>882</v>
      </c>
      <c r="E2838" s="3">
        <v>112698</v>
      </c>
      <c r="F2838" s="3">
        <v>118452</v>
      </c>
      <c r="G2838" s="57">
        <v>5.1056806686897729E-2</v>
      </c>
      <c r="J2838" s="5" t="s">
        <v>2739</v>
      </c>
    </row>
    <row r="2839" spans="1:12" ht="38.25" x14ac:dyDescent="0.2">
      <c r="A2839" s="13" t="s">
        <v>34</v>
      </c>
      <c r="B2839" s="12" t="s">
        <v>33</v>
      </c>
      <c r="C2839" s="13"/>
      <c r="D2839" s="7" t="s">
        <v>1742</v>
      </c>
      <c r="E2839" s="6">
        <v>48841</v>
      </c>
      <c r="F2839" s="6">
        <v>118408</v>
      </c>
      <c r="G2839" s="57">
        <v>1.4243565856554943</v>
      </c>
      <c r="H2839" s="21"/>
      <c r="I2839" s="21"/>
      <c r="J2839" s="7" t="s">
        <v>4138</v>
      </c>
      <c r="K2839" s="13"/>
      <c r="L2839" s="13"/>
    </row>
    <row r="2840" spans="1:12" x14ac:dyDescent="0.2">
      <c r="A2840" s="1" t="s">
        <v>4</v>
      </c>
      <c r="B2840" s="2" t="s">
        <v>49</v>
      </c>
      <c r="C2840" s="1"/>
      <c r="D2840" s="5" t="s">
        <v>1314</v>
      </c>
      <c r="E2840" s="3">
        <v>117200</v>
      </c>
      <c r="F2840" s="3">
        <v>118400</v>
      </c>
      <c r="G2840" s="57">
        <v>1.0238907849829351E-2</v>
      </c>
      <c r="J2840" s="5" t="s">
        <v>1817</v>
      </c>
    </row>
    <row r="2841" spans="1:12" ht="38.25" x14ac:dyDescent="0.2">
      <c r="A2841" s="1" t="s">
        <v>39</v>
      </c>
      <c r="B2841" s="2" t="s">
        <v>318</v>
      </c>
      <c r="D2841" s="5" t="s">
        <v>923</v>
      </c>
      <c r="E2841" s="3">
        <v>75920</v>
      </c>
      <c r="F2841" s="3">
        <v>118380</v>
      </c>
      <c r="G2841" s="57">
        <v>0.55927291886195996</v>
      </c>
      <c r="J2841" s="5" t="s">
        <v>2795</v>
      </c>
    </row>
    <row r="2842" spans="1:12" ht="38.25" x14ac:dyDescent="0.2">
      <c r="A2842" s="1" t="s">
        <v>25</v>
      </c>
      <c r="B2842" s="2" t="s">
        <v>406</v>
      </c>
      <c r="D2842" s="5" t="s">
        <v>636</v>
      </c>
      <c r="E2842" s="9">
        <v>116478</v>
      </c>
      <c r="F2842" s="3">
        <v>118340</v>
      </c>
      <c r="G2842" s="57">
        <v>1.5985851405415617E-2</v>
      </c>
      <c r="J2842" s="5" t="s">
        <v>2413</v>
      </c>
    </row>
    <row r="2843" spans="1:12" ht="51" x14ac:dyDescent="0.2">
      <c r="A2843" s="1" t="s">
        <v>44</v>
      </c>
      <c r="B2843" s="2" t="s">
        <v>114</v>
      </c>
      <c r="C2843" s="1"/>
      <c r="D2843" s="5" t="s">
        <v>487</v>
      </c>
      <c r="E2843" s="3">
        <v>82942</v>
      </c>
      <c r="F2843" s="3">
        <v>118291</v>
      </c>
      <c r="G2843" s="57">
        <v>0.42618938535362061</v>
      </c>
      <c r="J2843" s="5" t="s">
        <v>4270</v>
      </c>
    </row>
    <row r="2844" spans="1:12" ht="38.25" x14ac:dyDescent="0.2">
      <c r="A2844" s="13" t="s">
        <v>1</v>
      </c>
      <c r="B2844" s="12" t="s">
        <v>94</v>
      </c>
      <c r="C2844" s="13" t="s">
        <v>2220</v>
      </c>
      <c r="D2844" s="7" t="s">
        <v>450</v>
      </c>
      <c r="E2844" s="6">
        <v>117909</v>
      </c>
      <c r="F2844" s="6">
        <v>118289</v>
      </c>
      <c r="G2844" s="57">
        <v>3.2228243815145578E-3</v>
      </c>
      <c r="H2844" s="21"/>
      <c r="I2844" s="21"/>
      <c r="J2844" s="7" t="s">
        <v>3842</v>
      </c>
      <c r="K2844" s="13"/>
      <c r="L2844" s="13"/>
    </row>
    <row r="2845" spans="1:12" ht="38.25" x14ac:dyDescent="0.2">
      <c r="A2845" s="1" t="s">
        <v>6</v>
      </c>
      <c r="B2845" s="2" t="s">
        <v>347</v>
      </c>
      <c r="D2845" s="5" t="s">
        <v>4460</v>
      </c>
      <c r="E2845" s="3">
        <v>96384</v>
      </c>
      <c r="F2845" s="3">
        <v>118267</v>
      </c>
      <c r="G2845" s="57">
        <v>0.22703975763612219</v>
      </c>
      <c r="J2845" s="5" t="s">
        <v>2690</v>
      </c>
    </row>
    <row r="2846" spans="1:12" ht="25.5" x14ac:dyDescent="0.2">
      <c r="A2846" s="1" t="s">
        <v>25</v>
      </c>
      <c r="B2846" s="2" t="s">
        <v>70</v>
      </c>
      <c r="C2846" s="1"/>
      <c r="D2846" s="5" t="s">
        <v>1929</v>
      </c>
      <c r="E2846" s="19" t="s">
        <v>465</v>
      </c>
      <c r="F2846" s="19">
        <v>118265</v>
      </c>
      <c r="G2846" s="57" t="s">
        <v>465</v>
      </c>
      <c r="J2846" s="5" t="s">
        <v>1930</v>
      </c>
    </row>
    <row r="2847" spans="1:12" ht="25.5" x14ac:dyDescent="0.2">
      <c r="A2847" s="1" t="s">
        <v>1</v>
      </c>
      <c r="B2847" s="2" t="s">
        <v>264</v>
      </c>
      <c r="C2847" s="5" t="s">
        <v>1148</v>
      </c>
      <c r="D2847" s="5" t="s">
        <v>1149</v>
      </c>
      <c r="E2847" s="3">
        <v>116610</v>
      </c>
      <c r="F2847" s="3">
        <v>118233</v>
      </c>
      <c r="G2847" s="57">
        <v>1.3918188834576795E-2</v>
      </c>
      <c r="J2847" s="5" t="s">
        <v>3070</v>
      </c>
    </row>
    <row r="2848" spans="1:12" ht="25.5" x14ac:dyDescent="0.2">
      <c r="A2848" s="1" t="s">
        <v>1</v>
      </c>
      <c r="B2848" s="2" t="s">
        <v>264</v>
      </c>
      <c r="C2848" s="5" t="s">
        <v>1146</v>
      </c>
      <c r="D2848" s="5" t="s">
        <v>1147</v>
      </c>
      <c r="E2848" s="3">
        <v>105881</v>
      </c>
      <c r="F2848" s="3">
        <v>118226</v>
      </c>
      <c r="G2848" s="57">
        <v>0.11659315646811043</v>
      </c>
      <c r="J2848" s="5" t="s">
        <v>3069</v>
      </c>
    </row>
    <row r="2849" spans="1:10" ht="38.25" x14ac:dyDescent="0.2">
      <c r="A2849" s="1" t="s">
        <v>20</v>
      </c>
      <c r="B2849" s="2" t="s">
        <v>109</v>
      </c>
      <c r="C2849" s="1"/>
      <c r="D2849" s="5" t="s">
        <v>2171</v>
      </c>
      <c r="E2849" s="3">
        <v>77367</v>
      </c>
      <c r="F2849" s="3">
        <v>118196</v>
      </c>
      <c r="G2849" s="57">
        <v>0.52773146173433116</v>
      </c>
      <c r="J2849" s="5" t="s">
        <v>3880</v>
      </c>
    </row>
    <row r="2850" spans="1:10" ht="25.5" x14ac:dyDescent="0.2">
      <c r="A2850" s="1" t="s">
        <v>1</v>
      </c>
      <c r="B2850" s="2" t="s">
        <v>135</v>
      </c>
      <c r="C2850" s="1" t="s">
        <v>1663</v>
      </c>
      <c r="D2850" s="5" t="s">
        <v>855</v>
      </c>
      <c r="E2850" s="3">
        <v>118160</v>
      </c>
      <c r="F2850" s="3">
        <v>118169</v>
      </c>
      <c r="G2850" s="57">
        <v>7.6167907921462422E-5</v>
      </c>
      <c r="J2850" s="5" t="s">
        <v>3958</v>
      </c>
    </row>
    <row r="2851" spans="1:10" ht="25.5" x14ac:dyDescent="0.2">
      <c r="A2851" s="1" t="s">
        <v>39</v>
      </c>
      <c r="B2851" s="2" t="s">
        <v>124</v>
      </c>
      <c r="C2851" s="1"/>
      <c r="D2851" s="5" t="s">
        <v>2136</v>
      </c>
      <c r="E2851" s="3">
        <v>119000</v>
      </c>
      <c r="F2851" s="3">
        <v>118000</v>
      </c>
      <c r="G2851" s="57">
        <v>-8.4033613445378148E-3</v>
      </c>
      <c r="J2851" s="5" t="s">
        <v>3928</v>
      </c>
    </row>
    <row r="2852" spans="1:10" ht="25.5" x14ac:dyDescent="0.2">
      <c r="A2852" s="1" t="s">
        <v>28</v>
      </c>
      <c r="B2852" s="2" t="s">
        <v>142</v>
      </c>
      <c r="C2852" s="1"/>
      <c r="D2852" s="5" t="s">
        <v>740</v>
      </c>
      <c r="E2852" s="3">
        <v>103000</v>
      </c>
      <c r="F2852" s="3">
        <v>118000</v>
      </c>
      <c r="G2852" s="57">
        <v>0.14563106796116504</v>
      </c>
      <c r="J2852" s="5" t="s">
        <v>4633</v>
      </c>
    </row>
    <row r="2853" spans="1:10" ht="25.5" x14ac:dyDescent="0.2">
      <c r="A2853" s="1" t="s">
        <v>8</v>
      </c>
      <c r="B2853" s="2" t="s">
        <v>281</v>
      </c>
      <c r="D2853" s="5" t="s">
        <v>858</v>
      </c>
      <c r="E2853" s="10" t="s">
        <v>465</v>
      </c>
      <c r="F2853" s="3">
        <v>118000</v>
      </c>
      <c r="G2853" s="57" t="s">
        <v>465</v>
      </c>
      <c r="J2853" s="5" t="s">
        <v>2991</v>
      </c>
    </row>
    <row r="2854" spans="1:10" ht="25.5" x14ac:dyDescent="0.2">
      <c r="A2854" s="1" t="s">
        <v>6</v>
      </c>
      <c r="B2854" s="2" t="s">
        <v>362</v>
      </c>
      <c r="D2854" s="5" t="s">
        <v>794</v>
      </c>
      <c r="E2854" s="3">
        <v>118000</v>
      </c>
      <c r="F2854" s="3">
        <v>118000</v>
      </c>
      <c r="G2854" s="57">
        <v>0</v>
      </c>
      <c r="J2854" s="5" t="s">
        <v>2619</v>
      </c>
    </row>
    <row r="2855" spans="1:10" ht="25.5" x14ac:dyDescent="0.2">
      <c r="A2855" s="1" t="s">
        <v>4</v>
      </c>
      <c r="B2855" s="2" t="s">
        <v>428</v>
      </c>
      <c r="D2855" s="5" t="s">
        <v>521</v>
      </c>
      <c r="E2855" s="3">
        <v>111000</v>
      </c>
      <c r="F2855" s="3">
        <v>118000</v>
      </c>
      <c r="G2855" s="57">
        <v>6.3063063063063057E-2</v>
      </c>
      <c r="J2855" s="5" t="s">
        <v>2313</v>
      </c>
    </row>
    <row r="2856" spans="1:10" ht="25.5" x14ac:dyDescent="0.2">
      <c r="A2856" s="1" t="s">
        <v>4</v>
      </c>
      <c r="B2856" s="2" t="s">
        <v>172</v>
      </c>
      <c r="D2856" s="5" t="s">
        <v>1544</v>
      </c>
      <c r="E2856" s="9">
        <v>110740</v>
      </c>
      <c r="F2856" s="9">
        <v>117980</v>
      </c>
      <c r="G2856" s="57">
        <v>6.5378363734874476E-2</v>
      </c>
      <c r="J2856" s="5" t="s">
        <v>3596</v>
      </c>
    </row>
    <row r="2857" spans="1:10" ht="25.5" x14ac:dyDescent="0.2">
      <c r="A2857" s="1" t="s">
        <v>25</v>
      </c>
      <c r="B2857" s="2" t="s">
        <v>174</v>
      </c>
      <c r="C2857" s="5" t="s">
        <v>1539</v>
      </c>
      <c r="D2857" s="5" t="s">
        <v>1540</v>
      </c>
      <c r="E2857" s="9">
        <v>118249</v>
      </c>
      <c r="F2857" s="9">
        <v>117957</v>
      </c>
      <c r="G2857" s="57">
        <v>-2.4693654914629301E-3</v>
      </c>
      <c r="J2857" s="5" t="s">
        <v>3590</v>
      </c>
    </row>
    <row r="2858" spans="1:10" ht="25.5" x14ac:dyDescent="0.2">
      <c r="A2858" s="1" t="s">
        <v>44</v>
      </c>
      <c r="B2858" s="2" t="s">
        <v>66</v>
      </c>
      <c r="C2858" s="1"/>
      <c r="D2858" s="5" t="s">
        <v>450</v>
      </c>
      <c r="E2858" s="3">
        <v>161229</v>
      </c>
      <c r="F2858" s="3">
        <v>117926</v>
      </c>
      <c r="G2858" s="57">
        <v>-0.26858071438761016</v>
      </c>
      <c r="J2858" s="5" t="s">
        <v>4430</v>
      </c>
    </row>
    <row r="2859" spans="1:10" ht="25.5" x14ac:dyDescent="0.2">
      <c r="A2859" s="1" t="s">
        <v>111</v>
      </c>
      <c r="B2859" s="2" t="s">
        <v>355</v>
      </c>
      <c r="D2859" s="5" t="s">
        <v>837</v>
      </c>
      <c r="E2859" s="3">
        <v>97514</v>
      </c>
      <c r="F2859" s="3">
        <v>117891</v>
      </c>
      <c r="G2859" s="57">
        <v>0.20896486658325983</v>
      </c>
      <c r="J2859" s="5" t="s">
        <v>2663</v>
      </c>
    </row>
    <row r="2860" spans="1:10" ht="25.5" x14ac:dyDescent="0.2">
      <c r="A2860" s="1" t="s">
        <v>4</v>
      </c>
      <c r="B2860" s="2" t="s">
        <v>172</v>
      </c>
      <c r="D2860" s="5" t="s">
        <v>1543</v>
      </c>
      <c r="E2860" s="9">
        <v>107147</v>
      </c>
      <c r="F2860" s="9">
        <v>117841</v>
      </c>
      <c r="G2860" s="57">
        <v>9.9806807470111156E-2</v>
      </c>
      <c r="J2860" s="5" t="s">
        <v>3597</v>
      </c>
    </row>
    <row r="2861" spans="1:10" ht="25.5" x14ac:dyDescent="0.2">
      <c r="A2861" s="1" t="s">
        <v>20</v>
      </c>
      <c r="B2861" s="2" t="s">
        <v>201</v>
      </c>
      <c r="D2861" s="5" t="s">
        <v>1394</v>
      </c>
      <c r="E2861" s="3">
        <v>123118</v>
      </c>
      <c r="F2861" s="3">
        <v>117764</v>
      </c>
      <c r="G2861" s="57">
        <v>-4.3486736301759289E-2</v>
      </c>
      <c r="J2861" s="5" t="s">
        <v>4654</v>
      </c>
    </row>
    <row r="2862" spans="1:10" ht="25.5" x14ac:dyDescent="0.2">
      <c r="A2862" s="1" t="s">
        <v>4</v>
      </c>
      <c r="B2862" s="2" t="s">
        <v>411</v>
      </c>
      <c r="D2862" s="5" t="s">
        <v>455</v>
      </c>
      <c r="E2862" s="3">
        <v>119366</v>
      </c>
      <c r="F2862" s="3">
        <v>117750</v>
      </c>
      <c r="G2862" s="57">
        <v>-1.3538193455422818E-2</v>
      </c>
      <c r="J2862" s="5" t="s">
        <v>1622</v>
      </c>
    </row>
    <row r="2863" spans="1:10" ht="25.5" x14ac:dyDescent="0.2">
      <c r="A2863" s="1" t="s">
        <v>1</v>
      </c>
      <c r="B2863" s="2" t="s">
        <v>160</v>
      </c>
      <c r="C2863" s="5" t="s">
        <v>1596</v>
      </c>
      <c r="D2863" s="5" t="s">
        <v>4040</v>
      </c>
      <c r="E2863" s="3">
        <v>19307</v>
      </c>
      <c r="F2863" s="3">
        <v>117743</v>
      </c>
      <c r="G2863" s="57">
        <v>5.0984616978298023</v>
      </c>
      <c r="J2863" s="5" t="s">
        <v>4333</v>
      </c>
    </row>
    <row r="2864" spans="1:10" ht="38.25" x14ac:dyDescent="0.2">
      <c r="A2864" s="1" t="s">
        <v>34</v>
      </c>
      <c r="B2864" s="2" t="s">
        <v>101</v>
      </c>
      <c r="C2864" s="1"/>
      <c r="D2864" s="5" t="s">
        <v>2213</v>
      </c>
      <c r="E2864" s="3">
        <v>107266</v>
      </c>
      <c r="F2864" s="3">
        <v>117734</v>
      </c>
      <c r="G2864" s="57">
        <v>9.7589170846307305E-2</v>
      </c>
      <c r="J2864" s="5" t="s">
        <v>4241</v>
      </c>
    </row>
    <row r="2865" spans="1:12" ht="25.5" x14ac:dyDescent="0.2">
      <c r="A2865" s="1" t="s">
        <v>20</v>
      </c>
      <c r="B2865" s="2" t="s">
        <v>401</v>
      </c>
      <c r="D2865" s="5" t="s">
        <v>450</v>
      </c>
      <c r="E2865" s="3">
        <v>116810</v>
      </c>
      <c r="F2865" s="3">
        <v>117658</v>
      </c>
      <c r="G2865" s="57">
        <v>7.2596524270182351E-3</v>
      </c>
      <c r="J2865" s="5" t="s">
        <v>2436</v>
      </c>
    </row>
    <row r="2866" spans="1:12" ht="38.25" x14ac:dyDescent="0.2">
      <c r="A2866" s="1" t="s">
        <v>20</v>
      </c>
      <c r="B2866" s="2" t="s">
        <v>158</v>
      </c>
      <c r="D2866" s="5" t="s">
        <v>4030</v>
      </c>
      <c r="E2866" s="4" t="s">
        <v>465</v>
      </c>
      <c r="F2866" s="3">
        <v>117574</v>
      </c>
      <c r="G2866" s="57" t="s">
        <v>465</v>
      </c>
      <c r="J2866" s="5" t="s">
        <v>4329</v>
      </c>
    </row>
    <row r="2867" spans="1:12" ht="38.25" x14ac:dyDescent="0.2">
      <c r="A2867" s="1" t="s">
        <v>25</v>
      </c>
      <c r="B2867" s="12" t="s">
        <v>70</v>
      </c>
      <c r="C2867" s="13"/>
      <c r="D2867" s="7" t="s">
        <v>4216</v>
      </c>
      <c r="E2867" s="21">
        <v>118552</v>
      </c>
      <c r="F2867" s="21">
        <v>117573</v>
      </c>
      <c r="G2867" s="57">
        <v>-8.2579796207571353E-3</v>
      </c>
      <c r="H2867" s="21"/>
      <c r="I2867" s="21"/>
      <c r="J2867" s="7" t="s">
        <v>1928</v>
      </c>
      <c r="K2867" s="13"/>
      <c r="L2867" s="13"/>
    </row>
    <row r="2868" spans="1:12" x14ac:dyDescent="0.2">
      <c r="A2868" s="1" t="s">
        <v>25</v>
      </c>
      <c r="B2868" s="2" t="s">
        <v>26</v>
      </c>
      <c r="C2868" s="1"/>
      <c r="D2868" s="5" t="s">
        <v>464</v>
      </c>
      <c r="E2868" s="58" t="s">
        <v>465</v>
      </c>
      <c r="F2868" s="3">
        <v>117500</v>
      </c>
      <c r="G2868" s="57" t="s">
        <v>465</v>
      </c>
      <c r="J2868" s="1"/>
    </row>
    <row r="2869" spans="1:12" x14ac:dyDescent="0.2">
      <c r="A2869" s="1" t="s">
        <v>25</v>
      </c>
      <c r="B2869" s="2" t="s">
        <v>26</v>
      </c>
      <c r="C2869" s="1"/>
      <c r="D2869" s="5" t="s">
        <v>464</v>
      </c>
      <c r="E2869" s="58" t="s">
        <v>465</v>
      </c>
      <c r="F2869" s="3">
        <v>117500</v>
      </c>
      <c r="G2869" s="57" t="s">
        <v>465</v>
      </c>
      <c r="J2869" s="1"/>
    </row>
    <row r="2870" spans="1:12" x14ac:dyDescent="0.2">
      <c r="A2870" s="13" t="s">
        <v>34</v>
      </c>
      <c r="B2870" s="12" t="s">
        <v>48</v>
      </c>
      <c r="C2870" s="13"/>
      <c r="D2870" s="7" t="s">
        <v>464</v>
      </c>
      <c r="E2870" s="6" t="s">
        <v>465</v>
      </c>
      <c r="F2870" s="6">
        <v>117500</v>
      </c>
      <c r="G2870" s="57" t="s">
        <v>465</v>
      </c>
      <c r="H2870" s="21"/>
      <c r="I2870" s="21"/>
      <c r="J2870" s="7"/>
      <c r="K2870" s="13"/>
      <c r="L2870" s="13"/>
    </row>
    <row r="2871" spans="1:12" x14ac:dyDescent="0.2">
      <c r="A2871" s="1" t="s">
        <v>25</v>
      </c>
      <c r="B2871" s="2" t="s">
        <v>53</v>
      </c>
      <c r="C2871" s="1"/>
      <c r="D2871" s="5" t="s">
        <v>464</v>
      </c>
      <c r="E2871" s="3" t="s">
        <v>465</v>
      </c>
      <c r="F2871" s="3">
        <v>117500</v>
      </c>
      <c r="G2871" s="57" t="s">
        <v>465</v>
      </c>
    </row>
    <row r="2872" spans="1:12" x14ac:dyDescent="0.2">
      <c r="A2872" s="1" t="s">
        <v>28</v>
      </c>
      <c r="B2872" s="2" t="s">
        <v>67</v>
      </c>
      <c r="C2872" s="1"/>
      <c r="D2872" s="5" t="s">
        <v>464</v>
      </c>
      <c r="E2872" s="3" t="s">
        <v>465</v>
      </c>
      <c r="F2872" s="3">
        <v>117500</v>
      </c>
      <c r="G2872" s="57" t="s">
        <v>465</v>
      </c>
    </row>
    <row r="2873" spans="1:12" x14ac:dyDescent="0.2">
      <c r="A2873" s="1" t="s">
        <v>20</v>
      </c>
      <c r="B2873" s="2" t="s">
        <v>79</v>
      </c>
      <c r="C2873" s="1"/>
      <c r="D2873" s="5" t="s">
        <v>464</v>
      </c>
      <c r="E2873" s="3" t="s">
        <v>465</v>
      </c>
      <c r="F2873" s="3">
        <v>117500</v>
      </c>
      <c r="G2873" s="57" t="s">
        <v>465</v>
      </c>
    </row>
    <row r="2874" spans="1:12" x14ac:dyDescent="0.2">
      <c r="A2874" s="1" t="s">
        <v>20</v>
      </c>
      <c r="B2874" s="2" t="s">
        <v>79</v>
      </c>
      <c r="C2874" s="1"/>
      <c r="D2874" s="5" t="s">
        <v>464</v>
      </c>
      <c r="E2874" s="3" t="s">
        <v>465</v>
      </c>
      <c r="F2874" s="3">
        <v>117500</v>
      </c>
      <c r="G2874" s="57" t="s">
        <v>465</v>
      </c>
      <c r="J2874" s="5" t="s">
        <v>2256</v>
      </c>
    </row>
    <row r="2875" spans="1:12" x14ac:dyDescent="0.2">
      <c r="A2875" s="1" t="s">
        <v>20</v>
      </c>
      <c r="B2875" s="2" t="s">
        <v>79</v>
      </c>
      <c r="C2875" s="1"/>
      <c r="D2875" s="5" t="s">
        <v>464</v>
      </c>
      <c r="E2875" s="3" t="s">
        <v>465</v>
      </c>
      <c r="F2875" s="3">
        <v>117500</v>
      </c>
      <c r="G2875" s="57" t="s">
        <v>465</v>
      </c>
      <c r="J2875" s="5" t="s">
        <v>2256</v>
      </c>
    </row>
    <row r="2876" spans="1:12" x14ac:dyDescent="0.2">
      <c r="A2876" s="1" t="s">
        <v>6</v>
      </c>
      <c r="B2876" s="2" t="s">
        <v>85</v>
      </c>
      <c r="C2876" s="1"/>
      <c r="D2876" s="5" t="s">
        <v>464</v>
      </c>
      <c r="E2876" s="3" t="s">
        <v>465</v>
      </c>
      <c r="F2876" s="3">
        <v>117500</v>
      </c>
      <c r="G2876" s="57" t="s">
        <v>465</v>
      </c>
    </row>
    <row r="2877" spans="1:12" x14ac:dyDescent="0.2">
      <c r="A2877" s="1" t="s">
        <v>6</v>
      </c>
      <c r="B2877" s="2" t="s">
        <v>85</v>
      </c>
      <c r="C2877" s="1"/>
      <c r="D2877" s="5" t="s">
        <v>464</v>
      </c>
      <c r="E2877" s="3" t="s">
        <v>465</v>
      </c>
      <c r="F2877" s="3">
        <v>117500</v>
      </c>
      <c r="G2877" s="57" t="s">
        <v>465</v>
      </c>
    </row>
    <row r="2878" spans="1:12" x14ac:dyDescent="0.2">
      <c r="A2878" s="13" t="s">
        <v>111</v>
      </c>
      <c r="B2878" s="12" t="s">
        <v>110</v>
      </c>
      <c r="C2878" s="13"/>
      <c r="D2878" s="7" t="s">
        <v>464</v>
      </c>
      <c r="E2878" s="6" t="s">
        <v>465</v>
      </c>
      <c r="F2878" s="6">
        <v>117500</v>
      </c>
      <c r="G2878" s="57" t="s">
        <v>465</v>
      </c>
      <c r="H2878" s="21"/>
      <c r="I2878" s="21"/>
      <c r="J2878" s="7"/>
      <c r="K2878" s="13"/>
      <c r="L2878" s="13"/>
    </row>
    <row r="2879" spans="1:12" x14ac:dyDescent="0.2">
      <c r="A2879" s="1" t="s">
        <v>8</v>
      </c>
      <c r="B2879" s="2" t="s">
        <v>115</v>
      </c>
      <c r="C2879" s="1"/>
      <c r="D2879" s="5" t="s">
        <v>464</v>
      </c>
      <c r="E2879" s="3" t="s">
        <v>465</v>
      </c>
      <c r="F2879" s="3">
        <v>117500</v>
      </c>
      <c r="G2879" s="57" t="s">
        <v>465</v>
      </c>
      <c r="J2879" s="1"/>
    </row>
    <row r="2880" spans="1:12" x14ac:dyDescent="0.2">
      <c r="A2880" s="1" t="s">
        <v>34</v>
      </c>
      <c r="B2880" s="2" t="s">
        <v>119</v>
      </c>
      <c r="C2880" s="1"/>
      <c r="D2880" s="5" t="s">
        <v>464</v>
      </c>
      <c r="E2880" s="3" t="s">
        <v>465</v>
      </c>
      <c r="F2880" s="3">
        <v>117500</v>
      </c>
      <c r="G2880" s="57" t="s">
        <v>465</v>
      </c>
    </row>
    <row r="2881" spans="1:10" x14ac:dyDescent="0.2">
      <c r="A2881" s="1" t="s">
        <v>28</v>
      </c>
      <c r="B2881" s="2" t="s">
        <v>120</v>
      </c>
      <c r="C2881" s="1"/>
      <c r="D2881" s="5" t="s">
        <v>464</v>
      </c>
      <c r="E2881" s="3" t="s">
        <v>465</v>
      </c>
      <c r="F2881" s="3">
        <v>117500</v>
      </c>
      <c r="G2881" s="57" t="s">
        <v>465</v>
      </c>
    </row>
    <row r="2882" spans="1:10" x14ac:dyDescent="0.2">
      <c r="A2882" s="1" t="s">
        <v>28</v>
      </c>
      <c r="B2882" s="2" t="s">
        <v>120</v>
      </c>
      <c r="C2882" s="1"/>
      <c r="D2882" s="5" t="s">
        <v>464</v>
      </c>
      <c r="E2882" s="3" t="s">
        <v>465</v>
      </c>
      <c r="F2882" s="3">
        <v>117500</v>
      </c>
      <c r="G2882" s="57" t="s">
        <v>465</v>
      </c>
    </row>
    <row r="2883" spans="1:10" x14ac:dyDescent="0.2">
      <c r="A2883" s="1" t="s">
        <v>1</v>
      </c>
      <c r="B2883" s="2" t="s">
        <v>125</v>
      </c>
      <c r="C2883" s="1"/>
      <c r="D2883" s="5" t="s">
        <v>464</v>
      </c>
      <c r="E2883" s="3" t="s">
        <v>465</v>
      </c>
      <c r="F2883" s="3">
        <v>117500</v>
      </c>
      <c r="G2883" s="57" t="s">
        <v>465</v>
      </c>
    </row>
    <row r="2884" spans="1:10" x14ac:dyDescent="0.2">
      <c r="A2884" s="1" t="s">
        <v>1</v>
      </c>
      <c r="B2884" s="2" t="s">
        <v>125</v>
      </c>
      <c r="C2884" s="1"/>
      <c r="D2884" s="5" t="s">
        <v>464</v>
      </c>
      <c r="E2884" s="3" t="s">
        <v>465</v>
      </c>
      <c r="F2884" s="3">
        <v>117500</v>
      </c>
      <c r="G2884" s="57" t="s">
        <v>465</v>
      </c>
    </row>
    <row r="2885" spans="1:10" x14ac:dyDescent="0.2">
      <c r="A2885" s="1" t="s">
        <v>1</v>
      </c>
      <c r="B2885" s="2" t="s">
        <v>125</v>
      </c>
      <c r="C2885" s="1"/>
      <c r="D2885" s="5" t="s">
        <v>464</v>
      </c>
      <c r="E2885" s="3" t="s">
        <v>465</v>
      </c>
      <c r="F2885" s="3">
        <v>117500</v>
      </c>
      <c r="G2885" s="57" t="s">
        <v>465</v>
      </c>
    </row>
    <row r="2886" spans="1:10" x14ac:dyDescent="0.2">
      <c r="A2886" s="1" t="s">
        <v>25</v>
      </c>
      <c r="B2886" s="2" t="s">
        <v>129</v>
      </c>
      <c r="C2886" s="1"/>
      <c r="D2886" s="5" t="s">
        <v>464</v>
      </c>
      <c r="E2886" s="3" t="s">
        <v>465</v>
      </c>
      <c r="F2886" s="3">
        <v>117500</v>
      </c>
      <c r="G2886" s="57" t="s">
        <v>465</v>
      </c>
    </row>
    <row r="2887" spans="1:10" x14ac:dyDescent="0.2">
      <c r="A2887" s="1" t="s">
        <v>1</v>
      </c>
      <c r="B2887" s="2" t="s">
        <v>141</v>
      </c>
      <c r="C2887" s="1"/>
      <c r="E2887" s="3" t="s">
        <v>465</v>
      </c>
      <c r="F2887" s="3">
        <v>117500</v>
      </c>
      <c r="G2887" s="57" t="s">
        <v>465</v>
      </c>
    </row>
    <row r="2888" spans="1:10" x14ac:dyDescent="0.2">
      <c r="A2888" s="1" t="s">
        <v>1</v>
      </c>
      <c r="B2888" s="2" t="s">
        <v>141</v>
      </c>
      <c r="C2888" s="1"/>
      <c r="E2888" s="3" t="s">
        <v>465</v>
      </c>
      <c r="F2888" s="3">
        <v>117500</v>
      </c>
      <c r="G2888" s="57" t="s">
        <v>465</v>
      </c>
    </row>
    <row r="2889" spans="1:10" x14ac:dyDescent="0.2">
      <c r="A2889" s="1" t="s">
        <v>4</v>
      </c>
      <c r="B2889" s="2" t="s">
        <v>144</v>
      </c>
      <c r="C2889" s="1"/>
      <c r="D2889" s="5" t="s">
        <v>464</v>
      </c>
      <c r="E2889" s="3" t="s">
        <v>465</v>
      </c>
      <c r="F2889" s="3">
        <v>117500</v>
      </c>
      <c r="G2889" s="57" t="s">
        <v>465</v>
      </c>
    </row>
    <row r="2890" spans="1:10" x14ac:dyDescent="0.2">
      <c r="A2890" s="1" t="s">
        <v>20</v>
      </c>
      <c r="B2890" s="2" t="s">
        <v>154</v>
      </c>
      <c r="C2890" s="1"/>
      <c r="D2890" s="5" t="s">
        <v>464</v>
      </c>
      <c r="E2890" s="3" t="s">
        <v>465</v>
      </c>
      <c r="F2890" s="3">
        <v>117500</v>
      </c>
      <c r="G2890" s="57" t="s">
        <v>465</v>
      </c>
      <c r="J2890" s="1"/>
    </row>
    <row r="2891" spans="1:10" x14ac:dyDescent="0.2">
      <c r="A2891" s="1" t="s">
        <v>20</v>
      </c>
      <c r="B2891" s="2" t="s">
        <v>154</v>
      </c>
      <c r="C2891" s="1"/>
      <c r="D2891" s="5" t="s">
        <v>464</v>
      </c>
      <c r="E2891" s="3" t="s">
        <v>465</v>
      </c>
      <c r="F2891" s="3">
        <v>117500</v>
      </c>
      <c r="G2891" s="57" t="s">
        <v>465</v>
      </c>
      <c r="J2891" s="1"/>
    </row>
    <row r="2892" spans="1:10" x14ac:dyDescent="0.2">
      <c r="A2892" s="1" t="s">
        <v>25</v>
      </c>
      <c r="B2892" s="2" t="s">
        <v>175</v>
      </c>
      <c r="D2892" s="5" t="s">
        <v>464</v>
      </c>
      <c r="E2892" s="3" t="s">
        <v>465</v>
      </c>
      <c r="F2892" s="3">
        <v>117500</v>
      </c>
      <c r="G2892" s="57" t="s">
        <v>465</v>
      </c>
    </row>
    <row r="2893" spans="1:10" x14ac:dyDescent="0.2">
      <c r="A2893" s="1" t="s">
        <v>4</v>
      </c>
      <c r="B2893" s="2" t="s">
        <v>182</v>
      </c>
      <c r="D2893" s="5" t="s">
        <v>464</v>
      </c>
      <c r="E2893" s="3" t="s">
        <v>465</v>
      </c>
      <c r="F2893" s="3">
        <v>117500</v>
      </c>
      <c r="G2893" s="57" t="s">
        <v>465</v>
      </c>
      <c r="J2893" s="5" t="s">
        <v>1475</v>
      </c>
    </row>
    <row r="2894" spans="1:10" x14ac:dyDescent="0.2">
      <c r="A2894" s="1" t="s">
        <v>25</v>
      </c>
      <c r="B2894" s="2" t="s">
        <v>192</v>
      </c>
      <c r="D2894" s="5" t="s">
        <v>464</v>
      </c>
      <c r="E2894" s="3" t="s">
        <v>465</v>
      </c>
      <c r="F2894" s="3">
        <v>117500</v>
      </c>
      <c r="G2894" s="57" t="s">
        <v>465</v>
      </c>
    </row>
    <row r="2895" spans="1:10" x14ac:dyDescent="0.2">
      <c r="A2895" s="1" t="s">
        <v>20</v>
      </c>
      <c r="B2895" s="2" t="s">
        <v>194</v>
      </c>
      <c r="D2895" s="5" t="s">
        <v>464</v>
      </c>
      <c r="E2895" s="3" t="s">
        <v>465</v>
      </c>
      <c r="F2895" s="3">
        <v>117500</v>
      </c>
      <c r="G2895" s="57" t="s">
        <v>465</v>
      </c>
    </row>
    <row r="2896" spans="1:10" x14ac:dyDescent="0.2">
      <c r="A2896" s="1" t="s">
        <v>25</v>
      </c>
      <c r="B2896" s="2" t="s">
        <v>197</v>
      </c>
      <c r="D2896" s="5" t="s">
        <v>464</v>
      </c>
      <c r="E2896" s="3" t="s">
        <v>465</v>
      </c>
      <c r="F2896" s="3">
        <v>117500</v>
      </c>
      <c r="G2896" s="57" t="s">
        <v>465</v>
      </c>
      <c r="J2896" s="5" t="s">
        <v>2234</v>
      </c>
    </row>
    <row r="2897" spans="1:12" x14ac:dyDescent="0.2">
      <c r="A2897" s="1" t="s">
        <v>25</v>
      </c>
      <c r="B2897" s="2" t="s">
        <v>200</v>
      </c>
      <c r="D2897" s="5" t="s">
        <v>464</v>
      </c>
      <c r="E2897" s="3" t="s">
        <v>465</v>
      </c>
      <c r="F2897" s="3">
        <v>117500</v>
      </c>
      <c r="G2897" s="57" t="s">
        <v>465</v>
      </c>
    </row>
    <row r="2898" spans="1:12" x14ac:dyDescent="0.2">
      <c r="A2898" s="1" t="s">
        <v>20</v>
      </c>
      <c r="B2898" s="2" t="s">
        <v>212</v>
      </c>
      <c r="D2898" s="5" t="s">
        <v>464</v>
      </c>
      <c r="E2898" s="3" t="s">
        <v>465</v>
      </c>
      <c r="F2898" s="3">
        <v>117500</v>
      </c>
      <c r="G2898" s="57" t="s">
        <v>465</v>
      </c>
      <c r="J2898" s="5" t="s">
        <v>2137</v>
      </c>
    </row>
    <row r="2899" spans="1:12" x14ac:dyDescent="0.2">
      <c r="A2899" s="1" t="s">
        <v>25</v>
      </c>
      <c r="B2899" s="2" t="s">
        <v>217</v>
      </c>
      <c r="D2899" s="5" t="s">
        <v>464</v>
      </c>
      <c r="E2899" s="3" t="s">
        <v>465</v>
      </c>
      <c r="F2899" s="3">
        <v>117500</v>
      </c>
      <c r="G2899" s="57" t="s">
        <v>465</v>
      </c>
      <c r="H2899" s="4"/>
      <c r="I2899" s="4"/>
      <c r="J2899" s="1"/>
    </row>
    <row r="2900" spans="1:12" x14ac:dyDescent="0.2">
      <c r="A2900" s="1" t="s">
        <v>6</v>
      </c>
      <c r="B2900" s="2" t="s">
        <v>218</v>
      </c>
      <c r="D2900" s="5" t="s">
        <v>464</v>
      </c>
      <c r="E2900" s="3" t="s">
        <v>465</v>
      </c>
      <c r="F2900" s="3">
        <v>117500</v>
      </c>
      <c r="G2900" s="57" t="s">
        <v>465</v>
      </c>
    </row>
    <row r="2901" spans="1:12" x14ac:dyDescent="0.2">
      <c r="A2901" s="1" t="s">
        <v>8</v>
      </c>
      <c r="B2901" s="2" t="s">
        <v>222</v>
      </c>
      <c r="D2901" s="5" t="s">
        <v>464</v>
      </c>
      <c r="E2901" s="3" t="s">
        <v>465</v>
      </c>
      <c r="F2901" s="3">
        <v>117500</v>
      </c>
      <c r="G2901" s="57" t="s">
        <v>465</v>
      </c>
      <c r="H2901" s="4"/>
      <c r="I2901" s="4"/>
      <c r="J2901" s="1"/>
    </row>
    <row r="2902" spans="1:12" x14ac:dyDescent="0.2">
      <c r="A2902" s="1" t="s">
        <v>8</v>
      </c>
      <c r="B2902" s="2" t="s">
        <v>222</v>
      </c>
      <c r="D2902" s="5" t="s">
        <v>464</v>
      </c>
      <c r="E2902" s="3" t="s">
        <v>465</v>
      </c>
      <c r="F2902" s="3">
        <v>117500</v>
      </c>
      <c r="G2902" s="57" t="s">
        <v>465</v>
      </c>
      <c r="H2902" s="4"/>
      <c r="I2902" s="4"/>
      <c r="J2902" s="1"/>
    </row>
    <row r="2903" spans="1:12" x14ac:dyDescent="0.2">
      <c r="A2903" s="1" t="s">
        <v>8</v>
      </c>
      <c r="B2903" s="2" t="s">
        <v>229</v>
      </c>
      <c r="D2903" s="5" t="s">
        <v>464</v>
      </c>
      <c r="E2903" s="3" t="s">
        <v>465</v>
      </c>
      <c r="F2903" s="3">
        <v>117500</v>
      </c>
      <c r="G2903" s="57" t="s">
        <v>465</v>
      </c>
      <c r="J2903" s="5" t="s">
        <v>539</v>
      </c>
    </row>
    <row r="2904" spans="1:12" x14ac:dyDescent="0.2">
      <c r="A2904" s="1" t="s">
        <v>6</v>
      </c>
      <c r="B2904" s="12" t="s">
        <v>231</v>
      </c>
      <c r="D2904" s="5" t="s">
        <v>464</v>
      </c>
      <c r="E2904" s="3" t="s">
        <v>465</v>
      </c>
      <c r="F2904" s="3">
        <v>117500</v>
      </c>
      <c r="G2904" s="57" t="s">
        <v>465</v>
      </c>
      <c r="H2904" s="4"/>
      <c r="I2904" s="4"/>
      <c r="J2904" s="1"/>
    </row>
    <row r="2905" spans="1:12" x14ac:dyDescent="0.2">
      <c r="A2905" s="1" t="s">
        <v>6</v>
      </c>
      <c r="B2905" s="12" t="s">
        <v>231</v>
      </c>
      <c r="D2905" s="5" t="s">
        <v>464</v>
      </c>
      <c r="E2905" s="3" t="s">
        <v>465</v>
      </c>
      <c r="F2905" s="3">
        <v>117500</v>
      </c>
      <c r="G2905" s="57" t="s">
        <v>465</v>
      </c>
      <c r="H2905" s="4"/>
      <c r="I2905" s="4"/>
      <c r="J2905" s="1"/>
    </row>
    <row r="2906" spans="1:12" x14ac:dyDescent="0.2">
      <c r="A2906" s="1" t="s">
        <v>25</v>
      </c>
      <c r="B2906" s="2" t="s">
        <v>243</v>
      </c>
      <c r="D2906" s="7" t="s">
        <v>464</v>
      </c>
      <c r="E2906" s="6" t="s">
        <v>465</v>
      </c>
      <c r="F2906" s="6">
        <v>117500</v>
      </c>
      <c r="G2906" s="57" t="s">
        <v>465</v>
      </c>
      <c r="H2906" s="21"/>
      <c r="I2906" s="21"/>
      <c r="J2906" s="7" t="s">
        <v>539</v>
      </c>
    </row>
    <row r="2907" spans="1:12" x14ac:dyDescent="0.2">
      <c r="A2907" s="1" t="s">
        <v>20</v>
      </c>
      <c r="B2907" s="12" t="s">
        <v>245</v>
      </c>
      <c r="C2907" s="7"/>
      <c r="D2907" s="7" t="s">
        <v>464</v>
      </c>
      <c r="E2907" s="6" t="s">
        <v>465</v>
      </c>
      <c r="F2907" s="6">
        <v>117500</v>
      </c>
      <c r="G2907" s="57" t="s">
        <v>465</v>
      </c>
      <c r="H2907" s="21"/>
      <c r="I2907" s="21"/>
      <c r="J2907" s="7"/>
      <c r="K2907" s="13"/>
      <c r="L2907" s="13"/>
    </row>
    <row r="2908" spans="1:12" x14ac:dyDescent="0.2">
      <c r="A2908" s="1" t="s">
        <v>111</v>
      </c>
      <c r="B2908" s="12" t="s">
        <v>257</v>
      </c>
      <c r="D2908" s="5" t="s">
        <v>464</v>
      </c>
      <c r="E2908" s="3" t="s">
        <v>465</v>
      </c>
      <c r="F2908" s="3">
        <v>117500</v>
      </c>
      <c r="G2908" s="57" t="s">
        <v>465</v>
      </c>
      <c r="K2908" s="33"/>
      <c r="L2908" s="33"/>
    </row>
    <row r="2909" spans="1:12" x14ac:dyDescent="0.2">
      <c r="A2909" s="1" t="s">
        <v>25</v>
      </c>
      <c r="B2909" s="12" t="s">
        <v>259</v>
      </c>
      <c r="D2909" s="5" t="s">
        <v>464</v>
      </c>
      <c r="E2909" s="3" t="s">
        <v>465</v>
      </c>
      <c r="F2909" s="3">
        <v>117500</v>
      </c>
      <c r="G2909" s="57" t="s">
        <v>465</v>
      </c>
      <c r="H2909" s="4"/>
      <c r="I2909" s="4"/>
      <c r="J2909" s="1"/>
    </row>
    <row r="2910" spans="1:12" x14ac:dyDescent="0.2">
      <c r="A2910" s="1" t="s">
        <v>25</v>
      </c>
      <c r="B2910" s="12" t="s">
        <v>259</v>
      </c>
      <c r="D2910" s="5" t="s">
        <v>464</v>
      </c>
      <c r="E2910" s="3" t="s">
        <v>465</v>
      </c>
      <c r="F2910" s="3">
        <v>117500</v>
      </c>
      <c r="G2910" s="57" t="s">
        <v>465</v>
      </c>
      <c r="H2910" s="4"/>
      <c r="I2910" s="4"/>
      <c r="J2910" s="1"/>
    </row>
    <row r="2911" spans="1:12" x14ac:dyDescent="0.2">
      <c r="A2911" s="1" t="s">
        <v>25</v>
      </c>
      <c r="B2911" s="12" t="s">
        <v>259</v>
      </c>
      <c r="D2911" s="5" t="s">
        <v>464</v>
      </c>
      <c r="E2911" s="3" t="s">
        <v>465</v>
      </c>
      <c r="F2911" s="3">
        <v>117500</v>
      </c>
      <c r="G2911" s="57" t="s">
        <v>465</v>
      </c>
      <c r="H2911" s="4"/>
      <c r="I2911" s="4"/>
      <c r="J2911" s="1"/>
    </row>
    <row r="2912" spans="1:12" x14ac:dyDescent="0.2">
      <c r="A2912" s="1" t="s">
        <v>8</v>
      </c>
      <c r="B2912" s="2" t="s">
        <v>285</v>
      </c>
      <c r="D2912" s="5" t="s">
        <v>464</v>
      </c>
      <c r="E2912" s="3" t="s">
        <v>465</v>
      </c>
      <c r="F2912" s="3">
        <v>117500</v>
      </c>
      <c r="G2912" s="57" t="s">
        <v>465</v>
      </c>
      <c r="H2912" s="4"/>
      <c r="I2912" s="4"/>
      <c r="J2912" s="1"/>
    </row>
    <row r="2913" spans="1:10" x14ac:dyDescent="0.2">
      <c r="A2913" s="1" t="s">
        <v>8</v>
      </c>
      <c r="B2913" s="2" t="s">
        <v>285</v>
      </c>
      <c r="D2913" s="5" t="s">
        <v>464</v>
      </c>
      <c r="E2913" s="3" t="s">
        <v>465</v>
      </c>
      <c r="F2913" s="3">
        <v>117500</v>
      </c>
      <c r="G2913" s="57" t="s">
        <v>465</v>
      </c>
      <c r="H2913" s="4"/>
      <c r="I2913" s="4"/>
      <c r="J2913" s="1"/>
    </row>
    <row r="2914" spans="1:10" ht="25.5" x14ac:dyDescent="0.2">
      <c r="A2914" s="1" t="s">
        <v>6</v>
      </c>
      <c r="B2914" s="2" t="s">
        <v>301</v>
      </c>
      <c r="D2914" s="5" t="s">
        <v>981</v>
      </c>
      <c r="E2914" s="3">
        <v>114000</v>
      </c>
      <c r="F2914" s="3">
        <v>117500</v>
      </c>
      <c r="G2914" s="57">
        <v>3.0701754385964911E-2</v>
      </c>
      <c r="J2914" s="5" t="s">
        <v>2852</v>
      </c>
    </row>
    <row r="2915" spans="1:10" x14ac:dyDescent="0.2">
      <c r="A2915" s="1" t="s">
        <v>1</v>
      </c>
      <c r="B2915" s="12" t="s">
        <v>308</v>
      </c>
      <c r="D2915" s="5" t="s">
        <v>464</v>
      </c>
      <c r="E2915" s="3" t="s">
        <v>465</v>
      </c>
      <c r="F2915" s="3">
        <v>117500</v>
      </c>
      <c r="G2915" s="57" t="s">
        <v>465</v>
      </c>
      <c r="J2915" s="5" t="s">
        <v>539</v>
      </c>
    </row>
    <row r="2916" spans="1:10" x14ac:dyDescent="0.2">
      <c r="A2916" s="1" t="s">
        <v>44</v>
      </c>
      <c r="B2916" s="2" t="s">
        <v>309</v>
      </c>
      <c r="D2916" s="5" t="s">
        <v>464</v>
      </c>
      <c r="E2916" s="3" t="s">
        <v>465</v>
      </c>
      <c r="F2916" s="3">
        <v>117500</v>
      </c>
      <c r="G2916" s="57" t="s">
        <v>465</v>
      </c>
      <c r="J2916" s="5" t="s">
        <v>539</v>
      </c>
    </row>
    <row r="2917" spans="1:10" x14ac:dyDescent="0.2">
      <c r="A2917" s="1" t="s">
        <v>25</v>
      </c>
      <c r="B2917" s="2" t="s">
        <v>311</v>
      </c>
      <c r="D2917" s="5" t="s">
        <v>464</v>
      </c>
      <c r="E2917" s="3" t="s">
        <v>465</v>
      </c>
      <c r="F2917" s="3">
        <v>117500</v>
      </c>
      <c r="G2917" s="57" t="s">
        <v>465</v>
      </c>
      <c r="J2917" s="1"/>
    </row>
    <row r="2918" spans="1:10" x14ac:dyDescent="0.2">
      <c r="A2918" s="1" t="s">
        <v>6</v>
      </c>
      <c r="B2918" s="2" t="s">
        <v>313</v>
      </c>
      <c r="D2918" s="5" t="s">
        <v>464</v>
      </c>
      <c r="E2918" s="3" t="s">
        <v>465</v>
      </c>
      <c r="F2918" s="3">
        <v>117500</v>
      </c>
      <c r="G2918" s="57" t="s">
        <v>465</v>
      </c>
    </row>
    <row r="2919" spans="1:10" x14ac:dyDescent="0.2">
      <c r="A2919" s="1" t="s">
        <v>4</v>
      </c>
      <c r="B2919" s="2" t="s">
        <v>336</v>
      </c>
      <c r="D2919" s="5" t="s">
        <v>464</v>
      </c>
      <c r="E2919" s="3" t="s">
        <v>465</v>
      </c>
      <c r="F2919" s="3">
        <v>117500</v>
      </c>
      <c r="G2919" s="57" t="s">
        <v>465</v>
      </c>
      <c r="J2919" s="1"/>
    </row>
    <row r="2920" spans="1:10" x14ac:dyDescent="0.2">
      <c r="A2920" s="1" t="s">
        <v>4</v>
      </c>
      <c r="B2920" s="2" t="s">
        <v>336</v>
      </c>
      <c r="D2920" s="5" t="s">
        <v>464</v>
      </c>
      <c r="E2920" s="3" t="s">
        <v>465</v>
      </c>
      <c r="F2920" s="3">
        <v>117500</v>
      </c>
      <c r="G2920" s="57" t="s">
        <v>465</v>
      </c>
      <c r="J2920" s="1"/>
    </row>
    <row r="2921" spans="1:10" x14ac:dyDescent="0.2">
      <c r="A2921" s="1" t="s">
        <v>4</v>
      </c>
      <c r="B2921" s="2" t="s">
        <v>336</v>
      </c>
      <c r="D2921" s="5" t="s">
        <v>464</v>
      </c>
      <c r="E2921" s="3" t="s">
        <v>465</v>
      </c>
      <c r="F2921" s="3">
        <v>117500</v>
      </c>
      <c r="G2921" s="57" t="s">
        <v>465</v>
      </c>
      <c r="J2921" s="1"/>
    </row>
    <row r="2922" spans="1:10" x14ac:dyDescent="0.2">
      <c r="A2922" s="1" t="s">
        <v>4</v>
      </c>
      <c r="B2922" s="2" t="s">
        <v>336</v>
      </c>
      <c r="D2922" s="5" t="s">
        <v>464</v>
      </c>
      <c r="E2922" s="3" t="s">
        <v>465</v>
      </c>
      <c r="F2922" s="3">
        <v>117500</v>
      </c>
      <c r="G2922" s="57" t="s">
        <v>465</v>
      </c>
    </row>
    <row r="2923" spans="1:10" x14ac:dyDescent="0.2">
      <c r="A2923" s="1" t="s">
        <v>34</v>
      </c>
      <c r="B2923" s="2" t="s">
        <v>338</v>
      </c>
      <c r="D2923" s="5" t="s">
        <v>464</v>
      </c>
      <c r="E2923" s="3" t="s">
        <v>465</v>
      </c>
      <c r="F2923" s="3">
        <v>117500</v>
      </c>
      <c r="G2923" s="57" t="s">
        <v>465</v>
      </c>
    </row>
    <row r="2924" spans="1:10" x14ac:dyDescent="0.2">
      <c r="A2924" s="1" t="s">
        <v>34</v>
      </c>
      <c r="B2924" s="2" t="s">
        <v>343</v>
      </c>
      <c r="D2924" s="5" t="s">
        <v>464</v>
      </c>
      <c r="E2924" s="3" t="s">
        <v>465</v>
      </c>
      <c r="F2924" s="3">
        <v>117500</v>
      </c>
      <c r="G2924" s="57" t="s">
        <v>465</v>
      </c>
    </row>
    <row r="2925" spans="1:10" x14ac:dyDescent="0.2">
      <c r="A2925" s="1" t="s">
        <v>25</v>
      </c>
      <c r="B2925" s="2" t="s">
        <v>358</v>
      </c>
      <c r="D2925" s="5" t="s">
        <v>464</v>
      </c>
      <c r="E2925" s="3" t="s">
        <v>465</v>
      </c>
      <c r="F2925" s="3">
        <v>117500</v>
      </c>
      <c r="G2925" s="57" t="s">
        <v>465</v>
      </c>
      <c r="J2925" s="1"/>
    </row>
    <row r="2926" spans="1:10" x14ac:dyDescent="0.2">
      <c r="A2926" s="1" t="s">
        <v>39</v>
      </c>
      <c r="B2926" s="2" t="s">
        <v>364</v>
      </c>
      <c r="D2926" s="5" t="s">
        <v>464</v>
      </c>
      <c r="E2926" s="3" t="s">
        <v>465</v>
      </c>
      <c r="F2926" s="3">
        <v>117500</v>
      </c>
      <c r="G2926" s="57" t="s">
        <v>465</v>
      </c>
      <c r="J2926" s="5" t="s">
        <v>539</v>
      </c>
    </row>
    <row r="2927" spans="1:10" x14ac:dyDescent="0.2">
      <c r="A2927" s="1" t="s">
        <v>39</v>
      </c>
      <c r="B2927" s="2" t="s">
        <v>364</v>
      </c>
      <c r="D2927" s="5" t="s">
        <v>464</v>
      </c>
      <c r="E2927" s="3" t="s">
        <v>465</v>
      </c>
      <c r="F2927" s="3">
        <v>117500</v>
      </c>
      <c r="G2927" s="57" t="s">
        <v>465</v>
      </c>
    </row>
    <row r="2928" spans="1:10" x14ac:dyDescent="0.2">
      <c r="A2928" s="1" t="s">
        <v>39</v>
      </c>
      <c r="B2928" s="2" t="s">
        <v>364</v>
      </c>
      <c r="D2928" s="5" t="s">
        <v>464</v>
      </c>
      <c r="E2928" s="3" t="s">
        <v>465</v>
      </c>
      <c r="F2928" s="3">
        <v>117500</v>
      </c>
      <c r="G2928" s="57" t="s">
        <v>465</v>
      </c>
    </row>
    <row r="2929" spans="1:10" x14ac:dyDescent="0.2">
      <c r="A2929" s="1" t="s">
        <v>39</v>
      </c>
      <c r="B2929" s="2" t="s">
        <v>370</v>
      </c>
      <c r="D2929" s="5" t="s">
        <v>464</v>
      </c>
      <c r="E2929" s="3" t="s">
        <v>465</v>
      </c>
      <c r="F2929" s="3">
        <v>117500</v>
      </c>
      <c r="G2929" s="57" t="s">
        <v>465</v>
      </c>
      <c r="J2929" s="5" t="s">
        <v>539</v>
      </c>
    </row>
    <row r="2930" spans="1:10" x14ac:dyDescent="0.2">
      <c r="A2930" s="1" t="s">
        <v>4</v>
      </c>
      <c r="B2930" s="2" t="s">
        <v>377</v>
      </c>
      <c r="D2930" s="5" t="s">
        <v>464</v>
      </c>
      <c r="E2930" s="3" t="s">
        <v>465</v>
      </c>
      <c r="F2930" s="3">
        <v>117500</v>
      </c>
      <c r="G2930" s="57" t="s">
        <v>465</v>
      </c>
    </row>
    <row r="2931" spans="1:10" x14ac:dyDescent="0.2">
      <c r="A2931" s="1" t="s">
        <v>4</v>
      </c>
      <c r="B2931" s="2" t="s">
        <v>392</v>
      </c>
      <c r="D2931" s="5" t="s">
        <v>464</v>
      </c>
      <c r="E2931" s="3" t="s">
        <v>465</v>
      </c>
      <c r="F2931" s="3">
        <v>117500</v>
      </c>
      <c r="G2931" s="57" t="s">
        <v>465</v>
      </c>
    </row>
    <row r="2932" spans="1:10" x14ac:dyDescent="0.2">
      <c r="A2932" s="1" t="s">
        <v>25</v>
      </c>
      <c r="B2932" s="2" t="s">
        <v>398</v>
      </c>
      <c r="D2932" s="5" t="s">
        <v>464</v>
      </c>
      <c r="E2932" s="3" t="s">
        <v>465</v>
      </c>
      <c r="F2932" s="3">
        <v>117500</v>
      </c>
      <c r="G2932" s="57" t="s">
        <v>465</v>
      </c>
      <c r="J2932" s="5" t="s">
        <v>1241</v>
      </c>
    </row>
    <row r="2933" spans="1:10" x14ac:dyDescent="0.2">
      <c r="A2933" s="1" t="s">
        <v>28</v>
      </c>
      <c r="B2933" s="2" t="s">
        <v>403</v>
      </c>
      <c r="D2933" s="5" t="s">
        <v>464</v>
      </c>
      <c r="E2933" s="3" t="s">
        <v>465</v>
      </c>
      <c r="F2933" s="3">
        <v>117500</v>
      </c>
      <c r="G2933" s="57" t="s">
        <v>465</v>
      </c>
      <c r="J2933" s="1"/>
    </row>
    <row r="2934" spans="1:10" x14ac:dyDescent="0.2">
      <c r="A2934" s="1" t="s">
        <v>28</v>
      </c>
      <c r="B2934" s="2" t="s">
        <v>403</v>
      </c>
      <c r="D2934" s="5" t="s">
        <v>464</v>
      </c>
      <c r="E2934" s="3" t="s">
        <v>465</v>
      </c>
      <c r="F2934" s="3">
        <v>117500</v>
      </c>
      <c r="G2934" s="57" t="s">
        <v>465</v>
      </c>
      <c r="J2934" s="1"/>
    </row>
    <row r="2935" spans="1:10" x14ac:dyDescent="0.2">
      <c r="A2935" s="1" t="s">
        <v>25</v>
      </c>
      <c r="B2935" s="2" t="s">
        <v>406</v>
      </c>
      <c r="D2935" s="5" t="s">
        <v>464</v>
      </c>
      <c r="E2935" s="3" t="s">
        <v>465</v>
      </c>
      <c r="F2935" s="3">
        <v>117500</v>
      </c>
      <c r="G2935" s="57" t="s">
        <v>465</v>
      </c>
      <c r="J2935" s="1"/>
    </row>
    <row r="2936" spans="1:10" x14ac:dyDescent="0.2">
      <c r="A2936" s="1" t="s">
        <v>6</v>
      </c>
      <c r="B2936" s="2" t="s">
        <v>407</v>
      </c>
      <c r="D2936" s="5" t="s">
        <v>464</v>
      </c>
      <c r="E2936" s="3" t="s">
        <v>465</v>
      </c>
      <c r="F2936" s="3">
        <v>117500</v>
      </c>
      <c r="G2936" s="57" t="s">
        <v>465</v>
      </c>
      <c r="J2936" s="5" t="s">
        <v>651</v>
      </c>
    </row>
    <row r="2937" spans="1:10" x14ac:dyDescent="0.2">
      <c r="A2937" s="1" t="s">
        <v>6</v>
      </c>
      <c r="B2937" s="2" t="s">
        <v>407</v>
      </c>
      <c r="D2937" s="5" t="s">
        <v>464</v>
      </c>
      <c r="E2937" s="3" t="s">
        <v>465</v>
      </c>
      <c r="F2937" s="3">
        <v>117500</v>
      </c>
      <c r="G2937" s="57" t="s">
        <v>465</v>
      </c>
      <c r="J2937" s="5" t="s">
        <v>651</v>
      </c>
    </row>
    <row r="2938" spans="1:10" x14ac:dyDescent="0.2">
      <c r="A2938" s="1" t="s">
        <v>39</v>
      </c>
      <c r="B2938" s="2" t="s">
        <v>409</v>
      </c>
      <c r="D2938" s="5" t="s">
        <v>587</v>
      </c>
      <c r="E2938" s="3" t="s">
        <v>465</v>
      </c>
      <c r="F2938" s="3">
        <v>117500</v>
      </c>
      <c r="G2938" s="57" t="s">
        <v>465</v>
      </c>
      <c r="J2938" s="5" t="s">
        <v>540</v>
      </c>
    </row>
    <row r="2939" spans="1:10" x14ac:dyDescent="0.2">
      <c r="A2939" s="1" t="s">
        <v>39</v>
      </c>
      <c r="B2939" s="2" t="s">
        <v>409</v>
      </c>
      <c r="D2939" s="5" t="s">
        <v>587</v>
      </c>
      <c r="E2939" s="3" t="s">
        <v>465</v>
      </c>
      <c r="F2939" s="3">
        <v>117500</v>
      </c>
      <c r="G2939" s="57" t="s">
        <v>465</v>
      </c>
      <c r="J2939" s="5" t="s">
        <v>540</v>
      </c>
    </row>
    <row r="2940" spans="1:10" x14ac:dyDescent="0.2">
      <c r="A2940" s="1" t="s">
        <v>4</v>
      </c>
      <c r="B2940" s="2" t="s">
        <v>415</v>
      </c>
      <c r="D2940" s="5" t="s">
        <v>464</v>
      </c>
      <c r="E2940" s="3" t="s">
        <v>465</v>
      </c>
      <c r="F2940" s="3">
        <v>117500</v>
      </c>
      <c r="G2940" s="57" t="s">
        <v>465</v>
      </c>
      <c r="J2940" s="5" t="s">
        <v>539</v>
      </c>
    </row>
    <row r="2941" spans="1:10" x14ac:dyDescent="0.2">
      <c r="A2941" s="13" t="s">
        <v>34</v>
      </c>
      <c r="B2941" s="12" t="s">
        <v>416</v>
      </c>
      <c r="D2941" s="5" t="s">
        <v>464</v>
      </c>
      <c r="E2941" s="3" t="s">
        <v>465</v>
      </c>
      <c r="F2941" s="3">
        <v>117500</v>
      </c>
      <c r="G2941" s="57" t="s">
        <v>465</v>
      </c>
    </row>
    <row r="2942" spans="1:10" x14ac:dyDescent="0.2">
      <c r="A2942" s="1" t="s">
        <v>4</v>
      </c>
      <c r="B2942" s="2" t="s">
        <v>423</v>
      </c>
      <c r="D2942" s="5" t="s">
        <v>464</v>
      </c>
      <c r="E2942" s="3" t="s">
        <v>465</v>
      </c>
      <c r="F2942" s="3">
        <v>117500</v>
      </c>
      <c r="G2942" s="57" t="s">
        <v>465</v>
      </c>
    </row>
    <row r="2943" spans="1:10" x14ac:dyDescent="0.2">
      <c r="A2943" s="1" t="s">
        <v>25</v>
      </c>
      <c r="B2943" s="2" t="s">
        <v>424</v>
      </c>
      <c r="D2943" s="5" t="s">
        <v>464</v>
      </c>
      <c r="E2943" s="3" t="s">
        <v>465</v>
      </c>
      <c r="F2943" s="3">
        <v>117500</v>
      </c>
      <c r="G2943" s="57" t="s">
        <v>465</v>
      </c>
      <c r="J2943" s="1"/>
    </row>
    <row r="2944" spans="1:10" x14ac:dyDescent="0.2">
      <c r="A2944" s="1" t="s">
        <v>34</v>
      </c>
      <c r="B2944" s="2" t="s">
        <v>427</v>
      </c>
      <c r="D2944" s="5" t="s">
        <v>464</v>
      </c>
      <c r="E2944" s="3" t="s">
        <v>465</v>
      </c>
      <c r="F2944" s="3">
        <v>117500</v>
      </c>
      <c r="G2944" s="57" t="s">
        <v>465</v>
      </c>
      <c r="J2944" s="5" t="s">
        <v>1241</v>
      </c>
    </row>
    <row r="2945" spans="1:12" x14ac:dyDescent="0.2">
      <c r="A2945" s="1" t="s">
        <v>4</v>
      </c>
      <c r="B2945" s="2" t="s">
        <v>429</v>
      </c>
      <c r="D2945" s="5" t="s">
        <v>464</v>
      </c>
      <c r="E2945" s="3" t="s">
        <v>465</v>
      </c>
      <c r="F2945" s="3">
        <v>117500</v>
      </c>
      <c r="G2945" s="57" t="s">
        <v>465</v>
      </c>
    </row>
    <row r="2946" spans="1:12" x14ac:dyDescent="0.2">
      <c r="A2946" s="1" t="s">
        <v>4</v>
      </c>
      <c r="B2946" s="2" t="s">
        <v>429</v>
      </c>
      <c r="D2946" s="5" t="s">
        <v>464</v>
      </c>
      <c r="E2946" s="3" t="s">
        <v>465</v>
      </c>
      <c r="F2946" s="3">
        <v>117500</v>
      </c>
      <c r="G2946" s="57" t="s">
        <v>465</v>
      </c>
    </row>
    <row r="2947" spans="1:12" x14ac:dyDescent="0.2">
      <c r="A2947" s="1" t="s">
        <v>39</v>
      </c>
      <c r="B2947" s="2" t="s">
        <v>433</v>
      </c>
      <c r="D2947" s="5" t="s">
        <v>464</v>
      </c>
      <c r="E2947" s="3" t="s">
        <v>465</v>
      </c>
      <c r="F2947" s="3">
        <v>117500</v>
      </c>
      <c r="G2947" s="57" t="s">
        <v>465</v>
      </c>
      <c r="J2947" s="5" t="s">
        <v>539</v>
      </c>
    </row>
    <row r="2948" spans="1:12" x14ac:dyDescent="0.2">
      <c r="A2948" s="1" t="s">
        <v>39</v>
      </c>
      <c r="B2948" s="2" t="s">
        <v>433</v>
      </c>
      <c r="D2948" s="5" t="s">
        <v>464</v>
      </c>
      <c r="E2948" s="3" t="s">
        <v>465</v>
      </c>
      <c r="F2948" s="3">
        <v>117500</v>
      </c>
      <c r="G2948" s="57" t="s">
        <v>465</v>
      </c>
      <c r="J2948" s="5" t="s">
        <v>539</v>
      </c>
    </row>
    <row r="2949" spans="1:12" x14ac:dyDescent="0.2">
      <c r="A2949" s="1" t="s">
        <v>44</v>
      </c>
      <c r="B2949" s="2" t="s">
        <v>436</v>
      </c>
      <c r="D2949" s="5" t="s">
        <v>464</v>
      </c>
      <c r="E2949" s="3" t="s">
        <v>465</v>
      </c>
      <c r="F2949" s="3">
        <v>117500</v>
      </c>
      <c r="G2949" s="57" t="s">
        <v>465</v>
      </c>
    </row>
    <row r="2950" spans="1:12" ht="25.5" x14ac:dyDescent="0.2">
      <c r="A2950" s="1" t="s">
        <v>1</v>
      </c>
      <c r="B2950" s="2" t="s">
        <v>248</v>
      </c>
      <c r="C2950" s="5" t="s">
        <v>1192</v>
      </c>
      <c r="D2950" s="5" t="s">
        <v>1193</v>
      </c>
      <c r="E2950" s="3">
        <v>116716</v>
      </c>
      <c r="F2950" s="3">
        <v>117482</v>
      </c>
      <c r="G2950" s="57">
        <v>6.562939100037698E-3</v>
      </c>
      <c r="J2950" s="5" t="s">
        <v>3135</v>
      </c>
    </row>
    <row r="2951" spans="1:12" ht="25.5" x14ac:dyDescent="0.2">
      <c r="A2951" s="1" t="s">
        <v>28</v>
      </c>
      <c r="B2951" s="2" t="s">
        <v>279</v>
      </c>
      <c r="D2951" s="5" t="s">
        <v>1086</v>
      </c>
      <c r="E2951" s="3">
        <v>117342</v>
      </c>
      <c r="F2951" s="3">
        <v>117326</v>
      </c>
      <c r="G2951" s="57">
        <v>-1.3635356479350957E-4</v>
      </c>
      <c r="J2951" s="5" t="s">
        <v>3003</v>
      </c>
    </row>
    <row r="2952" spans="1:12" ht="25.5" x14ac:dyDescent="0.2">
      <c r="A2952" s="1" t="s">
        <v>44</v>
      </c>
      <c r="B2952" s="12" t="s">
        <v>114</v>
      </c>
      <c r="C2952" s="13"/>
      <c r="D2952" s="7" t="s">
        <v>2162</v>
      </c>
      <c r="E2952" s="6">
        <v>29340</v>
      </c>
      <c r="F2952" s="6">
        <v>117242</v>
      </c>
      <c r="G2952" s="57">
        <v>2.9959781867757327</v>
      </c>
      <c r="H2952" s="21"/>
      <c r="I2952" s="21"/>
      <c r="J2952" s="7" t="s">
        <v>4265</v>
      </c>
      <c r="K2952" s="13"/>
      <c r="L2952" s="13"/>
    </row>
    <row r="2953" spans="1:12" ht="25.5" x14ac:dyDescent="0.2">
      <c r="A2953" s="1" t="s">
        <v>20</v>
      </c>
      <c r="B2953" s="2" t="s">
        <v>357</v>
      </c>
      <c r="C2953" s="5" t="s">
        <v>818</v>
      </c>
      <c r="D2953" s="15" t="s">
        <v>819</v>
      </c>
      <c r="E2953" s="9">
        <v>122630</v>
      </c>
      <c r="F2953" s="9">
        <v>117174</v>
      </c>
      <c r="G2953" s="57">
        <v>-4.449155997716709E-2</v>
      </c>
      <c r="J2953" s="5" t="s">
        <v>4694</v>
      </c>
    </row>
    <row r="2954" spans="1:12" ht="25.5" x14ac:dyDescent="0.2">
      <c r="A2954" s="13" t="s">
        <v>1</v>
      </c>
      <c r="B2954" s="12" t="s">
        <v>92</v>
      </c>
      <c r="C2954" s="1" t="s">
        <v>2252</v>
      </c>
      <c r="D2954" s="5" t="s">
        <v>2253</v>
      </c>
      <c r="E2954" s="3">
        <v>112471</v>
      </c>
      <c r="F2954" s="3">
        <v>117142</v>
      </c>
      <c r="G2954" s="57">
        <v>4.1530705693023091E-2</v>
      </c>
      <c r="J2954" s="30" t="s">
        <v>3837</v>
      </c>
    </row>
    <row r="2955" spans="1:12" ht="25.5" x14ac:dyDescent="0.2">
      <c r="A2955" s="1" t="s">
        <v>20</v>
      </c>
      <c r="B2955" s="2" t="s">
        <v>109</v>
      </c>
      <c r="C2955" s="1"/>
      <c r="D2955" s="5" t="s">
        <v>2168</v>
      </c>
      <c r="E2955" s="3">
        <v>116789</v>
      </c>
      <c r="F2955" s="3">
        <v>117142</v>
      </c>
      <c r="G2955" s="57">
        <v>3.0225449314575858E-3</v>
      </c>
      <c r="J2955" s="5" t="s">
        <v>3877</v>
      </c>
    </row>
    <row r="2956" spans="1:12" ht="25.5" x14ac:dyDescent="0.2">
      <c r="A2956" s="1" t="s">
        <v>20</v>
      </c>
      <c r="B2956" s="2" t="s">
        <v>232</v>
      </c>
      <c r="D2956" s="15" t="s">
        <v>1240</v>
      </c>
      <c r="E2956" s="9" t="s">
        <v>465</v>
      </c>
      <c r="F2956" s="9">
        <v>117136</v>
      </c>
      <c r="G2956" s="57" t="s">
        <v>465</v>
      </c>
      <c r="J2956" s="5" t="s">
        <v>3208</v>
      </c>
    </row>
    <row r="2957" spans="1:12" ht="25.5" x14ac:dyDescent="0.2">
      <c r="A2957" s="1" t="s">
        <v>28</v>
      </c>
      <c r="B2957" s="2" t="s">
        <v>279</v>
      </c>
      <c r="D2957" s="5" t="s">
        <v>1087</v>
      </c>
      <c r="E2957" s="3">
        <v>112619</v>
      </c>
      <c r="F2957" s="3">
        <v>117134</v>
      </c>
      <c r="G2957" s="57">
        <v>4.0090926042674863E-2</v>
      </c>
      <c r="J2957" s="5" t="s">
        <v>3004</v>
      </c>
    </row>
    <row r="2958" spans="1:12" ht="25.5" x14ac:dyDescent="0.2">
      <c r="A2958" s="1" t="s">
        <v>1</v>
      </c>
      <c r="B2958" s="2" t="s">
        <v>125</v>
      </c>
      <c r="C2958" s="1" t="s">
        <v>2132</v>
      </c>
      <c r="D2958" s="5" t="s">
        <v>2133</v>
      </c>
      <c r="E2958" s="3">
        <v>84041</v>
      </c>
      <c r="F2958" s="3">
        <v>117092</v>
      </c>
      <c r="G2958" s="57">
        <v>0.39327233136207329</v>
      </c>
      <c r="J2958" s="5" t="s">
        <v>3935</v>
      </c>
    </row>
    <row r="2959" spans="1:12" ht="25.5" x14ac:dyDescent="0.2">
      <c r="A2959" s="1" t="s">
        <v>6</v>
      </c>
      <c r="B2959" s="12" t="s">
        <v>41</v>
      </c>
      <c r="C2959" s="13"/>
      <c r="D2959" s="7" t="s">
        <v>3714</v>
      </c>
      <c r="E2959" s="6">
        <v>86000</v>
      </c>
      <c r="F2959" s="6">
        <v>117000</v>
      </c>
      <c r="G2959" s="57">
        <v>0.36046511627906974</v>
      </c>
      <c r="H2959" s="21"/>
      <c r="I2959" s="21"/>
      <c r="J2959" s="7" t="s">
        <v>3715</v>
      </c>
      <c r="K2959" s="13"/>
      <c r="L2959" s="13"/>
    </row>
    <row r="2960" spans="1:12" ht="38.25" x14ac:dyDescent="0.2">
      <c r="A2960" s="1" t="s">
        <v>34</v>
      </c>
      <c r="B2960" s="2" t="s">
        <v>353</v>
      </c>
      <c r="D2960" s="5" t="s">
        <v>838</v>
      </c>
      <c r="E2960" s="3">
        <v>116000</v>
      </c>
      <c r="F2960" s="3">
        <v>117000</v>
      </c>
      <c r="G2960" s="57">
        <v>8.6206896551724137E-3</v>
      </c>
      <c r="J2960" s="5" t="s">
        <v>2667</v>
      </c>
    </row>
    <row r="2961" spans="1:10" ht="25.5" x14ac:dyDescent="0.2">
      <c r="A2961" s="1" t="s">
        <v>4</v>
      </c>
      <c r="B2961" s="2" t="s">
        <v>428</v>
      </c>
      <c r="D2961" s="5" t="s">
        <v>450</v>
      </c>
      <c r="E2961" s="3">
        <v>116000</v>
      </c>
      <c r="F2961" s="3">
        <v>117000</v>
      </c>
      <c r="G2961" s="57">
        <v>8.6206896551724137E-3</v>
      </c>
      <c r="J2961" s="5" t="s">
        <v>2312</v>
      </c>
    </row>
    <row r="2962" spans="1:10" ht="25.5" x14ac:dyDescent="0.2">
      <c r="A2962" s="1" t="s">
        <v>34</v>
      </c>
      <c r="B2962" s="2" t="s">
        <v>170</v>
      </c>
      <c r="D2962" s="5" t="s">
        <v>451</v>
      </c>
      <c r="E2962" s="3">
        <v>112298</v>
      </c>
      <c r="F2962" s="3">
        <v>116921</v>
      </c>
      <c r="G2962" s="57">
        <v>4.1167251420328059E-2</v>
      </c>
      <c r="J2962" s="5" t="s">
        <v>4067</v>
      </c>
    </row>
    <row r="2963" spans="1:10" x14ac:dyDescent="0.2">
      <c r="A2963" s="1" t="s">
        <v>6</v>
      </c>
      <c r="B2963" s="2" t="s">
        <v>65</v>
      </c>
      <c r="C2963" s="1"/>
      <c r="D2963" s="5" t="s">
        <v>1884</v>
      </c>
      <c r="E2963" s="3">
        <v>113843</v>
      </c>
      <c r="F2963" s="3">
        <v>116882</v>
      </c>
      <c r="G2963" s="57">
        <v>2.6694658433105242E-2</v>
      </c>
      <c r="J2963" s="5" t="s">
        <v>1885</v>
      </c>
    </row>
    <row r="2964" spans="1:10" x14ac:dyDescent="0.2">
      <c r="A2964" s="1" t="s">
        <v>6</v>
      </c>
      <c r="B2964" s="2" t="s">
        <v>65</v>
      </c>
      <c r="C2964" s="1"/>
      <c r="D2964" s="5" t="s">
        <v>1886</v>
      </c>
      <c r="E2964" s="3">
        <v>113843</v>
      </c>
      <c r="F2964" s="3">
        <v>116882</v>
      </c>
      <c r="G2964" s="57">
        <v>2.6694658433105242E-2</v>
      </c>
      <c r="J2964" s="5" t="s">
        <v>1885</v>
      </c>
    </row>
    <row r="2965" spans="1:10" ht="25.5" x14ac:dyDescent="0.2">
      <c r="A2965" s="1" t="s">
        <v>8</v>
      </c>
      <c r="B2965" s="2" t="s">
        <v>100</v>
      </c>
      <c r="C2965" s="1"/>
      <c r="D2965" s="5" t="s">
        <v>2216</v>
      </c>
      <c r="E2965" s="3">
        <v>73535</v>
      </c>
      <c r="F2965" s="3">
        <v>116779</v>
      </c>
      <c r="G2965" s="57">
        <v>0.58807370639831369</v>
      </c>
      <c r="J2965" s="5" t="s">
        <v>3851</v>
      </c>
    </row>
    <row r="2966" spans="1:10" ht="25.5" x14ac:dyDescent="0.2">
      <c r="A2966" s="1" t="s">
        <v>8</v>
      </c>
      <c r="B2966" s="2" t="s">
        <v>198</v>
      </c>
      <c r="D2966" s="5" t="s">
        <v>507</v>
      </c>
      <c r="E2966" s="3">
        <v>103403</v>
      </c>
      <c r="F2966" s="3">
        <v>116762</v>
      </c>
      <c r="G2966" s="57">
        <v>0.12919354370762937</v>
      </c>
      <c r="J2966" s="5" t="s">
        <v>3431</v>
      </c>
    </row>
    <row r="2967" spans="1:10" ht="38.25" x14ac:dyDescent="0.2">
      <c r="A2967" s="1" t="s">
        <v>4</v>
      </c>
      <c r="B2967" s="2" t="s">
        <v>431</v>
      </c>
      <c r="D2967" s="5" t="s">
        <v>455</v>
      </c>
      <c r="E2967" s="3">
        <v>116491</v>
      </c>
      <c r="F2967" s="3">
        <v>116745</v>
      </c>
      <c r="G2967" s="57">
        <v>2.1804259556532264E-3</v>
      </c>
      <c r="J2967" s="5" t="s">
        <v>4576</v>
      </c>
    </row>
    <row r="2968" spans="1:10" ht="25.5" x14ac:dyDescent="0.2">
      <c r="A2968" s="1" t="s">
        <v>20</v>
      </c>
      <c r="B2968" s="2" t="s">
        <v>283</v>
      </c>
      <c r="D2968" s="5" t="s">
        <v>501</v>
      </c>
      <c r="E2968" s="3">
        <v>114168</v>
      </c>
      <c r="F2968" s="3">
        <v>116716</v>
      </c>
      <c r="G2968" s="57">
        <v>2.2317987527152968E-2</v>
      </c>
      <c r="J2968" s="5" t="s">
        <v>2978</v>
      </c>
    </row>
    <row r="2969" spans="1:10" ht="38.25" x14ac:dyDescent="0.2">
      <c r="A2969" s="1" t="s">
        <v>8</v>
      </c>
      <c r="B2969" s="2" t="s">
        <v>222</v>
      </c>
      <c r="D2969" s="5" t="s">
        <v>1271</v>
      </c>
      <c r="E2969" s="3">
        <v>26325</v>
      </c>
      <c r="F2969" s="3">
        <v>116696</v>
      </c>
      <c r="G2969" s="57">
        <v>3.4328964862298195</v>
      </c>
      <c r="J2969" s="5" t="s">
        <v>4361</v>
      </c>
    </row>
    <row r="2970" spans="1:10" x14ac:dyDescent="0.2">
      <c r="A2970" s="1" t="s">
        <v>20</v>
      </c>
      <c r="B2970" s="2" t="s">
        <v>77</v>
      </c>
      <c r="C2970" s="1"/>
      <c r="D2970" s="5" t="s">
        <v>504</v>
      </c>
      <c r="E2970" s="3">
        <v>111775</v>
      </c>
      <c r="F2970" s="3">
        <v>116668</v>
      </c>
      <c r="G2970" s="57">
        <v>4.3775441735629611E-2</v>
      </c>
      <c r="J2970" s="5" t="s">
        <v>1975</v>
      </c>
    </row>
    <row r="2971" spans="1:10" x14ac:dyDescent="0.2">
      <c r="A2971" s="1" t="s">
        <v>20</v>
      </c>
      <c r="B2971" s="2" t="s">
        <v>77</v>
      </c>
      <c r="C2971" s="1"/>
      <c r="D2971" s="5" t="s">
        <v>504</v>
      </c>
      <c r="E2971" s="3">
        <v>118852</v>
      </c>
      <c r="F2971" s="3">
        <v>116645</v>
      </c>
      <c r="G2971" s="57">
        <v>-1.8569313095278161E-2</v>
      </c>
      <c r="J2971" s="5" t="s">
        <v>1974</v>
      </c>
    </row>
    <row r="2972" spans="1:10" ht="25.5" x14ac:dyDescent="0.2">
      <c r="A2972" s="1" t="s">
        <v>44</v>
      </c>
      <c r="B2972" s="2" t="s">
        <v>260</v>
      </c>
      <c r="D2972" s="5" t="s">
        <v>1163</v>
      </c>
      <c r="E2972" s="3">
        <v>43843</v>
      </c>
      <c r="F2972" s="3">
        <v>116639</v>
      </c>
      <c r="G2972" s="57">
        <v>1.6603790798987295</v>
      </c>
      <c r="J2972" s="5" t="s">
        <v>4376</v>
      </c>
    </row>
    <row r="2973" spans="1:10" ht="25.5" x14ac:dyDescent="0.2">
      <c r="A2973" s="1" t="s">
        <v>44</v>
      </c>
      <c r="B2973" s="2" t="s">
        <v>260</v>
      </c>
      <c r="D2973" s="5" t="s">
        <v>1164</v>
      </c>
      <c r="E2973" s="3">
        <v>107173</v>
      </c>
      <c r="F2973" s="3">
        <v>116639</v>
      </c>
      <c r="G2973" s="57">
        <v>8.8324484711634454E-2</v>
      </c>
      <c r="J2973" s="5" t="s">
        <v>4377</v>
      </c>
    </row>
    <row r="2974" spans="1:10" ht="25.5" x14ac:dyDescent="0.2">
      <c r="A2974" s="1" t="s">
        <v>20</v>
      </c>
      <c r="B2974" s="2" t="s">
        <v>173</v>
      </c>
      <c r="D2974" s="5" t="s">
        <v>529</v>
      </c>
      <c r="E2974" s="9">
        <v>114846</v>
      </c>
      <c r="F2974" s="9">
        <v>116516</v>
      </c>
      <c r="G2974" s="57">
        <v>1.4541211709593717E-2</v>
      </c>
      <c r="J2974" s="5" t="s">
        <v>3593</v>
      </c>
    </row>
    <row r="2975" spans="1:10" ht="25.5" x14ac:dyDescent="0.2">
      <c r="A2975" s="1" t="s">
        <v>44</v>
      </c>
      <c r="B2975" s="2" t="s">
        <v>254</v>
      </c>
      <c r="D2975" s="5" t="s">
        <v>1183</v>
      </c>
      <c r="E2975" s="3">
        <v>101322</v>
      </c>
      <c r="F2975" s="3">
        <v>116497</v>
      </c>
      <c r="G2975" s="57">
        <v>0.149770040070271</v>
      </c>
      <c r="J2975" s="5" t="s">
        <v>3111</v>
      </c>
    </row>
    <row r="2976" spans="1:10" ht="25.5" x14ac:dyDescent="0.2">
      <c r="A2976" s="1" t="s">
        <v>44</v>
      </c>
      <c r="B2976" s="2" t="s">
        <v>436</v>
      </c>
      <c r="D2976" s="5" t="s">
        <v>471</v>
      </c>
      <c r="E2976" s="3">
        <v>116068</v>
      </c>
      <c r="F2976" s="3">
        <v>116434</v>
      </c>
      <c r="G2976" s="57">
        <v>3.1533239135679084E-3</v>
      </c>
      <c r="J2976" s="5" t="s">
        <v>2267</v>
      </c>
    </row>
    <row r="2977" spans="1:12" ht="51" x14ac:dyDescent="0.2">
      <c r="A2977" s="13" t="s">
        <v>8</v>
      </c>
      <c r="B2977" s="12" t="s">
        <v>16</v>
      </c>
      <c r="C2977" s="13"/>
      <c r="D2977" s="7" t="s">
        <v>450</v>
      </c>
      <c r="E2977" s="6">
        <v>107322</v>
      </c>
      <c r="F2977" s="6">
        <v>116400</v>
      </c>
      <c r="G2977" s="57">
        <v>8.4586571252865214E-2</v>
      </c>
      <c r="H2977" s="21"/>
      <c r="I2977" s="21"/>
      <c r="J2977" s="7" t="s">
        <v>4086</v>
      </c>
      <c r="K2977" s="13"/>
      <c r="L2977" s="13"/>
    </row>
    <row r="2978" spans="1:12" ht="25.5" x14ac:dyDescent="0.2">
      <c r="A2978" s="1" t="s">
        <v>44</v>
      </c>
      <c r="B2978" s="2" t="s">
        <v>55</v>
      </c>
      <c r="C2978" s="1"/>
      <c r="D2978" s="5" t="s">
        <v>1847</v>
      </c>
      <c r="E2978" s="3">
        <v>112926</v>
      </c>
      <c r="F2978" s="3">
        <v>116386</v>
      </c>
      <c r="G2978" s="57">
        <v>3.0639533854028303E-2</v>
      </c>
      <c r="J2978" s="5" t="s">
        <v>1848</v>
      </c>
    </row>
    <row r="2979" spans="1:12" ht="25.5" x14ac:dyDescent="0.2">
      <c r="A2979" s="1" t="s">
        <v>39</v>
      </c>
      <c r="B2979" s="2" t="s">
        <v>103</v>
      </c>
      <c r="C2979" s="1"/>
      <c r="D2979" s="5" t="s">
        <v>451</v>
      </c>
      <c r="E2979" s="3">
        <v>113106</v>
      </c>
      <c r="F2979" s="3">
        <v>116380</v>
      </c>
      <c r="G2979" s="57">
        <v>2.8946298162785353E-2</v>
      </c>
      <c r="J2979" s="5" t="s">
        <v>4250</v>
      </c>
    </row>
    <row r="2980" spans="1:12" ht="25.5" x14ac:dyDescent="0.2">
      <c r="A2980" s="1" t="s">
        <v>4</v>
      </c>
      <c r="B2980" s="2" t="s">
        <v>412</v>
      </c>
      <c r="D2980" s="5" t="s">
        <v>596</v>
      </c>
      <c r="E2980" s="3">
        <v>113430</v>
      </c>
      <c r="F2980" s="3">
        <v>116299</v>
      </c>
      <c r="G2980" s="57">
        <v>2.5293132328308206E-2</v>
      </c>
      <c r="J2980" s="5" t="s">
        <v>2376</v>
      </c>
    </row>
    <row r="2981" spans="1:12" ht="25.5" x14ac:dyDescent="0.2">
      <c r="A2981" s="1" t="s">
        <v>28</v>
      </c>
      <c r="B2981" s="2" t="s">
        <v>273</v>
      </c>
      <c r="D2981" s="5" t="s">
        <v>1117</v>
      </c>
      <c r="E2981" s="3">
        <v>98927</v>
      </c>
      <c r="F2981" s="3">
        <v>116274</v>
      </c>
      <c r="G2981" s="57">
        <v>0.17535152182922761</v>
      </c>
      <c r="J2981" s="5" t="s">
        <v>3047</v>
      </c>
    </row>
    <row r="2982" spans="1:12" ht="38.25" x14ac:dyDescent="0.2">
      <c r="A2982" s="1" t="s">
        <v>111</v>
      </c>
      <c r="B2982" s="2" t="s">
        <v>305</v>
      </c>
      <c r="D2982" s="5" t="s">
        <v>479</v>
      </c>
      <c r="E2982" s="3">
        <v>114470</v>
      </c>
      <c r="F2982" s="3">
        <v>116267</v>
      </c>
      <c r="G2982" s="57">
        <v>1.5698436271512187E-2</v>
      </c>
      <c r="J2982" s="5" t="s">
        <v>2835</v>
      </c>
    </row>
    <row r="2983" spans="1:12" ht="25.5" x14ac:dyDescent="0.2">
      <c r="A2983" s="1" t="s">
        <v>34</v>
      </c>
      <c r="B2983" s="2" t="s">
        <v>382</v>
      </c>
      <c r="D2983" s="5" t="s">
        <v>507</v>
      </c>
      <c r="E2983" s="6">
        <v>116182</v>
      </c>
      <c r="F2983" s="3">
        <v>116251</v>
      </c>
      <c r="G2983" s="57">
        <v>5.938957842006507E-4</v>
      </c>
      <c r="J2983" s="5" t="s">
        <v>4702</v>
      </c>
    </row>
    <row r="2984" spans="1:12" ht="25.5" x14ac:dyDescent="0.2">
      <c r="A2984" s="1" t="s">
        <v>1</v>
      </c>
      <c r="B2984" s="12" t="s">
        <v>417</v>
      </c>
      <c r="C2984" s="5" t="s">
        <v>581</v>
      </c>
      <c r="D2984" s="5" t="s">
        <v>582</v>
      </c>
      <c r="E2984" s="3">
        <v>113227</v>
      </c>
      <c r="F2984" s="3">
        <v>116174</v>
      </c>
      <c r="G2984" s="57">
        <v>2.6027360965140824E-2</v>
      </c>
      <c r="J2984" s="7" t="s">
        <v>4549</v>
      </c>
    </row>
    <row r="2985" spans="1:12" ht="25.5" x14ac:dyDescent="0.2">
      <c r="A2985" s="1" t="s">
        <v>39</v>
      </c>
      <c r="B2985" s="12" t="s">
        <v>306</v>
      </c>
      <c r="D2985" s="5" t="s">
        <v>455</v>
      </c>
      <c r="E2985" s="3">
        <v>96508</v>
      </c>
      <c r="F2985" s="3">
        <v>116163</v>
      </c>
      <c r="G2985" s="57">
        <v>0.20366187259087329</v>
      </c>
      <c r="J2985" s="5" t="s">
        <v>4195</v>
      </c>
    </row>
    <row r="2986" spans="1:12" ht="25.5" x14ac:dyDescent="0.2">
      <c r="A2986" s="1" t="s">
        <v>20</v>
      </c>
      <c r="B2986" s="2" t="s">
        <v>158</v>
      </c>
      <c r="D2986" s="5" t="s">
        <v>1599</v>
      </c>
      <c r="E2986" s="3">
        <v>93909</v>
      </c>
      <c r="F2986" s="3">
        <v>116142</v>
      </c>
      <c r="G2986" s="57">
        <v>0.23675047120084336</v>
      </c>
      <c r="J2986" s="5" t="s">
        <v>4035</v>
      </c>
    </row>
    <row r="2987" spans="1:12" ht="25.5" x14ac:dyDescent="0.2">
      <c r="A2987" s="1" t="s">
        <v>44</v>
      </c>
      <c r="B2987" s="2" t="s">
        <v>436</v>
      </c>
      <c r="D2987" s="5" t="s">
        <v>471</v>
      </c>
      <c r="E2987" s="3" t="s">
        <v>465</v>
      </c>
      <c r="F2987" s="3">
        <v>116141</v>
      </c>
      <c r="G2987" s="57" t="s">
        <v>465</v>
      </c>
      <c r="J2987" s="5" t="s">
        <v>2268</v>
      </c>
    </row>
    <row r="2988" spans="1:12" ht="25.5" x14ac:dyDescent="0.2">
      <c r="A2988" s="1" t="s">
        <v>4</v>
      </c>
      <c r="B2988" s="2" t="s">
        <v>172</v>
      </c>
      <c r="D2988" s="5" t="s">
        <v>1545</v>
      </c>
      <c r="E2988" s="9">
        <v>106337</v>
      </c>
      <c r="F2988" s="9">
        <v>116119</v>
      </c>
      <c r="G2988" s="57">
        <v>9.199055831930561E-2</v>
      </c>
      <c r="J2988" s="5" t="s">
        <v>1546</v>
      </c>
    </row>
    <row r="2989" spans="1:12" x14ac:dyDescent="0.2">
      <c r="A2989" s="1" t="s">
        <v>34</v>
      </c>
      <c r="B2989" s="2" t="s">
        <v>343</v>
      </c>
      <c r="D2989" s="5" t="s">
        <v>487</v>
      </c>
      <c r="E2989" s="3">
        <v>113368</v>
      </c>
      <c r="F2989" s="3">
        <v>116072</v>
      </c>
      <c r="G2989" s="57">
        <v>2.3851527767976853E-2</v>
      </c>
      <c r="J2989" s="5" t="s">
        <v>2703</v>
      </c>
    </row>
    <row r="2990" spans="1:12" ht="25.5" x14ac:dyDescent="0.2">
      <c r="A2990" s="1" t="s">
        <v>8</v>
      </c>
      <c r="B2990" s="2" t="s">
        <v>287</v>
      </c>
      <c r="D2990" s="5" t="s">
        <v>450</v>
      </c>
      <c r="E2990" s="3">
        <v>118905</v>
      </c>
      <c r="F2990" s="3">
        <v>116029</v>
      </c>
      <c r="G2990" s="57">
        <v>-2.4187376477019469E-2</v>
      </c>
      <c r="J2990" s="5" t="s">
        <v>2956</v>
      </c>
    </row>
    <row r="2991" spans="1:12" ht="25.5" x14ac:dyDescent="0.2">
      <c r="A2991" s="1" t="s">
        <v>8</v>
      </c>
      <c r="B2991" s="2" t="s">
        <v>223</v>
      </c>
      <c r="D2991" s="5" t="s">
        <v>451</v>
      </c>
      <c r="E2991" s="3">
        <v>115000</v>
      </c>
      <c r="F2991" s="3">
        <v>116000</v>
      </c>
      <c r="G2991" s="57">
        <v>8.6956521739130436E-3</v>
      </c>
      <c r="J2991" s="5" t="s">
        <v>3255</v>
      </c>
    </row>
    <row r="2992" spans="1:12" ht="25.5" x14ac:dyDescent="0.2">
      <c r="A2992" s="1" t="s">
        <v>6</v>
      </c>
      <c r="B2992" s="2" t="s">
        <v>288</v>
      </c>
      <c r="D2992" s="5" t="s">
        <v>1042</v>
      </c>
      <c r="E2992" s="3">
        <v>56000</v>
      </c>
      <c r="F2992" s="3">
        <v>116000</v>
      </c>
      <c r="G2992" s="57">
        <v>1.0714285714285714</v>
      </c>
      <c r="J2992" s="5" t="s">
        <v>2953</v>
      </c>
    </row>
    <row r="2993" spans="1:12" ht="25.5" x14ac:dyDescent="0.2">
      <c r="A2993" s="1" t="s">
        <v>4</v>
      </c>
      <c r="B2993" s="2" t="s">
        <v>292</v>
      </c>
      <c r="D2993" s="5" t="s">
        <v>1021</v>
      </c>
      <c r="E2993" s="9">
        <v>115936</v>
      </c>
      <c r="F2993" s="3">
        <v>115936</v>
      </c>
      <c r="G2993" s="57">
        <v>0</v>
      </c>
      <c r="J2993" s="5" t="s">
        <v>2914</v>
      </c>
    </row>
    <row r="2994" spans="1:12" ht="25.5" x14ac:dyDescent="0.2">
      <c r="A2994" s="1" t="s">
        <v>4</v>
      </c>
      <c r="B2994" s="2" t="s">
        <v>292</v>
      </c>
      <c r="D2994" s="5" t="s">
        <v>1022</v>
      </c>
      <c r="E2994" s="9">
        <v>115936</v>
      </c>
      <c r="F2994" s="3">
        <v>115936</v>
      </c>
      <c r="G2994" s="57">
        <v>0</v>
      </c>
      <c r="J2994" s="5" t="s">
        <v>2914</v>
      </c>
    </row>
    <row r="2995" spans="1:12" ht="25.5" x14ac:dyDescent="0.2">
      <c r="A2995" s="1" t="s">
        <v>4</v>
      </c>
      <c r="B2995" s="2" t="s">
        <v>292</v>
      </c>
      <c r="D2995" s="5" t="s">
        <v>1023</v>
      </c>
      <c r="E2995" s="9">
        <v>115936</v>
      </c>
      <c r="F2995" s="3">
        <v>115936</v>
      </c>
      <c r="G2995" s="57">
        <v>0</v>
      </c>
      <c r="J2995" s="5" t="s">
        <v>2914</v>
      </c>
    </row>
    <row r="2996" spans="1:12" ht="25.5" x14ac:dyDescent="0.2">
      <c r="A2996" s="1" t="s">
        <v>4</v>
      </c>
      <c r="B2996" s="2" t="s">
        <v>292</v>
      </c>
      <c r="D2996" s="5" t="s">
        <v>1098</v>
      </c>
      <c r="E2996" s="9">
        <v>115936</v>
      </c>
      <c r="F2996" s="3">
        <v>115936</v>
      </c>
      <c r="G2996" s="57">
        <v>0</v>
      </c>
      <c r="J2996" s="5" t="s">
        <v>2929</v>
      </c>
    </row>
    <row r="2997" spans="1:12" ht="25.5" x14ac:dyDescent="0.2">
      <c r="A2997" s="1" t="s">
        <v>111</v>
      </c>
      <c r="B2997" s="12" t="s">
        <v>166</v>
      </c>
      <c r="C2997" s="7"/>
      <c r="D2997" s="7" t="s">
        <v>1581</v>
      </c>
      <c r="E2997" s="6">
        <v>18699</v>
      </c>
      <c r="F2997" s="6">
        <v>115770</v>
      </c>
      <c r="G2997" s="57">
        <v>5.1912401732712983</v>
      </c>
      <c r="H2997" s="21"/>
      <c r="I2997" s="21"/>
      <c r="J2997" s="7" t="s">
        <v>4335</v>
      </c>
      <c r="K2997" s="13"/>
      <c r="L2997" s="13"/>
    </row>
    <row r="2998" spans="1:12" ht="25.5" x14ac:dyDescent="0.2">
      <c r="A2998" s="1" t="s">
        <v>6</v>
      </c>
      <c r="B2998" s="2" t="s">
        <v>216</v>
      </c>
      <c r="D2998" s="5" t="s">
        <v>1314</v>
      </c>
      <c r="E2998" s="3">
        <v>133240</v>
      </c>
      <c r="F2998" s="3">
        <v>115754</v>
      </c>
      <c r="G2998" s="57">
        <v>-0.13123686580606425</v>
      </c>
      <c r="J2998" s="5" t="s">
        <v>3303</v>
      </c>
    </row>
    <row r="2999" spans="1:12" ht="25.5" x14ac:dyDescent="0.2">
      <c r="A2999" s="1" t="s">
        <v>25</v>
      </c>
      <c r="B2999" s="2" t="s">
        <v>304</v>
      </c>
      <c r="D2999" s="7" t="s">
        <v>969</v>
      </c>
      <c r="E2999" s="3" t="s">
        <v>465</v>
      </c>
      <c r="F2999" s="3">
        <v>115753</v>
      </c>
      <c r="G2999" s="57" t="s">
        <v>465</v>
      </c>
      <c r="J2999" s="5" t="s">
        <v>2844</v>
      </c>
    </row>
    <row r="3000" spans="1:12" ht="25.5" x14ac:dyDescent="0.2">
      <c r="A3000" s="1" t="s">
        <v>6</v>
      </c>
      <c r="B3000" s="2" t="s">
        <v>329</v>
      </c>
      <c r="D3000" s="5" t="s">
        <v>897</v>
      </c>
      <c r="E3000" s="3" t="s">
        <v>465</v>
      </c>
      <c r="F3000" s="3">
        <v>115687</v>
      </c>
      <c r="G3000" s="57" t="s">
        <v>465</v>
      </c>
      <c r="J3000" s="5" t="s">
        <v>2763</v>
      </c>
    </row>
    <row r="3001" spans="1:12" ht="38.25" x14ac:dyDescent="0.2">
      <c r="A3001" s="1" t="s">
        <v>20</v>
      </c>
      <c r="B3001" s="2" t="s">
        <v>109</v>
      </c>
      <c r="C3001" s="1"/>
      <c r="D3001" s="5" t="s">
        <v>2170</v>
      </c>
      <c r="E3001" s="3">
        <v>76464</v>
      </c>
      <c r="F3001" s="3">
        <v>115651</v>
      </c>
      <c r="G3001" s="57">
        <v>0.51248953756015903</v>
      </c>
      <c r="J3001" s="5" t="s">
        <v>3879</v>
      </c>
    </row>
    <row r="3002" spans="1:12" ht="25.5" x14ac:dyDescent="0.2">
      <c r="A3002" s="1" t="s">
        <v>4</v>
      </c>
      <c r="B3002" s="2" t="s">
        <v>412</v>
      </c>
      <c r="D3002" s="5" t="s">
        <v>452</v>
      </c>
      <c r="E3002" s="3">
        <v>115676</v>
      </c>
      <c r="F3002" s="3">
        <v>115608</v>
      </c>
      <c r="G3002" s="57">
        <v>-5.8784881911546044E-4</v>
      </c>
      <c r="J3002" s="5" t="s">
        <v>2375</v>
      </c>
    </row>
    <row r="3003" spans="1:12" ht="38.25" x14ac:dyDescent="0.2">
      <c r="A3003" s="1" t="s">
        <v>25</v>
      </c>
      <c r="B3003" s="12" t="s">
        <v>70</v>
      </c>
      <c r="C3003" s="13"/>
      <c r="D3003" s="7" t="s">
        <v>4217</v>
      </c>
      <c r="E3003" s="21">
        <v>112432</v>
      </c>
      <c r="F3003" s="21">
        <v>115568</v>
      </c>
      <c r="G3003" s="57">
        <v>2.7892414970826812E-2</v>
      </c>
      <c r="H3003" s="21"/>
      <c r="I3003" s="21"/>
      <c r="J3003" s="7" t="s">
        <v>1933</v>
      </c>
      <c r="K3003" s="13"/>
      <c r="L3003" s="13"/>
    </row>
    <row r="3004" spans="1:12" ht="25.5" x14ac:dyDescent="0.2">
      <c r="A3004" s="1" t="s">
        <v>34</v>
      </c>
      <c r="B3004" s="2" t="s">
        <v>265</v>
      </c>
      <c r="C3004" s="5" t="s">
        <v>1143</v>
      </c>
      <c r="D3004" s="5" t="s">
        <v>450</v>
      </c>
      <c r="E3004" s="3">
        <v>100912.1</v>
      </c>
      <c r="F3004" s="3">
        <v>115518.42</v>
      </c>
      <c r="G3004" s="57">
        <v>0.14474299910516172</v>
      </c>
      <c r="J3004" s="5" t="s">
        <v>3066</v>
      </c>
    </row>
    <row r="3005" spans="1:12" ht="25.5" x14ac:dyDescent="0.2">
      <c r="A3005" s="1" t="s">
        <v>28</v>
      </c>
      <c r="B3005" s="2" t="s">
        <v>120</v>
      </c>
      <c r="C3005" s="1"/>
      <c r="D3005" s="5" t="s">
        <v>944</v>
      </c>
      <c r="E3005" s="3">
        <v>166491</v>
      </c>
      <c r="F3005" s="3">
        <v>115512</v>
      </c>
      <c r="G3005" s="57">
        <v>-0.30619673135484798</v>
      </c>
      <c r="J3005" s="5" t="s">
        <v>4284</v>
      </c>
    </row>
    <row r="3006" spans="1:12" ht="25.5" x14ac:dyDescent="0.2">
      <c r="A3006" s="1" t="s">
        <v>39</v>
      </c>
      <c r="B3006" s="2" t="s">
        <v>439</v>
      </c>
      <c r="D3006" s="5" t="s">
        <v>450</v>
      </c>
      <c r="E3006" s="3">
        <v>123863</v>
      </c>
      <c r="F3006" s="3">
        <v>115497</v>
      </c>
      <c r="G3006" s="57">
        <v>-6.7542365355271555E-2</v>
      </c>
      <c r="J3006" s="5" t="s">
        <v>4589</v>
      </c>
    </row>
    <row r="3007" spans="1:12" ht="25.5" x14ac:dyDescent="0.2">
      <c r="A3007" s="1" t="s">
        <v>44</v>
      </c>
      <c r="B3007" s="2" t="s">
        <v>254</v>
      </c>
      <c r="D3007" s="5" t="s">
        <v>942</v>
      </c>
      <c r="E3007" s="3" t="s">
        <v>465</v>
      </c>
      <c r="F3007" s="3">
        <v>115418</v>
      </c>
      <c r="G3007" s="57" t="s">
        <v>465</v>
      </c>
      <c r="J3007" s="5" t="s">
        <v>3110</v>
      </c>
    </row>
    <row r="3008" spans="1:12" ht="25.5" x14ac:dyDescent="0.2">
      <c r="A3008" s="1" t="s">
        <v>8</v>
      </c>
      <c r="B3008" s="2" t="s">
        <v>81</v>
      </c>
      <c r="C3008" s="1"/>
      <c r="D3008" s="5" t="s">
        <v>1994</v>
      </c>
      <c r="E3008" s="3">
        <v>85016</v>
      </c>
      <c r="F3008" s="3">
        <v>115392</v>
      </c>
      <c r="G3008" s="57">
        <v>0.35729744989178508</v>
      </c>
      <c r="J3008" s="5" t="s">
        <v>3816</v>
      </c>
    </row>
    <row r="3009" spans="1:12" x14ac:dyDescent="0.2">
      <c r="A3009" s="13" t="s">
        <v>111</v>
      </c>
      <c r="B3009" s="12" t="s">
        <v>110</v>
      </c>
      <c r="C3009" s="13"/>
      <c r="D3009" s="7" t="s">
        <v>2167</v>
      </c>
      <c r="E3009" s="6">
        <v>110645</v>
      </c>
      <c r="F3009" s="6">
        <v>115382</v>
      </c>
      <c r="G3009" s="57">
        <v>4.2812598852184913E-2</v>
      </c>
      <c r="H3009" s="21"/>
      <c r="I3009" s="21"/>
      <c r="J3009" s="7" t="s">
        <v>3889</v>
      </c>
      <c r="K3009" s="13"/>
      <c r="L3009" s="13"/>
    </row>
    <row r="3010" spans="1:12" ht="25.5" x14ac:dyDescent="0.2">
      <c r="A3010" s="1" t="s">
        <v>1</v>
      </c>
      <c r="B3010" s="2" t="s">
        <v>139</v>
      </c>
      <c r="C3010" s="1" t="s">
        <v>1656</v>
      </c>
      <c r="D3010" s="5" t="s">
        <v>855</v>
      </c>
      <c r="E3010" s="3">
        <v>18494</v>
      </c>
      <c r="F3010" s="3">
        <v>115362</v>
      </c>
      <c r="G3010" s="57">
        <v>5.2378068562777118</v>
      </c>
      <c r="J3010" s="5" t="s">
        <v>4439</v>
      </c>
    </row>
    <row r="3011" spans="1:12" ht="25.5" x14ac:dyDescent="0.2">
      <c r="A3011" s="1" t="s">
        <v>4</v>
      </c>
      <c r="B3011" s="2" t="s">
        <v>112</v>
      </c>
      <c r="C3011" s="1"/>
      <c r="D3011" s="5" t="s">
        <v>504</v>
      </c>
      <c r="E3011" s="3">
        <v>113012</v>
      </c>
      <c r="F3011" s="3">
        <v>115332</v>
      </c>
      <c r="G3011" s="57">
        <v>2.0528793402470533E-2</v>
      </c>
      <c r="J3011" s="5" t="s">
        <v>3892</v>
      </c>
    </row>
    <row r="3012" spans="1:12" ht="25.5" x14ac:dyDescent="0.2">
      <c r="A3012" s="1" t="s">
        <v>44</v>
      </c>
      <c r="B3012" s="2" t="s">
        <v>397</v>
      </c>
      <c r="D3012" s="5" t="s">
        <v>4501</v>
      </c>
      <c r="E3012" s="3">
        <v>115337</v>
      </c>
      <c r="F3012" s="3">
        <v>115309</v>
      </c>
      <c r="G3012" s="57">
        <v>-2.4276684845279486E-4</v>
      </c>
      <c r="J3012" s="5" t="s">
        <v>1627</v>
      </c>
    </row>
    <row r="3013" spans="1:12" ht="25.5" x14ac:dyDescent="0.2">
      <c r="A3013" s="1" t="s">
        <v>44</v>
      </c>
      <c r="B3013" s="2" t="s">
        <v>397</v>
      </c>
      <c r="D3013" s="5" t="s">
        <v>4504</v>
      </c>
      <c r="E3013" s="3">
        <v>115434</v>
      </c>
      <c r="F3013" s="3">
        <v>115309</v>
      </c>
      <c r="G3013" s="57">
        <v>-1.0828698650311001E-3</v>
      </c>
      <c r="J3013" s="5" t="s">
        <v>1627</v>
      </c>
    </row>
    <row r="3014" spans="1:12" ht="25.5" x14ac:dyDescent="0.2">
      <c r="A3014" s="1" t="s">
        <v>44</v>
      </c>
      <c r="B3014" s="2" t="s">
        <v>436</v>
      </c>
      <c r="D3014" s="5" t="s">
        <v>471</v>
      </c>
      <c r="E3014" s="3">
        <v>116102</v>
      </c>
      <c r="F3014" s="3">
        <v>115295</v>
      </c>
      <c r="G3014" s="57">
        <v>-6.9507846548724399E-3</v>
      </c>
      <c r="J3014" s="5" t="s">
        <v>2266</v>
      </c>
    </row>
    <row r="3015" spans="1:12" ht="25.5" x14ac:dyDescent="0.2">
      <c r="A3015" s="1" t="s">
        <v>4</v>
      </c>
      <c r="B3015" s="2" t="s">
        <v>292</v>
      </c>
      <c r="D3015" s="5" t="s">
        <v>2930</v>
      </c>
      <c r="E3015" s="9" t="s">
        <v>465</v>
      </c>
      <c r="F3015" s="3">
        <v>115293</v>
      </c>
      <c r="G3015" s="57" t="s">
        <v>465</v>
      </c>
      <c r="J3015" s="5" t="s">
        <v>4673</v>
      </c>
    </row>
    <row r="3016" spans="1:12" ht="25.5" x14ac:dyDescent="0.2">
      <c r="A3016" s="13" t="s">
        <v>34</v>
      </c>
      <c r="B3016" s="12" t="s">
        <v>33</v>
      </c>
      <c r="C3016" s="13"/>
      <c r="D3016" s="7" t="s">
        <v>1740</v>
      </c>
      <c r="E3016" s="6">
        <v>115204</v>
      </c>
      <c r="F3016" s="6">
        <v>115261</v>
      </c>
      <c r="G3016" s="57">
        <v>4.9477448699697922E-4</v>
      </c>
      <c r="H3016" s="21"/>
      <c r="I3016" s="21"/>
      <c r="J3016" s="7" t="s">
        <v>4136</v>
      </c>
      <c r="K3016" s="13"/>
      <c r="L3016" s="13"/>
    </row>
    <row r="3017" spans="1:12" ht="25.5" x14ac:dyDescent="0.2">
      <c r="A3017" s="1" t="s">
        <v>4</v>
      </c>
      <c r="B3017" s="2" t="s">
        <v>182</v>
      </c>
      <c r="C3017" s="5" t="s">
        <v>1470</v>
      </c>
      <c r="D3017" s="5" t="s">
        <v>1471</v>
      </c>
      <c r="E3017" s="9" t="s">
        <v>465</v>
      </c>
      <c r="F3017" s="9">
        <v>115130</v>
      </c>
      <c r="G3017" s="57" t="s">
        <v>465</v>
      </c>
      <c r="J3017" s="5" t="s">
        <v>3531</v>
      </c>
    </row>
    <row r="3018" spans="1:12" x14ac:dyDescent="0.2">
      <c r="A3018" s="1" t="s">
        <v>11</v>
      </c>
      <c r="B3018" s="12" t="s">
        <v>36</v>
      </c>
      <c r="C3018" s="1"/>
      <c r="D3018" s="5" t="s">
        <v>464</v>
      </c>
      <c r="E3018" s="3" t="s">
        <v>465</v>
      </c>
      <c r="F3018" s="3">
        <v>115000</v>
      </c>
      <c r="G3018" s="57" t="s">
        <v>465</v>
      </c>
    </row>
    <row r="3019" spans="1:12" ht="38.25" x14ac:dyDescent="0.2">
      <c r="A3019" s="1" t="s">
        <v>25</v>
      </c>
      <c r="B3019" s="2" t="s">
        <v>93</v>
      </c>
      <c r="C3019" s="1"/>
      <c r="D3019" s="5" t="s">
        <v>2229</v>
      </c>
      <c r="E3019" s="3">
        <v>101000</v>
      </c>
      <c r="F3019" s="3">
        <v>115000</v>
      </c>
      <c r="G3019" s="57">
        <v>0.13861386138613863</v>
      </c>
      <c r="J3019" s="5" t="s">
        <v>4236</v>
      </c>
    </row>
    <row r="3020" spans="1:12" ht="25.5" x14ac:dyDescent="0.2">
      <c r="A3020" s="1" t="s">
        <v>25</v>
      </c>
      <c r="B3020" s="2" t="s">
        <v>26</v>
      </c>
      <c r="C3020" s="1"/>
      <c r="D3020" s="5" t="s">
        <v>1716</v>
      </c>
      <c r="E3020" s="6" t="s">
        <v>465</v>
      </c>
      <c r="F3020" s="3">
        <v>114912</v>
      </c>
      <c r="G3020" s="57" t="s">
        <v>465</v>
      </c>
      <c r="J3020" s="5" t="s">
        <v>4103</v>
      </c>
    </row>
    <row r="3021" spans="1:12" ht="38.25" x14ac:dyDescent="0.2">
      <c r="A3021" s="1" t="s">
        <v>20</v>
      </c>
      <c r="B3021" s="2" t="s">
        <v>194</v>
      </c>
      <c r="C3021" s="5" t="s">
        <v>1440</v>
      </c>
      <c r="D3021" s="5" t="s">
        <v>3479</v>
      </c>
      <c r="E3021" s="9">
        <v>77507</v>
      </c>
      <c r="F3021" s="9">
        <v>114894</v>
      </c>
      <c r="G3021" s="57">
        <v>0.48236933438270091</v>
      </c>
      <c r="J3021" s="5" t="s">
        <v>4652</v>
      </c>
    </row>
    <row r="3022" spans="1:12" ht="25.5" x14ac:dyDescent="0.2">
      <c r="A3022" s="1" t="s">
        <v>4</v>
      </c>
      <c r="B3022" s="2" t="s">
        <v>112</v>
      </c>
      <c r="C3022" s="1"/>
      <c r="D3022" s="5" t="s">
        <v>2165</v>
      </c>
      <c r="E3022" s="3">
        <v>113484</v>
      </c>
      <c r="F3022" s="3">
        <v>114889</v>
      </c>
      <c r="G3022" s="57">
        <v>1.2380599908357125E-2</v>
      </c>
      <c r="J3022" s="5" t="s">
        <v>4618</v>
      </c>
    </row>
    <row r="3023" spans="1:12" ht="25.5" x14ac:dyDescent="0.2">
      <c r="A3023" s="1" t="s">
        <v>34</v>
      </c>
      <c r="B3023" s="2" t="s">
        <v>244</v>
      </c>
      <c r="D3023" s="5" t="s">
        <v>450</v>
      </c>
      <c r="E3023" s="3">
        <v>113988</v>
      </c>
      <c r="F3023" s="3">
        <v>114833</v>
      </c>
      <c r="G3023" s="57">
        <v>7.4130610239674351E-3</v>
      </c>
      <c r="J3023" s="5" t="s">
        <v>3155</v>
      </c>
    </row>
    <row r="3024" spans="1:12" ht="25.5" x14ac:dyDescent="0.2">
      <c r="A3024" s="1" t="s">
        <v>4</v>
      </c>
      <c r="B3024" s="2" t="s">
        <v>239</v>
      </c>
      <c r="D3024" s="5" t="s">
        <v>1215</v>
      </c>
      <c r="E3024" s="3">
        <v>114453</v>
      </c>
      <c r="F3024" s="3">
        <v>114826</v>
      </c>
      <c r="G3024" s="57">
        <v>3.2589796685102181E-3</v>
      </c>
      <c r="J3024" s="5" t="s">
        <v>3175</v>
      </c>
    </row>
    <row r="3025" spans="1:10" x14ac:dyDescent="0.2">
      <c r="A3025" s="1" t="s">
        <v>4</v>
      </c>
      <c r="B3025" s="2" t="s">
        <v>377</v>
      </c>
      <c r="C3025" s="5" t="s">
        <v>2529</v>
      </c>
      <c r="D3025" s="5" t="s">
        <v>520</v>
      </c>
      <c r="E3025" s="3">
        <v>113662</v>
      </c>
      <c r="F3025" s="3">
        <v>114800</v>
      </c>
      <c r="G3025" s="57">
        <v>1.0012141260931534E-2</v>
      </c>
      <c r="J3025" s="5" t="s">
        <v>2532</v>
      </c>
    </row>
    <row r="3026" spans="1:10" ht="25.5" x14ac:dyDescent="0.2">
      <c r="A3026" s="1" t="s">
        <v>34</v>
      </c>
      <c r="B3026" s="2" t="s">
        <v>297</v>
      </c>
      <c r="D3026" s="5" t="s">
        <v>451</v>
      </c>
      <c r="E3026" s="3">
        <v>66939</v>
      </c>
      <c r="F3026" s="3">
        <v>114713</v>
      </c>
      <c r="G3026" s="57">
        <v>0.71369455773166612</v>
      </c>
      <c r="J3026" s="7" t="s">
        <v>4399</v>
      </c>
    </row>
    <row r="3027" spans="1:10" x14ac:dyDescent="0.2">
      <c r="A3027" s="1" t="s">
        <v>20</v>
      </c>
      <c r="B3027" s="2" t="s">
        <v>283</v>
      </c>
      <c r="D3027" s="5" t="s">
        <v>1056</v>
      </c>
      <c r="E3027" s="3">
        <v>114051</v>
      </c>
      <c r="F3027" s="3">
        <v>114671</v>
      </c>
      <c r="G3027" s="57">
        <v>5.4361645228888826E-3</v>
      </c>
      <c r="J3027" s="5" t="s">
        <v>2975</v>
      </c>
    </row>
    <row r="3028" spans="1:10" ht="25.5" x14ac:dyDescent="0.2">
      <c r="A3028" s="1" t="s">
        <v>8</v>
      </c>
      <c r="B3028" s="2" t="s">
        <v>222</v>
      </c>
      <c r="D3028" s="5" t="s">
        <v>1272</v>
      </c>
      <c r="E3028" s="3">
        <v>105625</v>
      </c>
      <c r="F3028" s="3">
        <v>114655</v>
      </c>
      <c r="G3028" s="57">
        <v>8.5491124260355031E-2</v>
      </c>
      <c r="J3028" s="5" t="s">
        <v>3258</v>
      </c>
    </row>
    <row r="3029" spans="1:10" ht="25.5" x14ac:dyDescent="0.2">
      <c r="A3029" s="1" t="s">
        <v>25</v>
      </c>
      <c r="B3029" s="2" t="s">
        <v>379</v>
      </c>
      <c r="D3029" s="5" t="s">
        <v>726</v>
      </c>
      <c r="E3029" s="3">
        <v>101345</v>
      </c>
      <c r="F3029" s="3">
        <v>114620</v>
      </c>
      <c r="G3029" s="57">
        <v>0.13098820859440524</v>
      </c>
      <c r="J3029" s="5" t="s">
        <v>2524</v>
      </c>
    </row>
    <row r="3030" spans="1:10" x14ac:dyDescent="0.2">
      <c r="A3030" s="1" t="s">
        <v>20</v>
      </c>
      <c r="B3030" s="2" t="s">
        <v>283</v>
      </c>
      <c r="D3030" s="5" t="s">
        <v>455</v>
      </c>
      <c r="E3030" s="3">
        <v>114327</v>
      </c>
      <c r="F3030" s="3">
        <v>114618</v>
      </c>
      <c r="G3030" s="57">
        <v>2.545330499357107E-3</v>
      </c>
      <c r="J3030" s="5" t="s">
        <v>2974</v>
      </c>
    </row>
    <row r="3031" spans="1:10" ht="25.5" x14ac:dyDescent="0.2">
      <c r="A3031" s="1" t="s">
        <v>4</v>
      </c>
      <c r="B3031" s="2" t="s">
        <v>423</v>
      </c>
      <c r="D3031" s="5" t="s">
        <v>568</v>
      </c>
      <c r="E3031" s="6">
        <v>114349</v>
      </c>
      <c r="F3031" s="3">
        <v>114607</v>
      </c>
      <c r="G3031" s="57">
        <v>2.2562506012295692E-3</v>
      </c>
      <c r="J3031" s="5" t="s">
        <v>2347</v>
      </c>
    </row>
    <row r="3032" spans="1:10" ht="51" x14ac:dyDescent="0.2">
      <c r="A3032" s="1" t="s">
        <v>8</v>
      </c>
      <c r="B3032" s="30" t="s">
        <v>3463</v>
      </c>
      <c r="D3032" s="5" t="s">
        <v>4356</v>
      </c>
      <c r="E3032" s="3">
        <v>117269</v>
      </c>
      <c r="F3032" s="3">
        <v>114470</v>
      </c>
      <c r="G3032" s="57">
        <v>-2.3868200462185234E-2</v>
      </c>
      <c r="J3032" s="5" t="s">
        <v>3464</v>
      </c>
    </row>
    <row r="3033" spans="1:10" ht="25.5" x14ac:dyDescent="0.2">
      <c r="A3033" s="1" t="s">
        <v>4</v>
      </c>
      <c r="B3033" s="2" t="s">
        <v>423</v>
      </c>
      <c r="D3033" s="5" t="s">
        <v>561</v>
      </c>
      <c r="E3033" s="6">
        <v>104686</v>
      </c>
      <c r="F3033" s="3">
        <v>114402</v>
      </c>
      <c r="G3033" s="57">
        <v>9.2810882066369907E-2</v>
      </c>
      <c r="J3033" s="5" t="s">
        <v>2341</v>
      </c>
    </row>
    <row r="3034" spans="1:10" ht="25.5" x14ac:dyDescent="0.2">
      <c r="A3034" s="1" t="s">
        <v>39</v>
      </c>
      <c r="B3034" s="2" t="s">
        <v>433</v>
      </c>
      <c r="D3034" s="5" t="s">
        <v>486</v>
      </c>
      <c r="E3034" s="3">
        <v>107002</v>
      </c>
      <c r="F3034" s="3">
        <v>114334</v>
      </c>
      <c r="G3034" s="57">
        <v>6.8522083699370101E-2</v>
      </c>
      <c r="J3034" s="5" t="s">
        <v>2283</v>
      </c>
    </row>
    <row r="3035" spans="1:10" ht="25.5" x14ac:dyDescent="0.2">
      <c r="A3035" s="1" t="s">
        <v>44</v>
      </c>
      <c r="B3035" s="2" t="s">
        <v>114</v>
      </c>
      <c r="C3035" s="1"/>
      <c r="D3035" s="5" t="s">
        <v>2160</v>
      </c>
      <c r="E3035" s="3">
        <v>113382</v>
      </c>
      <c r="F3035" s="3">
        <v>114333</v>
      </c>
      <c r="G3035" s="57">
        <v>8.3875747473143893E-3</v>
      </c>
      <c r="J3035" s="5" t="s">
        <v>4263</v>
      </c>
    </row>
    <row r="3036" spans="1:10" x14ac:dyDescent="0.2">
      <c r="A3036" s="1" t="s">
        <v>34</v>
      </c>
      <c r="B3036" s="2" t="s">
        <v>91</v>
      </c>
      <c r="C3036" s="1"/>
      <c r="D3036" s="5" t="s">
        <v>570</v>
      </c>
      <c r="E3036" s="3">
        <v>68645</v>
      </c>
      <c r="F3036" s="3">
        <v>114324</v>
      </c>
      <c r="G3036" s="57">
        <v>0.66543812367980193</v>
      </c>
      <c r="J3036" s="5" t="s">
        <v>2075</v>
      </c>
    </row>
    <row r="3037" spans="1:10" x14ac:dyDescent="0.2">
      <c r="A3037" s="1" t="s">
        <v>8</v>
      </c>
      <c r="B3037" s="2" t="s">
        <v>116</v>
      </c>
      <c r="C3037" s="1"/>
      <c r="D3037" s="5" t="s">
        <v>2153</v>
      </c>
      <c r="E3037" s="3">
        <v>112591</v>
      </c>
      <c r="F3037" s="3">
        <v>114271</v>
      </c>
      <c r="G3037" s="57">
        <v>1.4921263688927178E-2</v>
      </c>
      <c r="J3037" s="5" t="s">
        <v>3903</v>
      </c>
    </row>
    <row r="3038" spans="1:10" ht="25.5" x14ac:dyDescent="0.2">
      <c r="A3038" s="1" t="s">
        <v>28</v>
      </c>
      <c r="B3038" s="2" t="s">
        <v>326</v>
      </c>
      <c r="D3038" s="5" t="s">
        <v>472</v>
      </c>
      <c r="E3038" s="3">
        <v>113985</v>
      </c>
      <c r="F3038" s="3">
        <v>114102</v>
      </c>
      <c r="G3038" s="57">
        <v>1.0264508487958942E-3</v>
      </c>
      <c r="J3038" s="5" t="s">
        <v>2774</v>
      </c>
    </row>
    <row r="3039" spans="1:10" x14ac:dyDescent="0.2">
      <c r="A3039" s="1" t="s">
        <v>8</v>
      </c>
      <c r="B3039" s="2" t="s">
        <v>116</v>
      </c>
      <c r="C3039" s="1"/>
      <c r="D3039" s="5" t="s">
        <v>2154</v>
      </c>
      <c r="E3039" s="3">
        <v>115200</v>
      </c>
      <c r="F3039" s="3">
        <v>114087</v>
      </c>
      <c r="G3039" s="57">
        <v>-9.6614583333333327E-3</v>
      </c>
      <c r="J3039" s="5" t="s">
        <v>3904</v>
      </c>
    </row>
    <row r="3040" spans="1:10" ht="25.5" x14ac:dyDescent="0.2">
      <c r="A3040" s="1" t="s">
        <v>111</v>
      </c>
      <c r="B3040" s="2" t="s">
        <v>355</v>
      </c>
      <c r="D3040" s="5" t="s">
        <v>836</v>
      </c>
      <c r="E3040" s="3">
        <v>97953</v>
      </c>
      <c r="F3040" s="3">
        <v>114077</v>
      </c>
      <c r="G3040" s="57">
        <v>0.16460955764499299</v>
      </c>
      <c r="J3040" s="5" t="s">
        <v>2662</v>
      </c>
    </row>
    <row r="3041" spans="1:12" ht="25.5" x14ac:dyDescent="0.2">
      <c r="A3041" s="1" t="s">
        <v>28</v>
      </c>
      <c r="B3041" s="2" t="s">
        <v>330</v>
      </c>
      <c r="D3041" s="5" t="s">
        <v>450</v>
      </c>
      <c r="E3041" s="3">
        <v>113164</v>
      </c>
      <c r="F3041" s="3">
        <v>114057</v>
      </c>
      <c r="G3041" s="57">
        <v>7.8912021490933505E-3</v>
      </c>
      <c r="J3041" s="5" t="s">
        <v>2759</v>
      </c>
    </row>
    <row r="3042" spans="1:12" ht="25.5" x14ac:dyDescent="0.2">
      <c r="A3042" s="1" t="s">
        <v>1</v>
      </c>
      <c r="B3042" s="12" t="s">
        <v>248</v>
      </c>
      <c r="C3042" s="7" t="s">
        <v>1194</v>
      </c>
      <c r="D3042" s="7" t="s">
        <v>1195</v>
      </c>
      <c r="E3042" s="6">
        <v>112241</v>
      </c>
      <c r="F3042" s="6">
        <v>114050</v>
      </c>
      <c r="G3042" s="57">
        <v>1.6117105157651839E-2</v>
      </c>
      <c r="H3042" s="21"/>
      <c r="I3042" s="21"/>
      <c r="J3042" s="7" t="s">
        <v>3136</v>
      </c>
      <c r="K3042" s="13"/>
      <c r="L3042" s="13"/>
    </row>
    <row r="3043" spans="1:12" ht="25.5" x14ac:dyDescent="0.2">
      <c r="A3043" s="1" t="s">
        <v>8</v>
      </c>
      <c r="B3043" s="2" t="s">
        <v>211</v>
      </c>
      <c r="D3043" s="5" t="s">
        <v>455</v>
      </c>
      <c r="E3043" s="3" t="s">
        <v>465</v>
      </c>
      <c r="F3043" s="3">
        <v>114000</v>
      </c>
      <c r="G3043" s="57" t="s">
        <v>465</v>
      </c>
      <c r="J3043" s="5" t="s">
        <v>3350</v>
      </c>
    </row>
    <row r="3044" spans="1:12" ht="25.5" x14ac:dyDescent="0.2">
      <c r="A3044" s="1" t="s">
        <v>44</v>
      </c>
      <c r="B3044" s="2" t="s">
        <v>300</v>
      </c>
      <c r="D3044" s="5" t="s">
        <v>984</v>
      </c>
      <c r="E3044" s="3">
        <v>96000</v>
      </c>
      <c r="F3044" s="3">
        <v>114000</v>
      </c>
      <c r="G3044" s="57">
        <v>0.1875</v>
      </c>
      <c r="J3044" s="5" t="s">
        <v>2855</v>
      </c>
    </row>
    <row r="3045" spans="1:12" ht="25.5" x14ac:dyDescent="0.2">
      <c r="A3045" s="1" t="s">
        <v>34</v>
      </c>
      <c r="B3045" s="2" t="s">
        <v>353</v>
      </c>
      <c r="D3045" s="5" t="s">
        <v>839</v>
      </c>
      <c r="E3045" s="3">
        <v>111000</v>
      </c>
      <c r="F3045" s="3">
        <v>114000</v>
      </c>
      <c r="G3045" s="57">
        <v>2.7027027027027029E-2</v>
      </c>
      <c r="J3045" s="5" t="s">
        <v>2669</v>
      </c>
    </row>
    <row r="3046" spans="1:12" ht="25.5" x14ac:dyDescent="0.2">
      <c r="A3046" s="1" t="s">
        <v>25</v>
      </c>
      <c r="B3046" s="2" t="s">
        <v>217</v>
      </c>
      <c r="C3046" s="5" t="s">
        <v>1305</v>
      </c>
      <c r="D3046" s="5" t="s">
        <v>1304</v>
      </c>
      <c r="E3046" s="3" t="s">
        <v>465</v>
      </c>
      <c r="F3046" s="3">
        <v>113930</v>
      </c>
      <c r="G3046" s="57" t="s">
        <v>465</v>
      </c>
      <c r="J3046" s="5" t="s">
        <v>4440</v>
      </c>
    </row>
    <row r="3047" spans="1:12" ht="38.25" x14ac:dyDescent="0.2">
      <c r="A3047" s="1" t="s">
        <v>34</v>
      </c>
      <c r="B3047" s="2" t="s">
        <v>133</v>
      </c>
      <c r="C3047" s="1"/>
      <c r="D3047" s="5" t="s">
        <v>3955</v>
      </c>
      <c r="E3047" s="3">
        <v>66511</v>
      </c>
      <c r="F3047" s="3">
        <v>113787</v>
      </c>
      <c r="G3047" s="57">
        <v>0.71079971733998892</v>
      </c>
      <c r="J3047" s="5" t="s">
        <v>4303</v>
      </c>
    </row>
    <row r="3048" spans="1:12" ht="25.5" x14ac:dyDescent="0.2">
      <c r="A3048" s="1" t="s">
        <v>25</v>
      </c>
      <c r="B3048" s="2" t="s">
        <v>184</v>
      </c>
      <c r="D3048" s="5" t="s">
        <v>520</v>
      </c>
      <c r="E3048" s="9">
        <v>123816</v>
      </c>
      <c r="F3048" s="9">
        <v>113774</v>
      </c>
      <c r="G3048" s="57">
        <v>-8.110421916392066E-2</v>
      </c>
      <c r="J3048" s="5" t="s">
        <v>3527</v>
      </c>
    </row>
    <row r="3049" spans="1:12" ht="25.5" x14ac:dyDescent="0.2">
      <c r="A3049" s="13" t="s">
        <v>4</v>
      </c>
      <c r="B3049" s="2" t="s">
        <v>17</v>
      </c>
      <c r="C3049" s="1"/>
      <c r="D3049" s="5" t="s">
        <v>1691</v>
      </c>
      <c r="E3049" s="3">
        <v>113026.99</v>
      </c>
      <c r="F3049" s="3">
        <v>113773.59</v>
      </c>
      <c r="G3049" s="57">
        <v>6.6055019248056701E-3</v>
      </c>
      <c r="J3049" s="5" t="s">
        <v>3650</v>
      </c>
    </row>
    <row r="3050" spans="1:12" ht="25.5" x14ac:dyDescent="0.2">
      <c r="A3050" s="1" t="s">
        <v>25</v>
      </c>
      <c r="B3050" s="2" t="s">
        <v>174</v>
      </c>
      <c r="C3050" s="5" t="s">
        <v>1541</v>
      </c>
      <c r="D3050" s="5" t="s">
        <v>4643</v>
      </c>
      <c r="E3050" s="9" t="s">
        <v>465</v>
      </c>
      <c r="F3050" s="9">
        <v>113771</v>
      </c>
      <c r="G3050" s="57" t="s">
        <v>465</v>
      </c>
      <c r="J3050" s="5" t="s">
        <v>3591</v>
      </c>
    </row>
    <row r="3051" spans="1:12" ht="25.5" x14ac:dyDescent="0.2">
      <c r="A3051" s="1" t="s">
        <v>1</v>
      </c>
      <c r="B3051" s="12" t="s">
        <v>248</v>
      </c>
      <c r="C3051" s="7" t="s">
        <v>1196</v>
      </c>
      <c r="D3051" s="7" t="s">
        <v>1197</v>
      </c>
      <c r="E3051" s="6">
        <v>110854</v>
      </c>
      <c r="F3051" s="6">
        <v>113736</v>
      </c>
      <c r="G3051" s="57">
        <v>2.5998159741642161E-2</v>
      </c>
      <c r="H3051" s="21"/>
      <c r="I3051" s="21"/>
      <c r="J3051" s="7" t="s">
        <v>3137</v>
      </c>
      <c r="K3051" s="13"/>
      <c r="L3051" s="13"/>
    </row>
    <row r="3052" spans="1:12" ht="38.25" x14ac:dyDescent="0.2">
      <c r="A3052" s="1" t="s">
        <v>4</v>
      </c>
      <c r="B3052" s="2" t="s">
        <v>176</v>
      </c>
      <c r="D3052" s="5" t="s">
        <v>504</v>
      </c>
      <c r="E3052" s="9">
        <v>115406</v>
      </c>
      <c r="F3052" s="9">
        <v>113632</v>
      </c>
      <c r="G3052" s="57">
        <v>-1.5371817756442472E-2</v>
      </c>
      <c r="J3052" s="5" t="s">
        <v>4645</v>
      </c>
    </row>
    <row r="3053" spans="1:12" ht="25.5" x14ac:dyDescent="0.2">
      <c r="A3053" s="1" t="s">
        <v>20</v>
      </c>
      <c r="B3053" s="2" t="s">
        <v>185</v>
      </c>
      <c r="D3053" s="5" t="s">
        <v>504</v>
      </c>
      <c r="E3053" s="9" t="s">
        <v>465</v>
      </c>
      <c r="F3053" s="9">
        <v>113552</v>
      </c>
      <c r="G3053" s="57" t="s">
        <v>465</v>
      </c>
      <c r="J3053" s="5" t="s">
        <v>3522</v>
      </c>
    </row>
    <row r="3054" spans="1:12" ht="25.5" x14ac:dyDescent="0.2">
      <c r="A3054" s="1" t="s">
        <v>20</v>
      </c>
      <c r="B3054" s="2" t="s">
        <v>185</v>
      </c>
      <c r="D3054" s="5" t="s">
        <v>504</v>
      </c>
      <c r="E3054" s="9" t="s">
        <v>465</v>
      </c>
      <c r="F3054" s="9">
        <v>113552</v>
      </c>
      <c r="G3054" s="57" t="s">
        <v>465</v>
      </c>
      <c r="J3054" s="5" t="s">
        <v>3522</v>
      </c>
    </row>
    <row r="3055" spans="1:12" ht="25.5" x14ac:dyDescent="0.2">
      <c r="A3055" s="1" t="s">
        <v>6</v>
      </c>
      <c r="B3055" s="2" t="s">
        <v>324</v>
      </c>
      <c r="D3055" s="5" t="s">
        <v>517</v>
      </c>
      <c r="E3055" s="3">
        <v>87124</v>
      </c>
      <c r="F3055" s="3">
        <v>113536</v>
      </c>
      <c r="G3055" s="57">
        <v>0.30315412515495155</v>
      </c>
      <c r="J3055" s="5" t="s">
        <v>2784</v>
      </c>
    </row>
    <row r="3056" spans="1:12" ht="25.5" x14ac:dyDescent="0.2">
      <c r="A3056" s="1" t="s">
        <v>4</v>
      </c>
      <c r="B3056" s="2" t="s">
        <v>385</v>
      </c>
      <c r="D3056" s="5" t="s">
        <v>524</v>
      </c>
      <c r="E3056" s="3">
        <v>110422</v>
      </c>
      <c r="F3056" s="3">
        <v>113505</v>
      </c>
      <c r="G3056" s="57">
        <v>2.7920160837514262E-2</v>
      </c>
      <c r="J3056" s="5" t="s">
        <v>2493</v>
      </c>
    </row>
    <row r="3057" spans="1:12" ht="25.5" x14ac:dyDescent="0.2">
      <c r="A3057" s="1" t="s">
        <v>4</v>
      </c>
      <c r="B3057" s="2" t="s">
        <v>112</v>
      </c>
      <c r="C3057" s="1"/>
      <c r="D3057" s="5" t="s">
        <v>2164</v>
      </c>
      <c r="E3057" s="3">
        <v>111414</v>
      </c>
      <c r="F3057" s="3">
        <v>113442</v>
      </c>
      <c r="G3057" s="57">
        <v>1.8202380311271475E-2</v>
      </c>
      <c r="J3057" s="5" t="s">
        <v>3893</v>
      </c>
    </row>
    <row r="3058" spans="1:12" x14ac:dyDescent="0.2">
      <c r="A3058" s="13" t="s">
        <v>20</v>
      </c>
      <c r="B3058" s="12" t="s">
        <v>82</v>
      </c>
      <c r="C3058" s="1"/>
      <c r="D3058" s="5" t="s">
        <v>2005</v>
      </c>
      <c r="E3058" s="3">
        <v>102514</v>
      </c>
      <c r="F3058" s="3">
        <v>113399</v>
      </c>
      <c r="G3058" s="57">
        <v>0.10618061923249507</v>
      </c>
      <c r="J3058" s="5" t="s">
        <v>2006</v>
      </c>
    </row>
    <row r="3059" spans="1:12" ht="25.5" x14ac:dyDescent="0.2">
      <c r="A3059" s="1" t="s">
        <v>28</v>
      </c>
      <c r="B3059" s="2" t="s">
        <v>273</v>
      </c>
      <c r="D3059" s="5" t="s">
        <v>1111</v>
      </c>
      <c r="E3059" s="3">
        <v>105611</v>
      </c>
      <c r="F3059" s="3">
        <v>113274</v>
      </c>
      <c r="G3059" s="57">
        <v>7.2558729677779779E-2</v>
      </c>
      <c r="J3059" s="5" t="s">
        <v>3039</v>
      </c>
    </row>
    <row r="3060" spans="1:12" ht="25.5" x14ac:dyDescent="0.2">
      <c r="A3060" s="1" t="s">
        <v>44</v>
      </c>
      <c r="B3060" s="2" t="s">
        <v>251</v>
      </c>
      <c r="D3060" s="5" t="s">
        <v>1185</v>
      </c>
      <c r="E3060" s="6" t="s">
        <v>465</v>
      </c>
      <c r="F3060" s="3">
        <v>113265</v>
      </c>
      <c r="G3060" s="57" t="s">
        <v>465</v>
      </c>
      <c r="J3060" s="5" t="s">
        <v>3115</v>
      </c>
    </row>
    <row r="3061" spans="1:12" ht="25.5" x14ac:dyDescent="0.2">
      <c r="A3061" s="1" t="s">
        <v>111</v>
      </c>
      <c r="B3061" s="2" t="s">
        <v>276</v>
      </c>
      <c r="D3061" s="5" t="s">
        <v>1096</v>
      </c>
      <c r="E3061" s="9" t="s">
        <v>465</v>
      </c>
      <c r="F3061" s="3">
        <v>113261</v>
      </c>
      <c r="G3061" s="57" t="s">
        <v>465</v>
      </c>
      <c r="J3061" s="5" t="s">
        <v>3018</v>
      </c>
    </row>
    <row r="3062" spans="1:12" ht="25.5" x14ac:dyDescent="0.2">
      <c r="A3062" s="1" t="s">
        <v>6</v>
      </c>
      <c r="B3062" s="2" t="s">
        <v>352</v>
      </c>
      <c r="D3062" s="5" t="s">
        <v>2670</v>
      </c>
      <c r="E3062" s="3" t="s">
        <v>465</v>
      </c>
      <c r="F3062" s="3">
        <v>113245</v>
      </c>
      <c r="G3062" s="57" t="s">
        <v>465</v>
      </c>
      <c r="J3062" s="5" t="s">
        <v>2673</v>
      </c>
    </row>
    <row r="3063" spans="1:12" ht="25.5" x14ac:dyDescent="0.2">
      <c r="A3063" s="1" t="s">
        <v>25</v>
      </c>
      <c r="B3063" s="2" t="s">
        <v>225</v>
      </c>
      <c r="D3063" s="5" t="s">
        <v>1262</v>
      </c>
      <c r="E3063" s="3">
        <v>130898</v>
      </c>
      <c r="F3063" s="3">
        <v>113084</v>
      </c>
      <c r="G3063" s="57">
        <v>-0.1360906965729041</v>
      </c>
      <c r="J3063" s="5" t="s">
        <v>3244</v>
      </c>
    </row>
    <row r="3064" spans="1:12" ht="25.5" x14ac:dyDescent="0.2">
      <c r="A3064" s="1" t="s">
        <v>25</v>
      </c>
      <c r="B3064" s="2" t="s">
        <v>26</v>
      </c>
      <c r="C3064" s="1"/>
      <c r="D3064" s="5" t="s">
        <v>1717</v>
      </c>
      <c r="E3064" s="6">
        <v>107698</v>
      </c>
      <c r="F3064" s="3">
        <v>113054</v>
      </c>
      <c r="G3064" s="57">
        <v>4.9731657040984978E-2</v>
      </c>
      <c r="J3064" s="5" t="s">
        <v>3676</v>
      </c>
    </row>
    <row r="3065" spans="1:12" ht="25.5" x14ac:dyDescent="0.2">
      <c r="A3065" s="1" t="s">
        <v>4</v>
      </c>
      <c r="B3065" s="2" t="s">
        <v>307</v>
      </c>
      <c r="D3065" s="5" t="s">
        <v>961</v>
      </c>
      <c r="E3065" s="3" t="s">
        <v>465</v>
      </c>
      <c r="F3065" s="3">
        <v>113000</v>
      </c>
      <c r="G3065" s="57" t="s">
        <v>465</v>
      </c>
      <c r="J3065" s="5" t="s">
        <v>2827</v>
      </c>
    </row>
    <row r="3066" spans="1:12" ht="38.25" x14ac:dyDescent="0.2">
      <c r="A3066" s="1" t="s">
        <v>6</v>
      </c>
      <c r="B3066" s="2" t="s">
        <v>313</v>
      </c>
      <c r="D3066" s="5" t="s">
        <v>934</v>
      </c>
      <c r="E3066" s="6">
        <v>104000</v>
      </c>
      <c r="F3066" s="6">
        <v>113000</v>
      </c>
      <c r="G3066" s="57">
        <v>8.6538461538461536E-2</v>
      </c>
      <c r="H3066" s="21"/>
      <c r="I3066" s="21"/>
      <c r="J3066" s="7" t="s">
        <v>2805</v>
      </c>
    </row>
    <row r="3067" spans="1:12" ht="25.5" x14ac:dyDescent="0.2">
      <c r="A3067" s="1" t="s">
        <v>111</v>
      </c>
      <c r="B3067" s="2" t="s">
        <v>369</v>
      </c>
      <c r="D3067" s="5" t="s">
        <v>770</v>
      </c>
      <c r="E3067" s="3">
        <v>107788</v>
      </c>
      <c r="F3067" s="3">
        <v>112938</v>
      </c>
      <c r="G3067" s="57">
        <v>4.7778973540653878E-2</v>
      </c>
      <c r="J3067" s="5" t="s">
        <v>2567</v>
      </c>
    </row>
    <row r="3068" spans="1:12" x14ac:dyDescent="0.2">
      <c r="A3068" s="1" t="s">
        <v>6</v>
      </c>
      <c r="B3068" s="12" t="s">
        <v>90</v>
      </c>
      <c r="C3068" s="13"/>
      <c r="D3068" s="7" t="s">
        <v>2067</v>
      </c>
      <c r="E3068" s="6" t="s">
        <v>465</v>
      </c>
      <c r="F3068" s="6">
        <v>112931</v>
      </c>
      <c r="G3068" s="57" t="s">
        <v>465</v>
      </c>
      <c r="H3068" s="21"/>
      <c r="I3068" s="21"/>
      <c r="J3068" s="7" t="s">
        <v>2068</v>
      </c>
      <c r="K3068" s="13"/>
      <c r="L3068" s="13"/>
    </row>
    <row r="3069" spans="1:12" x14ac:dyDescent="0.2">
      <c r="A3069" s="1" t="s">
        <v>25</v>
      </c>
      <c r="B3069" s="2" t="s">
        <v>70</v>
      </c>
      <c r="C3069" s="1"/>
      <c r="D3069" s="5" t="s">
        <v>1934</v>
      </c>
      <c r="E3069" s="19">
        <v>110084</v>
      </c>
      <c r="F3069" s="19">
        <v>112854</v>
      </c>
      <c r="G3069" s="57">
        <v>2.5162603103084918E-2</v>
      </c>
      <c r="J3069" s="5" t="s">
        <v>1935</v>
      </c>
    </row>
    <row r="3070" spans="1:12" ht="25.5" x14ac:dyDescent="0.2">
      <c r="A3070" s="1" t="s">
        <v>8</v>
      </c>
      <c r="B3070" s="2" t="s">
        <v>45</v>
      </c>
      <c r="C3070" s="1"/>
      <c r="D3070" s="5" t="s">
        <v>450</v>
      </c>
      <c r="E3070" s="3">
        <v>110869</v>
      </c>
      <c r="F3070" s="3">
        <v>112848</v>
      </c>
      <c r="G3070" s="57">
        <v>1.7849894921032932E-2</v>
      </c>
      <c r="J3070" s="5" t="s">
        <v>1791</v>
      </c>
    </row>
    <row r="3071" spans="1:12" ht="25.5" x14ac:dyDescent="0.2">
      <c r="A3071" s="1" t="s">
        <v>8</v>
      </c>
      <c r="B3071" s="2" t="s">
        <v>256</v>
      </c>
      <c r="D3071" s="5" t="s">
        <v>455</v>
      </c>
      <c r="E3071" s="3">
        <v>113467.79000000001</v>
      </c>
      <c r="F3071" s="3">
        <v>112845.48</v>
      </c>
      <c r="G3071" s="57">
        <v>-5.4844639170288957E-3</v>
      </c>
      <c r="J3071" s="5" t="s">
        <v>3103</v>
      </c>
    </row>
    <row r="3072" spans="1:12" ht="25.5" x14ac:dyDescent="0.2">
      <c r="A3072" s="1" t="s">
        <v>8</v>
      </c>
      <c r="B3072" s="2" t="s">
        <v>256</v>
      </c>
      <c r="D3072" s="5" t="s">
        <v>1181</v>
      </c>
      <c r="E3072" s="3">
        <v>113184.26000000001</v>
      </c>
      <c r="F3072" s="3">
        <v>112754.01999999999</v>
      </c>
      <c r="G3072" s="57">
        <v>-3.801235260097294E-3</v>
      </c>
      <c r="J3072" s="5" t="s">
        <v>3102</v>
      </c>
    </row>
    <row r="3073" spans="1:12" ht="38.25" x14ac:dyDescent="0.2">
      <c r="A3073" s="1" t="s">
        <v>25</v>
      </c>
      <c r="B3073" s="2" t="s">
        <v>107</v>
      </c>
      <c r="C3073" s="1" t="s">
        <v>2194</v>
      </c>
      <c r="D3073" s="5" t="s">
        <v>2195</v>
      </c>
      <c r="E3073" s="3">
        <v>172389</v>
      </c>
      <c r="F3073" s="3">
        <v>112720</v>
      </c>
      <c r="G3073" s="57">
        <v>-0.34612997349018787</v>
      </c>
      <c r="J3073" s="5" t="s">
        <v>4254</v>
      </c>
    </row>
    <row r="3074" spans="1:12" ht="76.5" x14ac:dyDescent="0.2">
      <c r="A3074" s="1" t="s">
        <v>34</v>
      </c>
      <c r="B3074" s="2" t="s">
        <v>101</v>
      </c>
      <c r="C3074" s="1"/>
      <c r="D3074" s="5" t="s">
        <v>451</v>
      </c>
      <c r="E3074" s="3">
        <v>131340</v>
      </c>
      <c r="F3074" s="3">
        <v>112716</v>
      </c>
      <c r="G3074" s="57">
        <v>-0.14179990863407949</v>
      </c>
      <c r="J3074" s="5" t="s">
        <v>4239</v>
      </c>
    </row>
    <row r="3075" spans="1:12" ht="25.5" x14ac:dyDescent="0.2">
      <c r="A3075" s="1" t="s">
        <v>28</v>
      </c>
      <c r="B3075" s="2" t="s">
        <v>279</v>
      </c>
      <c r="D3075" s="5" t="s">
        <v>1085</v>
      </c>
      <c r="E3075" s="3">
        <v>108415</v>
      </c>
      <c r="F3075" s="3">
        <v>112712</v>
      </c>
      <c r="G3075" s="57">
        <v>3.963473689065166E-2</v>
      </c>
      <c r="J3075" s="5" t="s">
        <v>3002</v>
      </c>
    </row>
    <row r="3076" spans="1:12" x14ac:dyDescent="0.2">
      <c r="A3076" s="1" t="s">
        <v>25</v>
      </c>
      <c r="B3076" s="12" t="s">
        <v>259</v>
      </c>
      <c r="C3076" s="7"/>
      <c r="D3076" s="7" t="s">
        <v>3084</v>
      </c>
      <c r="E3076" s="6" t="s">
        <v>465</v>
      </c>
      <c r="F3076" s="6">
        <v>112689</v>
      </c>
      <c r="G3076" s="57" t="s">
        <v>465</v>
      </c>
      <c r="H3076" s="21"/>
      <c r="I3076" s="21"/>
      <c r="J3076" s="7" t="s">
        <v>3085</v>
      </c>
      <c r="K3076" s="13"/>
      <c r="L3076" s="13"/>
    </row>
    <row r="3077" spans="1:12" ht="25.5" x14ac:dyDescent="0.2">
      <c r="A3077" s="1" t="s">
        <v>39</v>
      </c>
      <c r="B3077" s="2" t="s">
        <v>325</v>
      </c>
      <c r="C3077" s="5" t="s">
        <v>910</v>
      </c>
      <c r="D3077" s="5" t="s">
        <v>450</v>
      </c>
      <c r="E3077" s="6">
        <v>176978</v>
      </c>
      <c r="F3077" s="3">
        <v>112595</v>
      </c>
      <c r="G3077" s="57">
        <v>-0.36379097966978946</v>
      </c>
      <c r="J3077" s="5" t="s">
        <v>4419</v>
      </c>
    </row>
    <row r="3078" spans="1:12" ht="25.5" x14ac:dyDescent="0.2">
      <c r="A3078" s="1" t="s">
        <v>20</v>
      </c>
      <c r="B3078" s="2" t="s">
        <v>35</v>
      </c>
      <c r="C3078" s="1"/>
      <c r="D3078" s="5" t="s">
        <v>1754</v>
      </c>
      <c r="E3078" s="3">
        <v>90719</v>
      </c>
      <c r="F3078" s="3">
        <v>112522</v>
      </c>
      <c r="G3078" s="57">
        <v>0.24033554161752224</v>
      </c>
      <c r="J3078" s="5" t="s">
        <v>4139</v>
      </c>
    </row>
    <row r="3079" spans="1:12" x14ac:dyDescent="0.2">
      <c r="A3079" s="1" t="s">
        <v>1</v>
      </c>
      <c r="B3079" s="2" t="s">
        <v>13</v>
      </c>
      <c r="C3079" s="1"/>
      <c r="D3079" s="5" t="s">
        <v>464</v>
      </c>
      <c r="E3079" s="3" t="s">
        <v>465</v>
      </c>
      <c r="F3079" s="3">
        <v>112500</v>
      </c>
      <c r="G3079" s="57" t="s">
        <v>465</v>
      </c>
    </row>
    <row r="3080" spans="1:12" x14ac:dyDescent="0.2">
      <c r="A3080" s="1" t="s">
        <v>25</v>
      </c>
      <c r="B3080" s="12" t="s">
        <v>24</v>
      </c>
      <c r="C3080" s="13"/>
      <c r="D3080" s="7" t="s">
        <v>464</v>
      </c>
      <c r="E3080" s="6" t="s">
        <v>465</v>
      </c>
      <c r="F3080" s="6">
        <v>112500</v>
      </c>
      <c r="G3080" s="57" t="s">
        <v>465</v>
      </c>
      <c r="H3080" s="21"/>
      <c r="I3080" s="21"/>
      <c r="J3080" s="7"/>
      <c r="K3080" s="13"/>
      <c r="L3080" s="13"/>
    </row>
    <row r="3081" spans="1:12" x14ac:dyDescent="0.2">
      <c r="A3081" s="1" t="s">
        <v>25</v>
      </c>
      <c r="B3081" s="2" t="s">
        <v>26</v>
      </c>
      <c r="C3081" s="1"/>
      <c r="D3081" s="5" t="s">
        <v>464</v>
      </c>
      <c r="E3081" s="58" t="s">
        <v>465</v>
      </c>
      <c r="F3081" s="3">
        <v>112500</v>
      </c>
      <c r="G3081" s="57" t="s">
        <v>465</v>
      </c>
      <c r="J3081" s="1"/>
    </row>
    <row r="3082" spans="1:12" x14ac:dyDescent="0.2">
      <c r="A3082" s="1" t="s">
        <v>39</v>
      </c>
      <c r="B3082" s="2" t="s">
        <v>38</v>
      </c>
      <c r="C3082" s="1"/>
      <c r="D3082" s="5" t="s">
        <v>464</v>
      </c>
      <c r="E3082" s="3" t="s">
        <v>465</v>
      </c>
      <c r="F3082" s="3">
        <v>112500</v>
      </c>
      <c r="G3082" s="57" t="s">
        <v>465</v>
      </c>
    </row>
    <row r="3083" spans="1:12" x14ac:dyDescent="0.2">
      <c r="A3083" s="1" t="s">
        <v>39</v>
      </c>
      <c r="B3083" s="2" t="s">
        <v>38</v>
      </c>
      <c r="C3083" s="1"/>
      <c r="D3083" s="5" t="s">
        <v>464</v>
      </c>
      <c r="E3083" s="3" t="s">
        <v>465</v>
      </c>
      <c r="F3083" s="3">
        <v>112500</v>
      </c>
      <c r="G3083" s="57" t="s">
        <v>465</v>
      </c>
    </row>
    <row r="3084" spans="1:12" x14ac:dyDescent="0.2">
      <c r="A3084" s="1" t="s">
        <v>6</v>
      </c>
      <c r="B3084" s="2" t="s">
        <v>41</v>
      </c>
      <c r="C3084" s="1"/>
      <c r="D3084" s="5" t="s">
        <v>464</v>
      </c>
      <c r="E3084" s="3" t="s">
        <v>465</v>
      </c>
      <c r="F3084" s="3">
        <v>112500</v>
      </c>
      <c r="G3084" s="57" t="s">
        <v>465</v>
      </c>
      <c r="J3084" s="5" t="s">
        <v>3718</v>
      </c>
    </row>
    <row r="3085" spans="1:12" x14ac:dyDescent="0.2">
      <c r="A3085" s="1" t="s">
        <v>6</v>
      </c>
      <c r="B3085" s="2" t="s">
        <v>46</v>
      </c>
      <c r="C3085" s="1"/>
      <c r="D3085" s="5" t="s">
        <v>464</v>
      </c>
      <c r="E3085" s="3" t="s">
        <v>465</v>
      </c>
      <c r="F3085" s="3">
        <v>112500</v>
      </c>
      <c r="G3085" s="57" t="s">
        <v>465</v>
      </c>
    </row>
    <row r="3086" spans="1:12" x14ac:dyDescent="0.2">
      <c r="A3086" s="1" t="s">
        <v>6</v>
      </c>
      <c r="B3086" s="2" t="s">
        <v>46</v>
      </c>
      <c r="C3086" s="1"/>
      <c r="D3086" s="5" t="s">
        <v>464</v>
      </c>
      <c r="E3086" s="3" t="s">
        <v>465</v>
      </c>
      <c r="F3086" s="3">
        <v>112500</v>
      </c>
      <c r="G3086" s="57" t="s">
        <v>465</v>
      </c>
    </row>
    <row r="3087" spans="1:12" x14ac:dyDescent="0.2">
      <c r="A3087" s="1" t="s">
        <v>25</v>
      </c>
      <c r="B3087" s="2" t="s">
        <v>53</v>
      </c>
      <c r="C3087" s="1"/>
      <c r="D3087" s="5" t="s">
        <v>464</v>
      </c>
      <c r="E3087" s="3" t="s">
        <v>465</v>
      </c>
      <c r="F3087" s="3">
        <v>112500</v>
      </c>
      <c r="G3087" s="57" t="s">
        <v>465</v>
      </c>
    </row>
    <row r="3088" spans="1:12" x14ac:dyDescent="0.2">
      <c r="A3088" s="1" t="s">
        <v>25</v>
      </c>
      <c r="B3088" s="2" t="s">
        <v>53</v>
      </c>
      <c r="C3088" s="1"/>
      <c r="D3088" s="5" t="s">
        <v>464</v>
      </c>
      <c r="E3088" s="3" t="s">
        <v>465</v>
      </c>
      <c r="F3088" s="3">
        <v>112500</v>
      </c>
      <c r="G3088" s="57" t="s">
        <v>465</v>
      </c>
    </row>
    <row r="3089" spans="1:10" x14ac:dyDescent="0.2">
      <c r="A3089" s="1" t="s">
        <v>4</v>
      </c>
      <c r="B3089" s="2" t="s">
        <v>56</v>
      </c>
      <c r="C3089" s="1"/>
      <c r="D3089" s="5" t="s">
        <v>464</v>
      </c>
      <c r="E3089" s="3" t="s">
        <v>465</v>
      </c>
      <c r="F3089" s="3">
        <v>112500</v>
      </c>
      <c r="G3089" s="57" t="s">
        <v>465</v>
      </c>
    </row>
    <row r="3090" spans="1:10" x14ac:dyDescent="0.2">
      <c r="A3090" s="1" t="s">
        <v>6</v>
      </c>
      <c r="B3090" s="2" t="s">
        <v>65</v>
      </c>
      <c r="C3090" s="1"/>
      <c r="D3090" s="5" t="s">
        <v>464</v>
      </c>
      <c r="E3090" s="3" t="s">
        <v>465</v>
      </c>
      <c r="F3090" s="3">
        <v>112500</v>
      </c>
      <c r="G3090" s="57" t="s">
        <v>465</v>
      </c>
    </row>
    <row r="3091" spans="1:10" x14ac:dyDescent="0.2">
      <c r="A3091" s="1" t="s">
        <v>28</v>
      </c>
      <c r="B3091" s="2" t="s">
        <v>67</v>
      </c>
      <c r="C3091" s="1"/>
      <c r="D3091" s="5" t="s">
        <v>464</v>
      </c>
      <c r="E3091" s="3" t="s">
        <v>465</v>
      </c>
      <c r="F3091" s="3">
        <v>112500</v>
      </c>
      <c r="G3091" s="57" t="s">
        <v>465</v>
      </c>
    </row>
    <row r="3092" spans="1:10" x14ac:dyDescent="0.2">
      <c r="A3092" s="1" t="s">
        <v>20</v>
      </c>
      <c r="B3092" s="2" t="s">
        <v>77</v>
      </c>
      <c r="C3092" s="1"/>
      <c r="D3092" s="5" t="s">
        <v>464</v>
      </c>
      <c r="E3092" s="3" t="s">
        <v>465</v>
      </c>
      <c r="F3092" s="3">
        <v>112500</v>
      </c>
      <c r="G3092" s="57" t="s">
        <v>465</v>
      </c>
      <c r="J3092" s="5" t="s">
        <v>539</v>
      </c>
    </row>
    <row r="3093" spans="1:10" x14ac:dyDescent="0.2">
      <c r="A3093" s="1" t="s">
        <v>44</v>
      </c>
      <c r="B3093" s="2" t="s">
        <v>80</v>
      </c>
      <c r="C3093" s="1"/>
      <c r="D3093" s="5" t="s">
        <v>464</v>
      </c>
      <c r="E3093" s="3" t="s">
        <v>465</v>
      </c>
      <c r="F3093" s="3">
        <v>112500</v>
      </c>
      <c r="G3093" s="57" t="s">
        <v>465</v>
      </c>
    </row>
    <row r="3094" spans="1:10" x14ac:dyDescent="0.2">
      <c r="A3094" s="13" t="s">
        <v>1</v>
      </c>
      <c r="B3094" s="12" t="s">
        <v>92</v>
      </c>
      <c r="C3094" s="1"/>
      <c r="D3094" s="5" t="s">
        <v>464</v>
      </c>
      <c r="E3094" s="3" t="s">
        <v>465</v>
      </c>
      <c r="F3094" s="3">
        <v>112500</v>
      </c>
      <c r="G3094" s="57" t="s">
        <v>465</v>
      </c>
      <c r="J3094" s="16"/>
    </row>
    <row r="3095" spans="1:10" x14ac:dyDescent="0.2">
      <c r="A3095" s="13" t="s">
        <v>1</v>
      </c>
      <c r="B3095" s="12" t="s">
        <v>92</v>
      </c>
      <c r="C3095" s="1"/>
      <c r="D3095" s="5" t="s">
        <v>464</v>
      </c>
      <c r="E3095" s="3" t="s">
        <v>465</v>
      </c>
      <c r="F3095" s="3">
        <v>112500</v>
      </c>
      <c r="G3095" s="57" t="s">
        <v>465</v>
      </c>
      <c r="J3095" s="16"/>
    </row>
    <row r="3096" spans="1:10" x14ac:dyDescent="0.2">
      <c r="A3096" s="1" t="s">
        <v>39</v>
      </c>
      <c r="B3096" s="2" t="s">
        <v>103</v>
      </c>
      <c r="C3096" s="1"/>
      <c r="D3096" s="5" t="s">
        <v>464</v>
      </c>
      <c r="E3096" s="3" t="s">
        <v>465</v>
      </c>
      <c r="F3096" s="3">
        <v>112500</v>
      </c>
      <c r="G3096" s="57" t="s">
        <v>465</v>
      </c>
    </row>
    <row r="3097" spans="1:10" x14ac:dyDescent="0.2">
      <c r="A3097" s="1" t="s">
        <v>39</v>
      </c>
      <c r="B3097" s="2" t="s">
        <v>103</v>
      </c>
      <c r="C3097" s="1"/>
      <c r="D3097" s="5" t="s">
        <v>464</v>
      </c>
      <c r="E3097" s="3" t="s">
        <v>465</v>
      </c>
      <c r="F3097" s="3">
        <v>112500</v>
      </c>
      <c r="G3097" s="57" t="s">
        <v>465</v>
      </c>
    </row>
    <row r="3098" spans="1:10" x14ac:dyDescent="0.2">
      <c r="A3098" s="1" t="s">
        <v>25</v>
      </c>
      <c r="B3098" s="2" t="s">
        <v>107</v>
      </c>
      <c r="C3098" s="1"/>
      <c r="D3098" s="5" t="s">
        <v>464</v>
      </c>
      <c r="E3098" s="3" t="s">
        <v>465</v>
      </c>
      <c r="F3098" s="3">
        <v>112500</v>
      </c>
      <c r="G3098" s="57" t="s">
        <v>465</v>
      </c>
      <c r="J3098" s="1"/>
    </row>
    <row r="3099" spans="1:10" x14ac:dyDescent="0.2">
      <c r="A3099" s="1" t="s">
        <v>25</v>
      </c>
      <c r="B3099" s="2" t="s">
        <v>107</v>
      </c>
      <c r="C3099" s="1"/>
      <c r="D3099" s="5" t="s">
        <v>464</v>
      </c>
      <c r="E3099" s="3" t="s">
        <v>465</v>
      </c>
      <c r="F3099" s="3">
        <v>112500</v>
      </c>
      <c r="G3099" s="57" t="s">
        <v>465</v>
      </c>
    </row>
    <row r="3100" spans="1:10" x14ac:dyDescent="0.2">
      <c r="A3100" s="1" t="s">
        <v>8</v>
      </c>
      <c r="B3100" s="2" t="s">
        <v>115</v>
      </c>
      <c r="C3100" s="1"/>
      <c r="D3100" s="5" t="s">
        <v>464</v>
      </c>
      <c r="E3100" s="3" t="s">
        <v>465</v>
      </c>
      <c r="F3100" s="3">
        <v>112500</v>
      </c>
      <c r="G3100" s="57" t="s">
        <v>465</v>
      </c>
      <c r="J3100" s="1"/>
    </row>
    <row r="3101" spans="1:10" x14ac:dyDescent="0.2">
      <c r="A3101" s="1" t="s">
        <v>8</v>
      </c>
      <c r="B3101" s="2" t="s">
        <v>115</v>
      </c>
      <c r="C3101" s="1"/>
      <c r="D3101" s="5" t="s">
        <v>464</v>
      </c>
      <c r="E3101" s="3" t="s">
        <v>465</v>
      </c>
      <c r="F3101" s="3">
        <v>112500</v>
      </c>
      <c r="G3101" s="57" t="s">
        <v>465</v>
      </c>
      <c r="J3101" s="1"/>
    </row>
    <row r="3102" spans="1:10" x14ac:dyDescent="0.2">
      <c r="A3102" s="1" t="s">
        <v>34</v>
      </c>
      <c r="B3102" s="2" t="s">
        <v>119</v>
      </c>
      <c r="C3102" s="1"/>
      <c r="D3102" s="5" t="s">
        <v>464</v>
      </c>
      <c r="E3102" s="3" t="s">
        <v>465</v>
      </c>
      <c r="F3102" s="3">
        <v>112500</v>
      </c>
      <c r="G3102" s="57" t="s">
        <v>465</v>
      </c>
    </row>
    <row r="3103" spans="1:10" x14ac:dyDescent="0.2">
      <c r="A3103" s="1" t="s">
        <v>34</v>
      </c>
      <c r="B3103" s="2" t="s">
        <v>119</v>
      </c>
      <c r="C3103" s="1"/>
      <c r="D3103" s="5" t="s">
        <v>464</v>
      </c>
      <c r="E3103" s="3" t="s">
        <v>465</v>
      </c>
      <c r="F3103" s="3">
        <v>112500</v>
      </c>
      <c r="G3103" s="57" t="s">
        <v>465</v>
      </c>
    </row>
    <row r="3104" spans="1:10" x14ac:dyDescent="0.2">
      <c r="A3104" s="1" t="s">
        <v>28</v>
      </c>
      <c r="B3104" s="2" t="s">
        <v>120</v>
      </c>
      <c r="C3104" s="1"/>
      <c r="D3104" s="5" t="s">
        <v>464</v>
      </c>
      <c r="E3104" s="3" t="s">
        <v>465</v>
      </c>
      <c r="F3104" s="3">
        <v>112500</v>
      </c>
      <c r="G3104" s="57" t="s">
        <v>465</v>
      </c>
    </row>
    <row r="3105" spans="1:10" x14ac:dyDescent="0.2">
      <c r="A3105" s="1" t="s">
        <v>28</v>
      </c>
      <c r="B3105" s="2" t="s">
        <v>120</v>
      </c>
      <c r="C3105" s="1"/>
      <c r="D3105" s="5" t="s">
        <v>464</v>
      </c>
      <c r="E3105" s="3" t="s">
        <v>465</v>
      </c>
      <c r="F3105" s="3">
        <v>112500</v>
      </c>
      <c r="G3105" s="57" t="s">
        <v>465</v>
      </c>
    </row>
    <row r="3106" spans="1:10" x14ac:dyDescent="0.2">
      <c r="A3106" s="1" t="s">
        <v>1</v>
      </c>
      <c r="B3106" s="2" t="s">
        <v>126</v>
      </c>
      <c r="C3106" s="1"/>
      <c r="D3106" s="5" t="s">
        <v>464</v>
      </c>
      <c r="E3106" s="3" t="s">
        <v>465</v>
      </c>
      <c r="F3106" s="3">
        <v>112500</v>
      </c>
      <c r="G3106" s="57" t="s">
        <v>465</v>
      </c>
    </row>
    <row r="3107" spans="1:10" x14ac:dyDescent="0.2">
      <c r="A3107" s="1" t="s">
        <v>111</v>
      </c>
      <c r="B3107" s="2" t="s">
        <v>128</v>
      </c>
      <c r="C3107" s="1"/>
      <c r="D3107" s="5" t="s">
        <v>464</v>
      </c>
      <c r="E3107" s="3" t="s">
        <v>465</v>
      </c>
      <c r="F3107" s="3">
        <v>112500</v>
      </c>
      <c r="G3107" s="57" t="s">
        <v>465</v>
      </c>
      <c r="J3107" s="1"/>
    </row>
    <row r="3108" spans="1:10" x14ac:dyDescent="0.2">
      <c r="A3108" s="1" t="s">
        <v>111</v>
      </c>
      <c r="B3108" s="2" t="s">
        <v>128</v>
      </c>
      <c r="C3108" s="1"/>
      <c r="D3108" s="5" t="s">
        <v>464</v>
      </c>
      <c r="E3108" s="3" t="s">
        <v>465</v>
      </c>
      <c r="F3108" s="3">
        <v>112500</v>
      </c>
      <c r="G3108" s="57" t="s">
        <v>465</v>
      </c>
      <c r="J3108" s="1"/>
    </row>
    <row r="3109" spans="1:10" x14ac:dyDescent="0.2">
      <c r="A3109" s="1" t="s">
        <v>111</v>
      </c>
      <c r="B3109" s="2" t="s">
        <v>128</v>
      </c>
      <c r="C3109" s="1"/>
      <c r="D3109" s="5" t="s">
        <v>464</v>
      </c>
      <c r="E3109" s="3" t="s">
        <v>465</v>
      </c>
      <c r="F3109" s="3">
        <v>112500</v>
      </c>
      <c r="G3109" s="57" t="s">
        <v>465</v>
      </c>
      <c r="J3109" s="1"/>
    </row>
    <row r="3110" spans="1:10" x14ac:dyDescent="0.2">
      <c r="A3110" s="1" t="s">
        <v>111</v>
      </c>
      <c r="B3110" s="2" t="s">
        <v>128</v>
      </c>
      <c r="C3110" s="1"/>
      <c r="D3110" s="5" t="s">
        <v>464</v>
      </c>
      <c r="E3110" s="3" t="s">
        <v>465</v>
      </c>
      <c r="F3110" s="3">
        <v>112500</v>
      </c>
      <c r="G3110" s="57" t="s">
        <v>465</v>
      </c>
      <c r="J3110" s="1"/>
    </row>
    <row r="3111" spans="1:10" x14ac:dyDescent="0.2">
      <c r="A3111" s="1" t="s">
        <v>111</v>
      </c>
      <c r="B3111" s="2" t="s">
        <v>128</v>
      </c>
      <c r="C3111" s="1"/>
      <c r="D3111" s="5" t="s">
        <v>464</v>
      </c>
      <c r="E3111" s="3" t="s">
        <v>465</v>
      </c>
      <c r="F3111" s="3">
        <v>112500</v>
      </c>
      <c r="G3111" s="57" t="s">
        <v>465</v>
      </c>
      <c r="J3111" s="1"/>
    </row>
    <row r="3112" spans="1:10" x14ac:dyDescent="0.2">
      <c r="A3112" s="1" t="s">
        <v>111</v>
      </c>
      <c r="B3112" s="2" t="s">
        <v>128</v>
      </c>
      <c r="C3112" s="1"/>
      <c r="D3112" s="5" t="s">
        <v>464</v>
      </c>
      <c r="E3112" s="3" t="s">
        <v>465</v>
      </c>
      <c r="F3112" s="3">
        <v>112500</v>
      </c>
      <c r="G3112" s="57" t="s">
        <v>465</v>
      </c>
      <c r="J3112" s="1"/>
    </row>
    <row r="3113" spans="1:10" x14ac:dyDescent="0.2">
      <c r="A3113" s="1" t="s">
        <v>111</v>
      </c>
      <c r="B3113" s="2" t="s">
        <v>128</v>
      </c>
      <c r="C3113" s="1"/>
      <c r="D3113" s="5" t="s">
        <v>464</v>
      </c>
      <c r="E3113" s="3" t="s">
        <v>465</v>
      </c>
      <c r="F3113" s="3">
        <v>112500</v>
      </c>
      <c r="G3113" s="57" t="s">
        <v>465</v>
      </c>
      <c r="J3113" s="1"/>
    </row>
    <row r="3114" spans="1:10" x14ac:dyDescent="0.2">
      <c r="A3114" s="1" t="s">
        <v>25</v>
      </c>
      <c r="B3114" s="2" t="s">
        <v>129</v>
      </c>
      <c r="C3114" s="1"/>
      <c r="D3114" s="5" t="s">
        <v>464</v>
      </c>
      <c r="E3114" s="3" t="s">
        <v>465</v>
      </c>
      <c r="F3114" s="3">
        <v>112500</v>
      </c>
      <c r="G3114" s="57" t="s">
        <v>465</v>
      </c>
      <c r="J3114" s="1"/>
    </row>
    <row r="3115" spans="1:10" x14ac:dyDescent="0.2">
      <c r="A3115" s="1" t="s">
        <v>25</v>
      </c>
      <c r="B3115" s="2" t="s">
        <v>129</v>
      </c>
      <c r="C3115" s="1"/>
      <c r="D3115" s="5" t="s">
        <v>464</v>
      </c>
      <c r="E3115" s="3" t="s">
        <v>465</v>
      </c>
      <c r="F3115" s="3">
        <v>112500</v>
      </c>
      <c r="G3115" s="57" t="s">
        <v>465</v>
      </c>
    </row>
    <row r="3116" spans="1:10" x14ac:dyDescent="0.2">
      <c r="A3116" s="1" t="s">
        <v>25</v>
      </c>
      <c r="B3116" s="2" t="s">
        <v>129</v>
      </c>
      <c r="C3116" s="1"/>
      <c r="D3116" s="5" t="s">
        <v>464</v>
      </c>
      <c r="E3116" s="3" t="s">
        <v>465</v>
      </c>
      <c r="F3116" s="3">
        <v>112500</v>
      </c>
      <c r="G3116" s="57" t="s">
        <v>465</v>
      </c>
    </row>
    <row r="3117" spans="1:10" x14ac:dyDescent="0.2">
      <c r="A3117" s="1" t="s">
        <v>4</v>
      </c>
      <c r="B3117" s="2" t="s">
        <v>144</v>
      </c>
      <c r="C3117" s="1"/>
      <c r="D3117" s="5" t="s">
        <v>464</v>
      </c>
      <c r="E3117" s="3" t="s">
        <v>465</v>
      </c>
      <c r="F3117" s="3">
        <v>112500</v>
      </c>
      <c r="G3117" s="57" t="s">
        <v>465</v>
      </c>
    </row>
    <row r="3118" spans="1:10" x14ac:dyDescent="0.2">
      <c r="A3118" s="1" t="s">
        <v>25</v>
      </c>
      <c r="B3118" s="2" t="s">
        <v>150</v>
      </c>
      <c r="C3118" s="1"/>
      <c r="D3118" s="5" t="s">
        <v>464</v>
      </c>
      <c r="E3118" s="3" t="s">
        <v>465</v>
      </c>
      <c r="F3118" s="3">
        <v>112500</v>
      </c>
      <c r="G3118" s="57" t="s">
        <v>465</v>
      </c>
      <c r="J3118" s="5" t="s">
        <v>539</v>
      </c>
    </row>
    <row r="3119" spans="1:10" x14ac:dyDescent="0.2">
      <c r="A3119" s="1" t="s">
        <v>20</v>
      </c>
      <c r="B3119" s="2" t="s">
        <v>154</v>
      </c>
      <c r="C3119" s="1"/>
      <c r="D3119" s="5" t="s">
        <v>464</v>
      </c>
      <c r="E3119" s="3" t="s">
        <v>465</v>
      </c>
      <c r="F3119" s="3">
        <v>112500</v>
      </c>
      <c r="G3119" s="57" t="s">
        <v>465</v>
      </c>
      <c r="J3119" s="1"/>
    </row>
    <row r="3120" spans="1:10" x14ac:dyDescent="0.2">
      <c r="A3120" s="1" t="s">
        <v>20</v>
      </c>
      <c r="B3120" s="2" t="s">
        <v>154</v>
      </c>
      <c r="C3120" s="1"/>
      <c r="D3120" s="5" t="s">
        <v>464</v>
      </c>
      <c r="E3120" s="3" t="s">
        <v>465</v>
      </c>
      <c r="F3120" s="3">
        <v>112500</v>
      </c>
      <c r="G3120" s="57" t="s">
        <v>465</v>
      </c>
      <c r="J3120" s="1"/>
    </row>
    <row r="3121" spans="1:10" x14ac:dyDescent="0.2">
      <c r="A3121" s="1" t="s">
        <v>20</v>
      </c>
      <c r="B3121" s="2" t="s">
        <v>154</v>
      </c>
      <c r="C3121" s="1"/>
      <c r="D3121" s="5" t="s">
        <v>464</v>
      </c>
      <c r="E3121" s="3" t="s">
        <v>465</v>
      </c>
      <c r="F3121" s="3">
        <v>112500</v>
      </c>
      <c r="G3121" s="57" t="s">
        <v>465</v>
      </c>
      <c r="J3121" s="1"/>
    </row>
    <row r="3122" spans="1:10" x14ac:dyDescent="0.2">
      <c r="A3122" s="1" t="s">
        <v>1</v>
      </c>
      <c r="B3122" s="2" t="s">
        <v>168</v>
      </c>
      <c r="C3122" s="1"/>
      <c r="D3122" s="5" t="s">
        <v>464</v>
      </c>
      <c r="E3122" s="3" t="s">
        <v>465</v>
      </c>
      <c r="F3122" s="3">
        <v>112500</v>
      </c>
      <c r="G3122" s="57" t="s">
        <v>465</v>
      </c>
    </row>
    <row r="3123" spans="1:10" x14ac:dyDescent="0.2">
      <c r="A3123" s="1" t="s">
        <v>1</v>
      </c>
      <c r="B3123" s="2" t="s">
        <v>168</v>
      </c>
      <c r="C3123" s="1"/>
      <c r="D3123" s="5" t="s">
        <v>464</v>
      </c>
      <c r="E3123" s="3" t="s">
        <v>465</v>
      </c>
      <c r="F3123" s="3">
        <v>112500</v>
      </c>
      <c r="G3123" s="57" t="s">
        <v>465</v>
      </c>
    </row>
    <row r="3124" spans="1:10" x14ac:dyDescent="0.2">
      <c r="A3124" s="1" t="s">
        <v>1</v>
      </c>
      <c r="B3124" s="2" t="s">
        <v>168</v>
      </c>
      <c r="C3124" s="1"/>
      <c r="D3124" s="5" t="s">
        <v>464</v>
      </c>
      <c r="E3124" s="3" t="s">
        <v>465</v>
      </c>
      <c r="F3124" s="3">
        <v>112500</v>
      </c>
      <c r="G3124" s="57" t="s">
        <v>465</v>
      </c>
    </row>
    <row r="3125" spans="1:10" x14ac:dyDescent="0.2">
      <c r="A3125" s="1" t="s">
        <v>25</v>
      </c>
      <c r="B3125" s="2" t="s">
        <v>174</v>
      </c>
      <c r="D3125" s="5" t="s">
        <v>464</v>
      </c>
      <c r="E3125" s="3" t="s">
        <v>465</v>
      </c>
      <c r="F3125" s="3">
        <v>112500</v>
      </c>
      <c r="G3125" s="57" t="s">
        <v>465</v>
      </c>
    </row>
    <row r="3126" spans="1:10" x14ac:dyDescent="0.2">
      <c r="A3126" s="1" t="s">
        <v>25</v>
      </c>
      <c r="B3126" s="2" t="s">
        <v>174</v>
      </c>
      <c r="D3126" s="5" t="s">
        <v>464</v>
      </c>
      <c r="E3126" s="3" t="s">
        <v>465</v>
      </c>
      <c r="F3126" s="3">
        <v>112500</v>
      </c>
      <c r="G3126" s="57" t="s">
        <v>465</v>
      </c>
    </row>
    <row r="3127" spans="1:10" x14ac:dyDescent="0.2">
      <c r="A3127" s="1" t="s">
        <v>25</v>
      </c>
      <c r="B3127" s="2" t="s">
        <v>174</v>
      </c>
      <c r="D3127" s="5" t="s">
        <v>464</v>
      </c>
      <c r="E3127" s="3" t="s">
        <v>465</v>
      </c>
      <c r="F3127" s="3">
        <v>112500</v>
      </c>
      <c r="G3127" s="57" t="s">
        <v>465</v>
      </c>
    </row>
    <row r="3128" spans="1:10" x14ac:dyDescent="0.2">
      <c r="A3128" s="1" t="s">
        <v>25</v>
      </c>
      <c r="B3128" s="2" t="s">
        <v>175</v>
      </c>
      <c r="D3128" s="5" t="s">
        <v>464</v>
      </c>
      <c r="E3128" s="3" t="s">
        <v>465</v>
      </c>
      <c r="F3128" s="3">
        <v>112500</v>
      </c>
      <c r="G3128" s="57" t="s">
        <v>465</v>
      </c>
    </row>
    <row r="3129" spans="1:10" x14ac:dyDescent="0.2">
      <c r="A3129" s="1" t="s">
        <v>25</v>
      </c>
      <c r="B3129" s="2" t="s">
        <v>178</v>
      </c>
      <c r="D3129" s="5" t="s">
        <v>464</v>
      </c>
      <c r="E3129" s="3" t="s">
        <v>465</v>
      </c>
      <c r="F3129" s="3">
        <v>112500</v>
      </c>
      <c r="G3129" s="57" t="s">
        <v>465</v>
      </c>
    </row>
    <row r="3130" spans="1:10" x14ac:dyDescent="0.2">
      <c r="A3130" s="1" t="s">
        <v>25</v>
      </c>
      <c r="B3130" s="2" t="s">
        <v>181</v>
      </c>
      <c r="D3130" s="5" t="s">
        <v>464</v>
      </c>
      <c r="E3130" s="3" t="s">
        <v>465</v>
      </c>
      <c r="F3130" s="3">
        <v>112500</v>
      </c>
      <c r="G3130" s="57" t="s">
        <v>465</v>
      </c>
      <c r="J3130" s="5" t="s">
        <v>1488</v>
      </c>
    </row>
    <row r="3131" spans="1:10" x14ac:dyDescent="0.2">
      <c r="A3131" s="1" t="s">
        <v>25</v>
      </c>
      <c r="B3131" s="2" t="s">
        <v>181</v>
      </c>
      <c r="D3131" s="5" t="s">
        <v>464</v>
      </c>
      <c r="E3131" s="3" t="s">
        <v>465</v>
      </c>
      <c r="F3131" s="3">
        <v>112500</v>
      </c>
      <c r="G3131" s="57" t="s">
        <v>465</v>
      </c>
    </row>
    <row r="3132" spans="1:10" x14ac:dyDescent="0.2">
      <c r="A3132" s="1" t="s">
        <v>4</v>
      </c>
      <c r="B3132" s="2" t="s">
        <v>182</v>
      </c>
      <c r="D3132" s="5" t="s">
        <v>464</v>
      </c>
      <c r="E3132" s="3" t="s">
        <v>465</v>
      </c>
      <c r="F3132" s="3">
        <v>112500</v>
      </c>
      <c r="G3132" s="57" t="s">
        <v>465</v>
      </c>
      <c r="J3132" s="5" t="s">
        <v>1475</v>
      </c>
    </row>
    <row r="3133" spans="1:10" x14ac:dyDescent="0.2">
      <c r="A3133" s="1" t="s">
        <v>4</v>
      </c>
      <c r="B3133" s="2" t="s">
        <v>182</v>
      </c>
      <c r="D3133" s="5" t="s">
        <v>464</v>
      </c>
      <c r="E3133" s="3" t="s">
        <v>465</v>
      </c>
      <c r="F3133" s="3">
        <v>112500</v>
      </c>
      <c r="G3133" s="57" t="s">
        <v>465</v>
      </c>
      <c r="J3133" s="5" t="s">
        <v>1475</v>
      </c>
    </row>
    <row r="3134" spans="1:10" x14ac:dyDescent="0.2">
      <c r="A3134" s="1" t="s">
        <v>4</v>
      </c>
      <c r="B3134" s="2" t="s">
        <v>182</v>
      </c>
      <c r="D3134" s="5" t="s">
        <v>464</v>
      </c>
      <c r="E3134" s="3" t="s">
        <v>465</v>
      </c>
      <c r="F3134" s="3">
        <v>112500</v>
      </c>
      <c r="G3134" s="57" t="s">
        <v>465</v>
      </c>
      <c r="J3134" s="5" t="s">
        <v>1475</v>
      </c>
    </row>
    <row r="3135" spans="1:10" x14ac:dyDescent="0.2">
      <c r="A3135" s="1" t="s">
        <v>25</v>
      </c>
      <c r="B3135" s="2" t="s">
        <v>187</v>
      </c>
      <c r="D3135" s="5" t="s">
        <v>464</v>
      </c>
      <c r="E3135" s="3" t="s">
        <v>465</v>
      </c>
      <c r="F3135" s="3">
        <v>112500</v>
      </c>
      <c r="G3135" s="57" t="s">
        <v>465</v>
      </c>
      <c r="J3135" s="1"/>
    </row>
    <row r="3136" spans="1:10" x14ac:dyDescent="0.2">
      <c r="A3136" s="1" t="s">
        <v>25</v>
      </c>
      <c r="B3136" s="2" t="s">
        <v>187</v>
      </c>
      <c r="D3136" s="5" t="s">
        <v>464</v>
      </c>
      <c r="E3136" s="3" t="s">
        <v>465</v>
      </c>
      <c r="F3136" s="3">
        <v>112500</v>
      </c>
      <c r="G3136" s="57" t="s">
        <v>465</v>
      </c>
      <c r="J3136" s="1"/>
    </row>
    <row r="3137" spans="1:10" x14ac:dyDescent="0.2">
      <c r="A3137" s="1" t="s">
        <v>25</v>
      </c>
      <c r="B3137" s="2" t="s">
        <v>192</v>
      </c>
      <c r="D3137" s="5" t="s">
        <v>464</v>
      </c>
      <c r="E3137" s="3" t="s">
        <v>465</v>
      </c>
      <c r="F3137" s="3">
        <v>112500</v>
      </c>
      <c r="G3137" s="57" t="s">
        <v>465</v>
      </c>
    </row>
    <row r="3138" spans="1:10" x14ac:dyDescent="0.2">
      <c r="A3138" s="1" t="s">
        <v>39</v>
      </c>
      <c r="B3138" s="2" t="s">
        <v>193</v>
      </c>
      <c r="D3138" s="5" t="s">
        <v>464</v>
      </c>
      <c r="E3138" s="3" t="s">
        <v>465</v>
      </c>
      <c r="F3138" s="3">
        <v>112500</v>
      </c>
      <c r="G3138" s="57" t="s">
        <v>465</v>
      </c>
    </row>
    <row r="3139" spans="1:10" x14ac:dyDescent="0.2">
      <c r="A3139" s="1" t="s">
        <v>20</v>
      </c>
      <c r="B3139" s="2" t="s">
        <v>194</v>
      </c>
      <c r="D3139" s="5" t="s">
        <v>464</v>
      </c>
      <c r="E3139" s="3" t="s">
        <v>465</v>
      </c>
      <c r="F3139" s="3">
        <v>112500</v>
      </c>
      <c r="G3139" s="57" t="s">
        <v>465</v>
      </c>
    </row>
    <row r="3140" spans="1:10" x14ac:dyDescent="0.2">
      <c r="A3140" s="1" t="s">
        <v>25</v>
      </c>
      <c r="B3140" s="2" t="s">
        <v>197</v>
      </c>
      <c r="D3140" s="5" t="s">
        <v>464</v>
      </c>
      <c r="E3140" s="3" t="s">
        <v>465</v>
      </c>
      <c r="F3140" s="3">
        <v>112500</v>
      </c>
      <c r="G3140" s="57" t="s">
        <v>465</v>
      </c>
      <c r="J3140" s="5" t="s">
        <v>2234</v>
      </c>
    </row>
    <row r="3141" spans="1:10" x14ac:dyDescent="0.2">
      <c r="A3141" s="1" t="s">
        <v>4</v>
      </c>
      <c r="B3141" s="2" t="s">
        <v>199</v>
      </c>
      <c r="D3141" s="5" t="s">
        <v>464</v>
      </c>
      <c r="E3141" s="3" t="s">
        <v>465</v>
      </c>
      <c r="F3141" s="3">
        <v>112500</v>
      </c>
      <c r="G3141" s="57" t="s">
        <v>465</v>
      </c>
    </row>
    <row r="3142" spans="1:10" x14ac:dyDescent="0.2">
      <c r="A3142" s="1" t="s">
        <v>25</v>
      </c>
      <c r="B3142" s="2" t="s">
        <v>200</v>
      </c>
      <c r="D3142" s="5" t="s">
        <v>464</v>
      </c>
      <c r="E3142" s="3" t="s">
        <v>465</v>
      </c>
      <c r="F3142" s="3">
        <v>112500</v>
      </c>
      <c r="G3142" s="57" t="s">
        <v>465</v>
      </c>
    </row>
    <row r="3143" spans="1:10" x14ac:dyDescent="0.2">
      <c r="A3143" s="1" t="s">
        <v>20</v>
      </c>
      <c r="B3143" s="2" t="s">
        <v>201</v>
      </c>
      <c r="D3143" s="5" t="s">
        <v>464</v>
      </c>
      <c r="E3143" s="3" t="s">
        <v>465</v>
      </c>
      <c r="F3143" s="3">
        <v>112500</v>
      </c>
      <c r="G3143" s="57" t="s">
        <v>465</v>
      </c>
    </row>
    <row r="3144" spans="1:10" x14ac:dyDescent="0.2">
      <c r="A3144" s="1" t="s">
        <v>25</v>
      </c>
      <c r="B3144" s="2" t="s">
        <v>208</v>
      </c>
      <c r="D3144" s="5" t="s">
        <v>464</v>
      </c>
      <c r="E3144" s="3" t="s">
        <v>465</v>
      </c>
      <c r="F3144" s="3">
        <v>112500</v>
      </c>
      <c r="G3144" s="57" t="s">
        <v>465</v>
      </c>
    </row>
    <row r="3145" spans="1:10" x14ac:dyDescent="0.2">
      <c r="A3145" s="1" t="s">
        <v>25</v>
      </c>
      <c r="B3145" s="2" t="s">
        <v>209</v>
      </c>
      <c r="D3145" s="5" t="s">
        <v>464</v>
      </c>
      <c r="E3145" s="3" t="s">
        <v>465</v>
      </c>
      <c r="F3145" s="3">
        <v>112500</v>
      </c>
      <c r="G3145" s="57" t="s">
        <v>465</v>
      </c>
    </row>
    <row r="3146" spans="1:10" x14ac:dyDescent="0.2">
      <c r="A3146" s="1" t="s">
        <v>4</v>
      </c>
      <c r="B3146" s="2" t="s">
        <v>210</v>
      </c>
      <c r="D3146" s="5" t="s">
        <v>464</v>
      </c>
      <c r="E3146" s="3" t="s">
        <v>465</v>
      </c>
      <c r="F3146" s="3">
        <v>112500</v>
      </c>
      <c r="G3146" s="57" t="s">
        <v>465</v>
      </c>
      <c r="H3146" s="4"/>
      <c r="I3146" s="4"/>
      <c r="J3146" s="1"/>
    </row>
    <row r="3147" spans="1:10" x14ac:dyDescent="0.2">
      <c r="A3147" s="1" t="s">
        <v>4</v>
      </c>
      <c r="B3147" s="2" t="s">
        <v>210</v>
      </c>
      <c r="D3147" s="5" t="s">
        <v>464</v>
      </c>
      <c r="E3147" s="3" t="s">
        <v>465</v>
      </c>
      <c r="F3147" s="3">
        <v>112500</v>
      </c>
      <c r="G3147" s="57" t="s">
        <v>465</v>
      </c>
      <c r="H3147" s="4"/>
      <c r="I3147" s="4"/>
      <c r="J3147" s="1"/>
    </row>
    <row r="3148" spans="1:10" x14ac:dyDescent="0.2">
      <c r="A3148" s="1" t="s">
        <v>6</v>
      </c>
      <c r="B3148" s="2" t="s">
        <v>216</v>
      </c>
      <c r="D3148" s="5" t="s">
        <v>464</v>
      </c>
      <c r="E3148" s="3" t="s">
        <v>465</v>
      </c>
      <c r="F3148" s="3">
        <v>112500</v>
      </c>
      <c r="G3148" s="57" t="s">
        <v>465</v>
      </c>
      <c r="J3148" s="1"/>
    </row>
    <row r="3149" spans="1:10" x14ac:dyDescent="0.2">
      <c r="A3149" s="1" t="s">
        <v>25</v>
      </c>
      <c r="B3149" s="2" t="s">
        <v>217</v>
      </c>
      <c r="D3149" s="5" t="s">
        <v>464</v>
      </c>
      <c r="E3149" s="3" t="s">
        <v>465</v>
      </c>
      <c r="F3149" s="3">
        <v>112500</v>
      </c>
      <c r="G3149" s="57" t="s">
        <v>465</v>
      </c>
      <c r="H3149" s="4"/>
      <c r="I3149" s="4"/>
      <c r="J3149" s="1"/>
    </row>
    <row r="3150" spans="1:10" x14ac:dyDescent="0.2">
      <c r="A3150" s="1" t="s">
        <v>25</v>
      </c>
      <c r="B3150" s="2" t="s">
        <v>217</v>
      </c>
      <c r="D3150" s="5" t="s">
        <v>464</v>
      </c>
      <c r="E3150" s="3" t="s">
        <v>465</v>
      </c>
      <c r="F3150" s="3">
        <v>112500</v>
      </c>
      <c r="G3150" s="57" t="s">
        <v>465</v>
      </c>
      <c r="H3150" s="4"/>
      <c r="I3150" s="4"/>
      <c r="J3150" s="1"/>
    </row>
    <row r="3151" spans="1:10" x14ac:dyDescent="0.2">
      <c r="A3151" s="1" t="s">
        <v>25</v>
      </c>
      <c r="B3151" s="2" t="s">
        <v>217</v>
      </c>
      <c r="D3151" s="5" t="s">
        <v>464</v>
      </c>
      <c r="E3151" s="3" t="s">
        <v>465</v>
      </c>
      <c r="F3151" s="3">
        <v>112500</v>
      </c>
      <c r="G3151" s="57" t="s">
        <v>465</v>
      </c>
      <c r="H3151" s="4"/>
      <c r="I3151" s="4"/>
      <c r="J3151" s="1"/>
    </row>
    <row r="3152" spans="1:10" x14ac:dyDescent="0.2">
      <c r="A3152" s="1" t="s">
        <v>25</v>
      </c>
      <c r="B3152" s="2" t="s">
        <v>217</v>
      </c>
      <c r="D3152" s="5" t="s">
        <v>464</v>
      </c>
      <c r="E3152" s="3" t="s">
        <v>465</v>
      </c>
      <c r="F3152" s="3">
        <v>112500</v>
      </c>
      <c r="G3152" s="57" t="s">
        <v>465</v>
      </c>
      <c r="H3152" s="4"/>
      <c r="I3152" s="4"/>
      <c r="J3152" s="1"/>
    </row>
    <row r="3153" spans="1:12" x14ac:dyDescent="0.2">
      <c r="A3153" s="1" t="s">
        <v>25</v>
      </c>
      <c r="B3153" s="2" t="s">
        <v>217</v>
      </c>
      <c r="D3153" s="5" t="s">
        <v>464</v>
      </c>
      <c r="E3153" s="3" t="s">
        <v>465</v>
      </c>
      <c r="F3153" s="3">
        <v>112500</v>
      </c>
      <c r="G3153" s="57" t="s">
        <v>465</v>
      </c>
      <c r="H3153" s="4"/>
      <c r="I3153" s="4"/>
      <c r="J3153" s="1"/>
    </row>
    <row r="3154" spans="1:12" x14ac:dyDescent="0.2">
      <c r="A3154" s="1" t="s">
        <v>25</v>
      </c>
      <c r="B3154" s="2" t="s">
        <v>217</v>
      </c>
      <c r="D3154" s="5" t="s">
        <v>464</v>
      </c>
      <c r="E3154" s="3" t="s">
        <v>465</v>
      </c>
      <c r="F3154" s="3">
        <v>112500</v>
      </c>
      <c r="G3154" s="57" t="s">
        <v>465</v>
      </c>
      <c r="H3154" s="4"/>
      <c r="I3154" s="4"/>
      <c r="J3154" s="1"/>
    </row>
    <row r="3155" spans="1:12" x14ac:dyDescent="0.2">
      <c r="A3155" s="1" t="s">
        <v>8</v>
      </c>
      <c r="B3155" s="2" t="s">
        <v>223</v>
      </c>
      <c r="D3155" s="5" t="s">
        <v>464</v>
      </c>
      <c r="E3155" s="3" t="s">
        <v>465</v>
      </c>
      <c r="F3155" s="3">
        <v>112500</v>
      </c>
      <c r="G3155" s="57" t="s">
        <v>465</v>
      </c>
      <c r="H3155" s="4"/>
      <c r="I3155" s="4"/>
      <c r="J3155" s="1"/>
    </row>
    <row r="3156" spans="1:12" x14ac:dyDescent="0.2">
      <c r="A3156" s="1" t="s">
        <v>8</v>
      </c>
      <c r="B3156" s="2" t="s">
        <v>223</v>
      </c>
      <c r="D3156" s="5" t="s">
        <v>464</v>
      </c>
      <c r="E3156" s="3" t="s">
        <v>465</v>
      </c>
      <c r="F3156" s="3">
        <v>112500</v>
      </c>
      <c r="G3156" s="57" t="s">
        <v>465</v>
      </c>
      <c r="H3156" s="4"/>
      <c r="I3156" s="4"/>
      <c r="J3156" s="1"/>
    </row>
    <row r="3157" spans="1:12" x14ac:dyDescent="0.2">
      <c r="A3157" s="1" t="s">
        <v>8</v>
      </c>
      <c r="B3157" s="2" t="s">
        <v>223</v>
      </c>
      <c r="D3157" s="5" t="s">
        <v>464</v>
      </c>
      <c r="E3157" s="3" t="s">
        <v>465</v>
      </c>
      <c r="F3157" s="3">
        <v>112500</v>
      </c>
      <c r="G3157" s="57" t="s">
        <v>465</v>
      </c>
      <c r="H3157" s="4"/>
      <c r="I3157" s="4"/>
      <c r="J3157" s="1"/>
    </row>
    <row r="3158" spans="1:12" x14ac:dyDescent="0.2">
      <c r="A3158" s="1" t="s">
        <v>8</v>
      </c>
      <c r="B3158" s="2" t="s">
        <v>229</v>
      </c>
      <c r="D3158" s="5" t="s">
        <v>464</v>
      </c>
      <c r="E3158" s="3" t="s">
        <v>465</v>
      </c>
      <c r="F3158" s="3">
        <v>112500</v>
      </c>
      <c r="G3158" s="57" t="s">
        <v>465</v>
      </c>
      <c r="J3158" s="5" t="s">
        <v>539</v>
      </c>
    </row>
    <row r="3159" spans="1:12" x14ac:dyDescent="0.2">
      <c r="A3159" s="1" t="s">
        <v>6</v>
      </c>
      <c r="B3159" s="12" t="s">
        <v>231</v>
      </c>
      <c r="D3159" s="5" t="s">
        <v>464</v>
      </c>
      <c r="E3159" s="3" t="s">
        <v>465</v>
      </c>
      <c r="F3159" s="3">
        <v>112500</v>
      </c>
      <c r="G3159" s="57" t="s">
        <v>465</v>
      </c>
      <c r="H3159" s="4"/>
      <c r="I3159" s="4"/>
      <c r="J3159" s="1"/>
    </row>
    <row r="3160" spans="1:12" x14ac:dyDescent="0.2">
      <c r="A3160" s="1" t="s">
        <v>6</v>
      </c>
      <c r="B3160" s="2" t="s">
        <v>237</v>
      </c>
      <c r="D3160" s="7" t="s">
        <v>464</v>
      </c>
      <c r="E3160" s="6" t="s">
        <v>465</v>
      </c>
      <c r="F3160" s="6">
        <v>112500</v>
      </c>
      <c r="G3160" s="57" t="s">
        <v>465</v>
      </c>
      <c r="H3160" s="21"/>
      <c r="I3160" s="21"/>
      <c r="J3160" s="7" t="s">
        <v>539</v>
      </c>
    </row>
    <row r="3161" spans="1:12" x14ac:dyDescent="0.2">
      <c r="A3161" s="1" t="s">
        <v>6</v>
      </c>
      <c r="B3161" s="2" t="s">
        <v>237</v>
      </c>
      <c r="D3161" s="7" t="s">
        <v>464</v>
      </c>
      <c r="E3161" s="6" t="s">
        <v>465</v>
      </c>
      <c r="F3161" s="6">
        <v>112500</v>
      </c>
      <c r="G3161" s="57" t="s">
        <v>465</v>
      </c>
      <c r="H3161" s="21"/>
      <c r="I3161" s="21"/>
      <c r="J3161" s="7" t="s">
        <v>539</v>
      </c>
    </row>
    <row r="3162" spans="1:12" x14ac:dyDescent="0.2">
      <c r="A3162" s="1" t="s">
        <v>6</v>
      </c>
      <c r="B3162" s="2" t="s">
        <v>237</v>
      </c>
      <c r="D3162" s="7" t="s">
        <v>464</v>
      </c>
      <c r="E3162" s="6" t="s">
        <v>465</v>
      </c>
      <c r="F3162" s="6">
        <v>112500</v>
      </c>
      <c r="G3162" s="57" t="s">
        <v>465</v>
      </c>
      <c r="H3162" s="21"/>
      <c r="I3162" s="21"/>
      <c r="J3162" s="7" t="s">
        <v>539</v>
      </c>
    </row>
    <row r="3163" spans="1:12" x14ac:dyDescent="0.2">
      <c r="A3163" s="1" t="s">
        <v>25</v>
      </c>
      <c r="B3163" s="2" t="s">
        <v>243</v>
      </c>
      <c r="D3163" s="7" t="s">
        <v>464</v>
      </c>
      <c r="E3163" s="6" t="s">
        <v>465</v>
      </c>
      <c r="F3163" s="6">
        <v>112500</v>
      </c>
      <c r="G3163" s="57" t="s">
        <v>465</v>
      </c>
      <c r="H3163" s="21"/>
      <c r="I3163" s="21"/>
      <c r="J3163" s="7" t="s">
        <v>539</v>
      </c>
    </row>
    <row r="3164" spans="1:12" x14ac:dyDescent="0.2">
      <c r="A3164" s="1" t="s">
        <v>25</v>
      </c>
      <c r="B3164" s="2" t="s">
        <v>243</v>
      </c>
      <c r="D3164" s="7" t="s">
        <v>464</v>
      </c>
      <c r="E3164" s="6" t="s">
        <v>465</v>
      </c>
      <c r="F3164" s="6">
        <v>112500</v>
      </c>
      <c r="G3164" s="57" t="s">
        <v>465</v>
      </c>
      <c r="H3164" s="21"/>
      <c r="I3164" s="21"/>
      <c r="J3164" s="7" t="s">
        <v>539</v>
      </c>
    </row>
    <row r="3165" spans="1:12" x14ac:dyDescent="0.2">
      <c r="A3165" s="1" t="s">
        <v>25</v>
      </c>
      <c r="B3165" s="2" t="s">
        <v>243</v>
      </c>
      <c r="D3165" s="7" t="s">
        <v>464</v>
      </c>
      <c r="E3165" s="6" t="s">
        <v>465</v>
      </c>
      <c r="F3165" s="6">
        <v>112500</v>
      </c>
      <c r="G3165" s="57" t="s">
        <v>465</v>
      </c>
      <c r="H3165" s="21"/>
      <c r="I3165" s="21"/>
      <c r="J3165" s="7"/>
    </row>
    <row r="3166" spans="1:12" x14ac:dyDescent="0.2">
      <c r="A3166" s="1" t="s">
        <v>25</v>
      </c>
      <c r="B3166" s="2" t="s">
        <v>243</v>
      </c>
      <c r="D3166" s="7" t="s">
        <v>464</v>
      </c>
      <c r="E3166" s="6" t="s">
        <v>465</v>
      </c>
      <c r="F3166" s="6">
        <v>112500</v>
      </c>
      <c r="G3166" s="57" t="s">
        <v>465</v>
      </c>
      <c r="H3166" s="21"/>
      <c r="I3166" s="21"/>
      <c r="J3166" s="7"/>
    </row>
    <row r="3167" spans="1:12" x14ac:dyDescent="0.2">
      <c r="A3167" s="13" t="s">
        <v>111</v>
      </c>
      <c r="B3167" s="12" t="s">
        <v>247</v>
      </c>
      <c r="C3167" s="7"/>
      <c r="D3167" s="7" t="s">
        <v>464</v>
      </c>
      <c r="E3167" s="6" t="s">
        <v>465</v>
      </c>
      <c r="F3167" s="6">
        <v>112500</v>
      </c>
      <c r="G3167" s="57" t="s">
        <v>465</v>
      </c>
      <c r="H3167" s="21"/>
      <c r="I3167" s="21"/>
      <c r="J3167" s="7"/>
      <c r="K3167" s="13"/>
      <c r="L3167" s="13"/>
    </row>
    <row r="3168" spans="1:12" x14ac:dyDescent="0.2">
      <c r="A3168" s="13" t="s">
        <v>111</v>
      </c>
      <c r="B3168" s="12" t="s">
        <v>247</v>
      </c>
      <c r="C3168" s="7"/>
      <c r="D3168" s="7" t="s">
        <v>464</v>
      </c>
      <c r="E3168" s="6" t="s">
        <v>465</v>
      </c>
      <c r="F3168" s="6">
        <v>112500</v>
      </c>
      <c r="G3168" s="57" t="s">
        <v>465</v>
      </c>
      <c r="H3168" s="21"/>
      <c r="I3168" s="21"/>
      <c r="J3168" s="7"/>
      <c r="K3168" s="13"/>
      <c r="L3168" s="13"/>
    </row>
    <row r="3169" spans="1:12" x14ac:dyDescent="0.2">
      <c r="A3169" s="13" t="s">
        <v>4</v>
      </c>
      <c r="B3169" s="12" t="s">
        <v>250</v>
      </c>
      <c r="C3169" s="7"/>
      <c r="D3169" s="7" t="s">
        <v>464</v>
      </c>
      <c r="E3169" s="6" t="s">
        <v>465</v>
      </c>
      <c r="F3169" s="6">
        <v>112500</v>
      </c>
      <c r="G3169" s="57" t="s">
        <v>465</v>
      </c>
      <c r="H3169" s="21"/>
      <c r="I3169" s="21"/>
      <c r="J3169" s="7"/>
      <c r="K3169" s="13"/>
      <c r="L3169" s="13"/>
    </row>
    <row r="3170" spans="1:12" x14ac:dyDescent="0.2">
      <c r="A3170" s="1" t="s">
        <v>111</v>
      </c>
      <c r="B3170" s="12" t="s">
        <v>257</v>
      </c>
      <c r="D3170" s="5" t="s">
        <v>464</v>
      </c>
      <c r="E3170" s="3" t="s">
        <v>465</v>
      </c>
      <c r="F3170" s="3">
        <v>112500</v>
      </c>
      <c r="G3170" s="57" t="s">
        <v>465</v>
      </c>
      <c r="K3170" s="33"/>
      <c r="L3170" s="33"/>
    </row>
    <row r="3171" spans="1:12" x14ac:dyDescent="0.2">
      <c r="A3171" s="1" t="s">
        <v>25</v>
      </c>
      <c r="B3171" s="12" t="s">
        <v>259</v>
      </c>
      <c r="D3171" s="5" t="s">
        <v>464</v>
      </c>
      <c r="E3171" s="3" t="s">
        <v>465</v>
      </c>
      <c r="F3171" s="3">
        <v>112500</v>
      </c>
      <c r="G3171" s="57" t="s">
        <v>465</v>
      </c>
      <c r="H3171" s="4"/>
      <c r="I3171" s="4"/>
      <c r="J3171" s="1"/>
    </row>
    <row r="3172" spans="1:12" x14ac:dyDescent="0.2">
      <c r="A3172" s="1" t="s">
        <v>25</v>
      </c>
      <c r="B3172" s="12" t="s">
        <v>259</v>
      </c>
      <c r="D3172" s="5" t="s">
        <v>464</v>
      </c>
      <c r="E3172" s="3" t="s">
        <v>465</v>
      </c>
      <c r="F3172" s="3">
        <v>112500</v>
      </c>
      <c r="G3172" s="57" t="s">
        <v>465</v>
      </c>
      <c r="H3172" s="4"/>
      <c r="I3172" s="4"/>
      <c r="J3172" s="1"/>
    </row>
    <row r="3173" spans="1:12" x14ac:dyDescent="0.2">
      <c r="A3173" s="1" t="s">
        <v>25</v>
      </c>
      <c r="B3173" s="12" t="s">
        <v>259</v>
      </c>
      <c r="D3173" s="5" t="s">
        <v>464</v>
      </c>
      <c r="E3173" s="3" t="s">
        <v>465</v>
      </c>
      <c r="F3173" s="3">
        <v>112500</v>
      </c>
      <c r="G3173" s="57" t="s">
        <v>465</v>
      </c>
      <c r="H3173" s="4"/>
      <c r="I3173" s="4"/>
      <c r="J3173" s="1"/>
    </row>
    <row r="3174" spans="1:12" x14ac:dyDescent="0.2">
      <c r="A3174" s="1" t="s">
        <v>25</v>
      </c>
      <c r="B3174" s="12" t="s">
        <v>259</v>
      </c>
      <c r="D3174" s="5" t="s">
        <v>464</v>
      </c>
      <c r="E3174" s="3" t="s">
        <v>465</v>
      </c>
      <c r="F3174" s="3">
        <v>112500</v>
      </c>
      <c r="G3174" s="57" t="s">
        <v>465</v>
      </c>
      <c r="H3174" s="4"/>
      <c r="I3174" s="4"/>
      <c r="J3174" s="1"/>
    </row>
    <row r="3175" spans="1:12" x14ac:dyDescent="0.2">
      <c r="A3175" s="1" t="s">
        <v>44</v>
      </c>
      <c r="B3175" s="12" t="s">
        <v>260</v>
      </c>
      <c r="C3175" s="7"/>
      <c r="D3175" s="7" t="s">
        <v>464</v>
      </c>
      <c r="E3175" s="6" t="s">
        <v>465</v>
      </c>
      <c r="F3175" s="6">
        <v>112500</v>
      </c>
      <c r="G3175" s="57" t="s">
        <v>465</v>
      </c>
      <c r="H3175" s="21"/>
      <c r="I3175" s="21"/>
      <c r="J3175" s="7" t="s">
        <v>539</v>
      </c>
      <c r="K3175" s="13"/>
      <c r="L3175" s="13"/>
    </row>
    <row r="3176" spans="1:12" x14ac:dyDescent="0.2">
      <c r="A3176" s="1" t="s">
        <v>44</v>
      </c>
      <c r="B3176" s="12" t="s">
        <v>260</v>
      </c>
      <c r="C3176" s="7"/>
      <c r="D3176" s="7" t="s">
        <v>464</v>
      </c>
      <c r="E3176" s="6" t="s">
        <v>465</v>
      </c>
      <c r="F3176" s="6">
        <v>112500</v>
      </c>
      <c r="G3176" s="57" t="s">
        <v>465</v>
      </c>
      <c r="H3176" s="21"/>
      <c r="I3176" s="21"/>
      <c r="J3176" s="7" t="s">
        <v>539</v>
      </c>
      <c r="K3176" s="13"/>
      <c r="L3176" s="13"/>
    </row>
    <row r="3177" spans="1:12" x14ac:dyDescent="0.2">
      <c r="A3177" s="1" t="s">
        <v>20</v>
      </c>
      <c r="B3177" s="2" t="s">
        <v>263</v>
      </c>
      <c r="D3177" s="7" t="s">
        <v>464</v>
      </c>
      <c r="E3177" s="6" t="s">
        <v>465</v>
      </c>
      <c r="F3177" s="6">
        <v>112500</v>
      </c>
      <c r="G3177" s="57" t="s">
        <v>465</v>
      </c>
      <c r="H3177" s="21"/>
      <c r="I3177" s="21"/>
      <c r="J3177" s="1"/>
    </row>
    <row r="3178" spans="1:12" x14ac:dyDescent="0.2">
      <c r="A3178" s="1" t="s">
        <v>20</v>
      </c>
      <c r="B3178" s="2" t="s">
        <v>263</v>
      </c>
      <c r="D3178" s="7" t="s">
        <v>464</v>
      </c>
      <c r="E3178" s="6" t="s">
        <v>465</v>
      </c>
      <c r="F3178" s="6">
        <v>112500</v>
      </c>
      <c r="G3178" s="57" t="s">
        <v>465</v>
      </c>
      <c r="H3178" s="21"/>
      <c r="I3178" s="21"/>
      <c r="J3178" s="1"/>
    </row>
    <row r="3179" spans="1:12" x14ac:dyDescent="0.2">
      <c r="A3179" s="1" t="s">
        <v>111</v>
      </c>
      <c r="B3179" s="2" t="s">
        <v>282</v>
      </c>
      <c r="D3179" s="5" t="s">
        <v>464</v>
      </c>
      <c r="E3179" s="3" t="s">
        <v>465</v>
      </c>
      <c r="F3179" s="3">
        <v>112500</v>
      </c>
      <c r="G3179" s="57" t="s">
        <v>465</v>
      </c>
      <c r="J3179" s="5" t="s">
        <v>539</v>
      </c>
    </row>
    <row r="3180" spans="1:12" x14ac:dyDescent="0.2">
      <c r="A3180" s="1" t="s">
        <v>8</v>
      </c>
      <c r="B3180" s="2" t="s">
        <v>285</v>
      </c>
      <c r="D3180" s="5" t="s">
        <v>464</v>
      </c>
      <c r="E3180" s="3" t="s">
        <v>465</v>
      </c>
      <c r="F3180" s="3">
        <v>112500</v>
      </c>
      <c r="G3180" s="57" t="s">
        <v>465</v>
      </c>
      <c r="H3180" s="4"/>
      <c r="I3180" s="4"/>
      <c r="J3180" s="1"/>
    </row>
    <row r="3181" spans="1:12" x14ac:dyDescent="0.2">
      <c r="A3181" s="1" t="s">
        <v>8</v>
      </c>
      <c r="B3181" s="2" t="s">
        <v>285</v>
      </c>
      <c r="D3181" s="5" t="s">
        <v>464</v>
      </c>
      <c r="E3181" s="3" t="s">
        <v>465</v>
      </c>
      <c r="F3181" s="3">
        <v>112500</v>
      </c>
      <c r="G3181" s="57" t="s">
        <v>465</v>
      </c>
      <c r="H3181" s="4"/>
      <c r="I3181" s="4"/>
      <c r="J3181" s="1"/>
    </row>
    <row r="3182" spans="1:12" x14ac:dyDescent="0.2">
      <c r="A3182" s="1" t="s">
        <v>8</v>
      </c>
      <c r="B3182" s="2" t="s">
        <v>285</v>
      </c>
      <c r="D3182" s="5" t="s">
        <v>464</v>
      </c>
      <c r="E3182" s="3" t="s">
        <v>465</v>
      </c>
      <c r="F3182" s="3">
        <v>112500</v>
      </c>
      <c r="G3182" s="57" t="s">
        <v>465</v>
      </c>
      <c r="H3182" s="4"/>
      <c r="I3182" s="4"/>
      <c r="J3182" s="1"/>
    </row>
    <row r="3183" spans="1:12" x14ac:dyDescent="0.2">
      <c r="A3183" s="1" t="s">
        <v>8</v>
      </c>
      <c r="B3183" s="2" t="s">
        <v>285</v>
      </c>
      <c r="D3183" s="5" t="s">
        <v>464</v>
      </c>
      <c r="E3183" s="3" t="s">
        <v>465</v>
      </c>
      <c r="F3183" s="3">
        <v>112500</v>
      </c>
      <c r="G3183" s="57" t="s">
        <v>465</v>
      </c>
      <c r="H3183" s="4"/>
      <c r="I3183" s="4"/>
      <c r="J3183" s="1"/>
    </row>
    <row r="3184" spans="1:12" x14ac:dyDescent="0.2">
      <c r="A3184" s="1" t="s">
        <v>8</v>
      </c>
      <c r="B3184" s="2" t="s">
        <v>285</v>
      </c>
      <c r="D3184" s="5" t="s">
        <v>464</v>
      </c>
      <c r="E3184" s="3" t="s">
        <v>465</v>
      </c>
      <c r="F3184" s="3">
        <v>112500</v>
      </c>
      <c r="G3184" s="57" t="s">
        <v>465</v>
      </c>
      <c r="H3184" s="4"/>
      <c r="I3184" s="4"/>
      <c r="J3184" s="1"/>
    </row>
    <row r="3185" spans="1:10" x14ac:dyDescent="0.2">
      <c r="A3185" s="1" t="s">
        <v>6</v>
      </c>
      <c r="B3185" s="2" t="s">
        <v>288</v>
      </c>
      <c r="D3185" s="5" t="s">
        <v>464</v>
      </c>
      <c r="E3185" s="3" t="s">
        <v>465</v>
      </c>
      <c r="F3185" s="3">
        <v>112500</v>
      </c>
      <c r="G3185" s="57" t="s">
        <v>465</v>
      </c>
      <c r="H3185" s="4"/>
      <c r="I3185" s="4"/>
      <c r="J3185" s="1"/>
    </row>
    <row r="3186" spans="1:10" x14ac:dyDescent="0.2">
      <c r="A3186" s="1" t="s">
        <v>20</v>
      </c>
      <c r="B3186" s="2" t="s">
        <v>296</v>
      </c>
      <c r="D3186" s="5" t="s">
        <v>464</v>
      </c>
      <c r="E3186" s="3" t="s">
        <v>465</v>
      </c>
      <c r="F3186" s="3">
        <v>112500</v>
      </c>
      <c r="G3186" s="57" t="s">
        <v>465</v>
      </c>
    </row>
    <row r="3187" spans="1:10" x14ac:dyDescent="0.2">
      <c r="A3187" s="1" t="s">
        <v>34</v>
      </c>
      <c r="B3187" s="2" t="s">
        <v>297</v>
      </c>
      <c r="D3187" s="5" t="s">
        <v>464</v>
      </c>
      <c r="E3187" s="3" t="s">
        <v>465</v>
      </c>
      <c r="F3187" s="3">
        <v>112500</v>
      </c>
      <c r="G3187" s="57" t="s">
        <v>465</v>
      </c>
    </row>
    <row r="3188" spans="1:10" x14ac:dyDescent="0.2">
      <c r="A3188" s="1" t="s">
        <v>4</v>
      </c>
      <c r="B3188" s="2" t="s">
        <v>299</v>
      </c>
      <c r="D3188" s="5" t="s">
        <v>464</v>
      </c>
      <c r="E3188" s="3" t="s">
        <v>465</v>
      </c>
      <c r="F3188" s="3">
        <v>112500</v>
      </c>
      <c r="G3188" s="57" t="s">
        <v>465</v>
      </c>
    </row>
    <row r="3189" spans="1:10" x14ac:dyDescent="0.2">
      <c r="A3189" s="1" t="s">
        <v>1</v>
      </c>
      <c r="B3189" s="12" t="s">
        <v>308</v>
      </c>
      <c r="D3189" s="5" t="s">
        <v>464</v>
      </c>
      <c r="E3189" s="3" t="s">
        <v>465</v>
      </c>
      <c r="F3189" s="3">
        <v>112500</v>
      </c>
      <c r="G3189" s="57" t="s">
        <v>465</v>
      </c>
      <c r="J3189" s="5" t="s">
        <v>539</v>
      </c>
    </row>
    <row r="3190" spans="1:10" x14ac:dyDescent="0.2">
      <c r="A3190" s="1" t="s">
        <v>1</v>
      </c>
      <c r="B3190" s="12" t="s">
        <v>308</v>
      </c>
      <c r="D3190" s="5" t="s">
        <v>464</v>
      </c>
      <c r="E3190" s="3" t="s">
        <v>465</v>
      </c>
      <c r="F3190" s="3">
        <v>112500</v>
      </c>
      <c r="G3190" s="57" t="s">
        <v>465</v>
      </c>
      <c r="J3190" s="5" t="s">
        <v>539</v>
      </c>
    </row>
    <row r="3191" spans="1:10" x14ac:dyDescent="0.2">
      <c r="A3191" s="1" t="s">
        <v>44</v>
      </c>
      <c r="B3191" s="2" t="s">
        <v>309</v>
      </c>
      <c r="D3191" s="5" t="s">
        <v>464</v>
      </c>
      <c r="E3191" s="3" t="s">
        <v>465</v>
      </c>
      <c r="F3191" s="3">
        <v>112500</v>
      </c>
      <c r="G3191" s="57" t="s">
        <v>465</v>
      </c>
      <c r="J3191" s="5" t="s">
        <v>539</v>
      </c>
    </row>
    <row r="3192" spans="1:10" x14ac:dyDescent="0.2">
      <c r="A3192" s="1" t="s">
        <v>44</v>
      </c>
      <c r="B3192" s="2" t="s">
        <v>309</v>
      </c>
      <c r="D3192" s="5" t="s">
        <v>464</v>
      </c>
      <c r="E3192" s="3" t="s">
        <v>465</v>
      </c>
      <c r="F3192" s="3">
        <v>112500</v>
      </c>
      <c r="G3192" s="57" t="s">
        <v>465</v>
      </c>
      <c r="J3192" s="5" t="s">
        <v>539</v>
      </c>
    </row>
    <row r="3193" spans="1:10" x14ac:dyDescent="0.2">
      <c r="A3193" s="1" t="s">
        <v>44</v>
      </c>
      <c r="B3193" s="2" t="s">
        <v>309</v>
      </c>
      <c r="D3193" s="5" t="s">
        <v>464</v>
      </c>
      <c r="E3193" s="3" t="s">
        <v>465</v>
      </c>
      <c r="F3193" s="3">
        <v>112500</v>
      </c>
      <c r="G3193" s="57" t="s">
        <v>465</v>
      </c>
      <c r="J3193" s="5" t="s">
        <v>539</v>
      </c>
    </row>
    <row r="3194" spans="1:10" x14ac:dyDescent="0.2">
      <c r="A3194" s="1" t="s">
        <v>44</v>
      </c>
      <c r="B3194" s="2" t="s">
        <v>309</v>
      </c>
      <c r="D3194" s="5" t="s">
        <v>464</v>
      </c>
      <c r="E3194" s="3" t="s">
        <v>465</v>
      </c>
      <c r="F3194" s="3">
        <v>112500</v>
      </c>
      <c r="G3194" s="57" t="s">
        <v>465</v>
      </c>
      <c r="J3194" s="5" t="s">
        <v>539</v>
      </c>
    </row>
    <row r="3195" spans="1:10" x14ac:dyDescent="0.2">
      <c r="A3195" s="1" t="s">
        <v>39</v>
      </c>
      <c r="B3195" s="2" t="s">
        <v>325</v>
      </c>
      <c r="D3195" s="5" t="s">
        <v>464</v>
      </c>
      <c r="F3195" s="3">
        <v>112500</v>
      </c>
      <c r="G3195" s="57" t="s">
        <v>465</v>
      </c>
      <c r="J3195" s="5" t="s">
        <v>1241</v>
      </c>
    </row>
    <row r="3196" spans="1:10" x14ac:dyDescent="0.2">
      <c r="A3196" s="1" t="s">
        <v>28</v>
      </c>
      <c r="B3196" s="2" t="s">
        <v>332</v>
      </c>
      <c r="D3196" s="5" t="s">
        <v>464</v>
      </c>
      <c r="E3196" s="3" t="s">
        <v>465</v>
      </c>
      <c r="F3196" s="3">
        <v>112500</v>
      </c>
      <c r="G3196" s="57" t="s">
        <v>465</v>
      </c>
    </row>
    <row r="3197" spans="1:10" x14ac:dyDescent="0.2">
      <c r="A3197" s="1" t="s">
        <v>4</v>
      </c>
      <c r="B3197" s="2" t="s">
        <v>336</v>
      </c>
      <c r="D3197" s="5" t="s">
        <v>464</v>
      </c>
      <c r="E3197" s="3" t="s">
        <v>465</v>
      </c>
      <c r="F3197" s="3">
        <v>112500</v>
      </c>
      <c r="G3197" s="57" t="s">
        <v>465</v>
      </c>
      <c r="J3197" s="1"/>
    </row>
    <row r="3198" spans="1:10" x14ac:dyDescent="0.2">
      <c r="A3198" s="1" t="s">
        <v>4</v>
      </c>
      <c r="B3198" s="2" t="s">
        <v>336</v>
      </c>
      <c r="D3198" s="5" t="s">
        <v>464</v>
      </c>
      <c r="E3198" s="3" t="s">
        <v>465</v>
      </c>
      <c r="F3198" s="3">
        <v>112500</v>
      </c>
      <c r="G3198" s="57" t="s">
        <v>465</v>
      </c>
      <c r="J3198" s="1"/>
    </row>
    <row r="3199" spans="1:10" x14ac:dyDescent="0.2">
      <c r="A3199" s="1" t="s">
        <v>8</v>
      </c>
      <c r="B3199" s="2" t="s">
        <v>342</v>
      </c>
      <c r="D3199" s="5" t="s">
        <v>464</v>
      </c>
      <c r="E3199" s="3" t="s">
        <v>465</v>
      </c>
      <c r="F3199" s="3">
        <v>112500</v>
      </c>
      <c r="G3199" s="57" t="s">
        <v>465</v>
      </c>
    </row>
    <row r="3200" spans="1:10" x14ac:dyDescent="0.2">
      <c r="A3200" s="1" t="s">
        <v>4</v>
      </c>
      <c r="B3200" s="2" t="s">
        <v>356</v>
      </c>
      <c r="D3200" s="5" t="s">
        <v>464</v>
      </c>
      <c r="E3200" s="3" t="s">
        <v>465</v>
      </c>
      <c r="F3200" s="3">
        <v>112500</v>
      </c>
      <c r="G3200" s="57" t="s">
        <v>465</v>
      </c>
    </row>
    <row r="3201" spans="1:10" x14ac:dyDescent="0.2">
      <c r="A3201" s="1" t="s">
        <v>25</v>
      </c>
      <c r="B3201" s="2" t="s">
        <v>358</v>
      </c>
      <c r="D3201" s="5" t="s">
        <v>464</v>
      </c>
      <c r="E3201" s="3" t="s">
        <v>465</v>
      </c>
      <c r="F3201" s="3">
        <v>112500</v>
      </c>
      <c r="G3201" s="57" t="s">
        <v>465</v>
      </c>
      <c r="J3201" s="1"/>
    </row>
    <row r="3202" spans="1:10" x14ac:dyDescent="0.2">
      <c r="A3202" s="1" t="s">
        <v>25</v>
      </c>
      <c r="B3202" s="2" t="s">
        <v>358</v>
      </c>
      <c r="D3202" s="5" t="s">
        <v>464</v>
      </c>
      <c r="E3202" s="3" t="s">
        <v>465</v>
      </c>
      <c r="F3202" s="3">
        <v>112500</v>
      </c>
      <c r="G3202" s="57" t="s">
        <v>465</v>
      </c>
      <c r="J3202" s="1"/>
    </row>
    <row r="3203" spans="1:10" x14ac:dyDescent="0.2">
      <c r="A3203" s="1" t="s">
        <v>39</v>
      </c>
      <c r="B3203" s="2" t="s">
        <v>364</v>
      </c>
      <c r="D3203" s="5" t="s">
        <v>464</v>
      </c>
      <c r="E3203" s="3" t="s">
        <v>465</v>
      </c>
      <c r="F3203" s="3">
        <v>112500</v>
      </c>
      <c r="G3203" s="57" t="s">
        <v>465</v>
      </c>
      <c r="J3203" s="5" t="s">
        <v>539</v>
      </c>
    </row>
    <row r="3204" spans="1:10" x14ac:dyDescent="0.2">
      <c r="A3204" s="1" t="s">
        <v>39</v>
      </c>
      <c r="B3204" s="2" t="s">
        <v>364</v>
      </c>
      <c r="D3204" s="5" t="s">
        <v>464</v>
      </c>
      <c r="E3204" s="3" t="s">
        <v>465</v>
      </c>
      <c r="F3204" s="3">
        <v>112500</v>
      </c>
      <c r="G3204" s="57" t="s">
        <v>465</v>
      </c>
    </row>
    <row r="3205" spans="1:10" x14ac:dyDescent="0.2">
      <c r="A3205" s="1" t="s">
        <v>39</v>
      </c>
      <c r="B3205" s="2" t="s">
        <v>364</v>
      </c>
      <c r="D3205" s="5" t="s">
        <v>464</v>
      </c>
      <c r="E3205" s="3" t="s">
        <v>465</v>
      </c>
      <c r="F3205" s="3">
        <v>112500</v>
      </c>
      <c r="G3205" s="57" t="s">
        <v>465</v>
      </c>
    </row>
    <row r="3206" spans="1:10" x14ac:dyDescent="0.2">
      <c r="A3206" s="1" t="s">
        <v>6</v>
      </c>
      <c r="B3206" s="2" t="s">
        <v>368</v>
      </c>
      <c r="D3206" s="5" t="s">
        <v>464</v>
      </c>
      <c r="E3206" s="3" t="s">
        <v>465</v>
      </c>
      <c r="F3206" s="3">
        <v>112500</v>
      </c>
      <c r="G3206" s="57" t="s">
        <v>465</v>
      </c>
    </row>
    <row r="3207" spans="1:10" x14ac:dyDescent="0.2">
      <c r="A3207" s="1" t="s">
        <v>39</v>
      </c>
      <c r="B3207" s="2" t="s">
        <v>370</v>
      </c>
      <c r="D3207" s="5" t="s">
        <v>464</v>
      </c>
      <c r="E3207" s="3" t="s">
        <v>465</v>
      </c>
      <c r="F3207" s="3">
        <v>112500</v>
      </c>
      <c r="G3207" s="57" t="s">
        <v>465</v>
      </c>
    </row>
    <row r="3208" spans="1:10" x14ac:dyDescent="0.2">
      <c r="A3208" s="1" t="s">
        <v>4</v>
      </c>
      <c r="B3208" s="2" t="s">
        <v>377</v>
      </c>
      <c r="D3208" s="5" t="s">
        <v>464</v>
      </c>
      <c r="E3208" s="3" t="s">
        <v>465</v>
      </c>
      <c r="F3208" s="3">
        <v>112500</v>
      </c>
      <c r="G3208" s="57" t="s">
        <v>465</v>
      </c>
    </row>
    <row r="3209" spans="1:10" x14ac:dyDescent="0.2">
      <c r="A3209" s="1" t="s">
        <v>4</v>
      </c>
      <c r="B3209" s="2" t="s">
        <v>377</v>
      </c>
      <c r="D3209" s="5" t="s">
        <v>464</v>
      </c>
      <c r="E3209" s="3" t="s">
        <v>465</v>
      </c>
      <c r="F3209" s="3">
        <v>112500</v>
      </c>
      <c r="G3209" s="57" t="s">
        <v>465</v>
      </c>
    </row>
    <row r="3210" spans="1:10" x14ac:dyDescent="0.2">
      <c r="A3210" s="1" t="s">
        <v>4</v>
      </c>
      <c r="B3210" s="2" t="s">
        <v>377</v>
      </c>
      <c r="D3210" s="5" t="s">
        <v>464</v>
      </c>
      <c r="E3210" s="3" t="s">
        <v>465</v>
      </c>
      <c r="F3210" s="3">
        <v>112500</v>
      </c>
      <c r="G3210" s="57" t="s">
        <v>465</v>
      </c>
    </row>
    <row r="3211" spans="1:10" x14ac:dyDescent="0.2">
      <c r="A3211" s="1" t="s">
        <v>25</v>
      </c>
      <c r="B3211" s="2" t="s">
        <v>398</v>
      </c>
      <c r="D3211" s="5" t="s">
        <v>464</v>
      </c>
      <c r="E3211" s="3" t="s">
        <v>465</v>
      </c>
      <c r="F3211" s="3">
        <v>112500</v>
      </c>
      <c r="G3211" s="57" t="s">
        <v>465</v>
      </c>
      <c r="J3211" s="5" t="s">
        <v>1241</v>
      </c>
    </row>
    <row r="3212" spans="1:10" x14ac:dyDescent="0.2">
      <c r="A3212" s="1" t="s">
        <v>25</v>
      </c>
      <c r="B3212" s="2" t="s">
        <v>398</v>
      </c>
      <c r="D3212" s="5" t="s">
        <v>464</v>
      </c>
      <c r="E3212" s="3" t="s">
        <v>465</v>
      </c>
      <c r="F3212" s="3">
        <v>112500</v>
      </c>
      <c r="G3212" s="57" t="s">
        <v>465</v>
      </c>
      <c r="J3212" s="5" t="s">
        <v>1241</v>
      </c>
    </row>
    <row r="3213" spans="1:10" x14ac:dyDescent="0.2">
      <c r="A3213" s="1" t="s">
        <v>25</v>
      </c>
      <c r="B3213" s="2" t="s">
        <v>398</v>
      </c>
      <c r="D3213" s="5" t="s">
        <v>464</v>
      </c>
      <c r="E3213" s="3" t="s">
        <v>465</v>
      </c>
      <c r="F3213" s="3">
        <v>112500</v>
      </c>
      <c r="G3213" s="57" t="s">
        <v>465</v>
      </c>
      <c r="J3213" s="5" t="s">
        <v>1241</v>
      </c>
    </row>
    <row r="3214" spans="1:10" x14ac:dyDescent="0.2">
      <c r="A3214" s="1" t="s">
        <v>25</v>
      </c>
      <c r="B3214" s="2" t="s">
        <v>398</v>
      </c>
      <c r="D3214" s="5" t="s">
        <v>464</v>
      </c>
      <c r="E3214" s="3" t="s">
        <v>465</v>
      </c>
      <c r="F3214" s="3">
        <v>112500</v>
      </c>
      <c r="G3214" s="57" t="s">
        <v>465</v>
      </c>
    </row>
    <row r="3215" spans="1:10" x14ac:dyDescent="0.2">
      <c r="A3215" s="1" t="s">
        <v>4</v>
      </c>
      <c r="B3215" s="12" t="s">
        <v>400</v>
      </c>
      <c r="D3215" s="5" t="s">
        <v>464</v>
      </c>
      <c r="E3215" s="3" t="s">
        <v>465</v>
      </c>
      <c r="F3215" s="3">
        <v>112500</v>
      </c>
      <c r="G3215" s="57" t="s">
        <v>465</v>
      </c>
      <c r="J3215" s="5" t="s">
        <v>1555</v>
      </c>
    </row>
    <row r="3216" spans="1:10" x14ac:dyDescent="0.2">
      <c r="A3216" s="1" t="s">
        <v>25</v>
      </c>
      <c r="B3216" s="2" t="s">
        <v>406</v>
      </c>
      <c r="D3216" s="5" t="s">
        <v>464</v>
      </c>
      <c r="E3216" s="3" t="s">
        <v>465</v>
      </c>
      <c r="F3216" s="3">
        <v>112500</v>
      </c>
      <c r="G3216" s="57" t="s">
        <v>465</v>
      </c>
      <c r="H3216" s="4"/>
      <c r="I3216" s="4"/>
      <c r="J3216" s="1"/>
    </row>
    <row r="3217" spans="1:10" x14ac:dyDescent="0.2">
      <c r="A3217" s="1" t="s">
        <v>25</v>
      </c>
      <c r="B3217" s="2" t="s">
        <v>406</v>
      </c>
      <c r="D3217" s="5" t="s">
        <v>464</v>
      </c>
      <c r="E3217" s="3" t="s">
        <v>465</v>
      </c>
      <c r="F3217" s="3">
        <v>112500</v>
      </c>
      <c r="G3217" s="57" t="s">
        <v>465</v>
      </c>
      <c r="H3217" s="4"/>
      <c r="I3217" s="4"/>
      <c r="J3217" s="1"/>
    </row>
    <row r="3218" spans="1:10" x14ac:dyDescent="0.2">
      <c r="A3218" s="1" t="s">
        <v>25</v>
      </c>
      <c r="B3218" s="2" t="s">
        <v>406</v>
      </c>
      <c r="D3218" s="5" t="s">
        <v>464</v>
      </c>
      <c r="E3218" s="3" t="s">
        <v>465</v>
      </c>
      <c r="F3218" s="3">
        <v>112500</v>
      </c>
      <c r="G3218" s="57" t="s">
        <v>465</v>
      </c>
      <c r="H3218" s="4"/>
      <c r="I3218" s="4"/>
      <c r="J3218" s="1"/>
    </row>
    <row r="3219" spans="1:10" x14ac:dyDescent="0.2">
      <c r="A3219" s="1" t="s">
        <v>25</v>
      </c>
      <c r="B3219" s="2" t="s">
        <v>406</v>
      </c>
      <c r="D3219" s="5" t="s">
        <v>464</v>
      </c>
      <c r="E3219" s="3" t="s">
        <v>465</v>
      </c>
      <c r="F3219" s="3">
        <v>112500</v>
      </c>
      <c r="G3219" s="57" t="s">
        <v>465</v>
      </c>
      <c r="H3219" s="4"/>
      <c r="I3219" s="4"/>
      <c r="J3219" s="1"/>
    </row>
    <row r="3220" spans="1:10" x14ac:dyDescent="0.2">
      <c r="A3220" s="1" t="s">
        <v>25</v>
      </c>
      <c r="B3220" s="2" t="s">
        <v>406</v>
      </c>
      <c r="D3220" s="5" t="s">
        <v>464</v>
      </c>
      <c r="E3220" s="3" t="s">
        <v>465</v>
      </c>
      <c r="F3220" s="3">
        <v>112500</v>
      </c>
      <c r="G3220" s="57" t="s">
        <v>465</v>
      </c>
      <c r="H3220" s="4"/>
      <c r="I3220" s="4"/>
      <c r="J3220" s="1"/>
    </row>
    <row r="3221" spans="1:10" x14ac:dyDescent="0.2">
      <c r="A3221" s="1" t="s">
        <v>6</v>
      </c>
      <c r="B3221" s="2" t="s">
        <v>407</v>
      </c>
      <c r="D3221" s="5" t="s">
        <v>464</v>
      </c>
      <c r="E3221" s="3" t="s">
        <v>465</v>
      </c>
      <c r="F3221" s="3">
        <v>112500</v>
      </c>
      <c r="G3221" s="57" t="s">
        <v>465</v>
      </c>
      <c r="J3221" s="5" t="s">
        <v>651</v>
      </c>
    </row>
    <row r="3222" spans="1:10" x14ac:dyDescent="0.2">
      <c r="A3222" s="1" t="s">
        <v>6</v>
      </c>
      <c r="B3222" s="2" t="s">
        <v>407</v>
      </c>
      <c r="D3222" s="5" t="s">
        <v>464</v>
      </c>
      <c r="E3222" s="3" t="s">
        <v>465</v>
      </c>
      <c r="F3222" s="3">
        <v>112500</v>
      </c>
      <c r="G3222" s="57" t="s">
        <v>465</v>
      </c>
      <c r="J3222" s="5" t="s">
        <v>651</v>
      </c>
    </row>
    <row r="3223" spans="1:10" x14ac:dyDescent="0.2">
      <c r="A3223" s="1" t="s">
        <v>6</v>
      </c>
      <c r="B3223" s="2" t="s">
        <v>407</v>
      </c>
      <c r="D3223" s="5" t="s">
        <v>464</v>
      </c>
      <c r="E3223" s="3" t="s">
        <v>465</v>
      </c>
      <c r="F3223" s="3">
        <v>112500</v>
      </c>
      <c r="G3223" s="57" t="s">
        <v>465</v>
      </c>
      <c r="J3223" s="5" t="s">
        <v>651</v>
      </c>
    </row>
    <row r="3224" spans="1:10" x14ac:dyDescent="0.2">
      <c r="A3224" s="1" t="s">
        <v>6</v>
      </c>
      <c r="B3224" s="2" t="s">
        <v>407</v>
      </c>
      <c r="D3224" s="5" t="s">
        <v>464</v>
      </c>
      <c r="E3224" s="3" t="s">
        <v>465</v>
      </c>
      <c r="F3224" s="3">
        <v>112500</v>
      </c>
      <c r="G3224" s="57" t="s">
        <v>465</v>
      </c>
      <c r="J3224" s="5" t="s">
        <v>652</v>
      </c>
    </row>
    <row r="3225" spans="1:10" x14ac:dyDescent="0.2">
      <c r="A3225" s="1" t="s">
        <v>39</v>
      </c>
      <c r="B3225" s="2" t="s">
        <v>409</v>
      </c>
      <c r="D3225" s="5" t="s">
        <v>587</v>
      </c>
      <c r="E3225" s="3" t="s">
        <v>465</v>
      </c>
      <c r="F3225" s="3">
        <v>112500</v>
      </c>
      <c r="G3225" s="57" t="s">
        <v>465</v>
      </c>
      <c r="J3225" s="5" t="s">
        <v>540</v>
      </c>
    </row>
    <row r="3226" spans="1:10" x14ac:dyDescent="0.2">
      <c r="A3226" s="1" t="s">
        <v>39</v>
      </c>
      <c r="B3226" s="2" t="s">
        <v>409</v>
      </c>
      <c r="D3226" s="5" t="s">
        <v>587</v>
      </c>
      <c r="E3226" s="3" t="s">
        <v>465</v>
      </c>
      <c r="F3226" s="3">
        <v>112500</v>
      </c>
      <c r="G3226" s="57" t="s">
        <v>465</v>
      </c>
      <c r="J3226" s="5" t="s">
        <v>540</v>
      </c>
    </row>
    <row r="3227" spans="1:10" x14ac:dyDescent="0.2">
      <c r="A3227" s="1" t="s">
        <v>8</v>
      </c>
      <c r="B3227" s="2" t="s">
        <v>413</v>
      </c>
      <c r="D3227" s="5" t="s">
        <v>464</v>
      </c>
      <c r="E3227" s="3" t="s">
        <v>465</v>
      </c>
      <c r="F3227" s="3">
        <v>112500</v>
      </c>
      <c r="G3227" s="57" t="s">
        <v>465</v>
      </c>
    </row>
    <row r="3228" spans="1:10" x14ac:dyDescent="0.2">
      <c r="A3228" s="1" t="s">
        <v>4</v>
      </c>
      <c r="B3228" s="2" t="s">
        <v>415</v>
      </c>
      <c r="D3228" s="5" t="s">
        <v>464</v>
      </c>
      <c r="E3228" s="3" t="s">
        <v>465</v>
      </c>
      <c r="F3228" s="3">
        <v>112500</v>
      </c>
      <c r="G3228" s="57" t="s">
        <v>465</v>
      </c>
      <c r="J3228" s="5" t="s">
        <v>539</v>
      </c>
    </row>
    <row r="3229" spans="1:10" x14ac:dyDescent="0.2">
      <c r="A3229" s="1" t="s">
        <v>4</v>
      </c>
      <c r="B3229" s="2" t="s">
        <v>415</v>
      </c>
      <c r="D3229" s="5" t="s">
        <v>464</v>
      </c>
      <c r="E3229" s="3" t="s">
        <v>465</v>
      </c>
      <c r="F3229" s="3">
        <v>112500</v>
      </c>
      <c r="G3229" s="57" t="s">
        <v>465</v>
      </c>
      <c r="J3229" s="5" t="s">
        <v>539</v>
      </c>
    </row>
    <row r="3230" spans="1:10" x14ac:dyDescent="0.2">
      <c r="A3230" s="1" t="s">
        <v>25</v>
      </c>
      <c r="B3230" s="2" t="s">
        <v>424</v>
      </c>
      <c r="D3230" s="5" t="s">
        <v>464</v>
      </c>
      <c r="E3230" s="3" t="s">
        <v>465</v>
      </c>
      <c r="F3230" s="3">
        <v>112500</v>
      </c>
      <c r="G3230" s="57" t="s">
        <v>465</v>
      </c>
      <c r="H3230" s="4"/>
      <c r="I3230" s="4"/>
      <c r="J3230" s="1"/>
    </row>
    <row r="3231" spans="1:10" x14ac:dyDescent="0.2">
      <c r="A3231" s="1" t="s">
        <v>25</v>
      </c>
      <c r="B3231" s="2" t="s">
        <v>424</v>
      </c>
      <c r="D3231" s="5" t="s">
        <v>464</v>
      </c>
      <c r="E3231" s="3" t="s">
        <v>465</v>
      </c>
      <c r="F3231" s="3">
        <v>112500</v>
      </c>
      <c r="G3231" s="57" t="s">
        <v>465</v>
      </c>
      <c r="H3231" s="4"/>
      <c r="I3231" s="4"/>
      <c r="J3231" s="1"/>
    </row>
    <row r="3232" spans="1:10" x14ac:dyDescent="0.2">
      <c r="A3232" s="1" t="s">
        <v>25</v>
      </c>
      <c r="B3232" s="2" t="s">
        <v>424</v>
      </c>
      <c r="D3232" s="5" t="s">
        <v>464</v>
      </c>
      <c r="E3232" s="3" t="s">
        <v>465</v>
      </c>
      <c r="F3232" s="3">
        <v>112500</v>
      </c>
      <c r="G3232" s="57" t="s">
        <v>465</v>
      </c>
      <c r="H3232" s="4"/>
      <c r="I3232" s="4"/>
      <c r="J3232" s="1"/>
    </row>
    <row r="3233" spans="1:12" x14ac:dyDescent="0.2">
      <c r="A3233" s="1" t="s">
        <v>4</v>
      </c>
      <c r="B3233" s="2" t="s">
        <v>428</v>
      </c>
      <c r="D3233" s="5" t="s">
        <v>464</v>
      </c>
      <c r="E3233" s="3" t="s">
        <v>465</v>
      </c>
      <c r="F3233" s="3">
        <v>112500</v>
      </c>
      <c r="G3233" s="57" t="s">
        <v>465</v>
      </c>
      <c r="J3233" s="5" t="s">
        <v>539</v>
      </c>
    </row>
    <row r="3234" spans="1:12" x14ac:dyDescent="0.2">
      <c r="A3234" s="1" t="s">
        <v>39</v>
      </c>
      <c r="B3234" s="2" t="s">
        <v>437</v>
      </c>
      <c r="D3234" s="5" t="s">
        <v>464</v>
      </c>
      <c r="E3234" s="3" t="s">
        <v>465</v>
      </c>
      <c r="F3234" s="3">
        <v>112500</v>
      </c>
      <c r="G3234" s="57" t="s">
        <v>465</v>
      </c>
    </row>
    <row r="3235" spans="1:12" ht="38.25" x14ac:dyDescent="0.2">
      <c r="A3235" s="1" t="s">
        <v>8</v>
      </c>
      <c r="B3235" s="2" t="s">
        <v>278</v>
      </c>
      <c r="D3235" s="5" t="s">
        <v>1092</v>
      </c>
      <c r="E3235" s="3">
        <v>66475</v>
      </c>
      <c r="F3235" s="3">
        <v>112491</v>
      </c>
      <c r="G3235" s="57">
        <v>0.69223016171493046</v>
      </c>
      <c r="J3235" s="5" t="s">
        <v>4381</v>
      </c>
    </row>
    <row r="3236" spans="1:12" x14ac:dyDescent="0.2">
      <c r="A3236" s="1" t="s">
        <v>4</v>
      </c>
      <c r="B3236" s="2" t="s">
        <v>206</v>
      </c>
      <c r="D3236" s="5" t="s">
        <v>1381</v>
      </c>
      <c r="E3236" s="9">
        <v>111714</v>
      </c>
      <c r="F3236" s="9">
        <v>112486</v>
      </c>
      <c r="G3236" s="57">
        <v>6.9105036074261061E-3</v>
      </c>
      <c r="J3236" s="5" t="s">
        <v>3394</v>
      </c>
    </row>
    <row r="3237" spans="1:12" ht="25.5" x14ac:dyDescent="0.2">
      <c r="A3237" s="1" t="s">
        <v>8</v>
      </c>
      <c r="B3237" s="2" t="s">
        <v>198</v>
      </c>
      <c r="D3237" s="5" t="s">
        <v>455</v>
      </c>
      <c r="E3237" s="3">
        <v>108229</v>
      </c>
      <c r="F3237" s="3">
        <v>112439</v>
      </c>
      <c r="G3237" s="57">
        <v>3.8899001191917137E-2</v>
      </c>
      <c r="J3237" s="5" t="s">
        <v>3430</v>
      </c>
    </row>
    <row r="3238" spans="1:12" ht="25.5" x14ac:dyDescent="0.2">
      <c r="A3238" s="13" t="s">
        <v>4</v>
      </c>
      <c r="B3238" s="12" t="s">
        <v>84</v>
      </c>
      <c r="C3238" s="13"/>
      <c r="D3238" s="7" t="s">
        <v>450</v>
      </c>
      <c r="E3238" s="6">
        <v>138056</v>
      </c>
      <c r="F3238" s="6">
        <v>112420</v>
      </c>
      <c r="G3238" s="57">
        <v>-0.18569276235730428</v>
      </c>
      <c r="H3238" s="21"/>
      <c r="I3238" s="21"/>
      <c r="J3238" s="7" t="s">
        <v>4223</v>
      </c>
      <c r="K3238" s="13"/>
      <c r="L3238" s="13"/>
    </row>
    <row r="3239" spans="1:12" ht="25.5" x14ac:dyDescent="0.2">
      <c r="A3239" s="1" t="s">
        <v>28</v>
      </c>
      <c r="B3239" s="2" t="s">
        <v>213</v>
      </c>
      <c r="D3239" s="5" t="s">
        <v>1330</v>
      </c>
      <c r="E3239" s="9" t="s">
        <v>465</v>
      </c>
      <c r="F3239" s="9">
        <v>112402</v>
      </c>
      <c r="G3239" s="57" t="s">
        <v>465</v>
      </c>
      <c r="J3239" s="5" t="s">
        <v>3324</v>
      </c>
    </row>
    <row r="3240" spans="1:12" ht="25.5" x14ac:dyDescent="0.2">
      <c r="A3240" s="1" t="s">
        <v>4</v>
      </c>
      <c r="B3240" s="2" t="s">
        <v>415</v>
      </c>
      <c r="D3240" s="5" t="s">
        <v>590</v>
      </c>
      <c r="E3240" s="3">
        <v>106756</v>
      </c>
      <c r="F3240" s="3">
        <v>112380</v>
      </c>
      <c r="G3240" s="57">
        <v>5.2680879763198324E-2</v>
      </c>
      <c r="J3240" s="5" t="s">
        <v>2361</v>
      </c>
    </row>
    <row r="3241" spans="1:12" ht="25.5" x14ac:dyDescent="0.2">
      <c r="A3241" s="1" t="s">
        <v>4</v>
      </c>
      <c r="B3241" s="2" t="s">
        <v>239</v>
      </c>
      <c r="D3241" s="5" t="s">
        <v>1219</v>
      </c>
      <c r="E3241" s="3">
        <v>108561</v>
      </c>
      <c r="F3241" s="3">
        <v>112308</v>
      </c>
      <c r="G3241" s="57">
        <v>3.4515157376958573E-2</v>
      </c>
      <c r="J3241" s="5" t="s">
        <v>3179</v>
      </c>
    </row>
    <row r="3242" spans="1:12" ht="25.5" x14ac:dyDescent="0.2">
      <c r="A3242" s="1" t="s">
        <v>34</v>
      </c>
      <c r="B3242" s="2" t="s">
        <v>241</v>
      </c>
      <c r="D3242" s="5" t="s">
        <v>450</v>
      </c>
      <c r="E3242" s="3" t="s">
        <v>465</v>
      </c>
      <c r="F3242" s="3">
        <v>112292</v>
      </c>
      <c r="G3242" s="57" t="s">
        <v>465</v>
      </c>
      <c r="J3242" s="5" t="s">
        <v>4667</v>
      </c>
    </row>
    <row r="3243" spans="1:12" ht="25.5" x14ac:dyDescent="0.2">
      <c r="A3243" s="1" t="s">
        <v>1</v>
      </c>
      <c r="B3243" s="2" t="s">
        <v>367</v>
      </c>
      <c r="C3243" s="5" t="s">
        <v>777</v>
      </c>
      <c r="D3243" s="5" t="s">
        <v>451</v>
      </c>
      <c r="E3243" s="3">
        <v>108806</v>
      </c>
      <c r="F3243" s="3">
        <v>112232</v>
      </c>
      <c r="G3243" s="57">
        <v>3.1487234159880889E-2</v>
      </c>
      <c r="J3243" s="5" t="s">
        <v>2583</v>
      </c>
    </row>
    <row r="3244" spans="1:12" ht="25.5" x14ac:dyDescent="0.2">
      <c r="A3244" s="1" t="s">
        <v>4</v>
      </c>
      <c r="B3244" s="2" t="s">
        <v>31</v>
      </c>
      <c r="C3244" s="1"/>
      <c r="D3244" s="5" t="s">
        <v>1734</v>
      </c>
      <c r="E3244" s="3">
        <v>112532</v>
      </c>
      <c r="F3244" s="3">
        <v>112173</v>
      </c>
      <c r="G3244" s="57">
        <v>-3.1902036753989975E-3</v>
      </c>
      <c r="J3244" s="7" t="s">
        <v>4126</v>
      </c>
    </row>
    <row r="3245" spans="1:12" ht="25.5" x14ac:dyDescent="0.2">
      <c r="A3245" s="1" t="s">
        <v>6</v>
      </c>
      <c r="B3245" s="12" t="s">
        <v>90</v>
      </c>
      <c r="C3245" s="13"/>
      <c r="D3245" s="7" t="s">
        <v>501</v>
      </c>
      <c r="E3245" s="6" t="s">
        <v>465</v>
      </c>
      <c r="F3245" s="6">
        <v>112168</v>
      </c>
      <c r="G3245" s="57" t="s">
        <v>465</v>
      </c>
      <c r="H3245" s="21"/>
      <c r="I3245" s="21"/>
      <c r="J3245" s="7" t="s">
        <v>2069</v>
      </c>
      <c r="K3245" s="13"/>
      <c r="L3245" s="13"/>
    </row>
    <row r="3246" spans="1:12" ht="25.5" x14ac:dyDescent="0.2">
      <c r="A3246" s="1" t="s">
        <v>34</v>
      </c>
      <c r="B3246" s="2" t="s">
        <v>275</v>
      </c>
      <c r="D3246" s="5" t="s">
        <v>883</v>
      </c>
      <c r="E3246" s="3" t="s">
        <v>465</v>
      </c>
      <c r="F3246" s="3">
        <v>112137</v>
      </c>
      <c r="G3246" s="57" t="s">
        <v>465</v>
      </c>
      <c r="J3246" s="5" t="s">
        <v>4379</v>
      </c>
    </row>
    <row r="3247" spans="1:12" ht="25.5" x14ac:dyDescent="0.2">
      <c r="A3247" s="1" t="s">
        <v>111</v>
      </c>
      <c r="B3247" s="2" t="s">
        <v>282</v>
      </c>
      <c r="C3247" s="5" t="s">
        <v>1066</v>
      </c>
      <c r="D3247" s="5" t="s">
        <v>1067</v>
      </c>
      <c r="E3247" s="9" t="s">
        <v>465</v>
      </c>
      <c r="F3247" s="3">
        <v>112126</v>
      </c>
      <c r="G3247" s="57" t="s">
        <v>465</v>
      </c>
      <c r="J3247" s="5" t="s">
        <v>2982</v>
      </c>
    </row>
    <row r="3248" spans="1:12" x14ac:dyDescent="0.2">
      <c r="A3248" s="1" t="s">
        <v>6</v>
      </c>
      <c r="B3248" s="12" t="s">
        <v>90</v>
      </c>
      <c r="C3248" s="13"/>
      <c r="D3248" s="7" t="s">
        <v>2070</v>
      </c>
      <c r="E3248" s="6" t="s">
        <v>465</v>
      </c>
      <c r="F3248" s="6">
        <v>112121</v>
      </c>
      <c r="G3248" s="57" t="s">
        <v>465</v>
      </c>
      <c r="H3248" s="21"/>
      <c r="I3248" s="21"/>
      <c r="J3248" s="7" t="s">
        <v>2071</v>
      </c>
      <c r="K3248" s="13"/>
      <c r="L3248" s="13"/>
    </row>
    <row r="3249" spans="1:12" x14ac:dyDescent="0.2">
      <c r="A3249" s="1" t="s">
        <v>6</v>
      </c>
      <c r="B3249" s="12" t="s">
        <v>85</v>
      </c>
      <c r="C3249" s="13"/>
      <c r="D3249" s="7" t="s">
        <v>2020</v>
      </c>
      <c r="E3249" s="6" t="s">
        <v>465</v>
      </c>
      <c r="F3249" s="6">
        <v>112093</v>
      </c>
      <c r="G3249" s="57" t="s">
        <v>465</v>
      </c>
      <c r="H3249" s="21"/>
      <c r="I3249" s="21"/>
      <c r="J3249" s="7" t="s">
        <v>2021</v>
      </c>
      <c r="K3249" s="13"/>
      <c r="L3249" s="13"/>
    </row>
    <row r="3250" spans="1:12" ht="25.5" x14ac:dyDescent="0.2">
      <c r="A3250" s="1" t="s">
        <v>25</v>
      </c>
      <c r="B3250" s="2" t="s">
        <v>379</v>
      </c>
      <c r="C3250" s="5" t="s">
        <v>720</v>
      </c>
      <c r="D3250" s="5" t="s">
        <v>450</v>
      </c>
      <c r="E3250" s="3">
        <v>204242</v>
      </c>
      <c r="F3250" s="3">
        <v>112035</v>
      </c>
      <c r="G3250" s="57">
        <v>-0.45145954309103908</v>
      </c>
      <c r="J3250" s="5" t="s">
        <v>2884</v>
      </c>
    </row>
    <row r="3251" spans="1:12" ht="25.5" x14ac:dyDescent="0.2">
      <c r="A3251" s="1" t="s">
        <v>8</v>
      </c>
      <c r="B3251" s="2" t="s">
        <v>211</v>
      </c>
      <c r="D3251" s="5" t="s">
        <v>455</v>
      </c>
      <c r="E3251" s="3" t="s">
        <v>465</v>
      </c>
      <c r="F3251" s="3">
        <v>112000</v>
      </c>
      <c r="G3251" s="57" t="s">
        <v>465</v>
      </c>
      <c r="J3251" s="5" t="s">
        <v>3351</v>
      </c>
    </row>
    <row r="3252" spans="1:12" ht="25.5" x14ac:dyDescent="0.2">
      <c r="A3252" s="1" t="s">
        <v>20</v>
      </c>
      <c r="B3252" s="2" t="s">
        <v>263</v>
      </c>
      <c r="C3252" s="5" t="s">
        <v>1157</v>
      </c>
      <c r="D3252" s="5" t="s">
        <v>604</v>
      </c>
      <c r="E3252" s="6" t="s">
        <v>465</v>
      </c>
      <c r="F3252" s="3">
        <v>112000</v>
      </c>
      <c r="G3252" s="57" t="s">
        <v>465</v>
      </c>
      <c r="J3252" s="5" t="s">
        <v>3076</v>
      </c>
    </row>
    <row r="3253" spans="1:12" ht="25.5" x14ac:dyDescent="0.2">
      <c r="A3253" s="1" t="s">
        <v>44</v>
      </c>
      <c r="B3253" s="2" t="s">
        <v>309</v>
      </c>
      <c r="D3253" s="5" t="s">
        <v>904</v>
      </c>
      <c r="E3253" s="3">
        <v>112000</v>
      </c>
      <c r="F3253" s="3">
        <v>112000</v>
      </c>
      <c r="G3253" s="57">
        <v>0</v>
      </c>
      <c r="J3253" s="5" t="s">
        <v>2822</v>
      </c>
    </row>
    <row r="3254" spans="1:12" ht="25.5" x14ac:dyDescent="0.2">
      <c r="A3254" s="1" t="s">
        <v>25</v>
      </c>
      <c r="B3254" s="2" t="s">
        <v>26</v>
      </c>
      <c r="C3254" s="1"/>
      <c r="D3254" s="5" t="s">
        <v>1718</v>
      </c>
      <c r="E3254" s="3" t="s">
        <v>465</v>
      </c>
      <c r="F3254" s="3">
        <v>111987</v>
      </c>
      <c r="G3254" s="57" t="s">
        <v>465</v>
      </c>
      <c r="J3254" s="5" t="s">
        <v>3677</v>
      </c>
      <c r="L3254" s="13"/>
    </row>
    <row r="3255" spans="1:12" ht="38.25" x14ac:dyDescent="0.2">
      <c r="A3255" s="1" t="s">
        <v>4</v>
      </c>
      <c r="B3255" s="2" t="s">
        <v>176</v>
      </c>
      <c r="D3255" s="5" t="s">
        <v>504</v>
      </c>
      <c r="E3255" s="9">
        <v>110104</v>
      </c>
      <c r="F3255" s="9">
        <v>111794</v>
      </c>
      <c r="G3255" s="57">
        <v>1.5349124464142992E-2</v>
      </c>
      <c r="J3255" s="5" t="s">
        <v>4646</v>
      </c>
    </row>
    <row r="3256" spans="1:12" ht="25.5" x14ac:dyDescent="0.2">
      <c r="A3256" s="1" t="s">
        <v>34</v>
      </c>
      <c r="B3256" s="2" t="s">
        <v>298</v>
      </c>
      <c r="D3256" s="5" t="s">
        <v>504</v>
      </c>
      <c r="E3256" s="3" t="s">
        <v>465</v>
      </c>
      <c r="F3256" s="3">
        <v>111674</v>
      </c>
      <c r="G3256" s="57" t="s">
        <v>465</v>
      </c>
      <c r="J3256" s="5" t="s">
        <v>2865</v>
      </c>
    </row>
    <row r="3257" spans="1:12" ht="25.5" x14ac:dyDescent="0.2">
      <c r="A3257" s="1" t="s">
        <v>34</v>
      </c>
      <c r="B3257" s="2" t="s">
        <v>382</v>
      </c>
      <c r="D3257" s="5" t="s">
        <v>713</v>
      </c>
      <c r="E3257" s="6">
        <v>111909</v>
      </c>
      <c r="F3257" s="3">
        <v>111638</v>
      </c>
      <c r="G3257" s="57">
        <v>-2.4216104156055368E-3</v>
      </c>
      <c r="J3257" s="5" t="s">
        <v>4703</v>
      </c>
    </row>
    <row r="3258" spans="1:12" ht="25.5" x14ac:dyDescent="0.2">
      <c r="A3258" s="1" t="s">
        <v>4</v>
      </c>
      <c r="B3258" s="2" t="s">
        <v>172</v>
      </c>
      <c r="D3258" s="5" t="s">
        <v>1542</v>
      </c>
      <c r="E3258" s="9">
        <v>107505</v>
      </c>
      <c r="F3258" s="9">
        <v>111619</v>
      </c>
      <c r="G3258" s="57">
        <v>3.8267987535463469E-2</v>
      </c>
      <c r="J3258" s="5" t="s">
        <v>3595</v>
      </c>
    </row>
    <row r="3259" spans="1:12" ht="25.5" x14ac:dyDescent="0.2">
      <c r="A3259" s="1" t="s">
        <v>34</v>
      </c>
      <c r="B3259" s="2" t="s">
        <v>298</v>
      </c>
      <c r="D3259" s="5" t="s">
        <v>991</v>
      </c>
      <c r="E3259" s="3">
        <v>111131</v>
      </c>
      <c r="F3259" s="3">
        <v>111606</v>
      </c>
      <c r="G3259" s="57">
        <v>4.2742349119507606E-3</v>
      </c>
      <c r="J3259" s="5" t="s">
        <v>2863</v>
      </c>
    </row>
    <row r="3260" spans="1:12" ht="25.5" x14ac:dyDescent="0.2">
      <c r="A3260" s="1" t="s">
        <v>25</v>
      </c>
      <c r="B3260" s="2" t="s">
        <v>379</v>
      </c>
      <c r="D3260" s="5" t="s">
        <v>724</v>
      </c>
      <c r="E3260" s="3">
        <v>111825</v>
      </c>
      <c r="F3260" s="3">
        <v>111597</v>
      </c>
      <c r="G3260" s="57">
        <v>-2.0389000670690814E-3</v>
      </c>
      <c r="J3260" s="5" t="s">
        <v>2522</v>
      </c>
    </row>
    <row r="3261" spans="1:12" ht="25.5" x14ac:dyDescent="0.2">
      <c r="A3261" s="1" t="s">
        <v>44</v>
      </c>
      <c r="B3261" s="2" t="s">
        <v>293</v>
      </c>
      <c r="D3261" s="5" t="s">
        <v>1011</v>
      </c>
      <c r="E3261" s="3">
        <v>127267</v>
      </c>
      <c r="F3261" s="3">
        <v>111471</v>
      </c>
      <c r="G3261" s="57">
        <v>-0.12411701383705123</v>
      </c>
      <c r="J3261" s="5" t="s">
        <v>2904</v>
      </c>
    </row>
    <row r="3262" spans="1:12" ht="25.5" x14ac:dyDescent="0.2">
      <c r="A3262" s="1" t="s">
        <v>4</v>
      </c>
      <c r="B3262" s="2" t="s">
        <v>199</v>
      </c>
      <c r="D3262" s="5" t="s">
        <v>1398</v>
      </c>
      <c r="E3262" s="9">
        <v>106665</v>
      </c>
      <c r="F3262" s="9">
        <v>111465</v>
      </c>
      <c r="G3262" s="57">
        <v>4.5000703135986503E-2</v>
      </c>
      <c r="J3262" s="5" t="s">
        <v>3422</v>
      </c>
    </row>
    <row r="3263" spans="1:12" ht="25.5" x14ac:dyDescent="0.2">
      <c r="A3263" s="1" t="s">
        <v>1</v>
      </c>
      <c r="B3263" s="12" t="s">
        <v>420</v>
      </c>
      <c r="C3263" s="5" t="s">
        <v>3603</v>
      </c>
      <c r="D3263" s="5" t="s">
        <v>4556</v>
      </c>
      <c r="E3263" s="9">
        <v>98604</v>
      </c>
      <c r="F3263" s="9">
        <v>111455</v>
      </c>
      <c r="G3263" s="57">
        <v>0.13032939840168756</v>
      </c>
      <c r="J3263" s="5" t="s">
        <v>4557</v>
      </c>
    </row>
    <row r="3264" spans="1:12" ht="25.5" x14ac:dyDescent="0.2">
      <c r="A3264" s="1" t="s">
        <v>20</v>
      </c>
      <c r="B3264" s="2" t="s">
        <v>393</v>
      </c>
      <c r="D3264" s="5" t="s">
        <v>685</v>
      </c>
      <c r="E3264" s="3">
        <v>111756</v>
      </c>
      <c r="F3264" s="3">
        <v>111450</v>
      </c>
      <c r="G3264" s="57">
        <v>-2.7381080210458499E-3</v>
      </c>
      <c r="J3264" s="5" t="s">
        <v>2471</v>
      </c>
    </row>
    <row r="3265" spans="1:12" ht="25.5" x14ac:dyDescent="0.2">
      <c r="A3265" s="1" t="s">
        <v>4</v>
      </c>
      <c r="B3265" s="2" t="s">
        <v>429</v>
      </c>
      <c r="D3265" s="5" t="s">
        <v>519</v>
      </c>
      <c r="E3265" s="3">
        <v>90377</v>
      </c>
      <c r="F3265" s="3">
        <v>111448</v>
      </c>
      <c r="G3265" s="57">
        <v>0.23314560120384611</v>
      </c>
      <c r="J3265" s="5" t="s">
        <v>2310</v>
      </c>
    </row>
    <row r="3266" spans="1:12" ht="25.5" x14ac:dyDescent="0.2">
      <c r="A3266" s="1" t="s">
        <v>4</v>
      </c>
      <c r="B3266" s="2" t="s">
        <v>432</v>
      </c>
      <c r="C3266" s="5" t="s">
        <v>502</v>
      </c>
      <c r="D3266" s="5" t="s">
        <v>503</v>
      </c>
      <c r="E3266" s="3">
        <v>118001</v>
      </c>
      <c r="F3266" s="3">
        <v>111367</v>
      </c>
      <c r="G3266" s="57">
        <v>-5.6219862543537766E-2</v>
      </c>
      <c r="J3266" s="5" t="s">
        <v>2292</v>
      </c>
    </row>
    <row r="3267" spans="1:12" ht="25.5" x14ac:dyDescent="0.2">
      <c r="A3267" s="1" t="s">
        <v>28</v>
      </c>
      <c r="B3267" s="2" t="s">
        <v>213</v>
      </c>
      <c r="D3267" s="5" t="s">
        <v>1332</v>
      </c>
      <c r="E3267" s="9">
        <v>110352</v>
      </c>
      <c r="F3267" s="9">
        <v>111344</v>
      </c>
      <c r="G3267" s="57">
        <v>8.989415687980281E-3</v>
      </c>
      <c r="J3267" s="5" t="s">
        <v>3326</v>
      </c>
    </row>
    <row r="3268" spans="1:12" ht="25.5" x14ac:dyDescent="0.2">
      <c r="A3268" s="1" t="s">
        <v>39</v>
      </c>
      <c r="B3268" s="2" t="s">
        <v>354</v>
      </c>
      <c r="D3268" s="5" t="s">
        <v>450</v>
      </c>
      <c r="E3268" s="3">
        <v>104831</v>
      </c>
      <c r="F3268" s="3">
        <v>111300</v>
      </c>
      <c r="G3268" s="57">
        <v>6.1708845665881279E-2</v>
      </c>
      <c r="J3268" s="5" t="s">
        <v>2666</v>
      </c>
    </row>
    <row r="3269" spans="1:12" x14ac:dyDescent="0.2">
      <c r="A3269" s="1" t="s">
        <v>25</v>
      </c>
      <c r="B3269" s="12" t="s">
        <v>70</v>
      </c>
      <c r="C3269" s="13"/>
      <c r="D3269" s="7" t="s">
        <v>1936</v>
      </c>
      <c r="E3269" s="21">
        <v>111519</v>
      </c>
      <c r="F3269" s="21">
        <v>111235</v>
      </c>
      <c r="G3269" s="57">
        <v>-2.5466512432858975E-3</v>
      </c>
      <c r="H3269" s="21"/>
      <c r="I3269" s="21"/>
      <c r="J3269" s="7" t="s">
        <v>1937</v>
      </c>
      <c r="K3269" s="13"/>
      <c r="L3269" s="13"/>
    </row>
    <row r="3270" spans="1:12" x14ac:dyDescent="0.2">
      <c r="A3270" s="1" t="s">
        <v>25</v>
      </c>
      <c r="B3270" s="12" t="s">
        <v>197</v>
      </c>
      <c r="D3270" s="5" t="s">
        <v>546</v>
      </c>
      <c r="E3270" s="9">
        <v>106715</v>
      </c>
      <c r="F3270" s="9">
        <v>111232</v>
      </c>
      <c r="G3270" s="57">
        <v>4.2327695263083914E-2</v>
      </c>
      <c r="J3270" s="5" t="s">
        <v>3437</v>
      </c>
    </row>
    <row r="3271" spans="1:12" ht="25.5" x14ac:dyDescent="0.2">
      <c r="A3271" s="1" t="s">
        <v>20</v>
      </c>
      <c r="B3271" s="2" t="s">
        <v>109</v>
      </c>
      <c r="C3271" s="1"/>
      <c r="D3271" s="5" t="s">
        <v>2169</v>
      </c>
      <c r="E3271" s="3" t="s">
        <v>465</v>
      </c>
      <c r="F3271" s="3">
        <v>111224</v>
      </c>
      <c r="G3271" s="57" t="s">
        <v>465</v>
      </c>
      <c r="J3271" s="5" t="s">
        <v>3878</v>
      </c>
    </row>
    <row r="3272" spans="1:12" ht="38.25" x14ac:dyDescent="0.2">
      <c r="A3272" s="1" t="s">
        <v>111</v>
      </c>
      <c r="B3272" s="2" t="s">
        <v>282</v>
      </c>
      <c r="D3272" s="5" t="s">
        <v>1068</v>
      </c>
      <c r="E3272" s="9">
        <v>163148</v>
      </c>
      <c r="F3272" s="3">
        <v>111218</v>
      </c>
      <c r="G3272" s="57">
        <v>-0.31829994851300658</v>
      </c>
      <c r="J3272" s="5" t="s">
        <v>4386</v>
      </c>
    </row>
    <row r="3273" spans="1:12" ht="38.25" x14ac:dyDescent="0.2">
      <c r="A3273" s="1" t="s">
        <v>28</v>
      </c>
      <c r="B3273" s="2" t="s">
        <v>213</v>
      </c>
      <c r="D3273" s="5" t="s">
        <v>1331</v>
      </c>
      <c r="E3273" s="9">
        <v>102310</v>
      </c>
      <c r="F3273" s="9">
        <v>111207</v>
      </c>
      <c r="G3273" s="57">
        <v>8.6961196363991786E-2</v>
      </c>
      <c r="J3273" s="5" t="s">
        <v>3325</v>
      </c>
    </row>
    <row r="3274" spans="1:12" ht="38.25" x14ac:dyDescent="0.2">
      <c r="A3274" s="1" t="s">
        <v>34</v>
      </c>
      <c r="B3274" s="2" t="s">
        <v>338</v>
      </c>
      <c r="D3274" s="5" t="s">
        <v>666</v>
      </c>
      <c r="E3274" s="3">
        <v>139672.71</v>
      </c>
      <c r="F3274" s="3">
        <v>111159.01</v>
      </c>
      <c r="G3274" s="57">
        <v>-0.20414653657110254</v>
      </c>
      <c r="J3274" s="5" t="s">
        <v>2723</v>
      </c>
    </row>
    <row r="3275" spans="1:12" ht="25.5" x14ac:dyDescent="0.2">
      <c r="A3275" s="1" t="s">
        <v>8</v>
      </c>
      <c r="B3275" s="2" t="s">
        <v>113</v>
      </c>
      <c r="C3275" s="1"/>
      <c r="D3275" s="5" t="s">
        <v>529</v>
      </c>
      <c r="E3275" s="3" t="s">
        <v>465</v>
      </c>
      <c r="F3275" s="3">
        <v>111133</v>
      </c>
      <c r="G3275" s="57" t="s">
        <v>465</v>
      </c>
      <c r="J3275" s="5" t="s">
        <v>4268</v>
      </c>
    </row>
    <row r="3276" spans="1:12" ht="25.5" x14ac:dyDescent="0.2">
      <c r="A3276" s="1" t="s">
        <v>28</v>
      </c>
      <c r="B3276" s="2" t="s">
        <v>213</v>
      </c>
      <c r="D3276" s="5" t="s">
        <v>1333</v>
      </c>
      <c r="E3276" s="9">
        <v>110165</v>
      </c>
      <c r="F3276" s="9">
        <v>111003</v>
      </c>
      <c r="G3276" s="57">
        <v>7.6067716606907816E-3</v>
      </c>
      <c r="J3276" s="5" t="s">
        <v>3327</v>
      </c>
    </row>
    <row r="3277" spans="1:12" x14ac:dyDescent="0.2">
      <c r="A3277" s="1" t="s">
        <v>6</v>
      </c>
      <c r="B3277" s="2" t="s">
        <v>29</v>
      </c>
      <c r="C3277" s="1"/>
      <c r="D3277" s="5" t="s">
        <v>450</v>
      </c>
      <c r="E3277" s="3">
        <v>110000</v>
      </c>
      <c r="F3277" s="3">
        <v>111000</v>
      </c>
      <c r="G3277" s="57">
        <v>9.0909090909090905E-3</v>
      </c>
      <c r="J3277" s="7" t="s">
        <v>4116</v>
      </c>
    </row>
    <row r="3278" spans="1:12" ht="25.5" x14ac:dyDescent="0.2">
      <c r="A3278" s="1" t="s">
        <v>6</v>
      </c>
      <c r="B3278" s="2" t="s">
        <v>41</v>
      </c>
      <c r="C3278" s="1"/>
      <c r="D3278" s="5" t="s">
        <v>4604</v>
      </c>
      <c r="E3278" s="3">
        <v>119000</v>
      </c>
      <c r="F3278" s="6">
        <v>111000</v>
      </c>
      <c r="G3278" s="57">
        <v>-6.7226890756302518E-2</v>
      </c>
      <c r="J3278" s="5" t="s">
        <v>1779</v>
      </c>
    </row>
    <row r="3279" spans="1:12" ht="25.5" x14ac:dyDescent="0.2">
      <c r="A3279" s="1" t="s">
        <v>4</v>
      </c>
      <c r="B3279" s="2" t="s">
        <v>307</v>
      </c>
      <c r="D3279" s="5" t="s">
        <v>944</v>
      </c>
      <c r="E3279" s="3">
        <v>104000</v>
      </c>
      <c r="F3279" s="3">
        <v>111000</v>
      </c>
      <c r="G3279" s="57">
        <v>6.7307692307692304E-2</v>
      </c>
      <c r="J3279" s="5" t="s">
        <v>2824</v>
      </c>
    </row>
    <row r="3280" spans="1:12" x14ac:dyDescent="0.2">
      <c r="A3280" s="1" t="s">
        <v>44</v>
      </c>
      <c r="B3280" s="2" t="s">
        <v>309</v>
      </c>
      <c r="D3280" s="5" t="s">
        <v>948</v>
      </c>
      <c r="E3280" s="3">
        <v>111000</v>
      </c>
      <c r="F3280" s="3">
        <v>111000</v>
      </c>
      <c r="G3280" s="57">
        <v>0</v>
      </c>
      <c r="J3280" s="5" t="s">
        <v>2821</v>
      </c>
    </row>
    <row r="3281" spans="1:12" x14ac:dyDescent="0.2">
      <c r="A3281" s="1" t="s">
        <v>44</v>
      </c>
      <c r="B3281" s="2" t="s">
        <v>309</v>
      </c>
      <c r="D3281" s="5" t="s">
        <v>949</v>
      </c>
      <c r="E3281" s="3">
        <v>111000</v>
      </c>
      <c r="F3281" s="3">
        <v>111000</v>
      </c>
      <c r="G3281" s="57">
        <v>0</v>
      </c>
      <c r="J3281" s="5" t="s">
        <v>2821</v>
      </c>
    </row>
    <row r="3282" spans="1:12" ht="25.5" x14ac:dyDescent="0.2">
      <c r="A3282" s="1" t="s">
        <v>28</v>
      </c>
      <c r="B3282" s="2" t="s">
        <v>213</v>
      </c>
      <c r="D3282" s="5" t="s">
        <v>1334</v>
      </c>
      <c r="E3282" s="9">
        <v>97666</v>
      </c>
      <c r="F3282" s="9">
        <v>110934</v>
      </c>
      <c r="G3282" s="57">
        <v>0.13585075666045501</v>
      </c>
      <c r="J3282" s="5" t="s">
        <v>3328</v>
      </c>
    </row>
    <row r="3283" spans="1:12" ht="25.5" x14ac:dyDescent="0.2">
      <c r="A3283" s="1" t="s">
        <v>1</v>
      </c>
      <c r="B3283" s="2" t="s">
        <v>2</v>
      </c>
      <c r="C3283" s="1" t="s">
        <v>1677</v>
      </c>
      <c r="D3283" s="5" t="s">
        <v>451</v>
      </c>
      <c r="E3283" s="3">
        <v>22282</v>
      </c>
      <c r="F3283" s="3">
        <v>110906</v>
      </c>
      <c r="G3283" s="57">
        <v>3.9773808455255364</v>
      </c>
      <c r="J3283" s="5" t="s">
        <v>4078</v>
      </c>
    </row>
    <row r="3284" spans="1:12" ht="25.5" x14ac:dyDescent="0.2">
      <c r="A3284" s="1" t="s">
        <v>20</v>
      </c>
      <c r="B3284" s="2" t="s">
        <v>374</v>
      </c>
      <c r="C3284" s="5" t="s">
        <v>756</v>
      </c>
      <c r="D3284" s="5" t="s">
        <v>757</v>
      </c>
      <c r="E3284" s="3">
        <v>110558</v>
      </c>
      <c r="F3284" s="3">
        <v>110889</v>
      </c>
      <c r="G3284" s="57">
        <v>2.9939036523815555E-3</v>
      </c>
      <c r="J3284" s="5" t="s">
        <v>2546</v>
      </c>
    </row>
    <row r="3285" spans="1:12" ht="25.5" x14ac:dyDescent="0.2">
      <c r="A3285" s="1" t="s">
        <v>28</v>
      </c>
      <c r="B3285" s="2" t="s">
        <v>213</v>
      </c>
      <c r="D3285" s="5" t="s">
        <v>740</v>
      </c>
      <c r="E3285" s="9">
        <v>103928</v>
      </c>
      <c r="F3285" s="9">
        <v>110844</v>
      </c>
      <c r="G3285" s="57">
        <v>6.6546070356400588E-2</v>
      </c>
      <c r="J3285" s="5" t="s">
        <v>3330</v>
      </c>
    </row>
    <row r="3286" spans="1:12" ht="25.5" x14ac:dyDescent="0.2">
      <c r="A3286" s="1" t="s">
        <v>39</v>
      </c>
      <c r="B3286" s="2" t="s">
        <v>286</v>
      </c>
      <c r="D3286" s="5" t="s">
        <v>1046</v>
      </c>
      <c r="E3286" s="3">
        <v>49080</v>
      </c>
      <c r="F3286" s="3">
        <v>110829</v>
      </c>
      <c r="G3286" s="57">
        <v>1.2581295843520783</v>
      </c>
      <c r="J3286" s="5" t="s">
        <v>2958</v>
      </c>
    </row>
    <row r="3287" spans="1:12" x14ac:dyDescent="0.2">
      <c r="A3287" s="13" t="s">
        <v>20</v>
      </c>
      <c r="B3287" s="2" t="s">
        <v>52</v>
      </c>
      <c r="C3287" s="1"/>
      <c r="D3287" s="5" t="s">
        <v>455</v>
      </c>
      <c r="E3287" s="3">
        <v>105862</v>
      </c>
      <c r="F3287" s="3">
        <v>110700</v>
      </c>
      <c r="G3287" s="57">
        <v>4.5701006971340045E-2</v>
      </c>
      <c r="J3287" s="5" t="s">
        <v>1832</v>
      </c>
    </row>
    <row r="3288" spans="1:12" ht="25.5" x14ac:dyDescent="0.2">
      <c r="A3288" s="1" t="s">
        <v>4</v>
      </c>
      <c r="B3288" s="2" t="s">
        <v>206</v>
      </c>
      <c r="D3288" s="5" t="s">
        <v>4655</v>
      </c>
      <c r="E3288" s="9">
        <v>109623</v>
      </c>
      <c r="F3288" s="9">
        <v>110644</v>
      </c>
      <c r="G3288" s="57">
        <v>9.313738905156764E-3</v>
      </c>
      <c r="J3288" s="5" t="s">
        <v>3395</v>
      </c>
    </row>
    <row r="3289" spans="1:12" ht="25.5" x14ac:dyDescent="0.2">
      <c r="A3289" s="13" t="s">
        <v>34</v>
      </c>
      <c r="B3289" s="12" t="s">
        <v>48</v>
      </c>
      <c r="C3289" s="13"/>
      <c r="D3289" s="7" t="s">
        <v>3739</v>
      </c>
      <c r="E3289" s="6">
        <v>88902</v>
      </c>
      <c r="F3289" s="6">
        <v>110609</v>
      </c>
      <c r="G3289" s="57">
        <v>0.24416773525904928</v>
      </c>
      <c r="H3289" s="21"/>
      <c r="I3289" s="21"/>
      <c r="J3289" s="7" t="s">
        <v>3740</v>
      </c>
      <c r="K3289" s="13"/>
      <c r="L3289" s="13"/>
    </row>
    <row r="3290" spans="1:12" ht="25.5" x14ac:dyDescent="0.2">
      <c r="A3290" s="1" t="s">
        <v>20</v>
      </c>
      <c r="B3290" s="2" t="s">
        <v>263</v>
      </c>
      <c r="C3290" s="5" t="s">
        <v>1159</v>
      </c>
      <c r="D3290" s="5" t="s">
        <v>1160</v>
      </c>
      <c r="E3290" s="3">
        <v>114200</v>
      </c>
      <c r="F3290" s="3">
        <v>110600</v>
      </c>
      <c r="G3290" s="57">
        <v>-3.1523642732049037E-2</v>
      </c>
      <c r="J3290" s="5" t="s">
        <v>3078</v>
      </c>
    </row>
    <row r="3291" spans="1:12" ht="25.5" x14ac:dyDescent="0.2">
      <c r="A3291" s="13" t="s">
        <v>1</v>
      </c>
      <c r="B3291" s="12" t="s">
        <v>9</v>
      </c>
      <c r="C3291" s="13" t="s">
        <v>2239</v>
      </c>
      <c r="D3291" s="7" t="s">
        <v>451</v>
      </c>
      <c r="E3291" s="6">
        <v>108097</v>
      </c>
      <c r="F3291" s="6">
        <v>110585</v>
      </c>
      <c r="G3291" s="57">
        <v>2.3016364931496711E-2</v>
      </c>
      <c r="H3291" s="21"/>
      <c r="I3291" s="21"/>
      <c r="J3291" s="7" t="s">
        <v>2243</v>
      </c>
      <c r="K3291" s="13"/>
      <c r="L3291" s="13"/>
    </row>
    <row r="3292" spans="1:12" ht="25.5" x14ac:dyDescent="0.2">
      <c r="A3292" s="1" t="s">
        <v>20</v>
      </c>
      <c r="B3292" s="2" t="s">
        <v>137</v>
      </c>
      <c r="C3292" s="1"/>
      <c r="D3292" s="5" t="s">
        <v>454</v>
      </c>
      <c r="E3292" s="3">
        <v>110571</v>
      </c>
      <c r="F3292" s="3">
        <v>110530</v>
      </c>
      <c r="G3292" s="57">
        <v>-3.7080247081061038E-4</v>
      </c>
      <c r="J3292" s="5" t="s">
        <v>3963</v>
      </c>
    </row>
    <row r="3293" spans="1:12" ht="25.5" x14ac:dyDescent="0.2">
      <c r="A3293" s="1" t="s">
        <v>6</v>
      </c>
      <c r="B3293" s="2" t="s">
        <v>108</v>
      </c>
      <c r="C3293" s="1" t="s">
        <v>2181</v>
      </c>
      <c r="D3293" s="5" t="s">
        <v>2182</v>
      </c>
      <c r="E3293" s="3">
        <v>106572</v>
      </c>
      <c r="F3293" s="3">
        <v>110511</v>
      </c>
      <c r="G3293" s="57">
        <v>3.6960927823443304E-2</v>
      </c>
      <c r="J3293" s="5" t="s">
        <v>3871</v>
      </c>
    </row>
    <row r="3294" spans="1:12" ht="51" x14ac:dyDescent="0.2">
      <c r="A3294" s="1" t="s">
        <v>4</v>
      </c>
      <c r="B3294" s="2" t="s">
        <v>171</v>
      </c>
      <c r="D3294" s="5" t="s">
        <v>1547</v>
      </c>
      <c r="E3294" s="3" t="s">
        <v>465</v>
      </c>
      <c r="F3294" s="3">
        <v>110467</v>
      </c>
      <c r="G3294" s="57" t="s">
        <v>465</v>
      </c>
      <c r="J3294" s="5" t="s">
        <v>3598</v>
      </c>
    </row>
    <row r="3295" spans="1:12" ht="25.5" x14ac:dyDescent="0.2">
      <c r="A3295" s="1" t="s">
        <v>4</v>
      </c>
      <c r="B3295" s="2" t="s">
        <v>319</v>
      </c>
      <c r="D3295" s="5" t="s">
        <v>450</v>
      </c>
      <c r="E3295" s="3">
        <v>64400</v>
      </c>
      <c r="F3295" s="3">
        <v>110400</v>
      </c>
      <c r="G3295" s="57">
        <v>0.7142857142857143</v>
      </c>
      <c r="J3295" s="5" t="s">
        <v>4416</v>
      </c>
    </row>
    <row r="3296" spans="1:12" ht="25.5" x14ac:dyDescent="0.2">
      <c r="A3296" s="1" t="s">
        <v>111</v>
      </c>
      <c r="B3296" s="2" t="s">
        <v>355</v>
      </c>
      <c r="D3296" s="5" t="s">
        <v>835</v>
      </c>
      <c r="E3296" s="3">
        <v>109380</v>
      </c>
      <c r="F3296" s="3">
        <v>110364</v>
      </c>
      <c r="G3296" s="57">
        <v>8.9961601755348328E-3</v>
      </c>
      <c r="J3296" s="5" t="s">
        <v>2665</v>
      </c>
    </row>
    <row r="3297" spans="1:12" ht="25.5" x14ac:dyDescent="0.2">
      <c r="A3297" s="1" t="s">
        <v>8</v>
      </c>
      <c r="B3297" s="2" t="s">
        <v>138</v>
      </c>
      <c r="C3297" s="1"/>
      <c r="D3297" s="5" t="s">
        <v>759</v>
      </c>
      <c r="E3297" s="3">
        <v>100401</v>
      </c>
      <c r="F3297" s="3">
        <v>110349</v>
      </c>
      <c r="G3297" s="57">
        <v>9.908267845937789E-2</v>
      </c>
      <c r="J3297" s="5" t="s">
        <v>3966</v>
      </c>
    </row>
    <row r="3298" spans="1:12" ht="25.5" x14ac:dyDescent="0.2">
      <c r="A3298" s="13" t="s">
        <v>1</v>
      </c>
      <c r="B3298" s="2" t="s">
        <v>156</v>
      </c>
      <c r="C3298" s="1" t="s">
        <v>1604</v>
      </c>
      <c r="D3298" s="5" t="s">
        <v>855</v>
      </c>
      <c r="E3298" s="3">
        <v>107274</v>
      </c>
      <c r="F3298" s="3">
        <v>110349</v>
      </c>
      <c r="G3298" s="57">
        <v>2.8664914145086415E-2</v>
      </c>
      <c r="J3298" s="5" t="s">
        <v>4025</v>
      </c>
    </row>
    <row r="3299" spans="1:12" ht="25.5" x14ac:dyDescent="0.2">
      <c r="A3299" s="13" t="s">
        <v>1</v>
      </c>
      <c r="B3299" s="2" t="s">
        <v>156</v>
      </c>
      <c r="C3299" s="1" t="s">
        <v>4026</v>
      </c>
      <c r="D3299" s="5" t="s">
        <v>2600</v>
      </c>
      <c r="E3299" s="3">
        <v>107234</v>
      </c>
      <c r="F3299" s="3">
        <v>110349</v>
      </c>
      <c r="G3299" s="57">
        <v>2.9048622638342316E-2</v>
      </c>
      <c r="J3299" s="5" t="s">
        <v>4025</v>
      </c>
    </row>
    <row r="3300" spans="1:12" ht="25.5" x14ac:dyDescent="0.2">
      <c r="A3300" s="13" t="s">
        <v>1</v>
      </c>
      <c r="B3300" s="2" t="s">
        <v>156</v>
      </c>
      <c r="C3300" s="1" t="s">
        <v>1608</v>
      </c>
      <c r="D3300" s="5" t="s">
        <v>1609</v>
      </c>
      <c r="E3300" s="3">
        <v>117274</v>
      </c>
      <c r="F3300" s="3">
        <v>110349</v>
      </c>
      <c r="G3300" s="57">
        <v>-5.9049746746934528E-2</v>
      </c>
      <c r="J3300" s="5" t="s">
        <v>2186</v>
      </c>
    </row>
    <row r="3301" spans="1:12" ht="25.5" x14ac:dyDescent="0.2">
      <c r="A3301" s="13" t="s">
        <v>1</v>
      </c>
      <c r="B3301" s="2" t="s">
        <v>156</v>
      </c>
      <c r="C3301" s="1" t="s">
        <v>1610</v>
      </c>
      <c r="D3301" s="5" t="s">
        <v>1611</v>
      </c>
      <c r="E3301" s="3">
        <v>107274</v>
      </c>
      <c r="F3301" s="3">
        <v>110349</v>
      </c>
      <c r="G3301" s="57">
        <v>2.8664914145086415E-2</v>
      </c>
      <c r="J3301" s="5" t="s">
        <v>2185</v>
      </c>
    </row>
    <row r="3302" spans="1:12" ht="25.5" x14ac:dyDescent="0.2">
      <c r="A3302" s="1" t="s">
        <v>4</v>
      </c>
      <c r="B3302" s="2" t="s">
        <v>255</v>
      </c>
      <c r="D3302" s="5" t="s">
        <v>529</v>
      </c>
      <c r="E3302" s="3" t="s">
        <v>465</v>
      </c>
      <c r="F3302" s="3">
        <v>110197</v>
      </c>
      <c r="G3302" s="57" t="s">
        <v>465</v>
      </c>
      <c r="J3302" s="5" t="s">
        <v>3105</v>
      </c>
    </row>
    <row r="3303" spans="1:12" ht="38.25" x14ac:dyDescent="0.2">
      <c r="A3303" s="1" t="s">
        <v>44</v>
      </c>
      <c r="B3303" s="2" t="s">
        <v>381</v>
      </c>
      <c r="D3303" s="5" t="s">
        <v>718</v>
      </c>
      <c r="E3303" s="3">
        <v>84229</v>
      </c>
      <c r="F3303" s="3">
        <v>110163</v>
      </c>
      <c r="G3303" s="57">
        <v>0.30789870472165171</v>
      </c>
      <c r="J3303" s="5" t="s">
        <v>2512</v>
      </c>
    </row>
    <row r="3304" spans="1:12" ht="38.25" x14ac:dyDescent="0.2">
      <c r="A3304" s="13" t="s">
        <v>34</v>
      </c>
      <c r="B3304" s="12" t="s">
        <v>416</v>
      </c>
      <c r="C3304" s="7"/>
      <c r="D3304" s="7" t="s">
        <v>4543</v>
      </c>
      <c r="E3304" s="6">
        <v>137295</v>
      </c>
      <c r="F3304" s="6">
        <v>110162</v>
      </c>
      <c r="G3304" s="57">
        <v>-0.19762555082122438</v>
      </c>
      <c r="H3304" s="21"/>
      <c r="I3304" s="21"/>
      <c r="J3304" s="7" t="s">
        <v>4544</v>
      </c>
      <c r="K3304" s="13"/>
      <c r="L3304" s="13"/>
    </row>
    <row r="3305" spans="1:12" ht="25.5" x14ac:dyDescent="0.2">
      <c r="A3305" s="1" t="s">
        <v>20</v>
      </c>
      <c r="B3305" s="2" t="s">
        <v>19</v>
      </c>
      <c r="C3305" s="1"/>
      <c r="D3305" s="5" t="s">
        <v>455</v>
      </c>
      <c r="E3305" s="3">
        <v>113645</v>
      </c>
      <c r="F3305" s="3">
        <v>110154</v>
      </c>
      <c r="G3305" s="57">
        <v>-3.0718465396629858E-2</v>
      </c>
      <c r="J3305" s="5" t="s">
        <v>3655</v>
      </c>
    </row>
    <row r="3306" spans="1:12" ht="38.25" x14ac:dyDescent="0.2">
      <c r="A3306" s="1" t="s">
        <v>39</v>
      </c>
      <c r="B3306" s="2" t="s">
        <v>370</v>
      </c>
      <c r="D3306" s="5" t="s">
        <v>520</v>
      </c>
      <c r="E3306" s="3">
        <v>103214</v>
      </c>
      <c r="F3306" s="3">
        <v>110141</v>
      </c>
      <c r="G3306" s="57">
        <v>6.7112988548065189E-2</v>
      </c>
      <c r="J3306" s="5" t="s">
        <v>2562</v>
      </c>
    </row>
    <row r="3307" spans="1:12" ht="25.5" x14ac:dyDescent="0.2">
      <c r="A3307" s="1" t="s">
        <v>1</v>
      </c>
      <c r="B3307" s="2" t="s">
        <v>141</v>
      </c>
      <c r="C3307" s="1" t="s">
        <v>1654</v>
      </c>
      <c r="D3307" s="5" t="s">
        <v>507</v>
      </c>
      <c r="E3307" s="3">
        <v>107967</v>
      </c>
      <c r="F3307" s="3">
        <v>110117</v>
      </c>
      <c r="G3307" s="57">
        <v>1.9913492085544656E-2</v>
      </c>
      <c r="J3307" s="5" t="s">
        <v>3978</v>
      </c>
    </row>
    <row r="3308" spans="1:12" ht="25.5" x14ac:dyDescent="0.2">
      <c r="A3308" s="1" t="s">
        <v>6</v>
      </c>
      <c r="B3308" s="2" t="s">
        <v>42</v>
      </c>
      <c r="C3308" s="1"/>
      <c r="D3308" s="5" t="s">
        <v>463</v>
      </c>
      <c r="E3308" s="3" t="s">
        <v>465</v>
      </c>
      <c r="F3308" s="3">
        <v>110116</v>
      </c>
      <c r="G3308" s="57" t="s">
        <v>465</v>
      </c>
      <c r="J3308" s="5" t="s">
        <v>3719</v>
      </c>
    </row>
    <row r="3309" spans="1:12" ht="25.5" x14ac:dyDescent="0.2">
      <c r="A3309" s="1" t="s">
        <v>28</v>
      </c>
      <c r="B3309" s="2" t="s">
        <v>312</v>
      </c>
      <c r="D3309" s="5" t="s">
        <v>455</v>
      </c>
      <c r="E3309" s="3">
        <v>111741</v>
      </c>
      <c r="F3309" s="3">
        <v>110026</v>
      </c>
      <c r="G3309" s="57">
        <v>-1.5347992232036584E-2</v>
      </c>
      <c r="J3309" s="5" t="s">
        <v>2807</v>
      </c>
    </row>
    <row r="3310" spans="1:12" ht="25.5" x14ac:dyDescent="0.2">
      <c r="A3310" s="1" t="s">
        <v>6</v>
      </c>
      <c r="B3310" s="2" t="s">
        <v>288</v>
      </c>
      <c r="D3310" s="5" t="s">
        <v>1043</v>
      </c>
      <c r="E3310" s="3" t="s">
        <v>465</v>
      </c>
      <c r="F3310" s="3">
        <v>110000</v>
      </c>
      <c r="G3310" s="57" t="s">
        <v>465</v>
      </c>
      <c r="J3310" s="5" t="s">
        <v>4396</v>
      </c>
    </row>
    <row r="3311" spans="1:12" ht="38.25" x14ac:dyDescent="0.2">
      <c r="A3311" s="1" t="s">
        <v>6</v>
      </c>
      <c r="B3311" s="2" t="s">
        <v>362</v>
      </c>
      <c r="D3311" s="5" t="s">
        <v>792</v>
      </c>
      <c r="E3311" s="3">
        <v>116000</v>
      </c>
      <c r="F3311" s="3">
        <v>110000</v>
      </c>
      <c r="G3311" s="57">
        <v>-5.1724137931034482E-2</v>
      </c>
      <c r="J3311" s="5" t="s">
        <v>2878</v>
      </c>
    </row>
    <row r="3312" spans="1:12" ht="38.25" x14ac:dyDescent="0.2">
      <c r="A3312" s="1" t="s">
        <v>6</v>
      </c>
      <c r="B3312" s="2" t="s">
        <v>368</v>
      </c>
      <c r="D3312" s="5" t="s">
        <v>775</v>
      </c>
      <c r="E3312" s="3" t="s">
        <v>465</v>
      </c>
      <c r="F3312" s="3">
        <v>110000</v>
      </c>
      <c r="G3312" s="57" t="s">
        <v>465</v>
      </c>
      <c r="J3312" s="5" t="s">
        <v>2879</v>
      </c>
    </row>
    <row r="3313" spans="1:12" ht="25.5" x14ac:dyDescent="0.2">
      <c r="A3313" s="1" t="s">
        <v>1</v>
      </c>
      <c r="B3313" s="2" t="s">
        <v>13</v>
      </c>
      <c r="C3313" s="1" t="s">
        <v>2244</v>
      </c>
      <c r="D3313" s="5" t="s">
        <v>1761</v>
      </c>
      <c r="E3313" s="3">
        <v>106564</v>
      </c>
      <c r="F3313" s="3">
        <v>109985</v>
      </c>
      <c r="G3313" s="57">
        <v>3.2102773919897902E-2</v>
      </c>
      <c r="J3313" s="5" t="s">
        <v>4598</v>
      </c>
    </row>
    <row r="3314" spans="1:12" ht="25.5" x14ac:dyDescent="0.2">
      <c r="A3314" s="1" t="s">
        <v>39</v>
      </c>
      <c r="B3314" s="2" t="s">
        <v>404</v>
      </c>
      <c r="D3314" s="5" t="s">
        <v>649</v>
      </c>
      <c r="E3314" s="3">
        <v>109049</v>
      </c>
      <c r="F3314" s="3">
        <v>109949</v>
      </c>
      <c r="G3314" s="57">
        <v>8.2531705930361573E-3</v>
      </c>
      <c r="J3314" s="5" t="s">
        <v>2422</v>
      </c>
    </row>
    <row r="3315" spans="1:12" ht="25.5" x14ac:dyDescent="0.2">
      <c r="A3315" s="1" t="s">
        <v>20</v>
      </c>
      <c r="B3315" s="2" t="s">
        <v>68</v>
      </c>
      <c r="C3315" s="1" t="s">
        <v>1900</v>
      </c>
      <c r="D3315" s="5" t="s">
        <v>463</v>
      </c>
      <c r="E3315" s="3">
        <v>109196</v>
      </c>
      <c r="F3315" s="3">
        <v>109946</v>
      </c>
      <c r="G3315" s="57">
        <v>6.868383457269497E-3</v>
      </c>
      <c r="J3315" s="5" t="s">
        <v>4207</v>
      </c>
    </row>
    <row r="3316" spans="1:12" ht="25.5" x14ac:dyDescent="0.2">
      <c r="A3316" s="1" t="s">
        <v>6</v>
      </c>
      <c r="B3316" s="2" t="s">
        <v>147</v>
      </c>
      <c r="C3316" s="1"/>
      <c r="D3316" s="5" t="s">
        <v>450</v>
      </c>
      <c r="E3316" s="3">
        <v>105601</v>
      </c>
      <c r="F3316" s="3">
        <v>109943</v>
      </c>
      <c r="G3316" s="57">
        <v>4.1117034876563666E-2</v>
      </c>
      <c r="J3316" s="5" t="s">
        <v>3993</v>
      </c>
    </row>
    <row r="3317" spans="1:12" ht="25.5" x14ac:dyDescent="0.2">
      <c r="A3317" s="1" t="s">
        <v>39</v>
      </c>
      <c r="B3317" s="2" t="s">
        <v>363</v>
      </c>
      <c r="D3317" s="5" t="s">
        <v>455</v>
      </c>
      <c r="E3317" s="3">
        <v>116850</v>
      </c>
      <c r="F3317" s="3">
        <v>109943</v>
      </c>
      <c r="G3317" s="57">
        <v>-5.9109970047068895E-2</v>
      </c>
      <c r="J3317" s="5" t="s">
        <v>2611</v>
      </c>
    </row>
    <row r="3318" spans="1:12" ht="25.5" x14ac:dyDescent="0.2">
      <c r="A3318" s="1" t="s">
        <v>1</v>
      </c>
      <c r="B3318" s="2" t="s">
        <v>139</v>
      </c>
      <c r="C3318" s="1" t="s">
        <v>1658</v>
      </c>
      <c r="D3318" s="5" t="s">
        <v>1011</v>
      </c>
      <c r="E3318" s="3">
        <v>105562</v>
      </c>
      <c r="F3318" s="3">
        <v>109938</v>
      </c>
      <c r="G3318" s="57">
        <v>4.1454311210473466E-2</v>
      </c>
      <c r="J3318" s="5" t="s">
        <v>3969</v>
      </c>
    </row>
    <row r="3319" spans="1:12" ht="25.5" x14ac:dyDescent="0.2">
      <c r="A3319" s="1" t="s">
        <v>20</v>
      </c>
      <c r="B3319" s="12" t="s">
        <v>68</v>
      </c>
      <c r="C3319" s="13" t="s">
        <v>1902</v>
      </c>
      <c r="D3319" s="7" t="s">
        <v>4204</v>
      </c>
      <c r="E3319" s="6">
        <v>104944</v>
      </c>
      <c r="F3319" s="6">
        <v>109921</v>
      </c>
      <c r="G3319" s="57">
        <v>4.7425293489861256E-2</v>
      </c>
      <c r="H3319" s="21"/>
      <c r="I3319" s="21"/>
      <c r="J3319" s="7" t="s">
        <v>4205</v>
      </c>
      <c r="K3319" s="13"/>
      <c r="L3319" s="13"/>
    </row>
    <row r="3320" spans="1:12" ht="38.25" x14ac:dyDescent="0.2">
      <c r="A3320" s="1" t="s">
        <v>39</v>
      </c>
      <c r="B3320" s="2" t="s">
        <v>439</v>
      </c>
      <c r="D3320" s="5" t="s">
        <v>466</v>
      </c>
      <c r="E3320" s="3">
        <v>77003</v>
      </c>
      <c r="F3320" s="3">
        <v>109898</v>
      </c>
      <c r="G3320" s="57">
        <v>0.42719114839681571</v>
      </c>
      <c r="J3320" s="5" t="s">
        <v>4587</v>
      </c>
    </row>
    <row r="3321" spans="1:12" ht="25.5" x14ac:dyDescent="0.2">
      <c r="A3321" s="1" t="s">
        <v>1</v>
      </c>
      <c r="B3321" s="2" t="s">
        <v>141</v>
      </c>
      <c r="C3321" s="1" t="s">
        <v>1652</v>
      </c>
      <c r="D3321" s="5" t="s">
        <v>1653</v>
      </c>
      <c r="E3321" s="3">
        <v>107325</v>
      </c>
      <c r="F3321" s="3">
        <v>109889</v>
      </c>
      <c r="G3321" s="57">
        <v>2.3890053575588165E-2</v>
      </c>
      <c r="J3321" s="5" t="s">
        <v>3973</v>
      </c>
    </row>
    <row r="3322" spans="1:12" x14ac:dyDescent="0.2">
      <c r="A3322" s="1" t="s">
        <v>6</v>
      </c>
      <c r="B3322" s="12" t="s">
        <v>85</v>
      </c>
      <c r="C3322" s="13"/>
      <c r="D3322" s="7" t="s">
        <v>2022</v>
      </c>
      <c r="E3322" s="6">
        <v>109821</v>
      </c>
      <c r="F3322" s="6">
        <v>109845</v>
      </c>
      <c r="G3322" s="57">
        <v>2.1853743819488076E-4</v>
      </c>
      <c r="H3322" s="21"/>
      <c r="I3322" s="21"/>
      <c r="J3322" s="7" t="s">
        <v>2023</v>
      </c>
      <c r="K3322" s="13"/>
      <c r="L3322" s="13"/>
    </row>
    <row r="3323" spans="1:12" ht="25.5" x14ac:dyDescent="0.2">
      <c r="A3323" s="1" t="s">
        <v>28</v>
      </c>
      <c r="B3323" s="2" t="s">
        <v>312</v>
      </c>
      <c r="D3323" s="5" t="s">
        <v>455</v>
      </c>
      <c r="E3323" s="3">
        <v>108558</v>
      </c>
      <c r="F3323" s="3">
        <v>109818</v>
      </c>
      <c r="G3323" s="57">
        <v>1.1606698723263141E-2</v>
      </c>
      <c r="J3323" s="5" t="s">
        <v>2808</v>
      </c>
    </row>
    <row r="3324" spans="1:12" ht="25.5" x14ac:dyDescent="0.2">
      <c r="A3324" s="1" t="s">
        <v>1</v>
      </c>
      <c r="B3324" s="2" t="s">
        <v>126</v>
      </c>
      <c r="C3324" s="1" t="s">
        <v>2113</v>
      </c>
      <c r="D3324" s="5" t="s">
        <v>627</v>
      </c>
      <c r="E3324" s="3">
        <v>107081</v>
      </c>
      <c r="F3324" s="3">
        <v>109761</v>
      </c>
      <c r="G3324" s="57">
        <v>2.5027782706549248E-2</v>
      </c>
      <c r="J3324" s="5" t="s">
        <v>3940</v>
      </c>
    </row>
    <row r="3325" spans="1:12" x14ac:dyDescent="0.2">
      <c r="A3325" s="1" t="s">
        <v>111</v>
      </c>
      <c r="B3325" s="2" t="s">
        <v>355</v>
      </c>
      <c r="D3325" s="5" t="s">
        <v>834</v>
      </c>
      <c r="E3325" s="3">
        <v>109574</v>
      </c>
      <c r="F3325" s="3">
        <v>109747</v>
      </c>
      <c r="G3325" s="57">
        <v>1.5788416960227792E-3</v>
      </c>
      <c r="J3325" s="5" t="s">
        <v>2664</v>
      </c>
    </row>
    <row r="3326" spans="1:12" ht="25.5" x14ac:dyDescent="0.2">
      <c r="A3326" s="1" t="s">
        <v>28</v>
      </c>
      <c r="B3326" s="2" t="s">
        <v>213</v>
      </c>
      <c r="D3326" s="5" t="s">
        <v>860</v>
      </c>
      <c r="E3326" s="9">
        <v>108630</v>
      </c>
      <c r="F3326" s="9">
        <v>109746</v>
      </c>
      <c r="G3326" s="57">
        <v>1.0273405136702569E-2</v>
      </c>
      <c r="J3326" s="5" t="s">
        <v>3329</v>
      </c>
    </row>
    <row r="3327" spans="1:12" ht="25.5" x14ac:dyDescent="0.2">
      <c r="A3327" s="1" t="s">
        <v>8</v>
      </c>
      <c r="B3327" s="2" t="s">
        <v>40</v>
      </c>
      <c r="C3327" s="1"/>
      <c r="D3327" s="5" t="s">
        <v>450</v>
      </c>
      <c r="E3327" s="3">
        <v>110064</v>
      </c>
      <c r="F3327" s="3">
        <v>109699</v>
      </c>
      <c r="G3327" s="57">
        <v>-3.3162523622619565E-3</v>
      </c>
      <c r="J3327" s="5" t="s">
        <v>1769</v>
      </c>
    </row>
    <row r="3328" spans="1:12" ht="25.5" x14ac:dyDescent="0.2">
      <c r="A3328" s="1" t="s">
        <v>25</v>
      </c>
      <c r="B3328" s="12" t="s">
        <v>53</v>
      </c>
      <c r="C3328" s="13"/>
      <c r="D3328" s="7" t="s">
        <v>4172</v>
      </c>
      <c r="E3328" s="6">
        <v>149781</v>
      </c>
      <c r="F3328" s="6">
        <v>109675</v>
      </c>
      <c r="G3328" s="57">
        <v>-0.26776426916631618</v>
      </c>
      <c r="H3328" s="21"/>
      <c r="I3328" s="21"/>
      <c r="J3328" s="7" t="s">
        <v>4173</v>
      </c>
      <c r="K3328" s="13"/>
      <c r="L3328" s="13"/>
    </row>
    <row r="3329" spans="1:12" ht="25.5" x14ac:dyDescent="0.2">
      <c r="A3329" s="1" t="s">
        <v>44</v>
      </c>
      <c r="B3329" s="2" t="s">
        <v>114</v>
      </c>
      <c r="C3329" s="1"/>
      <c r="D3329" s="5" t="s">
        <v>2161</v>
      </c>
      <c r="E3329" s="3">
        <v>104187</v>
      </c>
      <c r="F3329" s="3">
        <v>109589</v>
      </c>
      <c r="G3329" s="57">
        <v>5.1849079059767531E-2</v>
      </c>
      <c r="J3329" s="5" t="s">
        <v>4264</v>
      </c>
    </row>
    <row r="3330" spans="1:12" ht="25.5" x14ac:dyDescent="0.2">
      <c r="A3330" s="1" t="s">
        <v>4</v>
      </c>
      <c r="B3330" s="2" t="s">
        <v>432</v>
      </c>
      <c r="C3330" s="5" t="s">
        <v>500</v>
      </c>
      <c r="D3330" s="5" t="s">
        <v>501</v>
      </c>
      <c r="E3330" s="3">
        <v>111184</v>
      </c>
      <c r="F3330" s="3">
        <v>109583</v>
      </c>
      <c r="G3330" s="57">
        <v>-1.4399553892646424E-2</v>
      </c>
      <c r="J3330" s="5" t="s">
        <v>2291</v>
      </c>
    </row>
    <row r="3331" spans="1:12" ht="25.5" x14ac:dyDescent="0.2">
      <c r="A3331" s="1" t="s">
        <v>44</v>
      </c>
      <c r="B3331" s="2" t="s">
        <v>251</v>
      </c>
      <c r="D3331" s="5" t="s">
        <v>455</v>
      </c>
      <c r="E3331" s="6" t="s">
        <v>465</v>
      </c>
      <c r="F3331" s="3">
        <v>109553</v>
      </c>
      <c r="G3331" s="57" t="s">
        <v>465</v>
      </c>
      <c r="J3331" s="5" t="s">
        <v>3116</v>
      </c>
    </row>
    <row r="3332" spans="1:12" ht="25.5" x14ac:dyDescent="0.2">
      <c r="A3332" s="1" t="s">
        <v>25</v>
      </c>
      <c r="B3332" s="2" t="s">
        <v>379</v>
      </c>
      <c r="D3332" s="5" t="s">
        <v>4480</v>
      </c>
      <c r="E3332" s="3" t="s">
        <v>465</v>
      </c>
      <c r="F3332" s="3">
        <v>109480</v>
      </c>
      <c r="G3332" s="57" t="s">
        <v>465</v>
      </c>
      <c r="J3332" s="5" t="s">
        <v>2520</v>
      </c>
    </row>
    <row r="3333" spans="1:12" ht="25.5" x14ac:dyDescent="0.2">
      <c r="A3333" s="1" t="s">
        <v>4</v>
      </c>
      <c r="B3333" s="2" t="s">
        <v>239</v>
      </c>
      <c r="D3333" s="5" t="s">
        <v>1222</v>
      </c>
      <c r="E3333" s="3">
        <v>105957</v>
      </c>
      <c r="F3333" s="3">
        <v>109459</v>
      </c>
      <c r="G3333" s="57">
        <v>3.3051143388355651E-2</v>
      </c>
      <c r="J3333" s="5" t="s">
        <v>3183</v>
      </c>
    </row>
    <row r="3334" spans="1:12" ht="25.5" x14ac:dyDescent="0.2">
      <c r="A3334" s="1" t="s">
        <v>34</v>
      </c>
      <c r="B3334" s="2" t="s">
        <v>163</v>
      </c>
      <c r="D3334" s="5" t="s">
        <v>472</v>
      </c>
      <c r="E3334" s="3">
        <v>103773</v>
      </c>
      <c r="F3334" s="3">
        <v>109441</v>
      </c>
      <c r="G3334" s="57">
        <v>5.4619216944677328E-2</v>
      </c>
      <c r="J3334" s="5" t="s">
        <v>4048</v>
      </c>
    </row>
    <row r="3335" spans="1:12" ht="25.5" x14ac:dyDescent="0.2">
      <c r="A3335" s="13" t="s">
        <v>1</v>
      </c>
      <c r="B3335" s="2" t="s">
        <v>156</v>
      </c>
      <c r="C3335" s="1" t="s">
        <v>1602</v>
      </c>
      <c r="D3335" s="5" t="s">
        <v>1603</v>
      </c>
      <c r="E3335" s="3">
        <v>107264</v>
      </c>
      <c r="F3335" s="3">
        <v>109417</v>
      </c>
      <c r="G3335" s="57">
        <v>2.0071971957040573E-2</v>
      </c>
      <c r="J3335" s="5" t="s">
        <v>4024</v>
      </c>
    </row>
    <row r="3336" spans="1:12" ht="25.5" x14ac:dyDescent="0.2">
      <c r="A3336" s="1" t="s">
        <v>34</v>
      </c>
      <c r="B3336" s="2" t="s">
        <v>170</v>
      </c>
      <c r="D3336" s="5" t="s">
        <v>1548</v>
      </c>
      <c r="E3336" s="3">
        <v>104795</v>
      </c>
      <c r="F3336" s="3">
        <v>109400</v>
      </c>
      <c r="G3336" s="57">
        <v>4.3942936208788586E-2</v>
      </c>
      <c r="J3336" s="5" t="s">
        <v>4066</v>
      </c>
    </row>
    <row r="3337" spans="1:12" ht="25.5" x14ac:dyDescent="0.2">
      <c r="A3337" s="1" t="s">
        <v>1</v>
      </c>
      <c r="B3337" s="2" t="s">
        <v>367</v>
      </c>
      <c r="C3337" s="5" t="s">
        <v>778</v>
      </c>
      <c r="D3337" s="5" t="s">
        <v>451</v>
      </c>
      <c r="E3337" s="3">
        <v>96889</v>
      </c>
      <c r="F3337" s="3">
        <v>109378</v>
      </c>
      <c r="G3337" s="57">
        <v>0.12890008153660373</v>
      </c>
      <c r="J3337" s="5" t="s">
        <v>2584</v>
      </c>
    </row>
    <row r="3338" spans="1:12" ht="25.5" x14ac:dyDescent="0.2">
      <c r="A3338" s="1" t="s">
        <v>1</v>
      </c>
      <c r="B3338" s="12" t="s">
        <v>420</v>
      </c>
      <c r="C3338" s="5" t="s">
        <v>3606</v>
      </c>
      <c r="D3338" s="5" t="s">
        <v>3607</v>
      </c>
      <c r="E3338" s="9">
        <v>106603</v>
      </c>
      <c r="F3338" s="9">
        <v>109352</v>
      </c>
      <c r="G3338" s="57">
        <v>2.5787266774856241E-2</v>
      </c>
      <c r="J3338" s="5" t="s">
        <v>3608</v>
      </c>
    </row>
    <row r="3339" spans="1:12" x14ac:dyDescent="0.2">
      <c r="A3339" s="1" t="s">
        <v>6</v>
      </c>
      <c r="B3339" s="12" t="s">
        <v>85</v>
      </c>
      <c r="C3339" s="13"/>
      <c r="D3339" s="7" t="s">
        <v>2024</v>
      </c>
      <c r="E3339" s="6" t="s">
        <v>465</v>
      </c>
      <c r="F3339" s="6">
        <v>109239</v>
      </c>
      <c r="G3339" s="57" t="s">
        <v>465</v>
      </c>
      <c r="H3339" s="21"/>
      <c r="I3339" s="21"/>
      <c r="J3339" s="7" t="s">
        <v>2025</v>
      </c>
      <c r="K3339" s="13"/>
      <c r="L3339" s="13"/>
    </row>
    <row r="3340" spans="1:12" ht="25.5" x14ac:dyDescent="0.2">
      <c r="A3340" s="1" t="s">
        <v>4</v>
      </c>
      <c r="B3340" s="2" t="s">
        <v>106</v>
      </c>
      <c r="C3340" s="1"/>
      <c r="D3340" s="5" t="s">
        <v>463</v>
      </c>
      <c r="E3340" s="3">
        <v>101123</v>
      </c>
      <c r="F3340" s="3">
        <v>109164</v>
      </c>
      <c r="G3340" s="57">
        <v>7.9517023822473623E-2</v>
      </c>
      <c r="J3340" s="5" t="s">
        <v>3859</v>
      </c>
    </row>
    <row r="3341" spans="1:12" ht="38.25" x14ac:dyDescent="0.2">
      <c r="A3341" s="1" t="s">
        <v>1</v>
      </c>
      <c r="B3341" s="2" t="s">
        <v>13</v>
      </c>
      <c r="C3341" s="1" t="s">
        <v>2245</v>
      </c>
      <c r="D3341" s="5" t="s">
        <v>4140</v>
      </c>
      <c r="E3341" s="3" t="s">
        <v>465</v>
      </c>
      <c r="F3341" s="3">
        <v>109052</v>
      </c>
      <c r="G3341" s="57" t="s">
        <v>465</v>
      </c>
      <c r="J3341" s="5" t="s">
        <v>4141</v>
      </c>
    </row>
    <row r="3342" spans="1:12" ht="25.5" x14ac:dyDescent="0.2">
      <c r="A3342" s="1" t="s">
        <v>1</v>
      </c>
      <c r="B3342" s="2" t="s">
        <v>141</v>
      </c>
      <c r="C3342" s="1" t="s">
        <v>3974</v>
      </c>
      <c r="D3342" s="5" t="s">
        <v>942</v>
      </c>
      <c r="E3342" s="3">
        <v>107178</v>
      </c>
      <c r="F3342" s="3">
        <v>109050</v>
      </c>
      <c r="G3342" s="57">
        <v>1.7466271063091305E-2</v>
      </c>
      <c r="J3342" s="5" t="s">
        <v>3975</v>
      </c>
    </row>
    <row r="3343" spans="1:12" x14ac:dyDescent="0.2">
      <c r="A3343" s="1" t="s">
        <v>25</v>
      </c>
      <c r="B3343" s="2" t="s">
        <v>70</v>
      </c>
      <c r="C3343" s="1"/>
      <c r="D3343" s="5" t="s">
        <v>1938</v>
      </c>
      <c r="E3343" s="19">
        <v>108448</v>
      </c>
      <c r="F3343" s="19">
        <v>109012</v>
      </c>
      <c r="G3343" s="57">
        <v>5.2006491590439654E-3</v>
      </c>
      <c r="J3343" s="5" t="s">
        <v>1939</v>
      </c>
    </row>
    <row r="3344" spans="1:12" ht="25.5" x14ac:dyDescent="0.2">
      <c r="A3344" s="1" t="s">
        <v>25</v>
      </c>
      <c r="B3344" s="2" t="s">
        <v>214</v>
      </c>
      <c r="D3344" s="15" t="s">
        <v>1323</v>
      </c>
      <c r="E3344" s="9">
        <v>108000</v>
      </c>
      <c r="F3344" s="9">
        <v>109000</v>
      </c>
      <c r="G3344" s="57">
        <v>9.2592592592592587E-3</v>
      </c>
      <c r="J3344" s="5" t="s">
        <v>3319</v>
      </c>
    </row>
    <row r="3345" spans="1:12" ht="25.5" x14ac:dyDescent="0.2">
      <c r="A3345" s="1" t="s">
        <v>25</v>
      </c>
      <c r="B3345" s="2" t="s">
        <v>214</v>
      </c>
      <c r="D3345" s="15" t="s">
        <v>520</v>
      </c>
      <c r="E3345" s="9">
        <v>108000</v>
      </c>
      <c r="F3345" s="9">
        <v>109000</v>
      </c>
      <c r="G3345" s="57">
        <v>9.2592592592592587E-3</v>
      </c>
      <c r="J3345" s="5" t="s">
        <v>3319</v>
      </c>
    </row>
    <row r="3346" spans="1:12" ht="25.5" x14ac:dyDescent="0.2">
      <c r="A3346" s="1" t="s">
        <v>8</v>
      </c>
      <c r="B3346" s="2" t="s">
        <v>223</v>
      </c>
      <c r="D3346" s="5" t="s">
        <v>3256</v>
      </c>
      <c r="E3346" s="3">
        <v>109000</v>
      </c>
      <c r="F3346" s="3">
        <v>109000</v>
      </c>
      <c r="G3346" s="57">
        <v>0</v>
      </c>
      <c r="J3346" s="5" t="s">
        <v>3254</v>
      </c>
    </row>
    <row r="3347" spans="1:12" ht="25.5" x14ac:dyDescent="0.2">
      <c r="A3347" s="1" t="s">
        <v>8</v>
      </c>
      <c r="B3347" s="2" t="s">
        <v>280</v>
      </c>
      <c r="D3347" s="5" t="s">
        <v>718</v>
      </c>
      <c r="E3347" s="3">
        <v>102000</v>
      </c>
      <c r="F3347" s="3">
        <v>109000</v>
      </c>
      <c r="G3347" s="57">
        <v>6.8627450980392163E-2</v>
      </c>
      <c r="J3347" s="5" t="s">
        <v>3000</v>
      </c>
    </row>
    <row r="3348" spans="1:12" ht="25.5" x14ac:dyDescent="0.2">
      <c r="A3348" s="1" t="s">
        <v>20</v>
      </c>
      <c r="B3348" s="2" t="s">
        <v>360</v>
      </c>
      <c r="D3348" s="5" t="s">
        <v>796</v>
      </c>
      <c r="E3348" s="3">
        <v>103000</v>
      </c>
      <c r="F3348" s="3">
        <v>109000</v>
      </c>
      <c r="G3348" s="57">
        <v>5.8252427184466021E-2</v>
      </c>
      <c r="J3348" s="5" t="s">
        <v>2624</v>
      </c>
    </row>
    <row r="3349" spans="1:12" ht="25.5" x14ac:dyDescent="0.2">
      <c r="A3349" s="1" t="s">
        <v>6</v>
      </c>
      <c r="B3349" s="2" t="s">
        <v>368</v>
      </c>
      <c r="D3349" s="5" t="s">
        <v>774</v>
      </c>
      <c r="E3349" s="3">
        <v>111000</v>
      </c>
      <c r="F3349" s="3">
        <v>109000</v>
      </c>
      <c r="G3349" s="57">
        <v>-1.8018018018018018E-2</v>
      </c>
      <c r="J3349" s="5" t="s">
        <v>2573</v>
      </c>
    </row>
    <row r="3350" spans="1:12" ht="25.5" x14ac:dyDescent="0.2">
      <c r="A3350" s="1" t="s">
        <v>6</v>
      </c>
      <c r="B3350" s="2" t="s">
        <v>368</v>
      </c>
      <c r="D3350" s="5" t="s">
        <v>775</v>
      </c>
      <c r="E3350" s="3" t="s">
        <v>465</v>
      </c>
      <c r="F3350" s="3">
        <v>109000</v>
      </c>
      <c r="G3350" s="57" t="s">
        <v>465</v>
      </c>
      <c r="J3350" s="5" t="s">
        <v>2574</v>
      </c>
    </row>
    <row r="3351" spans="1:12" ht="38.25" x14ac:dyDescent="0.2">
      <c r="A3351" s="1" t="s">
        <v>1</v>
      </c>
      <c r="B3351" s="12" t="s">
        <v>420</v>
      </c>
      <c r="C3351" s="5" t="s">
        <v>3618</v>
      </c>
      <c r="D3351" s="5" t="s">
        <v>3624</v>
      </c>
      <c r="E3351" s="9">
        <v>98604</v>
      </c>
      <c r="F3351" s="9">
        <v>109000</v>
      </c>
      <c r="G3351" s="57">
        <v>0.10543182832339459</v>
      </c>
      <c r="J3351" s="5" t="s">
        <v>3625</v>
      </c>
    </row>
    <row r="3352" spans="1:12" ht="25.5" x14ac:dyDescent="0.2">
      <c r="A3352" s="1" t="s">
        <v>28</v>
      </c>
      <c r="B3352" s="2" t="s">
        <v>326</v>
      </c>
      <c r="D3352" s="5" t="s">
        <v>473</v>
      </c>
      <c r="E3352" s="3">
        <v>106313</v>
      </c>
      <c r="F3352" s="3">
        <v>108959</v>
      </c>
      <c r="G3352" s="57">
        <v>2.4888771834112478E-2</v>
      </c>
      <c r="J3352" s="5" t="s">
        <v>2775</v>
      </c>
    </row>
    <row r="3353" spans="1:12" ht="25.5" x14ac:dyDescent="0.2">
      <c r="A3353" s="1" t="s">
        <v>8</v>
      </c>
      <c r="B3353" s="2" t="s">
        <v>228</v>
      </c>
      <c r="D3353" s="5" t="s">
        <v>463</v>
      </c>
      <c r="E3353" s="3">
        <v>107670</v>
      </c>
      <c r="F3353" s="3">
        <v>108934</v>
      </c>
      <c r="G3353" s="57">
        <v>1.1739574626172564E-2</v>
      </c>
      <c r="J3353" s="5" t="s">
        <v>3237</v>
      </c>
    </row>
    <row r="3354" spans="1:12" ht="38.25" x14ac:dyDescent="0.2">
      <c r="A3354" s="1" t="s">
        <v>8</v>
      </c>
      <c r="B3354" s="2" t="s">
        <v>350</v>
      </c>
      <c r="D3354" s="5" t="s">
        <v>840</v>
      </c>
      <c r="E3354" s="3">
        <v>104944</v>
      </c>
      <c r="F3354" s="3">
        <v>108901</v>
      </c>
      <c r="G3354" s="57">
        <v>3.7705824058545508E-2</v>
      </c>
      <c r="J3354" s="5" t="s">
        <v>2678</v>
      </c>
    </row>
    <row r="3355" spans="1:12" ht="25.5" x14ac:dyDescent="0.2">
      <c r="A3355" s="1" t="s">
        <v>25</v>
      </c>
      <c r="B3355" s="2" t="s">
        <v>178</v>
      </c>
      <c r="D3355" s="5" t="s">
        <v>1507</v>
      </c>
      <c r="E3355" s="9">
        <v>107047</v>
      </c>
      <c r="F3355" s="9">
        <v>108838</v>
      </c>
      <c r="G3355" s="57">
        <v>1.6730968639943201E-2</v>
      </c>
      <c r="J3355" s="5" t="s">
        <v>3566</v>
      </c>
    </row>
    <row r="3356" spans="1:12" ht="25.5" x14ac:dyDescent="0.2">
      <c r="A3356" s="1" t="s">
        <v>1</v>
      </c>
      <c r="B3356" s="2" t="s">
        <v>367</v>
      </c>
      <c r="C3356" s="5" t="s">
        <v>779</v>
      </c>
      <c r="D3356" s="5" t="s">
        <v>451</v>
      </c>
      <c r="E3356" s="3">
        <v>98236</v>
      </c>
      <c r="F3356" s="3">
        <v>108837</v>
      </c>
      <c r="G3356" s="57">
        <v>0.10791359583044913</v>
      </c>
      <c r="J3356" s="5" t="s">
        <v>2585</v>
      </c>
    </row>
    <row r="3357" spans="1:12" ht="25.5" x14ac:dyDescent="0.2">
      <c r="A3357" s="1" t="s">
        <v>111</v>
      </c>
      <c r="B3357" s="2" t="s">
        <v>355</v>
      </c>
      <c r="D3357" s="5" t="s">
        <v>451</v>
      </c>
      <c r="E3357" s="3">
        <v>68779</v>
      </c>
      <c r="F3357" s="3">
        <v>108782</v>
      </c>
      <c r="G3357" s="57">
        <v>0.58161648177496039</v>
      </c>
      <c r="J3357" s="5" t="s">
        <v>2661</v>
      </c>
    </row>
    <row r="3358" spans="1:12" ht="25.5" x14ac:dyDescent="0.2">
      <c r="A3358" s="1" t="s">
        <v>1</v>
      </c>
      <c r="B3358" s="2" t="s">
        <v>272</v>
      </c>
      <c r="C3358" s="5" t="s">
        <v>1129</v>
      </c>
      <c r="D3358" s="7" t="s">
        <v>1130</v>
      </c>
      <c r="E3358" s="6">
        <v>105681</v>
      </c>
      <c r="F3358" s="6">
        <v>108716</v>
      </c>
      <c r="G3358" s="57">
        <v>2.8718501906681428E-2</v>
      </c>
      <c r="H3358" s="21"/>
      <c r="I3358" s="21"/>
      <c r="J3358" s="7" t="s">
        <v>4378</v>
      </c>
    </row>
    <row r="3359" spans="1:12" ht="25.5" x14ac:dyDescent="0.2">
      <c r="A3359" s="1" t="s">
        <v>25</v>
      </c>
      <c r="B3359" s="12" t="s">
        <v>70</v>
      </c>
      <c r="C3359" s="13"/>
      <c r="D3359" s="7" t="s">
        <v>4218</v>
      </c>
      <c r="E3359" s="21">
        <v>104634</v>
      </c>
      <c r="F3359" s="21">
        <v>108652</v>
      </c>
      <c r="G3359" s="57">
        <v>3.8400519907487052E-2</v>
      </c>
      <c r="H3359" s="21"/>
      <c r="I3359" s="21"/>
      <c r="J3359" s="7" t="s">
        <v>1940</v>
      </c>
      <c r="K3359" s="13"/>
      <c r="L3359" s="13"/>
    </row>
    <row r="3360" spans="1:12" ht="25.5" x14ac:dyDescent="0.2">
      <c r="A3360" s="1" t="s">
        <v>20</v>
      </c>
      <c r="B3360" s="2" t="s">
        <v>296</v>
      </c>
      <c r="D3360" s="5" t="s">
        <v>613</v>
      </c>
      <c r="E3360" s="3">
        <v>105492</v>
      </c>
      <c r="F3360" s="3">
        <v>108641</v>
      </c>
      <c r="G3360" s="57">
        <v>2.9850604785196983E-2</v>
      </c>
      <c r="J3360" s="5" t="s">
        <v>2890</v>
      </c>
    </row>
    <row r="3361" spans="1:10" ht="25.5" x14ac:dyDescent="0.2">
      <c r="A3361" s="1" t="s">
        <v>28</v>
      </c>
      <c r="B3361" s="2" t="s">
        <v>273</v>
      </c>
      <c r="D3361" s="5" t="s">
        <v>1110</v>
      </c>
      <c r="E3361" s="3">
        <v>108191</v>
      </c>
      <c r="F3361" s="3">
        <v>108626</v>
      </c>
      <c r="G3361" s="57">
        <v>4.0206671534600844E-3</v>
      </c>
      <c r="J3361" s="5" t="s">
        <v>3038</v>
      </c>
    </row>
    <row r="3362" spans="1:10" ht="25.5" x14ac:dyDescent="0.2">
      <c r="A3362" s="1" t="s">
        <v>4</v>
      </c>
      <c r="B3362" s="2" t="s">
        <v>291</v>
      </c>
      <c r="D3362" s="5" t="s">
        <v>1027</v>
      </c>
      <c r="E3362" s="3">
        <v>91981</v>
      </c>
      <c r="F3362" s="3">
        <v>108618</v>
      </c>
      <c r="G3362" s="57">
        <v>0.18087431099901066</v>
      </c>
      <c r="J3362" s="5" t="s">
        <v>2943</v>
      </c>
    </row>
    <row r="3363" spans="1:10" ht="25.5" x14ac:dyDescent="0.2">
      <c r="A3363" s="1" t="s">
        <v>20</v>
      </c>
      <c r="B3363" s="2" t="s">
        <v>274</v>
      </c>
      <c r="D3363" s="5" t="s">
        <v>1105</v>
      </c>
      <c r="E3363" s="3">
        <v>108349</v>
      </c>
      <c r="F3363" s="3">
        <v>108517</v>
      </c>
      <c r="G3363" s="57">
        <v>1.5505449981079659E-3</v>
      </c>
      <c r="J3363" s="5" t="s">
        <v>3032</v>
      </c>
    </row>
    <row r="3364" spans="1:10" ht="25.5" x14ac:dyDescent="0.2">
      <c r="A3364" s="1" t="s">
        <v>4</v>
      </c>
      <c r="B3364" s="2" t="s">
        <v>255</v>
      </c>
      <c r="D3364" s="5" t="s">
        <v>529</v>
      </c>
      <c r="E3364" s="3" t="s">
        <v>465</v>
      </c>
      <c r="F3364" s="3">
        <v>108513</v>
      </c>
      <c r="G3364" s="57" t="s">
        <v>465</v>
      </c>
      <c r="J3364" s="5" t="s">
        <v>3106</v>
      </c>
    </row>
    <row r="3365" spans="1:10" ht="25.5" x14ac:dyDescent="0.2">
      <c r="A3365" s="1" t="s">
        <v>1</v>
      </c>
      <c r="B3365" s="2" t="s">
        <v>141</v>
      </c>
      <c r="C3365" s="1" t="s">
        <v>3971</v>
      </c>
      <c r="D3365" s="5" t="s">
        <v>2111</v>
      </c>
      <c r="E3365" s="3">
        <v>106624</v>
      </c>
      <c r="F3365" s="3">
        <v>108507</v>
      </c>
      <c r="G3365" s="57">
        <v>1.7660189075630252E-2</v>
      </c>
      <c r="J3365" s="5" t="s">
        <v>3972</v>
      </c>
    </row>
    <row r="3366" spans="1:10" x14ac:dyDescent="0.2">
      <c r="A3366" s="13" t="s">
        <v>20</v>
      </c>
      <c r="B3366" s="12" t="s">
        <v>82</v>
      </c>
      <c r="C3366" s="1"/>
      <c r="D3366" s="5" t="s">
        <v>2002</v>
      </c>
      <c r="E3366" s="3">
        <v>108510</v>
      </c>
      <c r="F3366" s="3">
        <v>108500</v>
      </c>
      <c r="G3366" s="57">
        <v>-9.2157404847479493E-5</v>
      </c>
      <c r="J3366" s="5" t="s">
        <v>2003</v>
      </c>
    </row>
    <row r="3367" spans="1:10" ht="25.5" x14ac:dyDescent="0.2">
      <c r="A3367" s="1" t="s">
        <v>4</v>
      </c>
      <c r="B3367" s="2" t="s">
        <v>239</v>
      </c>
      <c r="D3367" s="5" t="s">
        <v>1217</v>
      </c>
      <c r="E3367" s="3">
        <v>106421</v>
      </c>
      <c r="F3367" s="3">
        <v>108494</v>
      </c>
      <c r="G3367" s="57">
        <v>1.9479238120295807E-2</v>
      </c>
      <c r="J3367" s="5" t="s">
        <v>3177</v>
      </c>
    </row>
    <row r="3368" spans="1:10" ht="25.5" x14ac:dyDescent="0.2">
      <c r="A3368" s="1" t="s">
        <v>4</v>
      </c>
      <c r="B3368" s="2" t="s">
        <v>239</v>
      </c>
      <c r="D3368" s="5" t="s">
        <v>1218</v>
      </c>
      <c r="E3368" s="3">
        <v>106247</v>
      </c>
      <c r="F3368" s="3">
        <v>108438</v>
      </c>
      <c r="G3368" s="57">
        <v>2.0621758732011258E-2</v>
      </c>
      <c r="J3368" s="5" t="s">
        <v>3178</v>
      </c>
    </row>
    <row r="3369" spans="1:10" ht="25.5" x14ac:dyDescent="0.2">
      <c r="A3369" s="1" t="s">
        <v>28</v>
      </c>
      <c r="B3369" s="2" t="s">
        <v>186</v>
      </c>
      <c r="D3369" s="5" t="s">
        <v>463</v>
      </c>
      <c r="E3369" s="9">
        <v>107071</v>
      </c>
      <c r="F3369" s="9">
        <v>108413</v>
      </c>
      <c r="G3369" s="57">
        <v>1.2533739294486836E-2</v>
      </c>
      <c r="J3369" s="5" t="s">
        <v>3516</v>
      </c>
    </row>
    <row r="3370" spans="1:10" ht="38.25" x14ac:dyDescent="0.2">
      <c r="A3370" s="1" t="s">
        <v>34</v>
      </c>
      <c r="B3370" s="2" t="s">
        <v>133</v>
      </c>
      <c r="C3370" s="1"/>
      <c r="D3370" s="5" t="s">
        <v>2303</v>
      </c>
      <c r="E3370" s="3">
        <v>64958</v>
      </c>
      <c r="F3370" s="3">
        <v>108374</v>
      </c>
      <c r="G3370" s="57">
        <v>0.66837033159887926</v>
      </c>
      <c r="J3370" s="5" t="s">
        <v>4304</v>
      </c>
    </row>
    <row r="3371" spans="1:10" ht="25.5" x14ac:dyDescent="0.2">
      <c r="A3371" s="1" t="s">
        <v>25</v>
      </c>
      <c r="B3371" s="2" t="s">
        <v>26</v>
      </c>
      <c r="C3371" s="1"/>
      <c r="D3371" s="5" t="s">
        <v>1719</v>
      </c>
      <c r="E3371" s="3" t="s">
        <v>465</v>
      </c>
      <c r="F3371" s="3">
        <v>108355</v>
      </c>
      <c r="G3371" s="57" t="s">
        <v>465</v>
      </c>
      <c r="J3371" s="5" t="s">
        <v>3678</v>
      </c>
    </row>
    <row r="3372" spans="1:10" ht="25.5" x14ac:dyDescent="0.2">
      <c r="A3372" s="1" t="s">
        <v>25</v>
      </c>
      <c r="B3372" s="2" t="s">
        <v>26</v>
      </c>
      <c r="C3372" s="1"/>
      <c r="D3372" s="5" t="s">
        <v>1720</v>
      </c>
      <c r="E3372" s="3" t="s">
        <v>465</v>
      </c>
      <c r="F3372" s="3">
        <v>108355</v>
      </c>
      <c r="G3372" s="57" t="s">
        <v>465</v>
      </c>
      <c r="J3372" s="5" t="s">
        <v>3678</v>
      </c>
    </row>
    <row r="3373" spans="1:10" ht="25.5" x14ac:dyDescent="0.2">
      <c r="A3373" s="1" t="s">
        <v>6</v>
      </c>
      <c r="B3373" s="2" t="s">
        <v>352</v>
      </c>
      <c r="D3373" s="5" t="s">
        <v>2671</v>
      </c>
      <c r="E3373" s="3">
        <v>85762</v>
      </c>
      <c r="F3373" s="3">
        <v>108332</v>
      </c>
      <c r="G3373" s="57">
        <v>0.26317016860614256</v>
      </c>
      <c r="J3373" s="5" t="s">
        <v>2674</v>
      </c>
    </row>
    <row r="3374" spans="1:10" ht="25.5" x14ac:dyDescent="0.2">
      <c r="A3374" s="1" t="s">
        <v>8</v>
      </c>
      <c r="B3374" s="2" t="s">
        <v>228</v>
      </c>
      <c r="D3374" s="5" t="s">
        <v>1254</v>
      </c>
      <c r="E3374" s="3">
        <v>108466</v>
      </c>
      <c r="F3374" s="3">
        <v>108313</v>
      </c>
      <c r="G3374" s="57">
        <v>-1.4105802740029133E-3</v>
      </c>
      <c r="J3374" s="5" t="s">
        <v>3236</v>
      </c>
    </row>
    <row r="3375" spans="1:10" x14ac:dyDescent="0.2">
      <c r="A3375" s="1" t="s">
        <v>8</v>
      </c>
      <c r="B3375" s="2" t="s">
        <v>116</v>
      </c>
      <c r="C3375" s="1"/>
      <c r="D3375" s="5" t="s">
        <v>949</v>
      </c>
      <c r="E3375" s="3">
        <v>112050</v>
      </c>
      <c r="F3375" s="3">
        <v>108311</v>
      </c>
      <c r="G3375" s="57">
        <v>-3.3369031682284694E-2</v>
      </c>
      <c r="J3375" s="5" t="s">
        <v>3907</v>
      </c>
    </row>
    <row r="3376" spans="1:10" ht="25.5" x14ac:dyDescent="0.2">
      <c r="A3376" s="1" t="s">
        <v>39</v>
      </c>
      <c r="B3376" s="2" t="s">
        <v>433</v>
      </c>
      <c r="D3376" s="5" t="s">
        <v>487</v>
      </c>
      <c r="E3376" s="3">
        <v>107478</v>
      </c>
      <c r="F3376" s="3">
        <v>108216</v>
      </c>
      <c r="G3376" s="57">
        <v>6.8665215206833025E-3</v>
      </c>
      <c r="J3376" s="5" t="s">
        <v>2284</v>
      </c>
    </row>
    <row r="3377" spans="1:12" ht="25.5" x14ac:dyDescent="0.2">
      <c r="A3377" s="1" t="s">
        <v>8</v>
      </c>
      <c r="B3377" s="2" t="s">
        <v>228</v>
      </c>
      <c r="D3377" s="5" t="s">
        <v>1253</v>
      </c>
      <c r="E3377" s="3">
        <v>108616</v>
      </c>
      <c r="F3377" s="3">
        <v>108169</v>
      </c>
      <c r="G3377" s="57">
        <v>-4.1154157766811516E-3</v>
      </c>
      <c r="J3377" s="5" t="s">
        <v>3235</v>
      </c>
    </row>
    <row r="3378" spans="1:12" ht="38.25" x14ac:dyDescent="0.2">
      <c r="A3378" s="1" t="s">
        <v>4</v>
      </c>
      <c r="B3378" s="2" t="s">
        <v>292</v>
      </c>
      <c r="D3378" s="5" t="s">
        <v>2921</v>
      </c>
      <c r="E3378" s="9">
        <v>91025</v>
      </c>
      <c r="F3378" s="3">
        <v>108155</v>
      </c>
      <c r="G3378" s="57">
        <v>0.18819005767646252</v>
      </c>
      <c r="J3378" s="5" t="s">
        <v>2920</v>
      </c>
    </row>
    <row r="3379" spans="1:12" ht="38.25" x14ac:dyDescent="0.2">
      <c r="A3379" s="13" t="s">
        <v>34</v>
      </c>
      <c r="B3379" s="12" t="s">
        <v>48</v>
      </c>
      <c r="C3379" s="13"/>
      <c r="D3379" s="7" t="s">
        <v>3738</v>
      </c>
      <c r="E3379" s="6">
        <v>84950</v>
      </c>
      <c r="F3379" s="6">
        <v>108139</v>
      </c>
      <c r="G3379" s="57">
        <v>0.27297233666862858</v>
      </c>
      <c r="H3379" s="21"/>
      <c r="I3379" s="21"/>
      <c r="J3379" s="7" t="s">
        <v>4155</v>
      </c>
      <c r="K3379" s="13"/>
      <c r="L3379" s="13"/>
    </row>
    <row r="3380" spans="1:12" ht="25.5" x14ac:dyDescent="0.2">
      <c r="A3380" s="1" t="s">
        <v>4</v>
      </c>
      <c r="B3380" s="2" t="s">
        <v>340</v>
      </c>
      <c r="D3380" s="5" t="s">
        <v>463</v>
      </c>
      <c r="E3380" s="6">
        <v>106308</v>
      </c>
      <c r="F3380" s="6">
        <v>108102</v>
      </c>
      <c r="G3380" s="57">
        <v>1.6875493848064117E-2</v>
      </c>
      <c r="J3380" s="5" t="s">
        <v>2711</v>
      </c>
    </row>
    <row r="3381" spans="1:12" ht="25.5" x14ac:dyDescent="0.2">
      <c r="A3381" s="1" t="s">
        <v>20</v>
      </c>
      <c r="B3381" s="2" t="s">
        <v>263</v>
      </c>
      <c r="C3381" s="5" t="s">
        <v>1161</v>
      </c>
      <c r="D3381" s="5" t="s">
        <v>1162</v>
      </c>
      <c r="E3381" s="3">
        <v>107600</v>
      </c>
      <c r="F3381" s="3">
        <v>108100</v>
      </c>
      <c r="G3381" s="57">
        <v>4.646840148698885E-3</v>
      </c>
      <c r="J3381" s="5" t="s">
        <v>3079</v>
      </c>
    </row>
    <row r="3382" spans="1:12" ht="25.5" x14ac:dyDescent="0.2">
      <c r="A3382" s="1" t="s">
        <v>6</v>
      </c>
      <c r="B3382" s="2" t="s">
        <v>352</v>
      </c>
      <c r="D3382" s="5" t="s">
        <v>2672</v>
      </c>
      <c r="E3382" s="3">
        <v>86195</v>
      </c>
      <c r="F3382" s="3">
        <v>108067</v>
      </c>
      <c r="G3382" s="57">
        <v>0.25375021753001914</v>
      </c>
      <c r="J3382" s="5" t="s">
        <v>2675</v>
      </c>
    </row>
    <row r="3383" spans="1:12" ht="25.5" x14ac:dyDescent="0.2">
      <c r="A3383" s="1" t="s">
        <v>1</v>
      </c>
      <c r="B3383" s="2" t="s">
        <v>125</v>
      </c>
      <c r="C3383" s="1" t="s">
        <v>2128</v>
      </c>
      <c r="D3383" s="5" t="s">
        <v>2129</v>
      </c>
      <c r="E3383" s="3">
        <v>102953</v>
      </c>
      <c r="F3383" s="3">
        <v>108044</v>
      </c>
      <c r="G3383" s="57">
        <v>4.944974891455324E-2</v>
      </c>
      <c r="J3383" s="5" t="s">
        <v>3934</v>
      </c>
    </row>
    <row r="3384" spans="1:12" ht="25.5" x14ac:dyDescent="0.2">
      <c r="A3384" s="1" t="s">
        <v>6</v>
      </c>
      <c r="B3384" s="2" t="s">
        <v>288</v>
      </c>
      <c r="D3384" s="5" t="s">
        <v>1044</v>
      </c>
      <c r="E3384" s="3">
        <v>104000</v>
      </c>
      <c r="F3384" s="3">
        <v>108000</v>
      </c>
      <c r="G3384" s="57">
        <v>3.8461538461538464E-2</v>
      </c>
      <c r="J3384" s="5" t="s">
        <v>2954</v>
      </c>
    </row>
    <row r="3385" spans="1:12" ht="25.5" x14ac:dyDescent="0.2">
      <c r="A3385" s="1" t="s">
        <v>8</v>
      </c>
      <c r="B3385" s="2" t="s">
        <v>346</v>
      </c>
      <c r="D3385" s="5" t="s">
        <v>504</v>
      </c>
      <c r="E3385" s="3">
        <v>109000</v>
      </c>
      <c r="F3385" s="3">
        <v>108000</v>
      </c>
      <c r="G3385" s="57">
        <v>-9.1743119266055051E-3</v>
      </c>
      <c r="J3385" s="5" t="s">
        <v>2693</v>
      </c>
    </row>
    <row r="3386" spans="1:12" ht="25.5" x14ac:dyDescent="0.2">
      <c r="A3386" s="1" t="s">
        <v>6</v>
      </c>
      <c r="B3386" s="2" t="s">
        <v>399</v>
      </c>
      <c r="D3386" s="5" t="s">
        <v>507</v>
      </c>
      <c r="E3386" s="3">
        <v>100000</v>
      </c>
      <c r="F3386" s="3">
        <v>108000</v>
      </c>
      <c r="G3386" s="57">
        <v>0.08</v>
      </c>
      <c r="J3386" s="5" t="s">
        <v>2442</v>
      </c>
    </row>
    <row r="3387" spans="1:12" ht="25.5" x14ac:dyDescent="0.2">
      <c r="A3387" s="1" t="s">
        <v>28</v>
      </c>
      <c r="B3387" s="2" t="s">
        <v>120</v>
      </c>
      <c r="C3387" s="1"/>
      <c r="D3387" s="5" t="s">
        <v>852</v>
      </c>
      <c r="E3387" s="3">
        <v>16282</v>
      </c>
      <c r="F3387" s="3">
        <v>107982</v>
      </c>
      <c r="G3387" s="57">
        <v>5.631986242476354</v>
      </c>
      <c r="J3387" s="5" t="s">
        <v>3919</v>
      </c>
    </row>
    <row r="3388" spans="1:12" ht="51" x14ac:dyDescent="0.2">
      <c r="A3388" s="1" t="s">
        <v>20</v>
      </c>
      <c r="B3388" s="2" t="s">
        <v>131</v>
      </c>
      <c r="C3388" s="1"/>
      <c r="D3388" s="5" t="s">
        <v>2084</v>
      </c>
      <c r="E3388" s="3">
        <v>60381</v>
      </c>
      <c r="F3388" s="3">
        <v>107943</v>
      </c>
      <c r="G3388" s="57">
        <v>0.78769811695732106</v>
      </c>
      <c r="J3388" s="5" t="s">
        <v>4298</v>
      </c>
    </row>
    <row r="3389" spans="1:12" ht="25.5" x14ac:dyDescent="0.2">
      <c r="A3389" s="1" t="s">
        <v>6</v>
      </c>
      <c r="B3389" s="12" t="s">
        <v>85</v>
      </c>
      <c r="C3389" s="13"/>
      <c r="D3389" s="7" t="s">
        <v>2026</v>
      </c>
      <c r="E3389" s="6" t="s">
        <v>465</v>
      </c>
      <c r="F3389" s="6">
        <v>107886</v>
      </c>
      <c r="G3389" s="57" t="s">
        <v>465</v>
      </c>
      <c r="H3389" s="21"/>
      <c r="I3389" s="21"/>
      <c r="J3389" s="7" t="s">
        <v>2027</v>
      </c>
      <c r="K3389" s="13"/>
      <c r="L3389" s="13"/>
    </row>
    <row r="3390" spans="1:12" ht="25.5" x14ac:dyDescent="0.2">
      <c r="A3390" s="1" t="s">
        <v>4</v>
      </c>
      <c r="B3390" s="2" t="s">
        <v>224</v>
      </c>
      <c r="D3390" s="5" t="s">
        <v>1263</v>
      </c>
      <c r="E3390" s="3">
        <v>109571</v>
      </c>
      <c r="F3390" s="3">
        <v>107820</v>
      </c>
      <c r="G3390" s="57">
        <v>-1.5980505790765806E-2</v>
      </c>
      <c r="J3390" s="5" t="s">
        <v>3245</v>
      </c>
    </row>
    <row r="3391" spans="1:12" ht="25.5" x14ac:dyDescent="0.2">
      <c r="A3391" s="1" t="s">
        <v>4</v>
      </c>
      <c r="B3391" s="2" t="s">
        <v>340</v>
      </c>
      <c r="D3391" s="5" t="s">
        <v>863</v>
      </c>
      <c r="E3391" s="6">
        <v>106118</v>
      </c>
      <c r="F3391" s="6">
        <v>107800</v>
      </c>
      <c r="G3391" s="57">
        <v>1.5850279877117925E-2</v>
      </c>
      <c r="J3391" s="5" t="s">
        <v>2712</v>
      </c>
    </row>
    <row r="3392" spans="1:12" ht="25.5" x14ac:dyDescent="0.2">
      <c r="A3392" s="1" t="s">
        <v>25</v>
      </c>
      <c r="B3392" s="2" t="s">
        <v>26</v>
      </c>
      <c r="C3392" s="1"/>
      <c r="D3392" s="5" t="s">
        <v>1721</v>
      </c>
      <c r="E3392" s="3" t="s">
        <v>465</v>
      </c>
      <c r="F3392" s="3">
        <v>107782</v>
      </c>
      <c r="G3392" s="57" t="s">
        <v>465</v>
      </c>
      <c r="J3392" s="5" t="s">
        <v>3679</v>
      </c>
    </row>
    <row r="3393" spans="1:12" x14ac:dyDescent="0.2">
      <c r="A3393" s="1" t="s">
        <v>6</v>
      </c>
      <c r="B3393" s="2" t="s">
        <v>108</v>
      </c>
      <c r="C3393" s="1" t="s">
        <v>2183</v>
      </c>
      <c r="D3393" s="5" t="s">
        <v>2184</v>
      </c>
      <c r="E3393" s="3">
        <v>110046</v>
      </c>
      <c r="F3393" s="3">
        <v>107753</v>
      </c>
      <c r="G3393" s="57">
        <v>-2.0836740999218509E-2</v>
      </c>
      <c r="J3393" s="5" t="s">
        <v>3872</v>
      </c>
    </row>
    <row r="3394" spans="1:12" ht="25.5" x14ac:dyDescent="0.2">
      <c r="A3394" s="13" t="s">
        <v>1</v>
      </c>
      <c r="B3394" s="12" t="s">
        <v>9</v>
      </c>
      <c r="C3394" s="13" t="s">
        <v>2236</v>
      </c>
      <c r="D3394" s="7" t="s">
        <v>2237</v>
      </c>
      <c r="E3394" s="6">
        <v>105704</v>
      </c>
      <c r="F3394" s="6">
        <v>107738</v>
      </c>
      <c r="G3394" s="57">
        <v>1.9242412775297056E-2</v>
      </c>
      <c r="H3394" s="21"/>
      <c r="I3394" s="21"/>
      <c r="J3394" s="7" t="s">
        <v>4083</v>
      </c>
      <c r="K3394" s="13"/>
      <c r="L3394" s="13"/>
    </row>
    <row r="3395" spans="1:12" ht="25.5" x14ac:dyDescent="0.2">
      <c r="A3395" s="1" t="s">
        <v>28</v>
      </c>
      <c r="B3395" s="2" t="s">
        <v>273</v>
      </c>
      <c r="D3395" s="5" t="s">
        <v>1114</v>
      </c>
      <c r="E3395" s="3">
        <v>101904</v>
      </c>
      <c r="F3395" s="3">
        <v>107738</v>
      </c>
      <c r="G3395" s="57">
        <v>5.7249960747370071E-2</v>
      </c>
      <c r="J3395" s="5" t="s">
        <v>3043</v>
      </c>
    </row>
    <row r="3396" spans="1:12" ht="25.5" x14ac:dyDescent="0.2">
      <c r="A3396" s="1" t="s">
        <v>8</v>
      </c>
      <c r="B3396" s="2" t="s">
        <v>47</v>
      </c>
      <c r="C3396" s="1"/>
      <c r="D3396" s="5" t="s">
        <v>450</v>
      </c>
      <c r="E3396" s="3">
        <v>91932</v>
      </c>
      <c r="F3396" s="3">
        <v>107700</v>
      </c>
      <c r="G3396" s="57">
        <v>0.17151807857981988</v>
      </c>
      <c r="J3396" s="5" t="s">
        <v>4153</v>
      </c>
    </row>
    <row r="3397" spans="1:12" ht="25.5" x14ac:dyDescent="0.2">
      <c r="A3397" s="1" t="s">
        <v>6</v>
      </c>
      <c r="B3397" s="2" t="s">
        <v>383</v>
      </c>
      <c r="D3397" s="5" t="s">
        <v>705</v>
      </c>
      <c r="E3397" s="3">
        <v>140566</v>
      </c>
      <c r="F3397" s="3">
        <v>107687</v>
      </c>
      <c r="G3397" s="57">
        <v>-0.23390435809512969</v>
      </c>
      <c r="J3397" s="5" t="s">
        <v>2501</v>
      </c>
    </row>
    <row r="3398" spans="1:12" ht="25.5" x14ac:dyDescent="0.2">
      <c r="A3398" s="1" t="s">
        <v>1</v>
      </c>
      <c r="B3398" s="2" t="s">
        <v>141</v>
      </c>
      <c r="C3398" s="1" t="s">
        <v>3976</v>
      </c>
      <c r="D3398" s="5" t="s">
        <v>455</v>
      </c>
      <c r="E3398" s="3">
        <v>107437</v>
      </c>
      <c r="F3398" s="3">
        <v>107677</v>
      </c>
      <c r="G3398" s="57">
        <v>2.2338672896674329E-3</v>
      </c>
      <c r="J3398" s="5" t="s">
        <v>3977</v>
      </c>
    </row>
    <row r="3399" spans="1:12" ht="25.5" x14ac:dyDescent="0.2">
      <c r="A3399" s="1" t="s">
        <v>28</v>
      </c>
      <c r="B3399" s="2" t="s">
        <v>273</v>
      </c>
      <c r="D3399" s="5" t="s">
        <v>1112</v>
      </c>
      <c r="E3399" s="3">
        <v>105479</v>
      </c>
      <c r="F3399" s="3">
        <v>107659</v>
      </c>
      <c r="G3399" s="57">
        <v>2.0667621043051223E-2</v>
      </c>
      <c r="J3399" s="5" t="s">
        <v>3040</v>
      </c>
    </row>
    <row r="3400" spans="1:12" x14ac:dyDescent="0.2">
      <c r="A3400" s="1" t="s">
        <v>44</v>
      </c>
      <c r="B3400" s="2" t="s">
        <v>75</v>
      </c>
      <c r="C3400" s="1"/>
      <c r="D3400" s="5" t="s">
        <v>1970</v>
      </c>
      <c r="E3400" s="3">
        <v>98984</v>
      </c>
      <c r="F3400" s="3">
        <v>107649</v>
      </c>
      <c r="G3400" s="57">
        <v>8.7539400307120346E-2</v>
      </c>
      <c r="J3400" s="5" t="s">
        <v>1971</v>
      </c>
    </row>
    <row r="3401" spans="1:12" ht="25.5" x14ac:dyDescent="0.2">
      <c r="A3401" s="1" t="s">
        <v>34</v>
      </c>
      <c r="B3401" s="2" t="s">
        <v>266</v>
      </c>
      <c r="D3401" s="5" t="s">
        <v>450</v>
      </c>
      <c r="E3401" s="3">
        <v>110059</v>
      </c>
      <c r="F3401" s="3">
        <v>107634</v>
      </c>
      <c r="G3401" s="57">
        <v>-2.2033636504056917E-2</v>
      </c>
      <c r="J3401" s="5" t="s">
        <v>3065</v>
      </c>
    </row>
    <row r="3402" spans="1:12" ht="38.25" x14ac:dyDescent="0.2">
      <c r="A3402" s="1" t="s">
        <v>34</v>
      </c>
      <c r="B3402" s="2" t="s">
        <v>133</v>
      </c>
      <c r="C3402" s="1"/>
      <c r="D3402" s="5" t="s">
        <v>3956</v>
      </c>
      <c r="E3402" s="3">
        <v>66807</v>
      </c>
      <c r="F3402" s="3">
        <v>107588</v>
      </c>
      <c r="G3402" s="57">
        <v>0.6104300447557891</v>
      </c>
      <c r="J3402" s="5" t="s">
        <v>4305</v>
      </c>
    </row>
    <row r="3403" spans="1:12" ht="25.5" x14ac:dyDescent="0.2">
      <c r="A3403" s="1" t="s">
        <v>4</v>
      </c>
      <c r="B3403" s="2" t="s">
        <v>224</v>
      </c>
      <c r="D3403" s="5" t="s">
        <v>1264</v>
      </c>
      <c r="E3403" s="3">
        <v>110061</v>
      </c>
      <c r="F3403" s="3">
        <v>107585</v>
      </c>
      <c r="G3403" s="57">
        <v>-2.2496615513215398E-2</v>
      </c>
      <c r="J3403" s="5" t="s">
        <v>3247</v>
      </c>
    </row>
    <row r="3404" spans="1:12" x14ac:dyDescent="0.2">
      <c r="A3404" s="1" t="s">
        <v>6</v>
      </c>
      <c r="B3404" s="2" t="s">
        <v>86</v>
      </c>
      <c r="C3404" s="1"/>
      <c r="D3404" s="5" t="s">
        <v>546</v>
      </c>
      <c r="E3404" s="6">
        <v>104782</v>
      </c>
      <c r="F3404" s="3">
        <v>107584</v>
      </c>
      <c r="G3404" s="57">
        <v>2.6741234181443377E-2</v>
      </c>
      <c r="J3404" s="5" t="s">
        <v>2047</v>
      </c>
    </row>
    <row r="3405" spans="1:12" ht="25.5" x14ac:dyDescent="0.2">
      <c r="A3405" s="13" t="s">
        <v>34</v>
      </c>
      <c r="B3405" s="12" t="s">
        <v>48</v>
      </c>
      <c r="C3405" s="13"/>
      <c r="D3405" s="7" t="s">
        <v>3742</v>
      </c>
      <c r="E3405" s="6">
        <v>87066</v>
      </c>
      <c r="F3405" s="6">
        <v>107564</v>
      </c>
      <c r="G3405" s="57">
        <v>0.23543059288355961</v>
      </c>
      <c r="H3405" s="21"/>
      <c r="I3405" s="21"/>
      <c r="J3405" s="7" t="s">
        <v>3743</v>
      </c>
      <c r="K3405" s="13"/>
      <c r="L3405" s="13"/>
    </row>
    <row r="3406" spans="1:12" ht="25.5" x14ac:dyDescent="0.2">
      <c r="A3406" s="1" t="s">
        <v>20</v>
      </c>
      <c r="B3406" s="2" t="s">
        <v>394</v>
      </c>
      <c r="D3406" s="5" t="s">
        <v>520</v>
      </c>
      <c r="E3406" s="3">
        <v>50337</v>
      </c>
      <c r="F3406" s="3">
        <v>107535</v>
      </c>
      <c r="G3406" s="57">
        <v>1.1363013290422552</v>
      </c>
      <c r="J3406" s="5" t="s">
        <v>4500</v>
      </c>
    </row>
    <row r="3407" spans="1:12" ht="25.5" x14ac:dyDescent="0.2">
      <c r="A3407" s="1" t="s">
        <v>6</v>
      </c>
      <c r="B3407" s="12" t="s">
        <v>86</v>
      </c>
      <c r="C3407" s="13"/>
      <c r="D3407" s="7" t="s">
        <v>2043</v>
      </c>
      <c r="E3407" s="6">
        <v>96534</v>
      </c>
      <c r="F3407" s="6">
        <v>107528</v>
      </c>
      <c r="G3407" s="57">
        <v>0.11388733503221662</v>
      </c>
      <c r="H3407" s="21"/>
      <c r="I3407" s="21"/>
      <c r="J3407" s="7" t="s">
        <v>4226</v>
      </c>
      <c r="K3407" s="13"/>
      <c r="L3407" s="13"/>
    </row>
    <row r="3408" spans="1:12" x14ac:dyDescent="0.2">
      <c r="A3408" s="13" t="s">
        <v>1</v>
      </c>
      <c r="B3408" s="2" t="s">
        <v>9</v>
      </c>
      <c r="C3408" s="1"/>
      <c r="D3408" s="5" t="s">
        <v>464</v>
      </c>
      <c r="E3408" s="3" t="s">
        <v>465</v>
      </c>
      <c r="F3408" s="3">
        <v>107500</v>
      </c>
      <c r="G3408" s="57" t="s">
        <v>465</v>
      </c>
    </row>
    <row r="3409" spans="1:12" x14ac:dyDescent="0.2">
      <c r="A3409" s="1" t="s">
        <v>25</v>
      </c>
      <c r="B3409" s="12" t="s">
        <v>24</v>
      </c>
      <c r="C3409" s="13"/>
      <c r="D3409" s="7" t="s">
        <v>464</v>
      </c>
      <c r="E3409" s="6" t="s">
        <v>465</v>
      </c>
      <c r="F3409" s="6">
        <v>107500</v>
      </c>
      <c r="G3409" s="57" t="s">
        <v>465</v>
      </c>
      <c r="H3409" s="21"/>
      <c r="I3409" s="21"/>
      <c r="J3409" s="7"/>
      <c r="K3409" s="13"/>
      <c r="L3409" s="13"/>
    </row>
    <row r="3410" spans="1:12" x14ac:dyDescent="0.2">
      <c r="A3410" s="1" t="s">
        <v>25</v>
      </c>
      <c r="B3410" s="2" t="s">
        <v>26</v>
      </c>
      <c r="C3410" s="1"/>
      <c r="D3410" s="5" t="s">
        <v>464</v>
      </c>
      <c r="E3410" s="58" t="s">
        <v>465</v>
      </c>
      <c r="F3410" s="3">
        <v>107500</v>
      </c>
      <c r="G3410" s="57" t="s">
        <v>465</v>
      </c>
      <c r="J3410" s="1"/>
    </row>
    <row r="3411" spans="1:12" x14ac:dyDescent="0.2">
      <c r="A3411" s="1" t="s">
        <v>20</v>
      </c>
      <c r="B3411" s="2" t="s">
        <v>35</v>
      </c>
      <c r="C3411" s="1"/>
      <c r="D3411" s="5" t="s">
        <v>464</v>
      </c>
      <c r="E3411" s="3" t="s">
        <v>465</v>
      </c>
      <c r="F3411" s="3">
        <v>107500</v>
      </c>
      <c r="G3411" s="57" t="s">
        <v>465</v>
      </c>
      <c r="J3411" s="1"/>
    </row>
    <row r="3412" spans="1:12" x14ac:dyDescent="0.2">
      <c r="A3412" s="1" t="s">
        <v>39</v>
      </c>
      <c r="B3412" s="2" t="s">
        <v>38</v>
      </c>
      <c r="C3412" s="1"/>
      <c r="D3412" s="5" t="s">
        <v>464</v>
      </c>
      <c r="E3412" s="3" t="s">
        <v>465</v>
      </c>
      <c r="F3412" s="3">
        <v>107500</v>
      </c>
      <c r="G3412" s="57" t="s">
        <v>465</v>
      </c>
    </row>
    <row r="3413" spans="1:12" x14ac:dyDescent="0.2">
      <c r="A3413" s="1" t="s">
        <v>39</v>
      </c>
      <c r="B3413" s="2" t="s">
        <v>38</v>
      </c>
      <c r="C3413" s="1"/>
      <c r="D3413" s="5" t="s">
        <v>464</v>
      </c>
      <c r="E3413" s="3" t="s">
        <v>465</v>
      </c>
      <c r="F3413" s="3">
        <v>107500</v>
      </c>
      <c r="G3413" s="57" t="s">
        <v>465</v>
      </c>
    </row>
    <row r="3414" spans="1:12" x14ac:dyDescent="0.2">
      <c r="A3414" s="1" t="s">
        <v>6</v>
      </c>
      <c r="B3414" s="2" t="s">
        <v>41</v>
      </c>
      <c r="C3414" s="1"/>
      <c r="D3414" s="5" t="s">
        <v>464</v>
      </c>
      <c r="E3414" s="3" t="s">
        <v>465</v>
      </c>
      <c r="F3414" s="3">
        <v>107500</v>
      </c>
      <c r="G3414" s="57" t="s">
        <v>465</v>
      </c>
      <c r="J3414" s="5" t="s">
        <v>3718</v>
      </c>
    </row>
    <row r="3415" spans="1:12" x14ac:dyDescent="0.2">
      <c r="A3415" s="1" t="s">
        <v>6</v>
      </c>
      <c r="B3415" s="2" t="s">
        <v>42</v>
      </c>
      <c r="C3415" s="1"/>
      <c r="D3415" s="5" t="s">
        <v>464</v>
      </c>
      <c r="E3415" s="3" t="s">
        <v>465</v>
      </c>
      <c r="F3415" s="3">
        <v>107500</v>
      </c>
      <c r="G3415" s="57" t="s">
        <v>465</v>
      </c>
      <c r="J3415" s="5" t="s">
        <v>3718</v>
      </c>
    </row>
    <row r="3416" spans="1:12" x14ac:dyDescent="0.2">
      <c r="A3416" s="13" t="s">
        <v>34</v>
      </c>
      <c r="B3416" s="12" t="s">
        <v>48</v>
      </c>
      <c r="C3416" s="13"/>
      <c r="D3416" s="7" t="s">
        <v>464</v>
      </c>
      <c r="E3416" s="6" t="s">
        <v>465</v>
      </c>
      <c r="F3416" s="6">
        <v>107500</v>
      </c>
      <c r="G3416" s="57" t="s">
        <v>465</v>
      </c>
      <c r="H3416" s="21"/>
      <c r="I3416" s="21"/>
      <c r="J3416" s="7"/>
      <c r="K3416" s="13"/>
      <c r="L3416" s="13"/>
    </row>
    <row r="3417" spans="1:12" x14ac:dyDescent="0.2">
      <c r="A3417" s="1" t="s">
        <v>28</v>
      </c>
      <c r="B3417" s="2" t="s">
        <v>50</v>
      </c>
      <c r="C3417" s="1"/>
      <c r="D3417" s="5" t="s">
        <v>464</v>
      </c>
      <c r="E3417" s="58" t="s">
        <v>465</v>
      </c>
      <c r="F3417" s="3">
        <v>107500</v>
      </c>
      <c r="G3417" s="57" t="s">
        <v>465</v>
      </c>
    </row>
    <row r="3418" spans="1:12" x14ac:dyDescent="0.2">
      <c r="A3418" s="1" t="s">
        <v>28</v>
      </c>
      <c r="B3418" s="2" t="s">
        <v>50</v>
      </c>
      <c r="C3418" s="1"/>
      <c r="D3418" s="5" t="s">
        <v>464</v>
      </c>
      <c r="E3418" s="58" t="s">
        <v>465</v>
      </c>
      <c r="F3418" s="3">
        <v>107500</v>
      </c>
      <c r="G3418" s="57" t="s">
        <v>465</v>
      </c>
    </row>
    <row r="3419" spans="1:12" x14ac:dyDescent="0.2">
      <c r="A3419" s="1" t="s">
        <v>25</v>
      </c>
      <c r="B3419" s="2" t="s">
        <v>53</v>
      </c>
      <c r="C3419" s="1"/>
      <c r="D3419" s="5" t="s">
        <v>464</v>
      </c>
      <c r="E3419" s="3" t="s">
        <v>465</v>
      </c>
      <c r="F3419" s="3">
        <v>107500</v>
      </c>
      <c r="G3419" s="57" t="s">
        <v>465</v>
      </c>
      <c r="J3419" s="1"/>
    </row>
    <row r="3420" spans="1:12" x14ac:dyDescent="0.2">
      <c r="A3420" s="1" t="s">
        <v>25</v>
      </c>
      <c r="B3420" s="2" t="s">
        <v>53</v>
      </c>
      <c r="C3420" s="1"/>
      <c r="D3420" s="5" t="s">
        <v>464</v>
      </c>
      <c r="E3420" s="3" t="s">
        <v>465</v>
      </c>
      <c r="F3420" s="3">
        <v>107500</v>
      </c>
      <c r="G3420" s="57" t="s">
        <v>465</v>
      </c>
      <c r="J3420" s="1"/>
    </row>
    <row r="3421" spans="1:12" x14ac:dyDescent="0.2">
      <c r="A3421" s="1" t="s">
        <v>25</v>
      </c>
      <c r="B3421" s="2" t="s">
        <v>53</v>
      </c>
      <c r="C3421" s="1"/>
      <c r="D3421" s="5" t="s">
        <v>464</v>
      </c>
      <c r="E3421" s="3" t="s">
        <v>465</v>
      </c>
      <c r="F3421" s="3">
        <v>107500</v>
      </c>
      <c r="G3421" s="57" t="s">
        <v>465</v>
      </c>
      <c r="J3421" s="1"/>
    </row>
    <row r="3422" spans="1:12" x14ac:dyDescent="0.2">
      <c r="A3422" s="1" t="s">
        <v>25</v>
      </c>
      <c r="B3422" s="2" t="s">
        <v>53</v>
      </c>
      <c r="C3422" s="1"/>
      <c r="D3422" s="5" t="s">
        <v>464</v>
      </c>
      <c r="E3422" s="3" t="s">
        <v>465</v>
      </c>
      <c r="F3422" s="3">
        <v>107500</v>
      </c>
      <c r="G3422" s="57" t="s">
        <v>465</v>
      </c>
      <c r="J3422" s="1"/>
    </row>
    <row r="3423" spans="1:12" x14ac:dyDescent="0.2">
      <c r="A3423" s="1" t="s">
        <v>25</v>
      </c>
      <c r="B3423" s="2" t="s">
        <v>53</v>
      </c>
      <c r="C3423" s="1"/>
      <c r="D3423" s="5" t="s">
        <v>464</v>
      </c>
      <c r="E3423" s="3" t="s">
        <v>465</v>
      </c>
      <c r="F3423" s="3">
        <v>107500</v>
      </c>
      <c r="G3423" s="57" t="s">
        <v>465</v>
      </c>
      <c r="J3423" s="1"/>
    </row>
    <row r="3424" spans="1:12" x14ac:dyDescent="0.2">
      <c r="A3424" s="1" t="s">
        <v>44</v>
      </c>
      <c r="B3424" s="2" t="s">
        <v>55</v>
      </c>
      <c r="C3424" s="1"/>
      <c r="D3424" s="5" t="s">
        <v>464</v>
      </c>
      <c r="E3424" s="3" t="s">
        <v>465</v>
      </c>
      <c r="F3424" s="3">
        <v>107500</v>
      </c>
      <c r="G3424" s="57" t="s">
        <v>465</v>
      </c>
    </row>
    <row r="3425" spans="1:10" x14ac:dyDescent="0.2">
      <c r="A3425" s="1" t="s">
        <v>44</v>
      </c>
      <c r="B3425" s="2" t="s">
        <v>55</v>
      </c>
      <c r="C3425" s="1"/>
      <c r="D3425" s="5" t="s">
        <v>464</v>
      </c>
      <c r="E3425" s="3" t="s">
        <v>465</v>
      </c>
      <c r="F3425" s="3">
        <v>107500</v>
      </c>
      <c r="G3425" s="57" t="s">
        <v>465</v>
      </c>
    </row>
    <row r="3426" spans="1:10" x14ac:dyDescent="0.2">
      <c r="A3426" s="1" t="s">
        <v>4</v>
      </c>
      <c r="B3426" s="2" t="s">
        <v>56</v>
      </c>
      <c r="C3426" s="1"/>
      <c r="D3426" s="5" t="s">
        <v>464</v>
      </c>
      <c r="E3426" s="3" t="s">
        <v>465</v>
      </c>
      <c r="F3426" s="3">
        <v>107500</v>
      </c>
      <c r="G3426" s="57" t="s">
        <v>465</v>
      </c>
    </row>
    <row r="3427" spans="1:10" x14ac:dyDescent="0.2">
      <c r="A3427" s="1" t="s">
        <v>20</v>
      </c>
      <c r="B3427" s="2" t="s">
        <v>69</v>
      </c>
      <c r="C3427" s="1"/>
      <c r="D3427" s="5" t="s">
        <v>464</v>
      </c>
      <c r="E3427" s="3" t="s">
        <v>465</v>
      </c>
      <c r="F3427" s="3">
        <v>107500</v>
      </c>
      <c r="G3427" s="57" t="s">
        <v>465</v>
      </c>
      <c r="J3427" s="5" t="s">
        <v>3718</v>
      </c>
    </row>
    <row r="3428" spans="1:10" x14ac:dyDescent="0.2">
      <c r="A3428" s="1" t="s">
        <v>20</v>
      </c>
      <c r="B3428" s="2" t="s">
        <v>69</v>
      </c>
      <c r="C3428" s="1"/>
      <c r="D3428" s="5" t="s">
        <v>464</v>
      </c>
      <c r="E3428" s="3" t="s">
        <v>465</v>
      </c>
      <c r="F3428" s="3">
        <v>107500</v>
      </c>
      <c r="G3428" s="57" t="s">
        <v>465</v>
      </c>
      <c r="J3428" s="5" t="s">
        <v>3718</v>
      </c>
    </row>
    <row r="3429" spans="1:10" x14ac:dyDescent="0.2">
      <c r="A3429" s="1" t="s">
        <v>25</v>
      </c>
      <c r="B3429" s="2" t="s">
        <v>70</v>
      </c>
      <c r="C3429" s="1"/>
      <c r="D3429" s="5" t="s">
        <v>464</v>
      </c>
      <c r="E3429" s="19" t="s">
        <v>465</v>
      </c>
      <c r="F3429" s="19">
        <v>107500</v>
      </c>
      <c r="G3429" s="57" t="s">
        <v>465</v>
      </c>
    </row>
    <row r="3430" spans="1:10" x14ac:dyDescent="0.2">
      <c r="A3430" s="1" t="s">
        <v>8</v>
      </c>
      <c r="B3430" s="2" t="s">
        <v>81</v>
      </c>
      <c r="C3430" s="1"/>
      <c r="D3430" s="5" t="s">
        <v>464</v>
      </c>
      <c r="E3430" s="3" t="s">
        <v>465</v>
      </c>
      <c r="F3430" s="3">
        <v>107500</v>
      </c>
      <c r="G3430" s="57" t="s">
        <v>465</v>
      </c>
    </row>
    <row r="3431" spans="1:10" x14ac:dyDescent="0.2">
      <c r="A3431" s="1" t="s">
        <v>8</v>
      </c>
      <c r="B3431" s="2" t="s">
        <v>81</v>
      </c>
      <c r="C3431" s="1"/>
      <c r="D3431" s="5" t="s">
        <v>464</v>
      </c>
      <c r="E3431" s="3" t="s">
        <v>465</v>
      </c>
      <c r="F3431" s="3">
        <v>107500</v>
      </c>
      <c r="G3431" s="57" t="s">
        <v>465</v>
      </c>
    </row>
    <row r="3432" spans="1:10" x14ac:dyDescent="0.2">
      <c r="A3432" s="1" t="s">
        <v>8</v>
      </c>
      <c r="B3432" s="2" t="s">
        <v>81</v>
      </c>
      <c r="C3432" s="1"/>
      <c r="D3432" s="5" t="s">
        <v>464</v>
      </c>
      <c r="E3432" s="3" t="s">
        <v>465</v>
      </c>
      <c r="F3432" s="3">
        <v>107500</v>
      </c>
      <c r="G3432" s="57" t="s">
        <v>465</v>
      </c>
    </row>
    <row r="3433" spans="1:10" x14ac:dyDescent="0.2">
      <c r="A3433" s="1" t="s">
        <v>6</v>
      </c>
      <c r="B3433" s="2" t="s">
        <v>85</v>
      </c>
      <c r="C3433" s="1"/>
      <c r="D3433" s="5" t="s">
        <v>464</v>
      </c>
      <c r="E3433" s="3" t="s">
        <v>465</v>
      </c>
      <c r="F3433" s="3">
        <v>107500</v>
      </c>
      <c r="G3433" s="57" t="s">
        <v>465</v>
      </c>
    </row>
    <row r="3434" spans="1:10" x14ac:dyDescent="0.2">
      <c r="A3434" s="13" t="s">
        <v>1</v>
      </c>
      <c r="B3434" s="12" t="s">
        <v>92</v>
      </c>
      <c r="C3434" s="1"/>
      <c r="D3434" s="5" t="s">
        <v>464</v>
      </c>
      <c r="E3434" s="3" t="s">
        <v>465</v>
      </c>
      <c r="F3434" s="3">
        <v>107500</v>
      </c>
      <c r="G3434" s="57" t="s">
        <v>465</v>
      </c>
      <c r="J3434" s="16"/>
    </row>
    <row r="3435" spans="1:10" x14ac:dyDescent="0.2">
      <c r="A3435" s="1" t="s">
        <v>25</v>
      </c>
      <c r="B3435" s="2" t="s">
        <v>93</v>
      </c>
      <c r="C3435" s="1"/>
      <c r="D3435" s="5" t="s">
        <v>464</v>
      </c>
      <c r="E3435" s="3" t="s">
        <v>465</v>
      </c>
      <c r="F3435" s="3">
        <v>107500</v>
      </c>
      <c r="G3435" s="57" t="s">
        <v>465</v>
      </c>
    </row>
    <row r="3436" spans="1:10" x14ac:dyDescent="0.2">
      <c r="A3436" s="1" t="s">
        <v>39</v>
      </c>
      <c r="B3436" s="2" t="s">
        <v>103</v>
      </c>
      <c r="C3436" s="1"/>
      <c r="D3436" s="5" t="s">
        <v>464</v>
      </c>
      <c r="E3436" s="3" t="s">
        <v>465</v>
      </c>
      <c r="F3436" s="3">
        <v>107500</v>
      </c>
      <c r="G3436" s="57" t="s">
        <v>465</v>
      </c>
    </row>
    <row r="3437" spans="1:10" x14ac:dyDescent="0.2">
      <c r="A3437" s="1" t="s">
        <v>25</v>
      </c>
      <c r="B3437" s="2" t="s">
        <v>107</v>
      </c>
      <c r="C3437" s="1"/>
      <c r="D3437" s="5" t="s">
        <v>464</v>
      </c>
      <c r="E3437" s="3" t="s">
        <v>465</v>
      </c>
      <c r="F3437" s="3">
        <v>107500</v>
      </c>
      <c r="G3437" s="57" t="s">
        <v>465</v>
      </c>
      <c r="J3437" s="1"/>
    </row>
    <row r="3438" spans="1:10" x14ac:dyDescent="0.2">
      <c r="A3438" s="1" t="s">
        <v>25</v>
      </c>
      <c r="B3438" s="2" t="s">
        <v>107</v>
      </c>
      <c r="C3438" s="1"/>
      <c r="D3438" s="5" t="s">
        <v>464</v>
      </c>
      <c r="E3438" s="3" t="s">
        <v>465</v>
      </c>
      <c r="F3438" s="3">
        <v>107500</v>
      </c>
      <c r="G3438" s="57" t="s">
        <v>465</v>
      </c>
      <c r="J3438" s="1"/>
    </row>
    <row r="3439" spans="1:10" x14ac:dyDescent="0.2">
      <c r="A3439" s="1" t="s">
        <v>25</v>
      </c>
      <c r="B3439" s="2" t="s">
        <v>107</v>
      </c>
      <c r="C3439" s="1"/>
      <c r="D3439" s="5" t="s">
        <v>464</v>
      </c>
      <c r="E3439" s="3" t="s">
        <v>465</v>
      </c>
      <c r="F3439" s="3">
        <v>107500</v>
      </c>
      <c r="G3439" s="57" t="s">
        <v>465</v>
      </c>
      <c r="J3439" s="1"/>
    </row>
    <row r="3440" spans="1:10" x14ac:dyDescent="0.2">
      <c r="A3440" s="1" t="s">
        <v>25</v>
      </c>
      <c r="B3440" s="2" t="s">
        <v>107</v>
      </c>
      <c r="C3440" s="1"/>
      <c r="D3440" s="5" t="s">
        <v>464</v>
      </c>
      <c r="E3440" s="3" t="s">
        <v>465</v>
      </c>
      <c r="F3440" s="3">
        <v>107500</v>
      </c>
      <c r="G3440" s="57" t="s">
        <v>465</v>
      </c>
      <c r="J3440" s="1"/>
    </row>
    <row r="3441" spans="1:10" x14ac:dyDescent="0.2">
      <c r="A3441" s="1" t="s">
        <v>4</v>
      </c>
      <c r="B3441" s="2" t="s">
        <v>112</v>
      </c>
      <c r="C3441" s="1"/>
      <c r="D3441" s="5" t="s">
        <v>464</v>
      </c>
      <c r="E3441" s="3" t="s">
        <v>465</v>
      </c>
      <c r="F3441" s="3">
        <v>107500</v>
      </c>
      <c r="G3441" s="57" t="s">
        <v>465</v>
      </c>
    </row>
    <row r="3442" spans="1:10" x14ac:dyDescent="0.2">
      <c r="A3442" s="1" t="s">
        <v>8</v>
      </c>
      <c r="B3442" s="2" t="s">
        <v>115</v>
      </c>
      <c r="C3442" s="1"/>
      <c r="D3442" s="5" t="s">
        <v>464</v>
      </c>
      <c r="E3442" s="3" t="s">
        <v>465</v>
      </c>
      <c r="F3442" s="3">
        <v>107500</v>
      </c>
      <c r="G3442" s="57" t="s">
        <v>465</v>
      </c>
      <c r="J3442" s="1"/>
    </row>
    <row r="3443" spans="1:10" x14ac:dyDescent="0.2">
      <c r="A3443" s="1" t="s">
        <v>34</v>
      </c>
      <c r="B3443" s="2" t="s">
        <v>119</v>
      </c>
      <c r="C3443" s="1"/>
      <c r="D3443" s="5" t="s">
        <v>464</v>
      </c>
      <c r="E3443" s="3" t="s">
        <v>465</v>
      </c>
      <c r="F3443" s="3">
        <v>107500</v>
      </c>
      <c r="G3443" s="57" t="s">
        <v>465</v>
      </c>
    </row>
    <row r="3444" spans="1:10" x14ac:dyDescent="0.2">
      <c r="A3444" s="1" t="s">
        <v>34</v>
      </c>
      <c r="B3444" s="2" t="s">
        <v>119</v>
      </c>
      <c r="C3444" s="1"/>
      <c r="D3444" s="5" t="s">
        <v>464</v>
      </c>
      <c r="E3444" s="3" t="s">
        <v>465</v>
      </c>
      <c r="F3444" s="3">
        <v>107500</v>
      </c>
      <c r="G3444" s="57" t="s">
        <v>465</v>
      </c>
    </row>
    <row r="3445" spans="1:10" x14ac:dyDescent="0.2">
      <c r="A3445" s="1" t="s">
        <v>34</v>
      </c>
      <c r="B3445" s="2" t="s">
        <v>119</v>
      </c>
      <c r="C3445" s="1"/>
      <c r="D3445" s="5" t="s">
        <v>464</v>
      </c>
      <c r="E3445" s="3" t="s">
        <v>465</v>
      </c>
      <c r="F3445" s="3">
        <v>107500</v>
      </c>
      <c r="G3445" s="57" t="s">
        <v>465</v>
      </c>
    </row>
    <row r="3446" spans="1:10" x14ac:dyDescent="0.2">
      <c r="A3446" s="1" t="s">
        <v>28</v>
      </c>
      <c r="B3446" s="2" t="s">
        <v>120</v>
      </c>
      <c r="C3446" s="1"/>
      <c r="D3446" s="5" t="s">
        <v>464</v>
      </c>
      <c r="E3446" s="3" t="s">
        <v>465</v>
      </c>
      <c r="F3446" s="3">
        <v>107500</v>
      </c>
      <c r="G3446" s="57" t="s">
        <v>465</v>
      </c>
    </row>
    <row r="3447" spans="1:10" x14ac:dyDescent="0.2">
      <c r="A3447" s="1" t="s">
        <v>28</v>
      </c>
      <c r="B3447" s="2" t="s">
        <v>120</v>
      </c>
      <c r="C3447" s="1"/>
      <c r="D3447" s="5" t="s">
        <v>464</v>
      </c>
      <c r="E3447" s="3" t="s">
        <v>465</v>
      </c>
      <c r="F3447" s="3">
        <v>107500</v>
      </c>
      <c r="G3447" s="57" t="s">
        <v>465</v>
      </c>
    </row>
    <row r="3448" spans="1:10" x14ac:dyDescent="0.2">
      <c r="A3448" s="1" t="s">
        <v>39</v>
      </c>
      <c r="B3448" s="2" t="s">
        <v>124</v>
      </c>
      <c r="C3448" s="1"/>
      <c r="D3448" s="5" t="s">
        <v>464</v>
      </c>
      <c r="E3448" s="3" t="s">
        <v>465</v>
      </c>
      <c r="F3448" s="3">
        <v>107500</v>
      </c>
      <c r="G3448" s="57" t="s">
        <v>465</v>
      </c>
    </row>
    <row r="3449" spans="1:10" x14ac:dyDescent="0.2">
      <c r="A3449" s="1" t="s">
        <v>39</v>
      </c>
      <c r="B3449" s="2" t="s">
        <v>124</v>
      </c>
      <c r="C3449" s="1"/>
      <c r="D3449" s="5" t="s">
        <v>464</v>
      </c>
      <c r="E3449" s="3" t="s">
        <v>465</v>
      </c>
      <c r="F3449" s="3">
        <v>107500</v>
      </c>
      <c r="G3449" s="57" t="s">
        <v>465</v>
      </c>
    </row>
    <row r="3450" spans="1:10" x14ac:dyDescent="0.2">
      <c r="A3450" s="1" t="s">
        <v>25</v>
      </c>
      <c r="B3450" s="2" t="s">
        <v>129</v>
      </c>
      <c r="C3450" s="1"/>
      <c r="D3450" s="5" t="s">
        <v>464</v>
      </c>
      <c r="E3450" s="3" t="s">
        <v>465</v>
      </c>
      <c r="F3450" s="3">
        <v>107500</v>
      </c>
      <c r="G3450" s="57" t="s">
        <v>465</v>
      </c>
      <c r="J3450" s="1"/>
    </row>
    <row r="3451" spans="1:10" x14ac:dyDescent="0.2">
      <c r="A3451" s="1" t="s">
        <v>25</v>
      </c>
      <c r="B3451" s="2" t="s">
        <v>129</v>
      </c>
      <c r="C3451" s="1"/>
      <c r="D3451" s="5" t="s">
        <v>464</v>
      </c>
      <c r="E3451" s="3" t="s">
        <v>465</v>
      </c>
      <c r="F3451" s="3">
        <v>107500</v>
      </c>
      <c r="G3451" s="57" t="s">
        <v>465</v>
      </c>
      <c r="J3451" s="1"/>
    </row>
    <row r="3452" spans="1:10" x14ac:dyDescent="0.2">
      <c r="A3452" s="1" t="s">
        <v>25</v>
      </c>
      <c r="B3452" s="2" t="s">
        <v>129</v>
      </c>
      <c r="C3452" s="1"/>
      <c r="D3452" s="5" t="s">
        <v>464</v>
      </c>
      <c r="E3452" s="3" t="s">
        <v>465</v>
      </c>
      <c r="F3452" s="3">
        <v>107500</v>
      </c>
      <c r="G3452" s="57" t="s">
        <v>465</v>
      </c>
      <c r="J3452" s="1"/>
    </row>
    <row r="3453" spans="1:10" x14ac:dyDescent="0.2">
      <c r="A3453" s="1" t="s">
        <v>25</v>
      </c>
      <c r="B3453" s="2" t="s">
        <v>129</v>
      </c>
      <c r="C3453" s="1"/>
      <c r="D3453" s="5" t="s">
        <v>464</v>
      </c>
      <c r="E3453" s="3" t="s">
        <v>465</v>
      </c>
      <c r="F3453" s="3">
        <v>107500</v>
      </c>
      <c r="G3453" s="57" t="s">
        <v>465</v>
      </c>
      <c r="J3453" s="1"/>
    </row>
    <row r="3454" spans="1:10" x14ac:dyDescent="0.2">
      <c r="A3454" s="1" t="s">
        <v>25</v>
      </c>
      <c r="B3454" s="2" t="s">
        <v>129</v>
      </c>
      <c r="C3454" s="1"/>
      <c r="D3454" s="5" t="s">
        <v>464</v>
      </c>
      <c r="E3454" s="3" t="s">
        <v>465</v>
      </c>
      <c r="F3454" s="3">
        <v>107500</v>
      </c>
      <c r="G3454" s="57" t="s">
        <v>465</v>
      </c>
      <c r="J3454" s="1"/>
    </row>
    <row r="3455" spans="1:10" x14ac:dyDescent="0.2">
      <c r="A3455" s="1" t="s">
        <v>34</v>
      </c>
      <c r="B3455" s="2" t="s">
        <v>133</v>
      </c>
      <c r="C3455" s="1"/>
      <c r="D3455" s="5" t="s">
        <v>464</v>
      </c>
      <c r="E3455" s="3" t="s">
        <v>465</v>
      </c>
      <c r="F3455" s="3">
        <v>107500</v>
      </c>
      <c r="G3455" s="57" t="s">
        <v>465</v>
      </c>
    </row>
    <row r="3456" spans="1:10" x14ac:dyDescent="0.2">
      <c r="A3456" s="1" t="s">
        <v>34</v>
      </c>
      <c r="B3456" s="2" t="s">
        <v>133</v>
      </c>
      <c r="C3456" s="1"/>
      <c r="D3456" s="5" t="s">
        <v>464</v>
      </c>
      <c r="E3456" s="3" t="s">
        <v>465</v>
      </c>
      <c r="F3456" s="3">
        <v>107500</v>
      </c>
      <c r="G3456" s="57" t="s">
        <v>465</v>
      </c>
    </row>
    <row r="3457" spans="1:10" x14ac:dyDescent="0.2">
      <c r="A3457" s="1" t="s">
        <v>4</v>
      </c>
      <c r="B3457" s="2" t="s">
        <v>144</v>
      </c>
      <c r="C3457" s="1"/>
      <c r="D3457" s="5" t="s">
        <v>464</v>
      </c>
      <c r="E3457" s="3" t="s">
        <v>465</v>
      </c>
      <c r="F3457" s="3">
        <v>107500</v>
      </c>
      <c r="G3457" s="57" t="s">
        <v>465</v>
      </c>
    </row>
    <row r="3458" spans="1:10" x14ac:dyDescent="0.2">
      <c r="A3458" s="1" t="s">
        <v>4</v>
      </c>
      <c r="B3458" s="2" t="s">
        <v>152</v>
      </c>
      <c r="C3458" s="1"/>
      <c r="D3458" s="5" t="s">
        <v>464</v>
      </c>
      <c r="E3458" s="3" t="s">
        <v>465</v>
      </c>
      <c r="F3458" s="3">
        <v>107500</v>
      </c>
      <c r="G3458" s="57" t="s">
        <v>465</v>
      </c>
    </row>
    <row r="3459" spans="1:10" x14ac:dyDescent="0.2">
      <c r="A3459" s="1" t="s">
        <v>20</v>
      </c>
      <c r="B3459" s="2" t="s">
        <v>154</v>
      </c>
      <c r="C3459" s="1"/>
      <c r="D3459" s="5" t="s">
        <v>464</v>
      </c>
      <c r="E3459" s="3" t="s">
        <v>465</v>
      </c>
      <c r="F3459" s="3">
        <v>107500</v>
      </c>
      <c r="G3459" s="57" t="s">
        <v>465</v>
      </c>
      <c r="J3459" s="1"/>
    </row>
    <row r="3460" spans="1:10" x14ac:dyDescent="0.2">
      <c r="A3460" s="1" t="s">
        <v>20</v>
      </c>
      <c r="B3460" s="2" t="s">
        <v>154</v>
      </c>
      <c r="C3460" s="1"/>
      <c r="D3460" s="5" t="s">
        <v>464</v>
      </c>
      <c r="E3460" s="3" t="s">
        <v>465</v>
      </c>
      <c r="F3460" s="3">
        <v>107500</v>
      </c>
      <c r="G3460" s="57" t="s">
        <v>465</v>
      </c>
      <c r="J3460" s="1"/>
    </row>
    <row r="3461" spans="1:10" x14ac:dyDescent="0.2">
      <c r="A3461" s="1" t="s">
        <v>20</v>
      </c>
      <c r="B3461" s="2" t="s">
        <v>154</v>
      </c>
      <c r="C3461" s="1"/>
      <c r="D3461" s="5" t="s">
        <v>464</v>
      </c>
      <c r="E3461" s="3" t="s">
        <v>465</v>
      </c>
      <c r="F3461" s="3">
        <v>107500</v>
      </c>
      <c r="G3461" s="57" t="s">
        <v>465</v>
      </c>
      <c r="J3461" s="1"/>
    </row>
    <row r="3462" spans="1:10" x14ac:dyDescent="0.2">
      <c r="A3462" s="1" t="s">
        <v>20</v>
      </c>
      <c r="B3462" s="2" t="s">
        <v>154</v>
      </c>
      <c r="C3462" s="1"/>
      <c r="D3462" s="5" t="s">
        <v>464</v>
      </c>
      <c r="E3462" s="3" t="s">
        <v>465</v>
      </c>
      <c r="F3462" s="3">
        <v>107500</v>
      </c>
      <c r="G3462" s="57" t="s">
        <v>465</v>
      </c>
      <c r="J3462" s="1"/>
    </row>
    <row r="3463" spans="1:10" x14ac:dyDescent="0.2">
      <c r="A3463" s="1" t="s">
        <v>20</v>
      </c>
      <c r="B3463" s="2" t="s">
        <v>154</v>
      </c>
      <c r="C3463" s="1"/>
      <c r="D3463" s="5" t="s">
        <v>464</v>
      </c>
      <c r="E3463" s="3" t="s">
        <v>465</v>
      </c>
      <c r="F3463" s="3">
        <v>107500</v>
      </c>
      <c r="G3463" s="57" t="s">
        <v>465</v>
      </c>
      <c r="J3463" s="1"/>
    </row>
    <row r="3464" spans="1:10" x14ac:dyDescent="0.2">
      <c r="A3464" s="1" t="s">
        <v>20</v>
      </c>
      <c r="B3464" s="2" t="s">
        <v>154</v>
      </c>
      <c r="C3464" s="1"/>
      <c r="D3464" s="5" t="s">
        <v>464</v>
      </c>
      <c r="E3464" s="3" t="s">
        <v>465</v>
      </c>
      <c r="F3464" s="3">
        <v>107500</v>
      </c>
      <c r="G3464" s="57" t="s">
        <v>465</v>
      </c>
      <c r="J3464" s="1"/>
    </row>
    <row r="3465" spans="1:10" x14ac:dyDescent="0.2">
      <c r="A3465" s="1" t="s">
        <v>1</v>
      </c>
      <c r="B3465" s="2" t="s">
        <v>160</v>
      </c>
      <c r="D3465" s="5" t="s">
        <v>464</v>
      </c>
      <c r="E3465" s="3" t="s">
        <v>465</v>
      </c>
      <c r="F3465" s="3">
        <v>107500</v>
      </c>
      <c r="G3465" s="57" t="s">
        <v>465</v>
      </c>
    </row>
    <row r="3466" spans="1:10" x14ac:dyDescent="0.2">
      <c r="A3466" s="1" t="s">
        <v>111</v>
      </c>
      <c r="B3466" s="2" t="s">
        <v>166</v>
      </c>
      <c r="C3466" s="1"/>
      <c r="D3466" s="5" t="s">
        <v>464</v>
      </c>
      <c r="E3466" s="3" t="s">
        <v>465</v>
      </c>
      <c r="F3466" s="3">
        <v>107500</v>
      </c>
      <c r="G3466" s="57" t="s">
        <v>465</v>
      </c>
      <c r="J3466" s="1"/>
    </row>
    <row r="3467" spans="1:10" x14ac:dyDescent="0.2">
      <c r="A3467" s="1" t="s">
        <v>111</v>
      </c>
      <c r="B3467" s="2" t="s">
        <v>166</v>
      </c>
      <c r="C3467" s="1"/>
      <c r="D3467" s="5" t="s">
        <v>464</v>
      </c>
      <c r="E3467" s="3" t="s">
        <v>465</v>
      </c>
      <c r="F3467" s="3">
        <v>107500</v>
      </c>
      <c r="G3467" s="57" t="s">
        <v>465</v>
      </c>
      <c r="J3467" s="1"/>
    </row>
    <row r="3468" spans="1:10" x14ac:dyDescent="0.2">
      <c r="A3468" s="1" t="s">
        <v>111</v>
      </c>
      <c r="B3468" s="2" t="s">
        <v>166</v>
      </c>
      <c r="D3468" s="5" t="s">
        <v>464</v>
      </c>
      <c r="E3468" s="3" t="s">
        <v>465</v>
      </c>
      <c r="F3468" s="3">
        <v>107500</v>
      </c>
      <c r="G3468" s="57" t="s">
        <v>465</v>
      </c>
    </row>
    <row r="3469" spans="1:10" x14ac:dyDescent="0.2">
      <c r="A3469" s="1" t="s">
        <v>1</v>
      </c>
      <c r="B3469" s="2" t="s">
        <v>168</v>
      </c>
      <c r="C3469" s="1"/>
      <c r="D3469" s="5" t="s">
        <v>464</v>
      </c>
      <c r="E3469" s="3" t="s">
        <v>465</v>
      </c>
      <c r="F3469" s="3">
        <v>107500</v>
      </c>
      <c r="G3469" s="57" t="s">
        <v>465</v>
      </c>
      <c r="H3469" s="4"/>
      <c r="I3469" s="4"/>
      <c r="J3469" s="1"/>
    </row>
    <row r="3470" spans="1:10" x14ac:dyDescent="0.2">
      <c r="A3470" s="1" t="s">
        <v>1</v>
      </c>
      <c r="B3470" s="2" t="s">
        <v>168</v>
      </c>
      <c r="C3470" s="1"/>
      <c r="D3470" s="5" t="s">
        <v>464</v>
      </c>
      <c r="E3470" s="3" t="s">
        <v>465</v>
      </c>
      <c r="F3470" s="3">
        <v>107500</v>
      </c>
      <c r="G3470" s="57" t="s">
        <v>465</v>
      </c>
      <c r="H3470" s="4"/>
      <c r="I3470" s="4"/>
      <c r="J3470" s="1"/>
    </row>
    <row r="3471" spans="1:10" x14ac:dyDescent="0.2">
      <c r="A3471" s="1" t="s">
        <v>1</v>
      </c>
      <c r="B3471" s="2" t="s">
        <v>168</v>
      </c>
      <c r="C3471" s="1"/>
      <c r="D3471" s="5" t="s">
        <v>464</v>
      </c>
      <c r="E3471" s="3" t="s">
        <v>465</v>
      </c>
      <c r="F3471" s="3">
        <v>107500</v>
      </c>
      <c r="G3471" s="57" t="s">
        <v>465</v>
      </c>
      <c r="H3471" s="4"/>
      <c r="I3471" s="4"/>
      <c r="J3471" s="1"/>
    </row>
    <row r="3472" spans="1:10" x14ac:dyDescent="0.2">
      <c r="A3472" s="1" t="s">
        <v>1</v>
      </c>
      <c r="B3472" s="2" t="s">
        <v>168</v>
      </c>
      <c r="C3472" s="1"/>
      <c r="D3472" s="5" t="s">
        <v>464</v>
      </c>
      <c r="E3472" s="3" t="s">
        <v>465</v>
      </c>
      <c r="F3472" s="3">
        <v>107500</v>
      </c>
      <c r="G3472" s="57" t="s">
        <v>465</v>
      </c>
    </row>
    <row r="3473" spans="1:10" x14ac:dyDescent="0.2">
      <c r="A3473" s="1" t="s">
        <v>34</v>
      </c>
      <c r="B3473" s="2" t="s">
        <v>169</v>
      </c>
      <c r="D3473" s="5" t="s">
        <v>464</v>
      </c>
      <c r="E3473" s="3" t="s">
        <v>465</v>
      </c>
      <c r="F3473" s="3">
        <v>107500</v>
      </c>
      <c r="G3473" s="57" t="s">
        <v>465</v>
      </c>
      <c r="J3473" s="5" t="s">
        <v>1555</v>
      </c>
    </row>
    <row r="3474" spans="1:10" x14ac:dyDescent="0.2">
      <c r="A3474" s="1" t="s">
        <v>25</v>
      </c>
      <c r="B3474" s="2" t="s">
        <v>175</v>
      </c>
      <c r="D3474" s="5" t="s">
        <v>464</v>
      </c>
      <c r="E3474" s="3" t="s">
        <v>465</v>
      </c>
      <c r="F3474" s="3">
        <v>107500</v>
      </c>
      <c r="G3474" s="57" t="s">
        <v>465</v>
      </c>
      <c r="J3474" s="5" t="s">
        <v>1241</v>
      </c>
    </row>
    <row r="3475" spans="1:10" x14ac:dyDescent="0.2">
      <c r="A3475" s="1" t="s">
        <v>25</v>
      </c>
      <c r="B3475" s="2" t="s">
        <v>175</v>
      </c>
      <c r="D3475" s="5" t="s">
        <v>464</v>
      </c>
      <c r="E3475" s="3" t="s">
        <v>465</v>
      </c>
      <c r="F3475" s="3">
        <v>107500</v>
      </c>
      <c r="G3475" s="57" t="s">
        <v>465</v>
      </c>
    </row>
    <row r="3476" spans="1:10" x14ac:dyDescent="0.2">
      <c r="A3476" s="1" t="s">
        <v>25</v>
      </c>
      <c r="B3476" s="2" t="s">
        <v>175</v>
      </c>
      <c r="D3476" s="5" t="s">
        <v>464</v>
      </c>
      <c r="E3476" s="3" t="s">
        <v>465</v>
      </c>
      <c r="F3476" s="3">
        <v>107500</v>
      </c>
      <c r="G3476" s="57" t="s">
        <v>465</v>
      </c>
    </row>
    <row r="3477" spans="1:10" x14ac:dyDescent="0.2">
      <c r="A3477" s="1" t="s">
        <v>25</v>
      </c>
      <c r="B3477" s="2" t="s">
        <v>175</v>
      </c>
      <c r="D3477" s="5" t="s">
        <v>464</v>
      </c>
      <c r="E3477" s="3" t="s">
        <v>465</v>
      </c>
      <c r="F3477" s="3">
        <v>107500</v>
      </c>
      <c r="G3477" s="57" t="s">
        <v>465</v>
      </c>
    </row>
    <row r="3478" spans="1:10" x14ac:dyDescent="0.2">
      <c r="A3478" s="1" t="s">
        <v>25</v>
      </c>
      <c r="B3478" s="2" t="s">
        <v>175</v>
      </c>
      <c r="D3478" s="5" t="s">
        <v>464</v>
      </c>
      <c r="E3478" s="3" t="s">
        <v>465</v>
      </c>
      <c r="F3478" s="3">
        <v>107500</v>
      </c>
      <c r="G3478" s="57" t="s">
        <v>465</v>
      </c>
    </row>
    <row r="3479" spans="1:10" x14ac:dyDescent="0.2">
      <c r="A3479" s="1" t="s">
        <v>25</v>
      </c>
      <c r="B3479" s="2" t="s">
        <v>178</v>
      </c>
      <c r="D3479" s="5" t="s">
        <v>464</v>
      </c>
      <c r="E3479" s="3" t="s">
        <v>465</v>
      </c>
      <c r="F3479" s="3">
        <v>107500</v>
      </c>
      <c r="G3479" s="57" t="s">
        <v>465</v>
      </c>
    </row>
    <row r="3480" spans="1:10" x14ac:dyDescent="0.2">
      <c r="A3480" s="1" t="s">
        <v>25</v>
      </c>
      <c r="B3480" s="2" t="s">
        <v>178</v>
      </c>
      <c r="D3480" s="5" t="s">
        <v>464</v>
      </c>
      <c r="E3480" s="3" t="s">
        <v>465</v>
      </c>
      <c r="F3480" s="3">
        <v>107500</v>
      </c>
      <c r="G3480" s="57" t="s">
        <v>465</v>
      </c>
    </row>
    <row r="3481" spans="1:10" x14ac:dyDescent="0.2">
      <c r="A3481" s="1" t="s">
        <v>25</v>
      </c>
      <c r="B3481" s="2" t="s">
        <v>178</v>
      </c>
      <c r="D3481" s="5" t="s">
        <v>464</v>
      </c>
      <c r="E3481" s="3" t="s">
        <v>465</v>
      </c>
      <c r="F3481" s="3">
        <v>107500</v>
      </c>
      <c r="G3481" s="57" t="s">
        <v>465</v>
      </c>
    </row>
    <row r="3482" spans="1:10" x14ac:dyDescent="0.2">
      <c r="A3482" s="1" t="s">
        <v>25</v>
      </c>
      <c r="B3482" s="2" t="s">
        <v>178</v>
      </c>
      <c r="D3482" s="5" t="s">
        <v>464</v>
      </c>
      <c r="E3482" s="3" t="s">
        <v>465</v>
      </c>
      <c r="F3482" s="3">
        <v>107500</v>
      </c>
      <c r="G3482" s="57" t="s">
        <v>465</v>
      </c>
    </row>
    <row r="3483" spans="1:10" x14ac:dyDescent="0.2">
      <c r="A3483" s="1" t="s">
        <v>25</v>
      </c>
      <c r="B3483" s="2" t="s">
        <v>181</v>
      </c>
      <c r="D3483" s="5" t="s">
        <v>464</v>
      </c>
      <c r="E3483" s="3" t="s">
        <v>465</v>
      </c>
      <c r="F3483" s="3">
        <v>107500</v>
      </c>
      <c r="G3483" s="57" t="s">
        <v>465</v>
      </c>
    </row>
    <row r="3484" spans="1:10" x14ac:dyDescent="0.2">
      <c r="A3484" s="1" t="s">
        <v>25</v>
      </c>
      <c r="B3484" s="2" t="s">
        <v>181</v>
      </c>
      <c r="D3484" s="5" t="s">
        <v>464</v>
      </c>
      <c r="E3484" s="3" t="s">
        <v>465</v>
      </c>
      <c r="F3484" s="3">
        <v>107500</v>
      </c>
      <c r="G3484" s="57" t="s">
        <v>465</v>
      </c>
    </row>
    <row r="3485" spans="1:10" x14ac:dyDescent="0.2">
      <c r="A3485" s="1" t="s">
        <v>25</v>
      </c>
      <c r="B3485" s="2" t="s">
        <v>181</v>
      </c>
      <c r="D3485" s="5" t="s">
        <v>464</v>
      </c>
      <c r="E3485" s="3" t="s">
        <v>465</v>
      </c>
      <c r="F3485" s="3">
        <v>107500</v>
      </c>
      <c r="G3485" s="57" t="s">
        <v>465</v>
      </c>
    </row>
    <row r="3486" spans="1:10" x14ac:dyDescent="0.2">
      <c r="A3486" s="1" t="s">
        <v>4</v>
      </c>
      <c r="B3486" s="2" t="s">
        <v>182</v>
      </c>
      <c r="D3486" s="5" t="s">
        <v>464</v>
      </c>
      <c r="E3486" s="3" t="s">
        <v>465</v>
      </c>
      <c r="F3486" s="3">
        <v>107500</v>
      </c>
      <c r="G3486" s="57" t="s">
        <v>465</v>
      </c>
      <c r="J3486" s="5" t="s">
        <v>1475</v>
      </c>
    </row>
    <row r="3487" spans="1:10" x14ac:dyDescent="0.2">
      <c r="A3487" s="1" t="s">
        <v>4</v>
      </c>
      <c r="B3487" s="2" t="s">
        <v>182</v>
      </c>
      <c r="D3487" s="5" t="s">
        <v>464</v>
      </c>
      <c r="E3487" s="3" t="s">
        <v>465</v>
      </c>
      <c r="F3487" s="3">
        <v>107500</v>
      </c>
      <c r="G3487" s="57" t="s">
        <v>465</v>
      </c>
      <c r="J3487" s="5" t="s">
        <v>1475</v>
      </c>
    </row>
    <row r="3488" spans="1:10" x14ac:dyDescent="0.2">
      <c r="A3488" s="1" t="s">
        <v>4</v>
      </c>
      <c r="B3488" s="2" t="s">
        <v>182</v>
      </c>
      <c r="D3488" s="5" t="s">
        <v>464</v>
      </c>
      <c r="E3488" s="3" t="s">
        <v>465</v>
      </c>
      <c r="F3488" s="3">
        <v>107500</v>
      </c>
      <c r="G3488" s="57" t="s">
        <v>465</v>
      </c>
    </row>
    <row r="3489" spans="1:10" x14ac:dyDescent="0.2">
      <c r="A3489" s="1" t="s">
        <v>4</v>
      </c>
      <c r="B3489" s="2" t="s">
        <v>182</v>
      </c>
      <c r="D3489" s="5" t="s">
        <v>464</v>
      </c>
      <c r="E3489" s="3" t="s">
        <v>465</v>
      </c>
      <c r="F3489" s="3">
        <v>107500</v>
      </c>
      <c r="G3489" s="57" t="s">
        <v>465</v>
      </c>
    </row>
    <row r="3490" spans="1:10" x14ac:dyDescent="0.2">
      <c r="A3490" s="1" t="s">
        <v>4</v>
      </c>
      <c r="B3490" s="2" t="s">
        <v>182</v>
      </c>
      <c r="D3490" s="5" t="s">
        <v>464</v>
      </c>
      <c r="E3490" s="3" t="s">
        <v>465</v>
      </c>
      <c r="F3490" s="3">
        <v>107500</v>
      </c>
      <c r="G3490" s="57" t="s">
        <v>465</v>
      </c>
    </row>
    <row r="3491" spans="1:10" x14ac:dyDescent="0.2">
      <c r="A3491" s="1" t="s">
        <v>25</v>
      </c>
      <c r="B3491" s="2" t="s">
        <v>187</v>
      </c>
      <c r="D3491" s="5" t="s">
        <v>464</v>
      </c>
      <c r="E3491" s="3" t="s">
        <v>465</v>
      </c>
      <c r="F3491" s="3">
        <v>107500</v>
      </c>
      <c r="G3491" s="57" t="s">
        <v>465</v>
      </c>
      <c r="J3491" s="1"/>
    </row>
    <row r="3492" spans="1:10" x14ac:dyDescent="0.2">
      <c r="A3492" s="1" t="s">
        <v>111</v>
      </c>
      <c r="B3492" s="2" t="s">
        <v>189</v>
      </c>
      <c r="D3492" s="5" t="s">
        <v>464</v>
      </c>
      <c r="E3492" s="3" t="s">
        <v>465</v>
      </c>
      <c r="F3492" s="3">
        <v>107500</v>
      </c>
      <c r="G3492" s="57" t="s">
        <v>465</v>
      </c>
      <c r="J3492" s="5" t="s">
        <v>539</v>
      </c>
    </row>
    <row r="3493" spans="1:10" x14ac:dyDescent="0.2">
      <c r="A3493" s="1" t="s">
        <v>111</v>
      </c>
      <c r="B3493" s="2" t="s">
        <v>189</v>
      </c>
      <c r="D3493" s="5" t="s">
        <v>464</v>
      </c>
      <c r="E3493" s="3" t="s">
        <v>465</v>
      </c>
      <c r="F3493" s="3">
        <v>107500</v>
      </c>
      <c r="G3493" s="57" t="s">
        <v>465</v>
      </c>
      <c r="J3493" s="5" t="s">
        <v>539</v>
      </c>
    </row>
    <row r="3494" spans="1:10" x14ac:dyDescent="0.2">
      <c r="A3494" s="1" t="s">
        <v>25</v>
      </c>
      <c r="B3494" s="2" t="s">
        <v>192</v>
      </c>
      <c r="D3494" s="5" t="s">
        <v>464</v>
      </c>
      <c r="E3494" s="3" t="s">
        <v>465</v>
      </c>
      <c r="F3494" s="3">
        <v>107500</v>
      </c>
      <c r="G3494" s="57" t="s">
        <v>465</v>
      </c>
    </row>
    <row r="3495" spans="1:10" x14ac:dyDescent="0.2">
      <c r="A3495" s="1" t="s">
        <v>20</v>
      </c>
      <c r="B3495" s="2" t="s">
        <v>194</v>
      </c>
      <c r="D3495" s="5" t="s">
        <v>464</v>
      </c>
      <c r="E3495" s="3" t="s">
        <v>465</v>
      </c>
      <c r="F3495" s="3">
        <v>107500</v>
      </c>
      <c r="G3495" s="57" t="s">
        <v>465</v>
      </c>
      <c r="J3495" s="1"/>
    </row>
    <row r="3496" spans="1:10" x14ac:dyDescent="0.2">
      <c r="A3496" s="1" t="s">
        <v>25</v>
      </c>
      <c r="B3496" s="2" t="s">
        <v>200</v>
      </c>
      <c r="D3496" s="5" t="s">
        <v>464</v>
      </c>
      <c r="E3496" s="3" t="s">
        <v>465</v>
      </c>
      <c r="F3496" s="3">
        <v>107500</v>
      </c>
      <c r="G3496" s="57" t="s">
        <v>465</v>
      </c>
    </row>
    <row r="3497" spans="1:10" x14ac:dyDescent="0.2">
      <c r="A3497" s="1" t="s">
        <v>25</v>
      </c>
      <c r="B3497" s="2" t="s">
        <v>200</v>
      </c>
      <c r="D3497" s="5" t="s">
        <v>464</v>
      </c>
      <c r="E3497" s="3" t="s">
        <v>465</v>
      </c>
      <c r="F3497" s="3">
        <v>107500</v>
      </c>
      <c r="G3497" s="57" t="s">
        <v>465</v>
      </c>
    </row>
    <row r="3498" spans="1:10" x14ac:dyDescent="0.2">
      <c r="A3498" s="1" t="s">
        <v>1</v>
      </c>
      <c r="B3498" s="2" t="s">
        <v>203</v>
      </c>
      <c r="D3498" s="5" t="s">
        <v>464</v>
      </c>
      <c r="E3498" s="3" t="s">
        <v>465</v>
      </c>
      <c r="F3498" s="3">
        <v>107500</v>
      </c>
      <c r="G3498" s="57" t="s">
        <v>465</v>
      </c>
    </row>
    <row r="3499" spans="1:10" x14ac:dyDescent="0.2">
      <c r="A3499" s="1" t="s">
        <v>25</v>
      </c>
      <c r="B3499" s="2" t="s">
        <v>208</v>
      </c>
      <c r="D3499" s="5" t="s">
        <v>464</v>
      </c>
      <c r="E3499" s="3" t="s">
        <v>465</v>
      </c>
      <c r="F3499" s="3">
        <v>107500</v>
      </c>
      <c r="G3499" s="57" t="s">
        <v>465</v>
      </c>
      <c r="H3499" s="4"/>
      <c r="I3499" s="4"/>
      <c r="J3499" s="1"/>
    </row>
    <row r="3500" spans="1:10" x14ac:dyDescent="0.2">
      <c r="A3500" s="1" t="s">
        <v>25</v>
      </c>
      <c r="B3500" s="2" t="s">
        <v>208</v>
      </c>
      <c r="D3500" s="5" t="s">
        <v>464</v>
      </c>
      <c r="E3500" s="3" t="s">
        <v>465</v>
      </c>
      <c r="F3500" s="3">
        <v>107500</v>
      </c>
      <c r="G3500" s="57" t="s">
        <v>465</v>
      </c>
      <c r="H3500" s="4"/>
      <c r="I3500" s="4"/>
      <c r="J3500" s="1"/>
    </row>
    <row r="3501" spans="1:10" x14ac:dyDescent="0.2">
      <c r="A3501" s="1" t="s">
        <v>25</v>
      </c>
      <c r="B3501" s="2" t="s">
        <v>208</v>
      </c>
      <c r="D3501" s="5" t="s">
        <v>464</v>
      </c>
      <c r="E3501" s="3" t="s">
        <v>465</v>
      </c>
      <c r="F3501" s="3">
        <v>107500</v>
      </c>
      <c r="G3501" s="57" t="s">
        <v>465</v>
      </c>
      <c r="H3501" s="4"/>
      <c r="I3501" s="4"/>
      <c r="J3501" s="1"/>
    </row>
    <row r="3502" spans="1:10" x14ac:dyDescent="0.2">
      <c r="A3502" s="1" t="s">
        <v>25</v>
      </c>
      <c r="B3502" s="2" t="s">
        <v>209</v>
      </c>
      <c r="D3502" s="5" t="s">
        <v>464</v>
      </c>
      <c r="E3502" s="3" t="s">
        <v>465</v>
      </c>
      <c r="F3502" s="3">
        <v>107500</v>
      </c>
      <c r="G3502" s="57" t="s">
        <v>465</v>
      </c>
    </row>
    <row r="3503" spans="1:10" x14ac:dyDescent="0.2">
      <c r="A3503" s="1" t="s">
        <v>25</v>
      </c>
      <c r="B3503" s="2" t="s">
        <v>209</v>
      </c>
      <c r="D3503" s="5" t="s">
        <v>464</v>
      </c>
      <c r="E3503" s="3" t="s">
        <v>465</v>
      </c>
      <c r="F3503" s="3">
        <v>107500</v>
      </c>
      <c r="G3503" s="57" t="s">
        <v>465</v>
      </c>
    </row>
    <row r="3504" spans="1:10" x14ac:dyDescent="0.2">
      <c r="A3504" s="1" t="s">
        <v>4</v>
      </c>
      <c r="B3504" s="2" t="s">
        <v>210</v>
      </c>
      <c r="D3504" s="5" t="s">
        <v>464</v>
      </c>
      <c r="E3504" s="3" t="s">
        <v>465</v>
      </c>
      <c r="F3504" s="3">
        <v>107500</v>
      </c>
      <c r="G3504" s="57" t="s">
        <v>465</v>
      </c>
      <c r="H3504" s="4"/>
      <c r="I3504" s="4"/>
      <c r="J3504" s="1"/>
    </row>
    <row r="3505" spans="1:10" x14ac:dyDescent="0.2">
      <c r="A3505" s="1" t="s">
        <v>4</v>
      </c>
      <c r="B3505" s="2" t="s">
        <v>210</v>
      </c>
      <c r="D3505" s="5" t="s">
        <v>464</v>
      </c>
      <c r="E3505" s="3" t="s">
        <v>465</v>
      </c>
      <c r="F3505" s="3">
        <v>107500</v>
      </c>
      <c r="G3505" s="57" t="s">
        <v>465</v>
      </c>
      <c r="H3505" s="4"/>
      <c r="I3505" s="4"/>
      <c r="J3505" s="1"/>
    </row>
    <row r="3506" spans="1:10" x14ac:dyDescent="0.2">
      <c r="A3506" s="1" t="s">
        <v>4</v>
      </c>
      <c r="B3506" s="2" t="s">
        <v>210</v>
      </c>
      <c r="D3506" s="5" t="s">
        <v>464</v>
      </c>
      <c r="E3506" s="3" t="s">
        <v>465</v>
      </c>
      <c r="F3506" s="3">
        <v>107500</v>
      </c>
      <c r="G3506" s="57" t="s">
        <v>465</v>
      </c>
      <c r="H3506" s="4"/>
      <c r="I3506" s="4"/>
      <c r="J3506" s="1"/>
    </row>
    <row r="3507" spans="1:10" x14ac:dyDescent="0.2">
      <c r="A3507" s="1" t="s">
        <v>6</v>
      </c>
      <c r="B3507" s="2" t="s">
        <v>216</v>
      </c>
      <c r="D3507" s="5" t="s">
        <v>464</v>
      </c>
      <c r="E3507" s="3" t="s">
        <v>465</v>
      </c>
      <c r="F3507" s="3">
        <v>107500</v>
      </c>
      <c r="G3507" s="57" t="s">
        <v>465</v>
      </c>
      <c r="J3507" s="1"/>
    </row>
    <row r="3508" spans="1:10" x14ac:dyDescent="0.2">
      <c r="A3508" s="1" t="s">
        <v>6</v>
      </c>
      <c r="B3508" s="2" t="s">
        <v>216</v>
      </c>
      <c r="D3508" s="5" t="s">
        <v>464</v>
      </c>
      <c r="E3508" s="3" t="s">
        <v>465</v>
      </c>
      <c r="F3508" s="3">
        <v>107500</v>
      </c>
      <c r="G3508" s="57" t="s">
        <v>465</v>
      </c>
      <c r="J3508" s="1"/>
    </row>
    <row r="3509" spans="1:10" x14ac:dyDescent="0.2">
      <c r="A3509" s="1" t="s">
        <v>25</v>
      </c>
      <c r="B3509" s="2" t="s">
        <v>217</v>
      </c>
      <c r="D3509" s="5" t="s">
        <v>464</v>
      </c>
      <c r="E3509" s="3" t="s">
        <v>465</v>
      </c>
      <c r="F3509" s="3">
        <v>107500</v>
      </c>
      <c r="G3509" s="57" t="s">
        <v>465</v>
      </c>
      <c r="H3509" s="4"/>
      <c r="I3509" s="4"/>
      <c r="J3509" s="1"/>
    </row>
    <row r="3510" spans="1:10" x14ac:dyDescent="0.2">
      <c r="A3510" s="1" t="s">
        <v>25</v>
      </c>
      <c r="B3510" s="2" t="s">
        <v>217</v>
      </c>
      <c r="D3510" s="5" t="s">
        <v>464</v>
      </c>
      <c r="E3510" s="3" t="s">
        <v>465</v>
      </c>
      <c r="F3510" s="3">
        <v>107500</v>
      </c>
      <c r="G3510" s="57" t="s">
        <v>465</v>
      </c>
      <c r="H3510" s="4"/>
      <c r="I3510" s="4"/>
      <c r="J3510" s="1"/>
    </row>
    <row r="3511" spans="1:10" x14ac:dyDescent="0.2">
      <c r="A3511" s="1" t="s">
        <v>25</v>
      </c>
      <c r="B3511" s="2" t="s">
        <v>217</v>
      </c>
      <c r="D3511" s="5" t="s">
        <v>464</v>
      </c>
      <c r="E3511" s="6" t="s">
        <v>465</v>
      </c>
      <c r="F3511" s="3">
        <v>107500</v>
      </c>
      <c r="G3511" s="57" t="s">
        <v>465</v>
      </c>
      <c r="H3511" s="4"/>
      <c r="I3511" s="4"/>
      <c r="J3511" s="1"/>
    </row>
    <row r="3512" spans="1:10" x14ac:dyDescent="0.2">
      <c r="A3512" s="1" t="s">
        <v>25</v>
      </c>
      <c r="B3512" s="2" t="s">
        <v>217</v>
      </c>
      <c r="D3512" s="5" t="s">
        <v>464</v>
      </c>
      <c r="E3512" s="3" t="s">
        <v>465</v>
      </c>
      <c r="F3512" s="3">
        <v>107500</v>
      </c>
      <c r="G3512" s="57" t="s">
        <v>465</v>
      </c>
      <c r="H3512" s="4"/>
      <c r="I3512" s="4"/>
      <c r="J3512" s="1"/>
    </row>
    <row r="3513" spans="1:10" x14ac:dyDescent="0.2">
      <c r="A3513" s="1" t="s">
        <v>25</v>
      </c>
      <c r="B3513" s="2" t="s">
        <v>217</v>
      </c>
      <c r="D3513" s="5" t="s">
        <v>464</v>
      </c>
      <c r="E3513" s="3" t="s">
        <v>465</v>
      </c>
      <c r="F3513" s="3">
        <v>107500</v>
      </c>
      <c r="G3513" s="57" t="s">
        <v>465</v>
      </c>
      <c r="H3513" s="4"/>
      <c r="I3513" s="4"/>
      <c r="J3513" s="1"/>
    </row>
    <row r="3514" spans="1:10" x14ac:dyDescent="0.2">
      <c r="A3514" s="1" t="s">
        <v>25</v>
      </c>
      <c r="B3514" s="2" t="s">
        <v>217</v>
      </c>
      <c r="D3514" s="5" t="s">
        <v>464</v>
      </c>
      <c r="E3514" s="3" t="s">
        <v>465</v>
      </c>
      <c r="F3514" s="3">
        <v>107500</v>
      </c>
      <c r="G3514" s="57" t="s">
        <v>465</v>
      </c>
      <c r="H3514" s="4"/>
      <c r="I3514" s="4"/>
      <c r="J3514" s="1"/>
    </row>
    <row r="3515" spans="1:10" x14ac:dyDescent="0.2">
      <c r="A3515" s="1" t="s">
        <v>25</v>
      </c>
      <c r="B3515" s="2" t="s">
        <v>217</v>
      </c>
      <c r="D3515" s="5" t="s">
        <v>464</v>
      </c>
      <c r="E3515" s="3" t="s">
        <v>465</v>
      </c>
      <c r="F3515" s="3">
        <v>107500</v>
      </c>
      <c r="G3515" s="57" t="s">
        <v>465</v>
      </c>
      <c r="H3515" s="4"/>
      <c r="I3515" s="4"/>
      <c r="J3515" s="1"/>
    </row>
    <row r="3516" spans="1:10" x14ac:dyDescent="0.2">
      <c r="A3516" s="1" t="s">
        <v>6</v>
      </c>
      <c r="B3516" s="2" t="s">
        <v>218</v>
      </c>
      <c r="D3516" s="5" t="s">
        <v>464</v>
      </c>
      <c r="E3516" s="3" t="s">
        <v>465</v>
      </c>
      <c r="F3516" s="3">
        <v>107500</v>
      </c>
      <c r="G3516" s="57" t="s">
        <v>465</v>
      </c>
    </row>
    <row r="3517" spans="1:10" x14ac:dyDescent="0.2">
      <c r="A3517" s="1" t="s">
        <v>28</v>
      </c>
      <c r="B3517" s="2" t="s">
        <v>221</v>
      </c>
      <c r="D3517" s="5" t="s">
        <v>464</v>
      </c>
      <c r="E3517" s="3" t="s">
        <v>465</v>
      </c>
      <c r="F3517" s="3">
        <v>107500</v>
      </c>
      <c r="G3517" s="57" t="s">
        <v>465</v>
      </c>
    </row>
    <row r="3518" spans="1:10" x14ac:dyDescent="0.2">
      <c r="A3518" s="1" t="s">
        <v>28</v>
      </c>
      <c r="B3518" s="2" t="s">
        <v>221</v>
      </c>
      <c r="D3518" s="5" t="s">
        <v>464</v>
      </c>
      <c r="E3518" s="3" t="s">
        <v>465</v>
      </c>
      <c r="F3518" s="3">
        <v>107500</v>
      </c>
      <c r="G3518" s="57" t="s">
        <v>465</v>
      </c>
    </row>
    <row r="3519" spans="1:10" x14ac:dyDescent="0.2">
      <c r="A3519" s="1" t="s">
        <v>28</v>
      </c>
      <c r="B3519" s="2" t="s">
        <v>221</v>
      </c>
      <c r="D3519" s="5" t="s">
        <v>464</v>
      </c>
      <c r="E3519" s="3" t="s">
        <v>465</v>
      </c>
      <c r="F3519" s="3">
        <v>107500</v>
      </c>
      <c r="G3519" s="57" t="s">
        <v>465</v>
      </c>
    </row>
    <row r="3520" spans="1:10" x14ac:dyDescent="0.2">
      <c r="A3520" s="1" t="s">
        <v>8</v>
      </c>
      <c r="B3520" s="2" t="s">
        <v>223</v>
      </c>
      <c r="D3520" s="5" t="s">
        <v>464</v>
      </c>
      <c r="E3520" s="3" t="s">
        <v>465</v>
      </c>
      <c r="F3520" s="3">
        <v>107500</v>
      </c>
      <c r="G3520" s="57" t="s">
        <v>465</v>
      </c>
      <c r="H3520" s="4"/>
      <c r="I3520" s="4"/>
      <c r="J3520" s="1"/>
    </row>
    <row r="3521" spans="1:12" x14ac:dyDescent="0.2">
      <c r="A3521" s="1" t="s">
        <v>8</v>
      </c>
      <c r="B3521" s="2" t="s">
        <v>223</v>
      </c>
      <c r="D3521" s="5" t="s">
        <v>464</v>
      </c>
      <c r="E3521" s="3" t="s">
        <v>465</v>
      </c>
      <c r="F3521" s="3">
        <v>107500</v>
      </c>
      <c r="G3521" s="57" t="s">
        <v>465</v>
      </c>
      <c r="H3521" s="4"/>
      <c r="I3521" s="4"/>
      <c r="J3521" s="1"/>
    </row>
    <row r="3522" spans="1:12" x14ac:dyDescent="0.2">
      <c r="A3522" s="1" t="s">
        <v>6</v>
      </c>
      <c r="B3522" s="12" t="s">
        <v>231</v>
      </c>
      <c r="D3522" s="5" t="s">
        <v>464</v>
      </c>
      <c r="E3522" s="3" t="s">
        <v>465</v>
      </c>
      <c r="F3522" s="3">
        <v>107500</v>
      </c>
      <c r="G3522" s="57" t="s">
        <v>465</v>
      </c>
      <c r="H3522" s="4"/>
      <c r="I3522" s="4"/>
      <c r="J3522" s="1"/>
    </row>
    <row r="3523" spans="1:12" x14ac:dyDescent="0.2">
      <c r="A3523" s="1" t="s">
        <v>6</v>
      </c>
      <c r="B3523" s="12" t="s">
        <v>231</v>
      </c>
      <c r="D3523" s="5" t="s">
        <v>464</v>
      </c>
      <c r="E3523" s="3" t="s">
        <v>465</v>
      </c>
      <c r="F3523" s="3">
        <v>107500</v>
      </c>
      <c r="G3523" s="57" t="s">
        <v>465</v>
      </c>
      <c r="H3523" s="4"/>
      <c r="I3523" s="4"/>
      <c r="J3523" s="1"/>
    </row>
    <row r="3524" spans="1:12" x14ac:dyDescent="0.2">
      <c r="A3524" s="1" t="s">
        <v>6</v>
      </c>
      <c r="B3524" s="12" t="s">
        <v>231</v>
      </c>
      <c r="D3524" s="5" t="s">
        <v>464</v>
      </c>
      <c r="E3524" s="3" t="s">
        <v>465</v>
      </c>
      <c r="F3524" s="3">
        <v>107500</v>
      </c>
      <c r="G3524" s="57" t="s">
        <v>465</v>
      </c>
      <c r="H3524" s="4"/>
      <c r="I3524" s="4"/>
      <c r="J3524" s="1"/>
    </row>
    <row r="3525" spans="1:12" x14ac:dyDescent="0.2">
      <c r="A3525" s="1" t="s">
        <v>6</v>
      </c>
      <c r="B3525" s="12" t="s">
        <v>231</v>
      </c>
      <c r="D3525" s="5" t="s">
        <v>464</v>
      </c>
      <c r="E3525" s="3" t="s">
        <v>465</v>
      </c>
      <c r="F3525" s="3">
        <v>107500</v>
      </c>
      <c r="G3525" s="57" t="s">
        <v>465</v>
      </c>
      <c r="H3525" s="4"/>
      <c r="I3525" s="4"/>
      <c r="J3525" s="1"/>
    </row>
    <row r="3526" spans="1:12" x14ac:dyDescent="0.2">
      <c r="A3526" s="1" t="s">
        <v>6</v>
      </c>
      <c r="B3526" s="2" t="s">
        <v>237</v>
      </c>
      <c r="D3526" s="7" t="s">
        <v>464</v>
      </c>
      <c r="E3526" s="6" t="s">
        <v>465</v>
      </c>
      <c r="F3526" s="6">
        <v>107500</v>
      </c>
      <c r="G3526" s="57" t="s">
        <v>465</v>
      </c>
      <c r="H3526" s="21"/>
      <c r="I3526" s="21"/>
      <c r="J3526" s="7"/>
    </row>
    <row r="3527" spans="1:12" x14ac:dyDescent="0.2">
      <c r="A3527" s="1" t="s">
        <v>6</v>
      </c>
      <c r="B3527" s="2" t="s">
        <v>237</v>
      </c>
      <c r="D3527" s="7" t="s">
        <v>464</v>
      </c>
      <c r="E3527" s="6" t="s">
        <v>465</v>
      </c>
      <c r="F3527" s="6">
        <v>107500</v>
      </c>
      <c r="G3527" s="57" t="s">
        <v>465</v>
      </c>
      <c r="H3527" s="21"/>
      <c r="I3527" s="21"/>
      <c r="J3527" s="7"/>
    </row>
    <row r="3528" spans="1:12" x14ac:dyDescent="0.2">
      <c r="A3528" s="1" t="s">
        <v>6</v>
      </c>
      <c r="B3528" s="2" t="s">
        <v>237</v>
      </c>
      <c r="D3528" s="7" t="s">
        <v>464</v>
      </c>
      <c r="E3528" s="6" t="s">
        <v>465</v>
      </c>
      <c r="F3528" s="6">
        <v>107500</v>
      </c>
      <c r="G3528" s="57" t="s">
        <v>465</v>
      </c>
      <c r="H3528" s="21"/>
      <c r="I3528" s="21"/>
      <c r="J3528" s="7" t="s">
        <v>539</v>
      </c>
    </row>
    <row r="3529" spans="1:12" x14ac:dyDescent="0.2">
      <c r="A3529" s="1" t="s">
        <v>6</v>
      </c>
      <c r="B3529" s="2" t="s">
        <v>237</v>
      </c>
      <c r="D3529" s="7" t="s">
        <v>464</v>
      </c>
      <c r="E3529" s="6" t="s">
        <v>465</v>
      </c>
      <c r="F3529" s="6">
        <v>107500</v>
      </c>
      <c r="G3529" s="57" t="s">
        <v>465</v>
      </c>
      <c r="H3529" s="21"/>
      <c r="I3529" s="21"/>
      <c r="J3529" s="7" t="s">
        <v>539</v>
      </c>
    </row>
    <row r="3530" spans="1:12" x14ac:dyDescent="0.2">
      <c r="A3530" s="1" t="s">
        <v>6</v>
      </c>
      <c r="B3530" s="2" t="s">
        <v>237</v>
      </c>
      <c r="D3530" s="7" t="s">
        <v>464</v>
      </c>
      <c r="E3530" s="6" t="s">
        <v>465</v>
      </c>
      <c r="F3530" s="6">
        <v>107500</v>
      </c>
      <c r="G3530" s="57" t="s">
        <v>465</v>
      </c>
      <c r="H3530" s="21"/>
      <c r="I3530" s="21"/>
      <c r="J3530" s="7" t="s">
        <v>539</v>
      </c>
    </row>
    <row r="3531" spans="1:12" x14ac:dyDescent="0.2">
      <c r="A3531" s="1" t="s">
        <v>6</v>
      </c>
      <c r="B3531" s="2" t="s">
        <v>237</v>
      </c>
      <c r="D3531" s="7" t="s">
        <v>464</v>
      </c>
      <c r="E3531" s="6" t="s">
        <v>465</v>
      </c>
      <c r="F3531" s="6">
        <v>107500</v>
      </c>
      <c r="G3531" s="57" t="s">
        <v>465</v>
      </c>
      <c r="H3531" s="21"/>
      <c r="I3531" s="21"/>
      <c r="J3531" s="7" t="s">
        <v>539</v>
      </c>
    </row>
    <row r="3532" spans="1:12" x14ac:dyDescent="0.2">
      <c r="A3532" s="1" t="s">
        <v>25</v>
      </c>
      <c r="B3532" s="2" t="s">
        <v>243</v>
      </c>
      <c r="D3532" s="7" t="s">
        <v>464</v>
      </c>
      <c r="E3532" s="6" t="s">
        <v>465</v>
      </c>
      <c r="F3532" s="6">
        <v>107500</v>
      </c>
      <c r="G3532" s="57" t="s">
        <v>465</v>
      </c>
      <c r="H3532" s="21"/>
      <c r="I3532" s="21"/>
      <c r="J3532" s="7" t="s">
        <v>539</v>
      </c>
    </row>
    <row r="3533" spans="1:12" x14ac:dyDescent="0.2">
      <c r="A3533" s="1" t="s">
        <v>25</v>
      </c>
      <c r="B3533" s="2" t="s">
        <v>243</v>
      </c>
      <c r="D3533" s="7" t="s">
        <v>464</v>
      </c>
      <c r="E3533" s="6" t="s">
        <v>465</v>
      </c>
      <c r="F3533" s="6">
        <v>107500</v>
      </c>
      <c r="G3533" s="57" t="s">
        <v>465</v>
      </c>
      <c r="H3533" s="21"/>
      <c r="I3533" s="21"/>
      <c r="J3533" s="7" t="s">
        <v>539</v>
      </c>
    </row>
    <row r="3534" spans="1:12" x14ac:dyDescent="0.2">
      <c r="A3534" s="13" t="s">
        <v>111</v>
      </c>
      <c r="B3534" s="12" t="s">
        <v>247</v>
      </c>
      <c r="C3534" s="7"/>
      <c r="D3534" s="7" t="s">
        <v>464</v>
      </c>
      <c r="E3534" s="6" t="s">
        <v>465</v>
      </c>
      <c r="F3534" s="6">
        <v>107500</v>
      </c>
      <c r="G3534" s="57" t="s">
        <v>465</v>
      </c>
      <c r="H3534" s="21"/>
      <c r="I3534" s="21"/>
      <c r="J3534" s="7"/>
      <c r="K3534" s="13"/>
      <c r="L3534" s="13"/>
    </row>
    <row r="3535" spans="1:12" x14ac:dyDescent="0.2">
      <c r="A3535" s="13" t="s">
        <v>111</v>
      </c>
      <c r="B3535" s="12" t="s">
        <v>247</v>
      </c>
      <c r="C3535" s="7"/>
      <c r="D3535" s="7" t="s">
        <v>464</v>
      </c>
      <c r="E3535" s="6" t="s">
        <v>465</v>
      </c>
      <c r="F3535" s="6">
        <v>107500</v>
      </c>
      <c r="G3535" s="57" t="s">
        <v>465</v>
      </c>
      <c r="H3535" s="21"/>
      <c r="I3535" s="21"/>
      <c r="J3535" s="7"/>
      <c r="K3535" s="13"/>
      <c r="L3535" s="13"/>
    </row>
    <row r="3536" spans="1:12" x14ac:dyDescent="0.2">
      <c r="A3536" s="1" t="s">
        <v>4</v>
      </c>
      <c r="B3536" s="12" t="s">
        <v>249</v>
      </c>
      <c r="D3536" s="7" t="s">
        <v>464</v>
      </c>
      <c r="E3536" s="3" t="s">
        <v>465</v>
      </c>
      <c r="F3536" s="3">
        <v>107500</v>
      </c>
      <c r="G3536" s="57" t="s">
        <v>465</v>
      </c>
    </row>
    <row r="3537" spans="1:12" x14ac:dyDescent="0.2">
      <c r="A3537" s="1" t="s">
        <v>4</v>
      </c>
      <c r="B3537" s="12" t="s">
        <v>249</v>
      </c>
      <c r="D3537" s="7" t="s">
        <v>464</v>
      </c>
      <c r="E3537" s="3" t="s">
        <v>465</v>
      </c>
      <c r="F3537" s="3">
        <v>107500</v>
      </c>
      <c r="G3537" s="57" t="s">
        <v>465</v>
      </c>
    </row>
    <row r="3538" spans="1:12" x14ac:dyDescent="0.2">
      <c r="A3538" s="1" t="s">
        <v>4</v>
      </c>
      <c r="B3538" s="12" t="s">
        <v>249</v>
      </c>
      <c r="D3538" s="7" t="s">
        <v>464</v>
      </c>
      <c r="E3538" s="3" t="s">
        <v>465</v>
      </c>
      <c r="F3538" s="3">
        <v>107500</v>
      </c>
      <c r="G3538" s="57" t="s">
        <v>465</v>
      </c>
    </row>
    <row r="3539" spans="1:12" x14ac:dyDescent="0.2">
      <c r="A3539" s="1" t="s">
        <v>4</v>
      </c>
      <c r="B3539" s="12" t="s">
        <v>249</v>
      </c>
      <c r="D3539" s="7" t="s">
        <v>464</v>
      </c>
      <c r="E3539" s="3" t="s">
        <v>465</v>
      </c>
      <c r="F3539" s="3">
        <v>107500</v>
      </c>
      <c r="G3539" s="57" t="s">
        <v>465</v>
      </c>
    </row>
    <row r="3540" spans="1:12" x14ac:dyDescent="0.2">
      <c r="A3540" s="1" t="s">
        <v>25</v>
      </c>
      <c r="B3540" s="12" t="s">
        <v>259</v>
      </c>
      <c r="D3540" s="5" t="s">
        <v>464</v>
      </c>
      <c r="F3540" s="19">
        <v>107500</v>
      </c>
      <c r="G3540" s="57" t="s">
        <v>465</v>
      </c>
      <c r="J3540" s="1"/>
    </row>
    <row r="3541" spans="1:12" x14ac:dyDescent="0.2">
      <c r="A3541" s="1" t="s">
        <v>25</v>
      </c>
      <c r="B3541" s="12" t="s">
        <v>259</v>
      </c>
      <c r="D3541" s="5" t="s">
        <v>464</v>
      </c>
      <c r="F3541" s="19">
        <v>107500</v>
      </c>
      <c r="G3541" s="57" t="s">
        <v>465</v>
      </c>
      <c r="J3541" s="1"/>
    </row>
    <row r="3542" spans="1:12" x14ac:dyDescent="0.2">
      <c r="A3542" s="1" t="s">
        <v>25</v>
      </c>
      <c r="B3542" s="12" t="s">
        <v>259</v>
      </c>
      <c r="D3542" s="5" t="s">
        <v>464</v>
      </c>
      <c r="F3542" s="19">
        <v>107500</v>
      </c>
      <c r="G3542" s="57" t="s">
        <v>465</v>
      </c>
      <c r="J3542" s="1"/>
    </row>
    <row r="3543" spans="1:12" x14ac:dyDescent="0.2">
      <c r="A3543" s="1" t="s">
        <v>20</v>
      </c>
      <c r="B3543" s="2" t="s">
        <v>263</v>
      </c>
      <c r="D3543" s="7" t="s">
        <v>464</v>
      </c>
      <c r="E3543" s="6" t="s">
        <v>465</v>
      </c>
      <c r="F3543" s="6">
        <v>107500</v>
      </c>
      <c r="G3543" s="57" t="s">
        <v>465</v>
      </c>
      <c r="H3543" s="21"/>
      <c r="I3543" s="21"/>
      <c r="J3543" s="1"/>
    </row>
    <row r="3544" spans="1:12" x14ac:dyDescent="0.2">
      <c r="A3544" s="1" t="s">
        <v>20</v>
      </c>
      <c r="B3544" s="2" t="s">
        <v>263</v>
      </c>
      <c r="D3544" s="7" t="s">
        <v>464</v>
      </c>
      <c r="E3544" s="6" t="s">
        <v>465</v>
      </c>
      <c r="F3544" s="6">
        <v>107500</v>
      </c>
      <c r="G3544" s="57" t="s">
        <v>465</v>
      </c>
      <c r="H3544" s="21"/>
      <c r="I3544" s="21"/>
      <c r="J3544" s="1"/>
    </row>
    <row r="3545" spans="1:12" x14ac:dyDescent="0.2">
      <c r="A3545" s="1" t="s">
        <v>20</v>
      </c>
      <c r="B3545" s="2" t="s">
        <v>263</v>
      </c>
      <c r="D3545" s="7" t="s">
        <v>464</v>
      </c>
      <c r="E3545" s="6" t="s">
        <v>465</v>
      </c>
      <c r="F3545" s="6">
        <v>107500</v>
      </c>
      <c r="G3545" s="57" t="s">
        <v>465</v>
      </c>
      <c r="H3545" s="21"/>
      <c r="I3545" s="21"/>
      <c r="J3545" s="1"/>
    </row>
    <row r="3546" spans="1:12" x14ac:dyDescent="0.2">
      <c r="A3546" s="1" t="s">
        <v>28</v>
      </c>
      <c r="B3546" s="2" t="s">
        <v>269</v>
      </c>
      <c r="D3546" s="5" t="s">
        <v>464</v>
      </c>
      <c r="E3546" s="3" t="s">
        <v>465</v>
      </c>
      <c r="F3546" s="3">
        <v>107500</v>
      </c>
      <c r="G3546" s="57" t="s">
        <v>465</v>
      </c>
    </row>
    <row r="3547" spans="1:12" s="13" customFormat="1" x14ac:dyDescent="0.2">
      <c r="A3547" s="1" t="s">
        <v>1</v>
      </c>
      <c r="B3547" s="2" t="s">
        <v>272</v>
      </c>
      <c r="C3547" s="5"/>
      <c r="D3547" s="5" t="s">
        <v>464</v>
      </c>
      <c r="E3547" s="3" t="s">
        <v>465</v>
      </c>
      <c r="F3547" s="3">
        <v>107500</v>
      </c>
      <c r="G3547" s="57" t="s">
        <v>465</v>
      </c>
      <c r="H3547" s="19"/>
      <c r="I3547" s="19"/>
      <c r="J3547" s="5"/>
      <c r="K3547" s="1"/>
      <c r="L3547" s="1"/>
    </row>
    <row r="3548" spans="1:12" s="13" customFormat="1" x14ac:dyDescent="0.2">
      <c r="A3548" s="1" t="s">
        <v>111</v>
      </c>
      <c r="B3548" s="2" t="s">
        <v>282</v>
      </c>
      <c r="C3548" s="5"/>
      <c r="D3548" s="5" t="s">
        <v>464</v>
      </c>
      <c r="E3548" s="3" t="s">
        <v>465</v>
      </c>
      <c r="F3548" s="3">
        <v>107500</v>
      </c>
      <c r="G3548" s="57" t="s">
        <v>465</v>
      </c>
      <c r="H3548" s="19"/>
      <c r="I3548" s="19"/>
      <c r="J3548" s="5" t="s">
        <v>539</v>
      </c>
      <c r="K3548" s="1"/>
      <c r="L3548" s="1"/>
    </row>
    <row r="3549" spans="1:12" s="13" customFormat="1" x14ac:dyDescent="0.2">
      <c r="A3549" s="1" t="s">
        <v>111</v>
      </c>
      <c r="B3549" s="2" t="s">
        <v>282</v>
      </c>
      <c r="C3549" s="5"/>
      <c r="D3549" s="5" t="s">
        <v>464</v>
      </c>
      <c r="E3549" s="3" t="s">
        <v>465</v>
      </c>
      <c r="F3549" s="3">
        <v>107500</v>
      </c>
      <c r="G3549" s="57" t="s">
        <v>465</v>
      </c>
      <c r="H3549" s="19"/>
      <c r="I3549" s="19"/>
      <c r="J3549" s="5"/>
      <c r="K3549" s="1"/>
      <c r="L3549" s="1"/>
    </row>
    <row r="3550" spans="1:12" x14ac:dyDescent="0.2">
      <c r="A3550" s="1" t="s">
        <v>8</v>
      </c>
      <c r="B3550" s="2" t="s">
        <v>285</v>
      </c>
      <c r="D3550" s="5" t="s">
        <v>464</v>
      </c>
      <c r="E3550" s="3" t="s">
        <v>465</v>
      </c>
      <c r="F3550" s="3">
        <v>107500</v>
      </c>
      <c r="G3550" s="57" t="s">
        <v>465</v>
      </c>
      <c r="H3550" s="4"/>
      <c r="I3550" s="4"/>
      <c r="J3550" s="1"/>
    </row>
    <row r="3551" spans="1:12" x14ac:dyDescent="0.2">
      <c r="A3551" s="1" t="s">
        <v>8</v>
      </c>
      <c r="B3551" s="2" t="s">
        <v>285</v>
      </c>
      <c r="D3551" s="5" t="s">
        <v>464</v>
      </c>
      <c r="E3551" s="3" t="s">
        <v>465</v>
      </c>
      <c r="F3551" s="3">
        <v>107500</v>
      </c>
      <c r="G3551" s="57" t="s">
        <v>465</v>
      </c>
      <c r="H3551" s="4"/>
      <c r="I3551" s="4"/>
      <c r="J3551" s="1"/>
    </row>
    <row r="3552" spans="1:12" x14ac:dyDescent="0.2">
      <c r="A3552" s="1" t="s">
        <v>8</v>
      </c>
      <c r="B3552" s="2" t="s">
        <v>285</v>
      </c>
      <c r="D3552" s="5" t="s">
        <v>464</v>
      </c>
      <c r="E3552" s="3" t="s">
        <v>465</v>
      </c>
      <c r="F3552" s="3">
        <v>107500</v>
      </c>
      <c r="G3552" s="57" t="s">
        <v>465</v>
      </c>
      <c r="H3552" s="4"/>
      <c r="I3552" s="4"/>
      <c r="J3552" s="1"/>
    </row>
    <row r="3553" spans="1:10" x14ac:dyDescent="0.2">
      <c r="A3553" s="1" t="s">
        <v>6</v>
      </c>
      <c r="B3553" s="2" t="s">
        <v>288</v>
      </c>
      <c r="D3553" s="5" t="s">
        <v>464</v>
      </c>
      <c r="E3553" s="3" t="s">
        <v>465</v>
      </c>
      <c r="F3553" s="3">
        <v>107500</v>
      </c>
      <c r="G3553" s="57" t="s">
        <v>465</v>
      </c>
      <c r="H3553" s="4"/>
      <c r="I3553" s="4"/>
      <c r="J3553" s="1"/>
    </row>
    <row r="3554" spans="1:10" x14ac:dyDescent="0.2">
      <c r="A3554" s="1" t="s">
        <v>6</v>
      </c>
      <c r="B3554" s="2" t="s">
        <v>288</v>
      </c>
      <c r="D3554" s="5" t="s">
        <v>464</v>
      </c>
      <c r="E3554" s="3" t="s">
        <v>465</v>
      </c>
      <c r="F3554" s="3">
        <v>107500</v>
      </c>
      <c r="G3554" s="57" t="s">
        <v>465</v>
      </c>
      <c r="H3554" s="4"/>
      <c r="I3554" s="4"/>
      <c r="J3554" s="1"/>
    </row>
    <row r="3555" spans="1:10" x14ac:dyDescent="0.2">
      <c r="A3555" s="1" t="s">
        <v>6</v>
      </c>
      <c r="B3555" s="2" t="s">
        <v>288</v>
      </c>
      <c r="D3555" s="5" t="s">
        <v>464</v>
      </c>
      <c r="E3555" s="3" t="s">
        <v>465</v>
      </c>
      <c r="F3555" s="3">
        <v>107500</v>
      </c>
      <c r="G3555" s="57" t="s">
        <v>465</v>
      </c>
      <c r="H3555" s="4"/>
      <c r="I3555" s="4"/>
      <c r="J3555" s="1"/>
    </row>
    <row r="3556" spans="1:10" x14ac:dyDescent="0.2">
      <c r="A3556" s="1" t="s">
        <v>6</v>
      </c>
      <c r="B3556" s="2" t="s">
        <v>288</v>
      </c>
      <c r="D3556" s="5" t="s">
        <v>464</v>
      </c>
      <c r="E3556" s="3" t="s">
        <v>465</v>
      </c>
      <c r="F3556" s="3">
        <v>107500</v>
      </c>
      <c r="G3556" s="57" t="s">
        <v>465</v>
      </c>
      <c r="H3556" s="4"/>
      <c r="I3556" s="4"/>
      <c r="J3556" s="1"/>
    </row>
    <row r="3557" spans="1:10" x14ac:dyDescent="0.2">
      <c r="A3557" s="1" t="s">
        <v>20</v>
      </c>
      <c r="B3557" s="2" t="s">
        <v>296</v>
      </c>
      <c r="D3557" s="5" t="s">
        <v>464</v>
      </c>
      <c r="E3557" s="3" t="s">
        <v>465</v>
      </c>
      <c r="F3557" s="3">
        <v>107500</v>
      </c>
      <c r="G3557" s="57" t="s">
        <v>465</v>
      </c>
    </row>
    <row r="3558" spans="1:10" x14ac:dyDescent="0.2">
      <c r="A3558" s="1" t="s">
        <v>34</v>
      </c>
      <c r="B3558" s="2" t="s">
        <v>297</v>
      </c>
      <c r="D3558" s="5" t="s">
        <v>464</v>
      </c>
      <c r="E3558" s="3" t="s">
        <v>465</v>
      </c>
      <c r="F3558" s="3">
        <v>107500</v>
      </c>
      <c r="G3558" s="57" t="s">
        <v>465</v>
      </c>
    </row>
    <row r="3559" spans="1:10" x14ac:dyDescent="0.2">
      <c r="A3559" s="1" t="s">
        <v>4</v>
      </c>
      <c r="B3559" s="2" t="s">
        <v>303</v>
      </c>
      <c r="D3559" s="5" t="s">
        <v>464</v>
      </c>
      <c r="E3559" s="3" t="s">
        <v>465</v>
      </c>
      <c r="F3559" s="3">
        <v>107500</v>
      </c>
      <c r="G3559" s="57" t="s">
        <v>465</v>
      </c>
      <c r="J3559" s="5" t="s">
        <v>539</v>
      </c>
    </row>
    <row r="3560" spans="1:10" x14ac:dyDescent="0.2">
      <c r="A3560" s="1" t="s">
        <v>1</v>
      </c>
      <c r="B3560" s="12" t="s">
        <v>308</v>
      </c>
      <c r="D3560" s="5" t="s">
        <v>464</v>
      </c>
      <c r="E3560" s="3" t="s">
        <v>465</v>
      </c>
      <c r="F3560" s="3">
        <v>107500</v>
      </c>
      <c r="G3560" s="57" t="s">
        <v>465</v>
      </c>
      <c r="J3560" s="5" t="s">
        <v>539</v>
      </c>
    </row>
    <row r="3561" spans="1:10" x14ac:dyDescent="0.2">
      <c r="A3561" s="1" t="s">
        <v>1</v>
      </c>
      <c r="B3561" s="12" t="s">
        <v>308</v>
      </c>
      <c r="D3561" s="5" t="s">
        <v>464</v>
      </c>
      <c r="E3561" s="3" t="s">
        <v>465</v>
      </c>
      <c r="F3561" s="3">
        <v>107500</v>
      </c>
      <c r="G3561" s="57" t="s">
        <v>465</v>
      </c>
      <c r="J3561" s="5" t="s">
        <v>539</v>
      </c>
    </row>
    <row r="3562" spans="1:10" x14ac:dyDescent="0.2">
      <c r="A3562" s="1" t="s">
        <v>1</v>
      </c>
      <c r="B3562" s="12" t="s">
        <v>308</v>
      </c>
      <c r="D3562" s="5" t="s">
        <v>464</v>
      </c>
      <c r="E3562" s="3" t="s">
        <v>465</v>
      </c>
      <c r="F3562" s="3">
        <v>107500</v>
      </c>
      <c r="G3562" s="57" t="s">
        <v>465</v>
      </c>
      <c r="J3562" s="5" t="s">
        <v>539</v>
      </c>
    </row>
    <row r="3563" spans="1:10" x14ac:dyDescent="0.2">
      <c r="A3563" s="1" t="s">
        <v>44</v>
      </c>
      <c r="B3563" s="2" t="s">
        <v>309</v>
      </c>
      <c r="D3563" s="5" t="s">
        <v>464</v>
      </c>
      <c r="E3563" s="3" t="s">
        <v>465</v>
      </c>
      <c r="F3563" s="3">
        <v>107500</v>
      </c>
      <c r="G3563" s="57" t="s">
        <v>465</v>
      </c>
      <c r="J3563" s="5" t="s">
        <v>539</v>
      </c>
    </row>
    <row r="3564" spans="1:10" x14ac:dyDescent="0.2">
      <c r="A3564" s="1" t="s">
        <v>6</v>
      </c>
      <c r="B3564" s="2" t="s">
        <v>324</v>
      </c>
      <c r="D3564" s="5" t="s">
        <v>464</v>
      </c>
      <c r="E3564" s="3" t="s">
        <v>465</v>
      </c>
      <c r="F3564" s="3">
        <v>107500</v>
      </c>
      <c r="G3564" s="57" t="s">
        <v>465</v>
      </c>
    </row>
    <row r="3565" spans="1:10" x14ac:dyDescent="0.2">
      <c r="A3565" s="1" t="s">
        <v>39</v>
      </c>
      <c r="B3565" s="2" t="s">
        <v>325</v>
      </c>
      <c r="D3565" s="5" t="s">
        <v>464</v>
      </c>
      <c r="F3565" s="3">
        <v>107500</v>
      </c>
      <c r="G3565" s="57" t="s">
        <v>465</v>
      </c>
      <c r="J3565" s="5" t="s">
        <v>1241</v>
      </c>
    </row>
    <row r="3566" spans="1:10" ht="25.5" x14ac:dyDescent="0.2">
      <c r="A3566" s="1" t="s">
        <v>1</v>
      </c>
      <c r="B3566" s="2" t="s">
        <v>327</v>
      </c>
      <c r="D3566" s="5" t="s">
        <v>464</v>
      </c>
      <c r="E3566" s="3" t="s">
        <v>465</v>
      </c>
      <c r="F3566" s="3">
        <v>107500</v>
      </c>
      <c r="G3566" s="57" t="s">
        <v>465</v>
      </c>
      <c r="J3566" s="5" t="s">
        <v>2771</v>
      </c>
    </row>
    <row r="3567" spans="1:10" ht="25.5" x14ac:dyDescent="0.2">
      <c r="A3567" s="1" t="s">
        <v>1</v>
      </c>
      <c r="B3567" s="2" t="s">
        <v>327</v>
      </c>
      <c r="D3567" s="5" t="s">
        <v>464</v>
      </c>
      <c r="E3567" s="3" t="s">
        <v>465</v>
      </c>
      <c r="F3567" s="3">
        <v>107500</v>
      </c>
      <c r="G3567" s="57" t="s">
        <v>465</v>
      </c>
      <c r="J3567" s="5" t="s">
        <v>2771</v>
      </c>
    </row>
    <row r="3568" spans="1:10" x14ac:dyDescent="0.2">
      <c r="A3568" s="1" t="s">
        <v>28</v>
      </c>
      <c r="B3568" s="2" t="s">
        <v>332</v>
      </c>
      <c r="D3568" s="5" t="s">
        <v>464</v>
      </c>
      <c r="E3568" s="3" t="s">
        <v>465</v>
      </c>
      <c r="F3568" s="3">
        <v>107500</v>
      </c>
      <c r="G3568" s="57" t="s">
        <v>465</v>
      </c>
      <c r="J3568" s="1"/>
    </row>
    <row r="3569" spans="1:12" x14ac:dyDescent="0.2">
      <c r="A3569" s="1" t="s">
        <v>28</v>
      </c>
      <c r="B3569" s="2" t="s">
        <v>332</v>
      </c>
      <c r="D3569" s="5" t="s">
        <v>464</v>
      </c>
      <c r="E3569" s="3" t="s">
        <v>465</v>
      </c>
      <c r="F3569" s="3">
        <v>107500</v>
      </c>
      <c r="G3569" s="57" t="s">
        <v>465</v>
      </c>
      <c r="J3569" s="1"/>
    </row>
    <row r="3570" spans="1:12" x14ac:dyDescent="0.2">
      <c r="A3570" s="1" t="s">
        <v>4</v>
      </c>
      <c r="B3570" s="2" t="s">
        <v>356</v>
      </c>
      <c r="D3570" s="5" t="s">
        <v>464</v>
      </c>
      <c r="E3570" s="3" t="s">
        <v>465</v>
      </c>
      <c r="F3570" s="3">
        <v>107500</v>
      </c>
      <c r="G3570" s="57" t="s">
        <v>465</v>
      </c>
    </row>
    <row r="3571" spans="1:12" x14ac:dyDescent="0.2">
      <c r="A3571" s="1" t="s">
        <v>4</v>
      </c>
      <c r="B3571" s="2" t="s">
        <v>356</v>
      </c>
      <c r="D3571" s="5" t="s">
        <v>464</v>
      </c>
      <c r="E3571" s="3" t="s">
        <v>465</v>
      </c>
      <c r="F3571" s="3">
        <v>107500</v>
      </c>
      <c r="G3571" s="57" t="s">
        <v>465</v>
      </c>
    </row>
    <row r="3572" spans="1:12" x14ac:dyDescent="0.2">
      <c r="A3572" s="1" t="s">
        <v>4</v>
      </c>
      <c r="B3572" s="2" t="s">
        <v>356</v>
      </c>
      <c r="D3572" s="5" t="s">
        <v>464</v>
      </c>
      <c r="E3572" s="3" t="s">
        <v>465</v>
      </c>
      <c r="F3572" s="3">
        <v>107500</v>
      </c>
      <c r="G3572" s="57" t="s">
        <v>465</v>
      </c>
      <c r="L3572" s="5"/>
    </row>
    <row r="3573" spans="1:12" x14ac:dyDescent="0.2">
      <c r="A3573" s="1" t="s">
        <v>25</v>
      </c>
      <c r="B3573" s="2" t="s">
        <v>358</v>
      </c>
      <c r="D3573" s="5" t="s">
        <v>464</v>
      </c>
      <c r="E3573" s="3" t="s">
        <v>465</v>
      </c>
      <c r="F3573" s="3">
        <v>107500</v>
      </c>
      <c r="G3573" s="57" t="s">
        <v>465</v>
      </c>
      <c r="J3573" s="1"/>
    </row>
    <row r="3574" spans="1:12" x14ac:dyDescent="0.2">
      <c r="A3574" s="1" t="s">
        <v>20</v>
      </c>
      <c r="B3574" s="2" t="s">
        <v>360</v>
      </c>
      <c r="E3574" s="3" t="s">
        <v>465</v>
      </c>
      <c r="F3574" s="3">
        <v>107500</v>
      </c>
      <c r="G3574" s="57" t="s">
        <v>465</v>
      </c>
      <c r="J3574" s="5" t="s">
        <v>1241</v>
      </c>
    </row>
    <row r="3575" spans="1:12" x14ac:dyDescent="0.2">
      <c r="A3575" s="1" t="s">
        <v>20</v>
      </c>
      <c r="B3575" s="2" t="s">
        <v>360</v>
      </c>
      <c r="E3575" s="3" t="s">
        <v>465</v>
      </c>
      <c r="F3575" s="3">
        <v>107500</v>
      </c>
      <c r="G3575" s="57" t="s">
        <v>465</v>
      </c>
      <c r="J3575" s="5" t="s">
        <v>1241</v>
      </c>
    </row>
    <row r="3576" spans="1:12" x14ac:dyDescent="0.2">
      <c r="A3576" s="1" t="s">
        <v>20</v>
      </c>
      <c r="B3576" s="2" t="s">
        <v>360</v>
      </c>
      <c r="C3576" s="7"/>
      <c r="E3576" s="3" t="s">
        <v>465</v>
      </c>
      <c r="F3576" s="3">
        <v>107500</v>
      </c>
      <c r="G3576" s="57" t="s">
        <v>465</v>
      </c>
      <c r="J3576" s="5" t="s">
        <v>1241</v>
      </c>
    </row>
    <row r="3577" spans="1:12" x14ac:dyDescent="0.2">
      <c r="A3577" s="1" t="s">
        <v>20</v>
      </c>
      <c r="B3577" s="2" t="s">
        <v>360</v>
      </c>
      <c r="E3577" s="3" t="s">
        <v>465</v>
      </c>
      <c r="F3577" s="3">
        <v>107500</v>
      </c>
      <c r="G3577" s="57" t="s">
        <v>465</v>
      </c>
      <c r="J3577" s="5" t="s">
        <v>1241</v>
      </c>
    </row>
    <row r="3578" spans="1:12" x14ac:dyDescent="0.2">
      <c r="A3578" s="1" t="s">
        <v>39</v>
      </c>
      <c r="B3578" s="2" t="s">
        <v>364</v>
      </c>
      <c r="D3578" s="5" t="s">
        <v>464</v>
      </c>
      <c r="E3578" s="3" t="s">
        <v>465</v>
      </c>
      <c r="F3578" s="3">
        <v>107500</v>
      </c>
      <c r="G3578" s="57" t="s">
        <v>465</v>
      </c>
      <c r="J3578" s="5" t="s">
        <v>539</v>
      </c>
    </row>
    <row r="3579" spans="1:12" x14ac:dyDescent="0.2">
      <c r="A3579" s="1" t="s">
        <v>6</v>
      </c>
      <c r="B3579" s="2" t="s">
        <v>368</v>
      </c>
      <c r="D3579" s="5" t="s">
        <v>464</v>
      </c>
      <c r="E3579" s="3" t="s">
        <v>465</v>
      </c>
      <c r="F3579" s="3">
        <v>107500</v>
      </c>
      <c r="G3579" s="57" t="s">
        <v>465</v>
      </c>
    </row>
    <row r="3580" spans="1:12" x14ac:dyDescent="0.2">
      <c r="A3580" s="1" t="s">
        <v>39</v>
      </c>
      <c r="B3580" s="2" t="s">
        <v>370</v>
      </c>
      <c r="D3580" s="5" t="s">
        <v>464</v>
      </c>
      <c r="E3580" s="3" t="s">
        <v>465</v>
      </c>
      <c r="F3580" s="3">
        <v>107500</v>
      </c>
      <c r="G3580" s="57" t="s">
        <v>465</v>
      </c>
      <c r="J3580" s="5" t="s">
        <v>539</v>
      </c>
    </row>
    <row r="3581" spans="1:12" x14ac:dyDescent="0.2">
      <c r="A3581" s="1" t="s">
        <v>39</v>
      </c>
      <c r="B3581" s="2" t="s">
        <v>370</v>
      </c>
      <c r="D3581" s="5" t="s">
        <v>464</v>
      </c>
      <c r="E3581" s="3" t="s">
        <v>465</v>
      </c>
      <c r="F3581" s="3">
        <v>107500</v>
      </c>
      <c r="G3581" s="57" t="s">
        <v>465</v>
      </c>
      <c r="J3581" s="5" t="s">
        <v>539</v>
      </c>
    </row>
    <row r="3582" spans="1:12" x14ac:dyDescent="0.2">
      <c r="A3582" s="1" t="s">
        <v>20</v>
      </c>
      <c r="B3582" s="2" t="s">
        <v>374</v>
      </c>
      <c r="D3582" s="5" t="s">
        <v>464</v>
      </c>
      <c r="E3582" s="3" t="s">
        <v>465</v>
      </c>
      <c r="F3582" s="3">
        <v>107500</v>
      </c>
      <c r="G3582" s="57" t="s">
        <v>465</v>
      </c>
    </row>
    <row r="3583" spans="1:12" x14ac:dyDescent="0.2">
      <c r="A3583" s="1" t="s">
        <v>20</v>
      </c>
      <c r="B3583" s="2" t="s">
        <v>374</v>
      </c>
      <c r="D3583" s="5" t="s">
        <v>464</v>
      </c>
      <c r="E3583" s="3" t="s">
        <v>465</v>
      </c>
      <c r="F3583" s="3">
        <v>107500</v>
      </c>
      <c r="G3583" s="57" t="s">
        <v>465</v>
      </c>
    </row>
    <row r="3584" spans="1:12" x14ac:dyDescent="0.2">
      <c r="A3584" s="1" t="s">
        <v>4</v>
      </c>
      <c r="B3584" s="2" t="s">
        <v>377</v>
      </c>
      <c r="D3584" s="5" t="s">
        <v>464</v>
      </c>
      <c r="E3584" s="3" t="s">
        <v>465</v>
      </c>
      <c r="F3584" s="3">
        <v>107500</v>
      </c>
      <c r="G3584" s="57" t="s">
        <v>465</v>
      </c>
    </row>
    <row r="3585" spans="1:10" x14ac:dyDescent="0.2">
      <c r="A3585" s="1" t="s">
        <v>4</v>
      </c>
      <c r="B3585" s="2" t="s">
        <v>377</v>
      </c>
      <c r="D3585" s="5" t="s">
        <v>464</v>
      </c>
      <c r="E3585" s="3" t="s">
        <v>465</v>
      </c>
      <c r="F3585" s="3">
        <v>107500</v>
      </c>
      <c r="G3585" s="57" t="s">
        <v>465</v>
      </c>
    </row>
    <row r="3586" spans="1:10" x14ac:dyDescent="0.2">
      <c r="A3586" s="1" t="s">
        <v>4</v>
      </c>
      <c r="B3586" s="2" t="s">
        <v>378</v>
      </c>
      <c r="D3586" s="5" t="s">
        <v>464</v>
      </c>
      <c r="E3586" s="3" t="s">
        <v>465</v>
      </c>
      <c r="F3586" s="3">
        <v>107500</v>
      </c>
      <c r="G3586" s="57" t="s">
        <v>465</v>
      </c>
    </row>
    <row r="3587" spans="1:10" x14ac:dyDescent="0.2">
      <c r="A3587" s="1" t="s">
        <v>44</v>
      </c>
      <c r="B3587" s="2" t="s">
        <v>381</v>
      </c>
      <c r="D3587" s="5" t="s">
        <v>464</v>
      </c>
      <c r="E3587" s="3" t="s">
        <v>465</v>
      </c>
      <c r="F3587" s="3">
        <v>107500</v>
      </c>
      <c r="G3587" s="57" t="s">
        <v>465</v>
      </c>
    </row>
    <row r="3588" spans="1:10" x14ac:dyDescent="0.2">
      <c r="A3588" s="1" t="s">
        <v>34</v>
      </c>
      <c r="B3588" s="2" t="s">
        <v>382</v>
      </c>
      <c r="D3588" s="5" t="s">
        <v>464</v>
      </c>
      <c r="E3588" s="3" t="s">
        <v>465</v>
      </c>
      <c r="F3588" s="3">
        <v>107500</v>
      </c>
      <c r="G3588" s="57" t="s">
        <v>465</v>
      </c>
    </row>
    <row r="3589" spans="1:10" x14ac:dyDescent="0.2">
      <c r="A3589" s="1" t="s">
        <v>39</v>
      </c>
      <c r="B3589" s="2" t="s">
        <v>388</v>
      </c>
      <c r="D3589" s="5" t="s">
        <v>464</v>
      </c>
      <c r="E3589" s="3" t="s">
        <v>465</v>
      </c>
      <c r="F3589" s="3">
        <v>107500</v>
      </c>
      <c r="G3589" s="57" t="s">
        <v>465</v>
      </c>
    </row>
    <row r="3590" spans="1:10" x14ac:dyDescent="0.2">
      <c r="A3590" s="1" t="s">
        <v>25</v>
      </c>
      <c r="B3590" s="2" t="s">
        <v>398</v>
      </c>
      <c r="D3590" s="5" t="s">
        <v>464</v>
      </c>
      <c r="E3590" s="3" t="s">
        <v>465</v>
      </c>
      <c r="F3590" s="3">
        <v>107500</v>
      </c>
      <c r="G3590" s="57" t="s">
        <v>465</v>
      </c>
      <c r="J3590" s="5" t="s">
        <v>1241</v>
      </c>
    </row>
    <row r="3591" spans="1:10" x14ac:dyDescent="0.2">
      <c r="A3591" s="1" t="s">
        <v>25</v>
      </c>
      <c r="B3591" s="2" t="s">
        <v>398</v>
      </c>
      <c r="D3591" s="5" t="s">
        <v>464</v>
      </c>
      <c r="E3591" s="3" t="s">
        <v>465</v>
      </c>
      <c r="F3591" s="3">
        <v>107500</v>
      </c>
      <c r="G3591" s="57" t="s">
        <v>465</v>
      </c>
      <c r="J3591" s="5" t="s">
        <v>1241</v>
      </c>
    </row>
    <row r="3592" spans="1:10" x14ac:dyDescent="0.2">
      <c r="A3592" s="1" t="s">
        <v>28</v>
      </c>
      <c r="B3592" s="2" t="s">
        <v>403</v>
      </c>
      <c r="D3592" s="5" t="s">
        <v>464</v>
      </c>
      <c r="E3592" s="3" t="s">
        <v>465</v>
      </c>
      <c r="F3592" s="3">
        <v>107500</v>
      </c>
      <c r="G3592" s="57" t="s">
        <v>465</v>
      </c>
      <c r="J3592" s="1"/>
    </row>
    <row r="3593" spans="1:10" x14ac:dyDescent="0.2">
      <c r="A3593" s="1" t="s">
        <v>28</v>
      </c>
      <c r="B3593" s="2" t="s">
        <v>403</v>
      </c>
      <c r="D3593" s="5" t="s">
        <v>464</v>
      </c>
      <c r="E3593" s="3" t="s">
        <v>465</v>
      </c>
      <c r="F3593" s="3">
        <v>107500</v>
      </c>
      <c r="G3593" s="57" t="s">
        <v>465</v>
      </c>
      <c r="J3593" s="1"/>
    </row>
    <row r="3594" spans="1:10" x14ac:dyDescent="0.2">
      <c r="A3594" s="1" t="s">
        <v>25</v>
      </c>
      <c r="B3594" s="2" t="s">
        <v>405</v>
      </c>
      <c r="D3594" s="5" t="s">
        <v>464</v>
      </c>
      <c r="E3594" s="3" t="s">
        <v>465</v>
      </c>
      <c r="F3594" s="3">
        <v>107500</v>
      </c>
      <c r="G3594" s="57" t="s">
        <v>465</v>
      </c>
    </row>
    <row r="3595" spans="1:10" x14ac:dyDescent="0.2">
      <c r="A3595" s="1" t="s">
        <v>25</v>
      </c>
      <c r="B3595" s="2" t="s">
        <v>406</v>
      </c>
      <c r="D3595" s="5" t="s">
        <v>464</v>
      </c>
      <c r="E3595" s="3" t="s">
        <v>465</v>
      </c>
      <c r="F3595" s="3">
        <v>107500</v>
      </c>
      <c r="G3595" s="57" t="s">
        <v>465</v>
      </c>
      <c r="H3595" s="4"/>
      <c r="I3595" s="4"/>
      <c r="J3595" s="1"/>
    </row>
    <row r="3596" spans="1:10" x14ac:dyDescent="0.2">
      <c r="A3596" s="1" t="s">
        <v>39</v>
      </c>
      <c r="B3596" s="2" t="s">
        <v>409</v>
      </c>
      <c r="D3596" s="5" t="s">
        <v>587</v>
      </c>
      <c r="E3596" s="3" t="s">
        <v>465</v>
      </c>
      <c r="F3596" s="3">
        <v>107500</v>
      </c>
      <c r="G3596" s="57" t="s">
        <v>465</v>
      </c>
      <c r="J3596" s="5" t="s">
        <v>540</v>
      </c>
    </row>
    <row r="3597" spans="1:10" x14ac:dyDescent="0.2">
      <c r="A3597" s="1" t="s">
        <v>39</v>
      </c>
      <c r="B3597" s="2" t="s">
        <v>409</v>
      </c>
      <c r="D3597" s="5" t="s">
        <v>587</v>
      </c>
      <c r="E3597" s="3" t="s">
        <v>465</v>
      </c>
      <c r="F3597" s="3">
        <v>107500</v>
      </c>
      <c r="G3597" s="57" t="s">
        <v>465</v>
      </c>
      <c r="J3597" s="5" t="s">
        <v>540</v>
      </c>
    </row>
    <row r="3598" spans="1:10" x14ac:dyDescent="0.2">
      <c r="A3598" s="1" t="s">
        <v>39</v>
      </c>
      <c r="B3598" s="2" t="s">
        <v>409</v>
      </c>
      <c r="D3598" s="5" t="s">
        <v>587</v>
      </c>
      <c r="E3598" s="3" t="s">
        <v>465</v>
      </c>
      <c r="F3598" s="3">
        <v>107500</v>
      </c>
      <c r="G3598" s="57" t="s">
        <v>465</v>
      </c>
      <c r="J3598" s="5" t="s">
        <v>540</v>
      </c>
    </row>
    <row r="3599" spans="1:10" x14ac:dyDescent="0.2">
      <c r="A3599" s="1" t="s">
        <v>4</v>
      </c>
      <c r="B3599" s="2" t="s">
        <v>415</v>
      </c>
      <c r="D3599" s="5" t="s">
        <v>464</v>
      </c>
      <c r="E3599" s="3" t="s">
        <v>465</v>
      </c>
      <c r="F3599" s="3">
        <v>107500</v>
      </c>
      <c r="G3599" s="57" t="s">
        <v>465</v>
      </c>
      <c r="J3599" s="5" t="s">
        <v>539</v>
      </c>
    </row>
    <row r="3600" spans="1:10" x14ac:dyDescent="0.2">
      <c r="A3600" s="1" t="s">
        <v>4</v>
      </c>
      <c r="B3600" s="2" t="s">
        <v>415</v>
      </c>
      <c r="D3600" s="5" t="s">
        <v>464</v>
      </c>
      <c r="E3600" s="3" t="s">
        <v>465</v>
      </c>
      <c r="F3600" s="3">
        <v>107500</v>
      </c>
      <c r="G3600" s="57" t="s">
        <v>465</v>
      </c>
      <c r="J3600" s="5" t="s">
        <v>539</v>
      </c>
    </row>
    <row r="3601" spans="1:10" x14ac:dyDescent="0.2">
      <c r="A3601" s="1" t="s">
        <v>25</v>
      </c>
      <c r="B3601" s="2" t="s">
        <v>424</v>
      </c>
      <c r="D3601" s="5" t="s">
        <v>464</v>
      </c>
      <c r="E3601" s="3" t="s">
        <v>465</v>
      </c>
      <c r="F3601" s="3">
        <v>107500</v>
      </c>
      <c r="G3601" s="57" t="s">
        <v>465</v>
      </c>
      <c r="H3601" s="4"/>
      <c r="I3601" s="4"/>
      <c r="J3601" s="1"/>
    </row>
    <row r="3602" spans="1:10" x14ac:dyDescent="0.2">
      <c r="A3602" s="1" t="s">
        <v>34</v>
      </c>
      <c r="B3602" s="2" t="s">
        <v>427</v>
      </c>
      <c r="D3602" s="5" t="s">
        <v>464</v>
      </c>
      <c r="E3602" s="3" t="s">
        <v>465</v>
      </c>
      <c r="F3602" s="3">
        <v>107500</v>
      </c>
      <c r="G3602" s="57" t="s">
        <v>465</v>
      </c>
      <c r="J3602" s="5" t="s">
        <v>1241</v>
      </c>
    </row>
    <row r="3603" spans="1:10" x14ac:dyDescent="0.2">
      <c r="A3603" s="1" t="s">
        <v>34</v>
      </c>
      <c r="B3603" s="2" t="s">
        <v>427</v>
      </c>
      <c r="D3603" s="5" t="s">
        <v>464</v>
      </c>
      <c r="E3603" s="3" t="s">
        <v>465</v>
      </c>
      <c r="F3603" s="3">
        <v>107500</v>
      </c>
      <c r="G3603" s="57" t="s">
        <v>465</v>
      </c>
      <c r="J3603" s="5" t="s">
        <v>1241</v>
      </c>
    </row>
    <row r="3604" spans="1:10" x14ac:dyDescent="0.2">
      <c r="A3604" s="1" t="s">
        <v>34</v>
      </c>
      <c r="B3604" s="2" t="s">
        <v>427</v>
      </c>
      <c r="D3604" s="5" t="s">
        <v>464</v>
      </c>
      <c r="E3604" s="3" t="s">
        <v>465</v>
      </c>
      <c r="F3604" s="3">
        <v>107500</v>
      </c>
      <c r="G3604" s="57" t="s">
        <v>465</v>
      </c>
      <c r="J3604" s="5" t="s">
        <v>1241</v>
      </c>
    </row>
    <row r="3605" spans="1:10" x14ac:dyDescent="0.2">
      <c r="A3605" s="1" t="s">
        <v>34</v>
      </c>
      <c r="B3605" s="2" t="s">
        <v>427</v>
      </c>
      <c r="D3605" s="5" t="s">
        <v>464</v>
      </c>
      <c r="E3605" s="3" t="s">
        <v>465</v>
      </c>
      <c r="F3605" s="3">
        <v>107500</v>
      </c>
      <c r="G3605" s="57" t="s">
        <v>465</v>
      </c>
    </row>
    <row r="3606" spans="1:10" x14ac:dyDescent="0.2">
      <c r="A3606" s="1" t="s">
        <v>4</v>
      </c>
      <c r="B3606" s="2" t="s">
        <v>428</v>
      </c>
      <c r="D3606" s="5" t="s">
        <v>464</v>
      </c>
      <c r="E3606" s="3" t="s">
        <v>465</v>
      </c>
      <c r="F3606" s="3">
        <v>107500</v>
      </c>
      <c r="G3606" s="57" t="s">
        <v>465</v>
      </c>
      <c r="J3606" s="5" t="s">
        <v>539</v>
      </c>
    </row>
    <row r="3607" spans="1:10" x14ac:dyDescent="0.2">
      <c r="A3607" s="1" t="s">
        <v>39</v>
      </c>
      <c r="B3607" s="2" t="s">
        <v>433</v>
      </c>
      <c r="D3607" s="5" t="s">
        <v>464</v>
      </c>
      <c r="E3607" s="3" t="s">
        <v>465</v>
      </c>
      <c r="F3607" s="3">
        <v>107500</v>
      </c>
      <c r="G3607" s="57" t="s">
        <v>465</v>
      </c>
      <c r="J3607" s="5" t="s">
        <v>539</v>
      </c>
    </row>
    <row r="3608" spans="1:10" x14ac:dyDescent="0.2">
      <c r="A3608" s="1" t="s">
        <v>39</v>
      </c>
      <c r="B3608" s="2" t="s">
        <v>434</v>
      </c>
      <c r="D3608" s="5" t="s">
        <v>464</v>
      </c>
      <c r="E3608" s="3" t="s">
        <v>465</v>
      </c>
      <c r="F3608" s="3">
        <v>107500</v>
      </c>
      <c r="G3608" s="57" t="s">
        <v>465</v>
      </c>
    </row>
    <row r="3609" spans="1:10" ht="25.5" x14ac:dyDescent="0.2">
      <c r="A3609" s="1" t="s">
        <v>1</v>
      </c>
      <c r="B3609" s="2" t="s">
        <v>327</v>
      </c>
      <c r="C3609" s="5" t="s">
        <v>905</v>
      </c>
      <c r="D3609" s="5" t="s">
        <v>906</v>
      </c>
      <c r="E3609" s="3">
        <v>105086</v>
      </c>
      <c r="F3609" s="3">
        <v>107454</v>
      </c>
      <c r="G3609" s="57">
        <v>2.2533924595093541E-2</v>
      </c>
      <c r="J3609" s="5" t="s">
        <v>2770</v>
      </c>
    </row>
    <row r="3610" spans="1:10" ht="38.25" x14ac:dyDescent="0.2">
      <c r="A3610" s="1" t="s">
        <v>8</v>
      </c>
      <c r="B3610" s="2" t="s">
        <v>350</v>
      </c>
      <c r="D3610" s="5" t="s">
        <v>740</v>
      </c>
      <c r="E3610" s="3">
        <v>93899</v>
      </c>
      <c r="F3610" s="3">
        <v>107379</v>
      </c>
      <c r="G3610" s="57">
        <v>0.14355850435041906</v>
      </c>
      <c r="J3610" s="5" t="s">
        <v>2680</v>
      </c>
    </row>
    <row r="3611" spans="1:10" ht="51" x14ac:dyDescent="0.2">
      <c r="A3611" s="13" t="s">
        <v>4</v>
      </c>
      <c r="B3611" s="2" t="s">
        <v>3</v>
      </c>
      <c r="D3611" s="5" t="s">
        <v>4182</v>
      </c>
      <c r="E3611" s="3">
        <v>105684</v>
      </c>
      <c r="F3611" s="3">
        <v>107371</v>
      </c>
      <c r="G3611" s="57">
        <v>1.5962681200560162E-2</v>
      </c>
      <c r="J3611" s="5" t="s">
        <v>4081</v>
      </c>
    </row>
    <row r="3612" spans="1:10" ht="25.5" x14ac:dyDescent="0.2">
      <c r="A3612" s="1" t="s">
        <v>1</v>
      </c>
      <c r="B3612" s="2" t="s">
        <v>125</v>
      </c>
      <c r="C3612" s="1" t="s">
        <v>2120</v>
      </c>
      <c r="D3612" s="5" t="s">
        <v>2121</v>
      </c>
      <c r="E3612" s="3">
        <v>97896</v>
      </c>
      <c r="F3612" s="3">
        <v>107357</v>
      </c>
      <c r="G3612" s="57">
        <v>9.664337664460243E-2</v>
      </c>
      <c r="J3612" s="5" t="s">
        <v>3931</v>
      </c>
    </row>
    <row r="3613" spans="1:10" ht="25.5" x14ac:dyDescent="0.2">
      <c r="A3613" s="1" t="s">
        <v>8</v>
      </c>
      <c r="B3613" s="2" t="s">
        <v>342</v>
      </c>
      <c r="D3613" s="5" t="s">
        <v>858</v>
      </c>
      <c r="E3613" s="3">
        <v>104719</v>
      </c>
      <c r="F3613" s="3">
        <v>107268</v>
      </c>
      <c r="G3613" s="57">
        <v>2.4341332518454148E-2</v>
      </c>
      <c r="J3613" s="5" t="s">
        <v>2705</v>
      </c>
    </row>
    <row r="3614" spans="1:10" ht="25.5" x14ac:dyDescent="0.2">
      <c r="A3614" s="1" t="s">
        <v>6</v>
      </c>
      <c r="B3614" s="2" t="s">
        <v>407</v>
      </c>
      <c r="D3614" s="5" t="s">
        <v>609</v>
      </c>
      <c r="E3614" s="3">
        <v>106000</v>
      </c>
      <c r="F3614" s="3">
        <v>107265</v>
      </c>
      <c r="G3614" s="57">
        <v>1.1933962264150944E-2</v>
      </c>
      <c r="J3614" s="5" t="s">
        <v>2395</v>
      </c>
    </row>
    <row r="3615" spans="1:10" ht="25.5" x14ac:dyDescent="0.2">
      <c r="A3615" s="1" t="s">
        <v>4</v>
      </c>
      <c r="B3615" s="2" t="s">
        <v>392</v>
      </c>
      <c r="D3615" s="5" t="s">
        <v>692</v>
      </c>
      <c r="E3615" s="3">
        <v>107399</v>
      </c>
      <c r="F3615" s="3">
        <v>107092</v>
      </c>
      <c r="G3615" s="57">
        <v>-2.8584996135904432E-3</v>
      </c>
      <c r="J3615" s="5" t="s">
        <v>2477</v>
      </c>
    </row>
    <row r="3616" spans="1:10" ht="38.25" x14ac:dyDescent="0.2">
      <c r="A3616" s="1" t="s">
        <v>44</v>
      </c>
      <c r="B3616" s="2" t="s">
        <v>381</v>
      </c>
      <c r="D3616" s="5" t="s">
        <v>719</v>
      </c>
      <c r="E3616" s="3">
        <v>84229</v>
      </c>
      <c r="F3616" s="3">
        <v>107070</v>
      </c>
      <c r="G3616" s="57">
        <v>0.27117738546106446</v>
      </c>
      <c r="J3616" s="5" t="s">
        <v>2513</v>
      </c>
    </row>
    <row r="3617" spans="1:10" ht="25.5" x14ac:dyDescent="0.2">
      <c r="A3617" s="1" t="s">
        <v>39</v>
      </c>
      <c r="B3617" s="2" t="s">
        <v>325</v>
      </c>
      <c r="D3617" s="5" t="s">
        <v>912</v>
      </c>
      <c r="E3617" s="6">
        <v>130690</v>
      </c>
      <c r="F3617" s="3">
        <v>107045</v>
      </c>
      <c r="G3617" s="57">
        <v>-0.18092432473792947</v>
      </c>
      <c r="J3617" s="5" t="s">
        <v>2777</v>
      </c>
    </row>
    <row r="3618" spans="1:10" ht="25.5" x14ac:dyDescent="0.2">
      <c r="A3618" s="1" t="s">
        <v>34</v>
      </c>
      <c r="B3618" s="2" t="s">
        <v>163</v>
      </c>
      <c r="D3618" s="5" t="s">
        <v>473</v>
      </c>
      <c r="E3618" s="3">
        <v>102100</v>
      </c>
      <c r="F3618" s="3">
        <v>107036</v>
      </c>
      <c r="G3618" s="57">
        <v>4.834476003917728E-2</v>
      </c>
      <c r="J3618" s="5" t="s">
        <v>4049</v>
      </c>
    </row>
    <row r="3619" spans="1:10" ht="25.5" x14ac:dyDescent="0.2">
      <c r="A3619" s="1" t="s">
        <v>8</v>
      </c>
      <c r="B3619" s="2" t="s">
        <v>211</v>
      </c>
      <c r="D3619" s="5" t="s">
        <v>455</v>
      </c>
      <c r="E3619" s="3" t="s">
        <v>465</v>
      </c>
      <c r="F3619" s="3">
        <v>107000</v>
      </c>
      <c r="G3619" s="57" t="s">
        <v>465</v>
      </c>
      <c r="J3619" s="5" t="s">
        <v>3352</v>
      </c>
    </row>
    <row r="3620" spans="1:10" ht="25.5" x14ac:dyDescent="0.2">
      <c r="A3620" s="1" t="s">
        <v>8</v>
      </c>
      <c r="B3620" s="2" t="s">
        <v>280</v>
      </c>
      <c r="D3620" s="5" t="s">
        <v>451</v>
      </c>
      <c r="E3620" s="3">
        <v>102000</v>
      </c>
      <c r="F3620" s="3">
        <v>107000</v>
      </c>
      <c r="G3620" s="57">
        <v>4.9019607843137254E-2</v>
      </c>
      <c r="J3620" s="5" t="s">
        <v>2994</v>
      </c>
    </row>
    <row r="3621" spans="1:10" ht="25.5" x14ac:dyDescent="0.2">
      <c r="A3621" s="1" t="s">
        <v>4</v>
      </c>
      <c r="B3621" s="2" t="s">
        <v>390</v>
      </c>
      <c r="D3621" s="5" t="s">
        <v>468</v>
      </c>
      <c r="E3621" s="3">
        <v>101000</v>
      </c>
      <c r="F3621" s="3">
        <v>107000</v>
      </c>
      <c r="G3621" s="57">
        <v>5.9405940594059403E-2</v>
      </c>
      <c r="J3621" s="5" t="s">
        <v>2482</v>
      </c>
    </row>
    <row r="3622" spans="1:10" ht="25.5" x14ac:dyDescent="0.2">
      <c r="A3622" s="1" t="s">
        <v>8</v>
      </c>
      <c r="B3622" s="2" t="s">
        <v>229</v>
      </c>
      <c r="D3622" s="5" t="s">
        <v>604</v>
      </c>
      <c r="E3622" s="3">
        <v>135824</v>
      </c>
      <c r="F3622" s="3">
        <v>106908</v>
      </c>
      <c r="G3622" s="57">
        <v>-0.21289315584874544</v>
      </c>
      <c r="J3622" s="5" t="s">
        <v>3233</v>
      </c>
    </row>
    <row r="3623" spans="1:10" ht="25.5" x14ac:dyDescent="0.2">
      <c r="A3623" s="1" t="s">
        <v>44</v>
      </c>
      <c r="B3623" s="2" t="s">
        <v>251</v>
      </c>
      <c r="D3623" s="5" t="s">
        <v>1186</v>
      </c>
      <c r="E3623" s="6" t="s">
        <v>465</v>
      </c>
      <c r="F3623" s="3">
        <v>106867</v>
      </c>
      <c r="G3623" s="57" t="s">
        <v>465</v>
      </c>
      <c r="J3623" s="5" t="s">
        <v>3117</v>
      </c>
    </row>
    <row r="3624" spans="1:10" ht="25.5" x14ac:dyDescent="0.2">
      <c r="A3624" s="1" t="s">
        <v>39</v>
      </c>
      <c r="B3624" s="2" t="s">
        <v>335</v>
      </c>
      <c r="D3624" s="5" t="s">
        <v>881</v>
      </c>
      <c r="E3624" s="3">
        <v>84463</v>
      </c>
      <c r="F3624" s="3">
        <v>106857</v>
      </c>
      <c r="G3624" s="57">
        <v>0.2651338455891929</v>
      </c>
      <c r="J3624" s="5" t="s">
        <v>2738</v>
      </c>
    </row>
    <row r="3625" spans="1:10" x14ac:dyDescent="0.2">
      <c r="A3625" s="1" t="s">
        <v>6</v>
      </c>
      <c r="B3625" s="2" t="s">
        <v>86</v>
      </c>
      <c r="C3625" s="1"/>
      <c r="D3625" s="5" t="s">
        <v>516</v>
      </c>
      <c r="E3625" s="6">
        <v>85361</v>
      </c>
      <c r="F3625" s="3">
        <v>106843</v>
      </c>
      <c r="G3625" s="57">
        <v>0.25166059441665395</v>
      </c>
      <c r="J3625" s="5" t="s">
        <v>2050</v>
      </c>
    </row>
    <row r="3626" spans="1:10" ht="25.5" x14ac:dyDescent="0.2">
      <c r="A3626" s="1" t="s">
        <v>39</v>
      </c>
      <c r="B3626" s="2" t="s">
        <v>337</v>
      </c>
      <c r="D3626" s="5" t="s">
        <v>4456</v>
      </c>
      <c r="E3626" s="3">
        <v>103733</v>
      </c>
      <c r="F3626" s="3">
        <v>106824</v>
      </c>
      <c r="G3626" s="57">
        <v>2.9797653591431848E-2</v>
      </c>
      <c r="J3626" s="5" t="s">
        <v>2728</v>
      </c>
    </row>
    <row r="3627" spans="1:10" ht="25.5" x14ac:dyDescent="0.2">
      <c r="A3627" s="1" t="s">
        <v>111</v>
      </c>
      <c r="B3627" s="2" t="s">
        <v>276</v>
      </c>
      <c r="D3627" s="5" t="s">
        <v>1101</v>
      </c>
      <c r="E3627" s="9">
        <v>95864</v>
      </c>
      <c r="F3627" s="3">
        <v>106822</v>
      </c>
      <c r="G3627" s="57">
        <v>0.11430776933989818</v>
      </c>
      <c r="J3627" s="5" t="s">
        <v>4670</v>
      </c>
    </row>
    <row r="3628" spans="1:10" ht="25.5" x14ac:dyDescent="0.2">
      <c r="A3628" s="1" t="s">
        <v>4</v>
      </c>
      <c r="B3628" s="2" t="s">
        <v>423</v>
      </c>
      <c r="D3628" s="5" t="s">
        <v>570</v>
      </c>
      <c r="E3628" s="6">
        <v>102355</v>
      </c>
      <c r="F3628" s="3">
        <v>106711</v>
      </c>
      <c r="G3628" s="57">
        <v>4.2557764642665231E-2</v>
      </c>
      <c r="J3628" s="5" t="s">
        <v>2349</v>
      </c>
    </row>
    <row r="3629" spans="1:10" ht="25.5" x14ac:dyDescent="0.2">
      <c r="A3629" s="1" t="s">
        <v>25</v>
      </c>
      <c r="B3629" s="2" t="s">
        <v>26</v>
      </c>
      <c r="C3629" s="1"/>
      <c r="D3629" s="5" t="s">
        <v>3680</v>
      </c>
      <c r="E3629" s="3" t="s">
        <v>465</v>
      </c>
      <c r="F3629" s="3">
        <v>106704</v>
      </c>
      <c r="G3629" s="57" t="s">
        <v>465</v>
      </c>
      <c r="J3629" s="5" t="s">
        <v>3681</v>
      </c>
    </row>
    <row r="3630" spans="1:10" ht="38.25" x14ac:dyDescent="0.2">
      <c r="A3630" s="1" t="s">
        <v>25</v>
      </c>
      <c r="B3630" s="2" t="s">
        <v>26</v>
      </c>
      <c r="C3630" s="1"/>
      <c r="D3630" s="5" t="s">
        <v>3682</v>
      </c>
      <c r="E3630" s="3" t="s">
        <v>465</v>
      </c>
      <c r="F3630" s="3">
        <v>106701</v>
      </c>
      <c r="G3630" s="57" t="s">
        <v>465</v>
      </c>
      <c r="J3630" s="5" t="s">
        <v>4104</v>
      </c>
    </row>
    <row r="3631" spans="1:10" ht="38.25" x14ac:dyDescent="0.2">
      <c r="A3631" s="1" t="s">
        <v>4</v>
      </c>
      <c r="B3631" s="2" t="s">
        <v>176</v>
      </c>
      <c r="D3631" s="5" t="s">
        <v>504</v>
      </c>
      <c r="E3631" s="9">
        <v>103488</v>
      </c>
      <c r="F3631" s="9">
        <v>106672</v>
      </c>
      <c r="G3631" s="57">
        <v>3.0766852195423623E-2</v>
      </c>
      <c r="J3631" s="5" t="s">
        <v>4647</v>
      </c>
    </row>
    <row r="3632" spans="1:10" ht="25.5" x14ac:dyDescent="0.2">
      <c r="A3632" s="1" t="s">
        <v>4</v>
      </c>
      <c r="B3632" s="2" t="s">
        <v>210</v>
      </c>
      <c r="D3632" s="5" t="s">
        <v>1356</v>
      </c>
      <c r="E3632" s="9" t="s">
        <v>465</v>
      </c>
      <c r="F3632" s="9">
        <v>106605</v>
      </c>
      <c r="G3632" s="57" t="s">
        <v>465</v>
      </c>
      <c r="J3632" s="5" t="s">
        <v>3357</v>
      </c>
    </row>
    <row r="3633" spans="1:12" ht="38.25" x14ac:dyDescent="0.2">
      <c r="A3633" s="1" t="s">
        <v>6</v>
      </c>
      <c r="B3633" s="2" t="s">
        <v>179</v>
      </c>
      <c r="D3633" s="5" t="s">
        <v>1497</v>
      </c>
      <c r="E3633" s="9">
        <v>104400</v>
      </c>
      <c r="F3633" s="9">
        <v>106600</v>
      </c>
      <c r="G3633" s="57">
        <v>2.1072796934865901E-2</v>
      </c>
      <c r="J3633" s="5" t="s">
        <v>3558</v>
      </c>
    </row>
    <row r="3634" spans="1:12" ht="25.5" x14ac:dyDescent="0.2">
      <c r="A3634" s="1" t="s">
        <v>28</v>
      </c>
      <c r="B3634" s="2" t="s">
        <v>403</v>
      </c>
      <c r="D3634" s="5" t="s">
        <v>658</v>
      </c>
      <c r="E3634" s="3">
        <v>103964</v>
      </c>
      <c r="F3634" s="3">
        <v>106599</v>
      </c>
      <c r="G3634" s="57">
        <v>2.53453118387134E-2</v>
      </c>
      <c r="J3634" s="5" t="s">
        <v>2428</v>
      </c>
    </row>
    <row r="3635" spans="1:12" ht="38.25" x14ac:dyDescent="0.2">
      <c r="A3635" s="1" t="s">
        <v>39</v>
      </c>
      <c r="B3635" s="2" t="s">
        <v>388</v>
      </c>
      <c r="D3635" s="5" t="s">
        <v>694</v>
      </c>
      <c r="E3635" s="3">
        <v>93528</v>
      </c>
      <c r="F3635" s="3">
        <v>106572</v>
      </c>
      <c r="G3635" s="57">
        <v>0.13946625609443161</v>
      </c>
      <c r="J3635" s="5" t="s">
        <v>4484</v>
      </c>
    </row>
    <row r="3636" spans="1:12" s="13" customFormat="1" ht="38.25" x14ac:dyDescent="0.2">
      <c r="A3636" s="13" t="s">
        <v>4</v>
      </c>
      <c r="B3636" s="2" t="s">
        <v>3</v>
      </c>
      <c r="C3636" s="5"/>
      <c r="D3636" s="5" t="s">
        <v>4183</v>
      </c>
      <c r="E3636" s="3">
        <v>106618</v>
      </c>
      <c r="F3636" s="3">
        <v>106559</v>
      </c>
      <c r="G3636" s="57">
        <v>-5.53377478474554E-4</v>
      </c>
      <c r="H3636" s="19"/>
      <c r="I3636" s="19"/>
      <c r="J3636" s="5" t="s">
        <v>4082</v>
      </c>
      <c r="K3636" s="1"/>
      <c r="L3636" s="1"/>
    </row>
    <row r="3637" spans="1:12" s="13" customFormat="1" x14ac:dyDescent="0.2">
      <c r="A3637" s="1" t="s">
        <v>6</v>
      </c>
      <c r="B3637" s="2" t="s">
        <v>65</v>
      </c>
      <c r="C3637" s="1"/>
      <c r="D3637" s="5" t="s">
        <v>1887</v>
      </c>
      <c r="E3637" s="3">
        <v>103424</v>
      </c>
      <c r="F3637" s="3">
        <v>106545</v>
      </c>
      <c r="G3637" s="57">
        <v>3.0176748143564358E-2</v>
      </c>
      <c r="H3637" s="19"/>
      <c r="I3637" s="19"/>
      <c r="J3637" s="5" t="s">
        <v>1888</v>
      </c>
      <c r="K3637" s="1"/>
      <c r="L3637" s="1"/>
    </row>
    <row r="3638" spans="1:12" s="13" customFormat="1" ht="25.5" x14ac:dyDescent="0.2">
      <c r="A3638" s="1" t="s">
        <v>39</v>
      </c>
      <c r="B3638" s="2" t="s">
        <v>335</v>
      </c>
      <c r="C3638" s="5"/>
      <c r="D3638" s="5" t="s">
        <v>463</v>
      </c>
      <c r="E3638" s="3">
        <v>145670</v>
      </c>
      <c r="F3638" s="3">
        <v>106434</v>
      </c>
      <c r="G3638" s="57">
        <v>-0.26934852749365001</v>
      </c>
      <c r="H3638" s="19"/>
      <c r="I3638" s="19"/>
      <c r="J3638" s="5" t="s">
        <v>4595</v>
      </c>
      <c r="K3638" s="1"/>
      <c r="L3638" s="1"/>
    </row>
    <row r="3639" spans="1:12" ht="25.5" x14ac:dyDescent="0.2">
      <c r="A3639" s="1" t="s">
        <v>111</v>
      </c>
      <c r="B3639" s="2" t="s">
        <v>305</v>
      </c>
      <c r="D3639" s="5" t="s">
        <v>2836</v>
      </c>
      <c r="E3639" s="3">
        <v>108450</v>
      </c>
      <c r="F3639" s="3">
        <v>106376</v>
      </c>
      <c r="G3639" s="57">
        <v>-1.9124020285846012E-2</v>
      </c>
      <c r="J3639" s="5" t="s">
        <v>2837</v>
      </c>
    </row>
    <row r="3640" spans="1:12" ht="25.5" x14ac:dyDescent="0.2">
      <c r="A3640" s="1" t="s">
        <v>4</v>
      </c>
      <c r="B3640" s="2" t="s">
        <v>15</v>
      </c>
      <c r="C3640" s="1"/>
      <c r="D3640" s="5" t="s">
        <v>1689</v>
      </c>
      <c r="E3640" s="3">
        <v>103638</v>
      </c>
      <c r="F3640" s="3">
        <v>106371</v>
      </c>
      <c r="G3640" s="57">
        <v>2.6370636253111791E-2</v>
      </c>
      <c r="J3640" s="5" t="s">
        <v>3648</v>
      </c>
    </row>
    <row r="3641" spans="1:12" ht="25.5" x14ac:dyDescent="0.2">
      <c r="A3641" s="1" t="s">
        <v>4</v>
      </c>
      <c r="B3641" s="2" t="s">
        <v>429</v>
      </c>
      <c r="D3641" s="5" t="s">
        <v>514</v>
      </c>
      <c r="E3641" s="3">
        <v>111352</v>
      </c>
      <c r="F3641" s="3">
        <v>106370</v>
      </c>
      <c r="G3641" s="57">
        <v>-4.4741001508729075E-2</v>
      </c>
      <c r="J3641" s="5" t="s">
        <v>2307</v>
      </c>
    </row>
    <row r="3642" spans="1:12" ht="25.5" x14ac:dyDescent="0.2">
      <c r="A3642" s="1" t="s">
        <v>6</v>
      </c>
      <c r="B3642" s="2" t="s">
        <v>407</v>
      </c>
      <c r="D3642" s="5" t="s">
        <v>610</v>
      </c>
      <c r="E3642" s="3">
        <v>106000</v>
      </c>
      <c r="F3642" s="3">
        <v>106364</v>
      </c>
      <c r="G3642" s="57">
        <v>3.4339622641509433E-3</v>
      </c>
      <c r="J3642" s="5" t="s">
        <v>2396</v>
      </c>
    </row>
    <row r="3643" spans="1:12" ht="25.5" x14ac:dyDescent="0.2">
      <c r="A3643" s="1" t="s">
        <v>4</v>
      </c>
      <c r="B3643" s="2" t="s">
        <v>239</v>
      </c>
      <c r="D3643" s="5" t="s">
        <v>1216</v>
      </c>
      <c r="E3643" s="3">
        <v>119458</v>
      </c>
      <c r="F3643" s="3">
        <v>106267</v>
      </c>
      <c r="G3643" s="57">
        <v>-0.11042374725845067</v>
      </c>
      <c r="J3643" s="5" t="s">
        <v>3176</v>
      </c>
    </row>
    <row r="3644" spans="1:12" ht="25.5" x14ac:dyDescent="0.2">
      <c r="A3644" s="1" t="s">
        <v>20</v>
      </c>
      <c r="B3644" s="2" t="s">
        <v>270</v>
      </c>
      <c r="C3644" s="5" t="s">
        <v>1132</v>
      </c>
      <c r="D3644" s="5" t="s">
        <v>1133</v>
      </c>
      <c r="E3644" s="3">
        <v>106212</v>
      </c>
      <c r="F3644" s="3">
        <v>106212</v>
      </c>
      <c r="G3644" s="57">
        <v>0</v>
      </c>
      <c r="J3644" s="5" t="s">
        <v>3055</v>
      </c>
    </row>
    <row r="3645" spans="1:12" s="13" customFormat="1" x14ac:dyDescent="0.2">
      <c r="A3645" s="1" t="s">
        <v>20</v>
      </c>
      <c r="B3645" s="2" t="s">
        <v>270</v>
      </c>
      <c r="C3645" s="5" t="s">
        <v>1134</v>
      </c>
      <c r="D3645" s="5" t="s">
        <v>1135</v>
      </c>
      <c r="E3645" s="3">
        <v>106179</v>
      </c>
      <c r="F3645" s="3">
        <v>106212</v>
      </c>
      <c r="G3645" s="57">
        <v>3.1079592009719434E-4</v>
      </c>
      <c r="H3645" s="19"/>
      <c r="I3645" s="19"/>
      <c r="J3645" s="5" t="s">
        <v>3056</v>
      </c>
      <c r="K3645" s="1"/>
      <c r="L3645" s="1"/>
    </row>
    <row r="3646" spans="1:12" ht="25.5" x14ac:dyDescent="0.2">
      <c r="A3646" s="1" t="s">
        <v>39</v>
      </c>
      <c r="B3646" s="2" t="s">
        <v>258</v>
      </c>
      <c r="D3646" s="5" t="s">
        <v>3100</v>
      </c>
      <c r="E3646" s="3">
        <v>102697</v>
      </c>
      <c r="F3646" s="3">
        <v>106184</v>
      </c>
      <c r="G3646" s="57">
        <v>3.3954253775670178E-2</v>
      </c>
      <c r="J3646" s="5" t="s">
        <v>3091</v>
      </c>
    </row>
    <row r="3647" spans="1:12" ht="63.75" x14ac:dyDescent="0.2">
      <c r="A3647" s="1" t="s">
        <v>8</v>
      </c>
      <c r="B3647" s="2" t="s">
        <v>32</v>
      </c>
      <c r="C3647" s="1"/>
      <c r="D3647" s="5" t="s">
        <v>463</v>
      </c>
      <c r="E3647" s="3">
        <v>102352</v>
      </c>
      <c r="F3647" s="3">
        <v>106159</v>
      </c>
      <c r="G3647" s="57">
        <v>3.7195169610755044E-2</v>
      </c>
      <c r="J3647" s="7" t="s">
        <v>4132</v>
      </c>
    </row>
    <row r="3648" spans="1:12" ht="25.5" x14ac:dyDescent="0.2">
      <c r="A3648" s="1" t="s">
        <v>6</v>
      </c>
      <c r="B3648" s="2" t="s">
        <v>310</v>
      </c>
      <c r="D3648" s="5" t="s">
        <v>450</v>
      </c>
      <c r="E3648" s="3">
        <v>105849</v>
      </c>
      <c r="F3648" s="3">
        <v>106150</v>
      </c>
      <c r="G3648" s="57">
        <v>2.8436735349412841E-3</v>
      </c>
      <c r="J3648" s="5" t="s">
        <v>2815</v>
      </c>
    </row>
    <row r="3649" spans="1:12" ht="51" x14ac:dyDescent="0.2">
      <c r="A3649" s="1" t="s">
        <v>25</v>
      </c>
      <c r="B3649" s="2" t="s">
        <v>406</v>
      </c>
      <c r="C3649" s="5" t="s">
        <v>637</v>
      </c>
      <c r="D3649" s="5" t="s">
        <v>638</v>
      </c>
      <c r="E3649" s="9" t="s">
        <v>465</v>
      </c>
      <c r="F3649" s="3">
        <v>106132</v>
      </c>
      <c r="G3649" s="57" t="s">
        <v>465</v>
      </c>
      <c r="J3649" s="5" t="s">
        <v>4524</v>
      </c>
    </row>
    <row r="3650" spans="1:12" ht="38.25" x14ac:dyDescent="0.2">
      <c r="A3650" s="1" t="s">
        <v>8</v>
      </c>
      <c r="B3650" s="2" t="s">
        <v>100</v>
      </c>
      <c r="C3650" s="1"/>
      <c r="D3650" s="5" t="s">
        <v>2217</v>
      </c>
      <c r="E3650" s="3">
        <v>74882</v>
      </c>
      <c r="F3650" s="3">
        <v>106060</v>
      </c>
      <c r="G3650" s="57">
        <v>0.41636174247482705</v>
      </c>
      <c r="J3650" s="5" t="s">
        <v>3853</v>
      </c>
    </row>
    <row r="3651" spans="1:12" x14ac:dyDescent="0.2">
      <c r="A3651" s="1" t="s">
        <v>4</v>
      </c>
      <c r="B3651" s="12" t="s">
        <v>400</v>
      </c>
      <c r="D3651" s="5" t="s">
        <v>661</v>
      </c>
      <c r="E3651" s="3" t="s">
        <v>465</v>
      </c>
      <c r="F3651" s="3">
        <v>106013</v>
      </c>
      <c r="G3651" s="57" t="s">
        <v>465</v>
      </c>
      <c r="J3651" s="5" t="s">
        <v>2438</v>
      </c>
    </row>
    <row r="3652" spans="1:12" x14ac:dyDescent="0.2">
      <c r="A3652" s="1" t="s">
        <v>28</v>
      </c>
      <c r="B3652" s="2" t="s">
        <v>67</v>
      </c>
      <c r="C3652" s="1"/>
      <c r="D3652" s="5" t="s">
        <v>740</v>
      </c>
      <c r="E3652" s="3">
        <v>103000</v>
      </c>
      <c r="F3652" s="3">
        <v>106000</v>
      </c>
      <c r="G3652" s="57">
        <v>2.9126213592233011E-2</v>
      </c>
      <c r="J3652" s="5" t="s">
        <v>1893</v>
      </c>
    </row>
    <row r="3653" spans="1:12" ht="25.5" x14ac:dyDescent="0.2">
      <c r="A3653" s="1" t="s">
        <v>8</v>
      </c>
      <c r="B3653" s="2" t="s">
        <v>280</v>
      </c>
      <c r="D3653" s="5" t="s">
        <v>569</v>
      </c>
      <c r="E3653" s="3">
        <v>99000</v>
      </c>
      <c r="F3653" s="3">
        <v>106000</v>
      </c>
      <c r="G3653" s="57">
        <v>7.0707070707070704E-2</v>
      </c>
      <c r="J3653" s="5" t="s">
        <v>2999</v>
      </c>
    </row>
    <row r="3654" spans="1:12" ht="25.5" x14ac:dyDescent="0.2">
      <c r="A3654" s="1" t="s">
        <v>6</v>
      </c>
      <c r="B3654" s="2" t="s">
        <v>368</v>
      </c>
      <c r="D3654" s="5" t="s">
        <v>775</v>
      </c>
      <c r="E3654" s="3" t="s">
        <v>465</v>
      </c>
      <c r="F3654" s="3">
        <v>106000</v>
      </c>
      <c r="G3654" s="57" t="s">
        <v>465</v>
      </c>
      <c r="J3654" s="5" t="s">
        <v>2576</v>
      </c>
    </row>
    <row r="3655" spans="1:12" ht="25.5" x14ac:dyDescent="0.2">
      <c r="A3655" s="1" t="s">
        <v>6</v>
      </c>
      <c r="B3655" s="2" t="s">
        <v>368</v>
      </c>
      <c r="D3655" s="5" t="s">
        <v>775</v>
      </c>
      <c r="E3655" s="3" t="s">
        <v>465</v>
      </c>
      <c r="F3655" s="3">
        <v>106000</v>
      </c>
      <c r="G3655" s="57" t="s">
        <v>465</v>
      </c>
      <c r="J3655" s="5" t="s">
        <v>2577</v>
      </c>
    </row>
    <row r="3656" spans="1:12" x14ac:dyDescent="0.2">
      <c r="A3656" s="1" t="s">
        <v>134</v>
      </c>
      <c r="B3656" s="2" t="s">
        <v>396</v>
      </c>
      <c r="C3656" s="5" t="s">
        <v>677</v>
      </c>
      <c r="D3656" s="5" t="s">
        <v>678</v>
      </c>
      <c r="E3656" s="3">
        <v>106000</v>
      </c>
      <c r="F3656" s="3">
        <v>106000</v>
      </c>
      <c r="G3656" s="57">
        <v>0</v>
      </c>
      <c r="J3656" s="5" t="s">
        <v>2460</v>
      </c>
    </row>
    <row r="3657" spans="1:12" x14ac:dyDescent="0.2">
      <c r="A3657" s="1" t="s">
        <v>25</v>
      </c>
      <c r="B3657" s="2" t="s">
        <v>197</v>
      </c>
      <c r="D3657" s="5" t="s">
        <v>718</v>
      </c>
      <c r="E3657" s="9">
        <v>98214</v>
      </c>
      <c r="F3657" s="9">
        <v>105962</v>
      </c>
      <c r="G3657" s="57">
        <v>7.8888956767874233E-2</v>
      </c>
      <c r="J3657" s="5" t="s">
        <v>3443</v>
      </c>
    </row>
    <row r="3658" spans="1:12" x14ac:dyDescent="0.2">
      <c r="A3658" s="1" t="s">
        <v>28</v>
      </c>
      <c r="B3658" s="12" t="s">
        <v>50</v>
      </c>
      <c r="C3658" s="13"/>
      <c r="D3658" s="7" t="s">
        <v>3753</v>
      </c>
      <c r="E3658" s="6" t="s">
        <v>465</v>
      </c>
      <c r="F3658" s="6">
        <v>105863</v>
      </c>
      <c r="G3658" s="57" t="s">
        <v>465</v>
      </c>
      <c r="H3658" s="21"/>
      <c r="I3658" s="21"/>
      <c r="J3658" s="7" t="s">
        <v>3754</v>
      </c>
      <c r="K3658" s="13"/>
      <c r="L3658" s="13"/>
    </row>
    <row r="3659" spans="1:12" ht="76.5" x14ac:dyDescent="0.2">
      <c r="A3659" s="1" t="s">
        <v>20</v>
      </c>
      <c r="B3659" s="2" t="s">
        <v>357</v>
      </c>
      <c r="C3659" s="5" t="s">
        <v>2636</v>
      </c>
      <c r="D3659" s="15" t="s">
        <v>4463</v>
      </c>
      <c r="E3659" s="9">
        <v>102255</v>
      </c>
      <c r="F3659" s="9">
        <v>105845</v>
      </c>
      <c r="G3659" s="57">
        <v>3.5108307662217009E-2</v>
      </c>
      <c r="J3659" s="5" t="s">
        <v>4691</v>
      </c>
    </row>
    <row r="3660" spans="1:12" ht="25.5" x14ac:dyDescent="0.2">
      <c r="A3660" s="1" t="s">
        <v>44</v>
      </c>
      <c r="B3660" s="2" t="s">
        <v>260</v>
      </c>
      <c r="D3660" s="5" t="s">
        <v>671</v>
      </c>
      <c r="E3660" s="3">
        <v>106023</v>
      </c>
      <c r="F3660" s="3">
        <v>105814</v>
      </c>
      <c r="G3660" s="57">
        <v>-1.9712703847278423E-3</v>
      </c>
      <c r="J3660" s="5" t="s">
        <v>3082</v>
      </c>
    </row>
    <row r="3661" spans="1:12" ht="25.5" x14ac:dyDescent="0.2">
      <c r="A3661" s="1" t="s">
        <v>4</v>
      </c>
      <c r="B3661" s="2" t="s">
        <v>171</v>
      </c>
      <c r="D3661" s="5" t="s">
        <v>450</v>
      </c>
      <c r="E3661" s="3">
        <v>105139</v>
      </c>
      <c r="F3661" s="3">
        <v>105807</v>
      </c>
      <c r="G3661" s="57">
        <v>6.3534939461094364E-3</v>
      </c>
      <c r="J3661" s="5" t="s">
        <v>3599</v>
      </c>
    </row>
    <row r="3662" spans="1:12" x14ac:dyDescent="0.2">
      <c r="A3662" s="13" t="s">
        <v>111</v>
      </c>
      <c r="B3662" s="2" t="s">
        <v>247</v>
      </c>
      <c r="D3662" s="5" t="s">
        <v>463</v>
      </c>
      <c r="E3662" s="3">
        <v>106349</v>
      </c>
      <c r="F3662" s="3">
        <v>105660</v>
      </c>
      <c r="G3662" s="57">
        <v>-6.4786692869702586E-3</v>
      </c>
      <c r="J3662" s="5" t="s">
        <v>3152</v>
      </c>
    </row>
    <row r="3663" spans="1:12" x14ac:dyDescent="0.2">
      <c r="A3663" s="1" t="s">
        <v>8</v>
      </c>
      <c r="B3663" s="2" t="s">
        <v>116</v>
      </c>
      <c r="C3663" s="1"/>
      <c r="D3663" s="5" t="s">
        <v>2155</v>
      </c>
      <c r="E3663" s="3">
        <v>104146</v>
      </c>
      <c r="F3663" s="3">
        <v>105618</v>
      </c>
      <c r="G3663" s="57">
        <v>1.4134004186430588E-2</v>
      </c>
      <c r="J3663" s="5" t="s">
        <v>3905</v>
      </c>
    </row>
    <row r="3664" spans="1:12" ht="38.25" x14ac:dyDescent="0.2">
      <c r="A3664" s="1" t="s">
        <v>4</v>
      </c>
      <c r="B3664" s="2" t="s">
        <v>145</v>
      </c>
      <c r="C3664" s="1"/>
      <c r="D3664" s="5" t="s">
        <v>455</v>
      </c>
      <c r="E3664" s="3">
        <v>49076</v>
      </c>
      <c r="F3664" s="3">
        <v>105583</v>
      </c>
      <c r="G3664" s="57">
        <v>1.1514182084929496</v>
      </c>
      <c r="J3664" s="5" t="s">
        <v>4314</v>
      </c>
    </row>
    <row r="3665" spans="1:12" x14ac:dyDescent="0.2">
      <c r="A3665" s="1" t="s">
        <v>25</v>
      </c>
      <c r="B3665" s="2" t="s">
        <v>197</v>
      </c>
      <c r="D3665" s="5" t="s">
        <v>1287</v>
      </c>
      <c r="E3665" s="9">
        <v>102087</v>
      </c>
      <c r="F3665" s="9">
        <v>105571</v>
      </c>
      <c r="G3665" s="57">
        <v>3.4127753778639788E-2</v>
      </c>
      <c r="J3665" s="5" t="s">
        <v>3439</v>
      </c>
    </row>
    <row r="3666" spans="1:12" ht="25.5" x14ac:dyDescent="0.2">
      <c r="A3666" s="1" t="s">
        <v>6</v>
      </c>
      <c r="B3666" s="2" t="s">
        <v>329</v>
      </c>
      <c r="D3666" s="5" t="s">
        <v>900</v>
      </c>
      <c r="E3666" s="3">
        <v>104341</v>
      </c>
      <c r="F3666" s="3">
        <v>105559</v>
      </c>
      <c r="G3666" s="57">
        <v>1.1673263625995535E-2</v>
      </c>
      <c r="J3666" s="5" t="s">
        <v>2766</v>
      </c>
    </row>
    <row r="3667" spans="1:12" x14ac:dyDescent="0.2">
      <c r="A3667" s="1" t="s">
        <v>8</v>
      </c>
      <c r="B3667" s="2" t="s">
        <v>116</v>
      </c>
      <c r="C3667" s="1"/>
      <c r="D3667" s="5" t="s">
        <v>2156</v>
      </c>
      <c r="E3667" s="3">
        <v>103033</v>
      </c>
      <c r="F3667" s="3">
        <v>105557</v>
      </c>
      <c r="G3667" s="57">
        <v>2.4497005813671348E-2</v>
      </c>
      <c r="J3667" s="5" t="s">
        <v>3906</v>
      </c>
    </row>
    <row r="3668" spans="1:12" ht="25.5" x14ac:dyDescent="0.2">
      <c r="A3668" s="1" t="s">
        <v>1</v>
      </c>
      <c r="B3668" s="12" t="s">
        <v>420</v>
      </c>
      <c r="C3668" s="5" t="s">
        <v>3628</v>
      </c>
      <c r="D3668" s="5" t="s">
        <v>3629</v>
      </c>
      <c r="E3668" s="9">
        <v>96385</v>
      </c>
      <c r="F3668" s="9">
        <v>105542</v>
      </c>
      <c r="G3668" s="57">
        <v>9.5004409399802869E-2</v>
      </c>
      <c r="J3668" s="5" t="s">
        <v>3630</v>
      </c>
    </row>
    <row r="3669" spans="1:12" ht="38.25" x14ac:dyDescent="0.2">
      <c r="A3669" s="1" t="s">
        <v>4</v>
      </c>
      <c r="B3669" s="2" t="s">
        <v>421</v>
      </c>
      <c r="D3669" s="5" t="s">
        <v>574</v>
      </c>
      <c r="E3669" s="3">
        <v>105040</v>
      </c>
      <c r="F3669" s="3">
        <v>105496</v>
      </c>
      <c r="G3669" s="57">
        <v>4.341203351104341E-3</v>
      </c>
      <c r="J3669" s="5" t="s">
        <v>2352</v>
      </c>
    </row>
    <row r="3670" spans="1:12" ht="25.5" x14ac:dyDescent="0.2">
      <c r="A3670" s="1" t="s">
        <v>20</v>
      </c>
      <c r="B3670" s="12" t="s">
        <v>95</v>
      </c>
      <c r="C3670" s="13"/>
      <c r="D3670" s="7" t="s">
        <v>529</v>
      </c>
      <c r="E3670" s="6">
        <v>104220</v>
      </c>
      <c r="F3670" s="6">
        <v>105426</v>
      </c>
      <c r="G3670" s="57">
        <v>1.157167530224525E-2</v>
      </c>
      <c r="H3670" s="21"/>
      <c r="I3670" s="21"/>
      <c r="J3670" s="7" t="s">
        <v>3845</v>
      </c>
      <c r="K3670" s="13"/>
      <c r="L3670" s="13"/>
    </row>
    <row r="3671" spans="1:12" ht="25.5" x14ac:dyDescent="0.2">
      <c r="A3671" s="1" t="s">
        <v>20</v>
      </c>
      <c r="B3671" s="2" t="s">
        <v>95</v>
      </c>
      <c r="C3671" s="1"/>
      <c r="D3671" s="5" t="s">
        <v>529</v>
      </c>
      <c r="E3671" s="3">
        <v>104351</v>
      </c>
      <c r="F3671" s="3">
        <v>105394</v>
      </c>
      <c r="G3671" s="57">
        <v>9.9951126486569359E-3</v>
      </c>
      <c r="J3671" s="5" t="s">
        <v>3844</v>
      </c>
    </row>
    <row r="3672" spans="1:12" ht="25.5" x14ac:dyDescent="0.2">
      <c r="A3672" s="1" t="s">
        <v>20</v>
      </c>
      <c r="B3672" s="2" t="s">
        <v>95</v>
      </c>
      <c r="C3672" s="1"/>
      <c r="D3672" s="5" t="s">
        <v>529</v>
      </c>
      <c r="E3672" s="3">
        <v>104252</v>
      </c>
      <c r="F3672" s="3">
        <v>105394</v>
      </c>
      <c r="G3672" s="57">
        <v>1.0954226297816828E-2</v>
      </c>
      <c r="J3672" s="5" t="s">
        <v>3844</v>
      </c>
    </row>
    <row r="3673" spans="1:12" x14ac:dyDescent="0.2">
      <c r="A3673" s="1" t="s">
        <v>8</v>
      </c>
      <c r="B3673" s="2" t="s">
        <v>285</v>
      </c>
      <c r="D3673" s="5" t="s">
        <v>451</v>
      </c>
      <c r="E3673" s="3">
        <v>95470</v>
      </c>
      <c r="F3673" s="3">
        <v>105362</v>
      </c>
      <c r="G3673" s="57">
        <v>0.10361370063894416</v>
      </c>
      <c r="J3673" s="5" t="s">
        <v>2962</v>
      </c>
    </row>
    <row r="3674" spans="1:12" ht="25.5" x14ac:dyDescent="0.2">
      <c r="A3674" s="1" t="s">
        <v>28</v>
      </c>
      <c r="B3674" s="2" t="s">
        <v>120</v>
      </c>
      <c r="C3674" s="1"/>
      <c r="D3674" s="5" t="s">
        <v>658</v>
      </c>
      <c r="E3674" s="3">
        <v>139315</v>
      </c>
      <c r="F3674" s="3">
        <v>105347</v>
      </c>
      <c r="G3674" s="57">
        <v>-0.24382155546782472</v>
      </c>
      <c r="J3674" s="5" t="s">
        <v>4282</v>
      </c>
    </row>
    <row r="3675" spans="1:12" ht="38.25" x14ac:dyDescent="0.2">
      <c r="A3675" s="1" t="s">
        <v>4</v>
      </c>
      <c r="B3675" s="2" t="s">
        <v>292</v>
      </c>
      <c r="D3675" s="5" t="s">
        <v>2928</v>
      </c>
      <c r="E3675" s="9">
        <v>102300</v>
      </c>
      <c r="F3675" s="3">
        <v>105283</v>
      </c>
      <c r="G3675" s="57">
        <v>2.9159335288367547E-2</v>
      </c>
      <c r="J3675" s="5" t="s">
        <v>4672</v>
      </c>
    </row>
    <row r="3676" spans="1:12" x14ac:dyDescent="0.2">
      <c r="A3676" s="1" t="s">
        <v>20</v>
      </c>
      <c r="B3676" s="2" t="s">
        <v>54</v>
      </c>
      <c r="C3676" s="1"/>
      <c r="D3676" s="5" t="s">
        <v>470</v>
      </c>
      <c r="E3676" s="3">
        <v>106561</v>
      </c>
      <c r="F3676" s="3">
        <v>105249</v>
      </c>
      <c r="G3676" s="57">
        <v>-1.2312196769925208E-2</v>
      </c>
      <c r="J3676" s="5" t="s">
        <v>1837</v>
      </c>
    </row>
    <row r="3677" spans="1:12" ht="25.5" x14ac:dyDescent="0.2">
      <c r="A3677" s="1" t="s">
        <v>25</v>
      </c>
      <c r="B3677" s="2" t="s">
        <v>26</v>
      </c>
      <c r="C3677" s="1"/>
      <c r="D3677" s="5" t="s">
        <v>1722</v>
      </c>
      <c r="E3677" s="3" t="s">
        <v>465</v>
      </c>
      <c r="F3677" s="3">
        <v>105204</v>
      </c>
      <c r="G3677" s="57" t="s">
        <v>465</v>
      </c>
      <c r="J3677" s="5" t="s">
        <v>4105</v>
      </c>
    </row>
    <row r="3678" spans="1:12" ht="25.5" x14ac:dyDescent="0.2">
      <c r="A3678" s="1" t="s">
        <v>6</v>
      </c>
      <c r="B3678" s="2" t="s">
        <v>329</v>
      </c>
      <c r="D3678" s="5" t="s">
        <v>899</v>
      </c>
      <c r="E3678" s="3" t="s">
        <v>465</v>
      </c>
      <c r="F3678" s="3">
        <v>105204</v>
      </c>
      <c r="G3678" s="57" t="s">
        <v>465</v>
      </c>
      <c r="J3678" s="5" t="s">
        <v>2765</v>
      </c>
    </row>
    <row r="3679" spans="1:12" ht="38.25" x14ac:dyDescent="0.2">
      <c r="A3679" s="1" t="s">
        <v>6</v>
      </c>
      <c r="B3679" s="2" t="s">
        <v>407</v>
      </c>
      <c r="D3679" s="5" t="s">
        <v>615</v>
      </c>
      <c r="E3679" s="3">
        <v>102000</v>
      </c>
      <c r="F3679" s="3">
        <v>105187</v>
      </c>
      <c r="G3679" s="57">
        <v>3.1245098039215685E-2</v>
      </c>
      <c r="J3679" s="5" t="s">
        <v>4535</v>
      </c>
    </row>
    <row r="3680" spans="1:12" ht="25.5" x14ac:dyDescent="0.2">
      <c r="A3680" s="1" t="s">
        <v>20</v>
      </c>
      <c r="B3680" s="2" t="s">
        <v>68</v>
      </c>
      <c r="C3680" s="1" t="s">
        <v>1901</v>
      </c>
      <c r="D3680" s="5" t="s">
        <v>4208</v>
      </c>
      <c r="E3680" s="3">
        <v>100650</v>
      </c>
      <c r="F3680" s="3">
        <v>105134</v>
      </c>
      <c r="G3680" s="57">
        <v>4.455042225534029E-2</v>
      </c>
      <c r="J3680" s="5" t="s">
        <v>4209</v>
      </c>
    </row>
    <row r="3681" spans="1:12" ht="25.5" x14ac:dyDescent="0.2">
      <c r="A3681" s="1" t="s">
        <v>25</v>
      </c>
      <c r="B3681" s="2" t="s">
        <v>405</v>
      </c>
      <c r="D3681" s="5" t="s">
        <v>507</v>
      </c>
      <c r="E3681" s="6">
        <v>13693</v>
      </c>
      <c r="F3681" s="3">
        <v>105112</v>
      </c>
      <c r="G3681" s="57">
        <v>6.6763309720295041</v>
      </c>
      <c r="J3681" s="5" t="s">
        <v>4519</v>
      </c>
    </row>
    <row r="3682" spans="1:12" ht="25.5" x14ac:dyDescent="0.2">
      <c r="A3682" s="1" t="s">
        <v>20</v>
      </c>
      <c r="B3682" s="2" t="s">
        <v>393</v>
      </c>
      <c r="D3682" s="5" t="s">
        <v>686</v>
      </c>
      <c r="E3682" s="3">
        <v>105087</v>
      </c>
      <c r="F3682" s="3">
        <v>105105</v>
      </c>
      <c r="G3682" s="57">
        <v>1.7128664820577236E-4</v>
      </c>
      <c r="J3682" s="5" t="s">
        <v>2472</v>
      </c>
    </row>
    <row r="3683" spans="1:12" ht="25.5" x14ac:dyDescent="0.2">
      <c r="A3683" s="1" t="s">
        <v>39</v>
      </c>
      <c r="B3683" s="2" t="s">
        <v>337</v>
      </c>
      <c r="D3683" s="5" t="s">
        <v>4455</v>
      </c>
      <c r="E3683" s="3">
        <v>102965</v>
      </c>
      <c r="F3683" s="3">
        <v>105100</v>
      </c>
      <c r="G3683" s="57">
        <v>2.0735201281989024E-2</v>
      </c>
      <c r="J3683" s="5" t="s">
        <v>2729</v>
      </c>
    </row>
    <row r="3684" spans="1:12" x14ac:dyDescent="0.2">
      <c r="A3684" s="1" t="s">
        <v>6</v>
      </c>
      <c r="B3684" s="2" t="s">
        <v>86</v>
      </c>
      <c r="C3684" s="1"/>
      <c r="D3684" s="5" t="s">
        <v>4612</v>
      </c>
      <c r="E3684" s="3">
        <v>86022</v>
      </c>
      <c r="F3684" s="3">
        <v>105094</v>
      </c>
      <c r="G3684" s="57">
        <v>0.22171072516333032</v>
      </c>
      <c r="J3684" s="5" t="s">
        <v>2044</v>
      </c>
    </row>
    <row r="3685" spans="1:12" ht="25.5" x14ac:dyDescent="0.2">
      <c r="A3685" s="1" t="s">
        <v>20</v>
      </c>
      <c r="B3685" s="2" t="s">
        <v>212</v>
      </c>
      <c r="D3685" s="5" t="s">
        <v>1335</v>
      </c>
      <c r="E3685" s="9">
        <v>103285</v>
      </c>
      <c r="F3685" s="9">
        <v>105015</v>
      </c>
      <c r="G3685" s="57">
        <v>1.6749770053734812E-2</v>
      </c>
      <c r="J3685" s="5" t="s">
        <v>3346</v>
      </c>
    </row>
    <row r="3686" spans="1:12" x14ac:dyDescent="0.2">
      <c r="A3686" s="1" t="s">
        <v>28</v>
      </c>
      <c r="B3686" s="12" t="s">
        <v>27</v>
      </c>
      <c r="C3686" s="13"/>
      <c r="D3686" s="7" t="s">
        <v>1730</v>
      </c>
      <c r="E3686" s="6">
        <v>105000</v>
      </c>
      <c r="F3686" s="6">
        <v>105000</v>
      </c>
      <c r="G3686" s="57">
        <v>0</v>
      </c>
      <c r="H3686" s="21"/>
      <c r="I3686" s="21"/>
      <c r="J3686" s="7" t="s">
        <v>4115</v>
      </c>
      <c r="K3686" s="13"/>
      <c r="L3686" s="13"/>
    </row>
    <row r="3687" spans="1:12" x14ac:dyDescent="0.2">
      <c r="A3687" s="1" t="s">
        <v>6</v>
      </c>
      <c r="B3687" s="2" t="s">
        <v>41</v>
      </c>
      <c r="C3687" s="1"/>
      <c r="D3687" s="5" t="s">
        <v>1782</v>
      </c>
      <c r="E3687" s="3">
        <v>106000</v>
      </c>
      <c r="F3687" s="6">
        <v>105000</v>
      </c>
      <c r="G3687" s="57">
        <v>-9.433962264150943E-3</v>
      </c>
      <c r="J3687" s="5" t="s">
        <v>1783</v>
      </c>
    </row>
    <row r="3688" spans="1:12" x14ac:dyDescent="0.2">
      <c r="A3688" s="1" t="s">
        <v>6</v>
      </c>
      <c r="B3688" s="12" t="s">
        <v>41</v>
      </c>
      <c r="C3688" s="13"/>
      <c r="D3688" s="7" t="s">
        <v>507</v>
      </c>
      <c r="E3688" s="6">
        <v>83000</v>
      </c>
      <c r="F3688" s="6">
        <v>105000</v>
      </c>
      <c r="G3688" s="57">
        <v>0.26506024096385544</v>
      </c>
      <c r="H3688" s="21"/>
      <c r="I3688" s="21"/>
      <c r="J3688" s="7" t="s">
        <v>1783</v>
      </c>
      <c r="K3688" s="13"/>
      <c r="L3688" s="13"/>
    </row>
    <row r="3689" spans="1:12" ht="25.5" x14ac:dyDescent="0.2">
      <c r="A3689" s="1" t="s">
        <v>20</v>
      </c>
      <c r="B3689" s="2" t="s">
        <v>360</v>
      </c>
      <c r="D3689" s="5" t="s">
        <v>487</v>
      </c>
      <c r="E3689" s="3">
        <v>105000</v>
      </c>
      <c r="F3689" s="3">
        <v>105000</v>
      </c>
      <c r="G3689" s="57">
        <v>0</v>
      </c>
      <c r="J3689" s="5" t="s">
        <v>2622</v>
      </c>
    </row>
    <row r="3690" spans="1:12" ht="38.25" x14ac:dyDescent="0.2">
      <c r="A3690" s="1" t="s">
        <v>8</v>
      </c>
      <c r="B3690" s="2" t="s">
        <v>167</v>
      </c>
      <c r="D3690" s="5" t="s">
        <v>455</v>
      </c>
      <c r="E3690" s="3">
        <v>102471</v>
      </c>
      <c r="F3690" s="3">
        <v>104917</v>
      </c>
      <c r="G3690" s="57">
        <v>2.3870168145133746E-2</v>
      </c>
      <c r="J3690" s="5" t="s">
        <v>4640</v>
      </c>
    </row>
    <row r="3691" spans="1:12" ht="25.5" x14ac:dyDescent="0.2">
      <c r="A3691" s="1" t="s">
        <v>6</v>
      </c>
      <c r="B3691" s="2" t="s">
        <v>329</v>
      </c>
      <c r="D3691" s="7" t="s">
        <v>452</v>
      </c>
      <c r="E3691" s="3">
        <v>30481</v>
      </c>
      <c r="F3691" s="3">
        <v>104912</v>
      </c>
      <c r="G3691" s="57">
        <v>2.4418818280240151</v>
      </c>
      <c r="J3691" s="5" t="s">
        <v>2762</v>
      </c>
    </row>
    <row r="3692" spans="1:12" ht="25.5" x14ac:dyDescent="0.2">
      <c r="A3692" s="1" t="s">
        <v>39</v>
      </c>
      <c r="B3692" s="2" t="s">
        <v>258</v>
      </c>
      <c r="D3692" s="5" t="s">
        <v>450</v>
      </c>
      <c r="E3692" s="3">
        <v>138718</v>
      </c>
      <c r="F3692" s="3">
        <v>104911</v>
      </c>
      <c r="G3692" s="57">
        <v>-0.24371026110526392</v>
      </c>
      <c r="J3692" s="5" t="s">
        <v>3090</v>
      </c>
    </row>
    <row r="3693" spans="1:12" ht="25.5" x14ac:dyDescent="0.2">
      <c r="A3693" s="1" t="s">
        <v>4</v>
      </c>
      <c r="B3693" s="2" t="s">
        <v>319</v>
      </c>
      <c r="D3693" s="5" t="s">
        <v>506</v>
      </c>
      <c r="E3693" s="3">
        <v>118752</v>
      </c>
      <c r="F3693" s="3">
        <v>104878</v>
      </c>
      <c r="G3693" s="57">
        <v>-0.11683171651845864</v>
      </c>
      <c r="J3693" s="5" t="s">
        <v>2791</v>
      </c>
    </row>
    <row r="3694" spans="1:12" ht="25.5" x14ac:dyDescent="0.2">
      <c r="A3694" s="1" t="s">
        <v>4</v>
      </c>
      <c r="B3694" s="2" t="s">
        <v>319</v>
      </c>
      <c r="D3694" s="5" t="s">
        <v>921</v>
      </c>
      <c r="E3694" s="3">
        <v>109029</v>
      </c>
      <c r="F3694" s="3">
        <v>104878</v>
      </c>
      <c r="G3694" s="57">
        <v>-3.8072439442717078E-2</v>
      </c>
      <c r="J3694" s="5" t="s">
        <v>2791</v>
      </c>
    </row>
    <row r="3695" spans="1:12" ht="25.5" x14ac:dyDescent="0.2">
      <c r="A3695" s="1" t="s">
        <v>34</v>
      </c>
      <c r="B3695" s="2" t="s">
        <v>207</v>
      </c>
      <c r="D3695" s="5" t="s">
        <v>450</v>
      </c>
      <c r="E3695" s="3">
        <v>90852</v>
      </c>
      <c r="F3695" s="3">
        <v>104854</v>
      </c>
      <c r="G3695" s="57">
        <v>0.15411878659798353</v>
      </c>
      <c r="J3695" s="5" t="s">
        <v>3384</v>
      </c>
    </row>
    <row r="3696" spans="1:12" ht="38.25" x14ac:dyDescent="0.2">
      <c r="A3696" s="1" t="s">
        <v>8</v>
      </c>
      <c r="B3696" s="2" t="s">
        <v>350</v>
      </c>
      <c r="D3696" s="5" t="s">
        <v>841</v>
      </c>
      <c r="E3696" s="3">
        <v>105726</v>
      </c>
      <c r="F3696" s="3">
        <v>104724</v>
      </c>
      <c r="G3696" s="57">
        <v>-9.4773281879575507E-3</v>
      </c>
      <c r="J3696" s="5" t="s">
        <v>2679</v>
      </c>
    </row>
    <row r="3697" spans="1:12" s="13" customFormat="1" ht="25.5" x14ac:dyDescent="0.2">
      <c r="A3697" s="1" t="s">
        <v>25</v>
      </c>
      <c r="B3697" s="2" t="s">
        <v>311</v>
      </c>
      <c r="C3697" s="5"/>
      <c r="D3697" s="5" t="s">
        <v>569</v>
      </c>
      <c r="E3697" s="3">
        <v>101950</v>
      </c>
      <c r="F3697" s="3">
        <v>104479</v>
      </c>
      <c r="G3697" s="57">
        <v>2.4806277587052478E-2</v>
      </c>
      <c r="H3697" s="19"/>
      <c r="I3697" s="19"/>
      <c r="J3697" s="5" t="s">
        <v>2814</v>
      </c>
      <c r="K3697" s="1"/>
      <c r="L3697" s="1"/>
    </row>
    <row r="3698" spans="1:12" s="13" customFormat="1" ht="25.5" x14ac:dyDescent="0.2">
      <c r="A3698" s="1" t="s">
        <v>20</v>
      </c>
      <c r="B3698" s="2" t="s">
        <v>394</v>
      </c>
      <c r="C3698" s="5"/>
      <c r="D3698" s="5" t="s">
        <v>684</v>
      </c>
      <c r="E3698" s="3" t="s">
        <v>465</v>
      </c>
      <c r="F3698" s="3">
        <v>104466</v>
      </c>
      <c r="G3698" s="57" t="s">
        <v>465</v>
      </c>
      <c r="H3698" s="19"/>
      <c r="I3698" s="19"/>
      <c r="J3698" s="5" t="s">
        <v>2469</v>
      </c>
      <c r="K3698" s="1"/>
      <c r="L3698" s="1"/>
    </row>
    <row r="3699" spans="1:12" s="13" customFormat="1" x14ac:dyDescent="0.2">
      <c r="A3699" s="1" t="s">
        <v>6</v>
      </c>
      <c r="B3699" s="2" t="s">
        <v>86</v>
      </c>
      <c r="C3699" s="1"/>
      <c r="D3699" s="5" t="s">
        <v>2036</v>
      </c>
      <c r="E3699" s="6">
        <v>104451</v>
      </c>
      <c r="F3699" s="3">
        <v>104451</v>
      </c>
      <c r="G3699" s="57">
        <v>0</v>
      </c>
      <c r="H3699" s="19"/>
      <c r="I3699" s="19"/>
      <c r="J3699" s="5" t="s">
        <v>2037</v>
      </c>
      <c r="K3699" s="1"/>
      <c r="L3699" s="1"/>
    </row>
    <row r="3700" spans="1:12" s="13" customFormat="1" ht="25.5" x14ac:dyDescent="0.2">
      <c r="A3700" s="1" t="s">
        <v>28</v>
      </c>
      <c r="B3700" s="2" t="s">
        <v>180</v>
      </c>
      <c r="C3700" s="5"/>
      <c r="D3700" s="5" t="s">
        <v>455</v>
      </c>
      <c r="E3700" s="3">
        <v>106293</v>
      </c>
      <c r="F3700" s="3">
        <v>104436</v>
      </c>
      <c r="G3700" s="57">
        <v>-1.7470576613699867E-2</v>
      </c>
      <c r="H3700" s="19"/>
      <c r="I3700" s="19"/>
      <c r="J3700" s="5" t="s">
        <v>4650</v>
      </c>
      <c r="K3700" s="1"/>
      <c r="L3700" s="1"/>
    </row>
    <row r="3701" spans="1:12" ht="25.5" x14ac:dyDescent="0.2">
      <c r="A3701" s="1" t="s">
        <v>28</v>
      </c>
      <c r="B3701" s="2" t="s">
        <v>273</v>
      </c>
      <c r="D3701" s="5" t="s">
        <v>3044</v>
      </c>
      <c r="E3701" s="3">
        <v>102269</v>
      </c>
      <c r="F3701" s="3">
        <v>104432</v>
      </c>
      <c r="G3701" s="57">
        <v>2.1150104137128554E-2</v>
      </c>
      <c r="J3701" s="5" t="s">
        <v>3042</v>
      </c>
    </row>
    <row r="3702" spans="1:12" ht="25.5" x14ac:dyDescent="0.2">
      <c r="A3702" s="13" t="s">
        <v>4</v>
      </c>
      <c r="B3702" s="12" t="s">
        <v>63</v>
      </c>
      <c r="C3702" s="13"/>
      <c r="D3702" s="7" t="s">
        <v>3774</v>
      </c>
      <c r="E3702" s="6">
        <v>103961</v>
      </c>
      <c r="F3702" s="6">
        <v>104285</v>
      </c>
      <c r="G3702" s="57">
        <v>3.1165533228806955E-3</v>
      </c>
      <c r="H3702" s="21"/>
      <c r="I3702" s="21"/>
      <c r="J3702" s="7" t="s">
        <v>3775</v>
      </c>
      <c r="K3702" s="13"/>
      <c r="L3702" s="13"/>
    </row>
    <row r="3703" spans="1:12" ht="25.5" x14ac:dyDescent="0.2">
      <c r="A3703" s="1" t="s">
        <v>25</v>
      </c>
      <c r="B3703" s="2" t="s">
        <v>53</v>
      </c>
      <c r="C3703" s="1"/>
      <c r="D3703" s="5" t="s">
        <v>4177</v>
      </c>
      <c r="E3703" s="3" t="s">
        <v>465</v>
      </c>
      <c r="F3703" s="3">
        <v>104284</v>
      </c>
      <c r="G3703" s="57" t="s">
        <v>465</v>
      </c>
      <c r="J3703" s="5" t="s">
        <v>4178</v>
      </c>
    </row>
    <row r="3704" spans="1:12" ht="38.25" x14ac:dyDescent="0.2">
      <c r="A3704" s="1" t="s">
        <v>20</v>
      </c>
      <c r="B3704" s="2" t="s">
        <v>389</v>
      </c>
      <c r="D3704" s="5" t="s">
        <v>455</v>
      </c>
      <c r="E3704" s="3">
        <v>124200</v>
      </c>
      <c r="F3704" s="3">
        <v>104255</v>
      </c>
      <c r="G3704" s="57">
        <v>-0.16058776167471819</v>
      </c>
      <c r="J3704" s="5" t="s">
        <v>4488</v>
      </c>
    </row>
    <row r="3705" spans="1:12" ht="25.5" x14ac:dyDescent="0.2">
      <c r="A3705" s="1" t="s">
        <v>28</v>
      </c>
      <c r="B3705" s="2" t="s">
        <v>269</v>
      </c>
      <c r="D3705" s="5" t="s">
        <v>487</v>
      </c>
      <c r="E3705" s="3" t="s">
        <v>465</v>
      </c>
      <c r="F3705" s="3">
        <v>104199</v>
      </c>
      <c r="G3705" s="57" t="s">
        <v>465</v>
      </c>
      <c r="J3705" s="5" t="s">
        <v>3063</v>
      </c>
    </row>
    <row r="3706" spans="1:12" ht="38.25" x14ac:dyDescent="0.2">
      <c r="A3706" s="1" t="s">
        <v>20</v>
      </c>
      <c r="B3706" s="12" t="s">
        <v>30</v>
      </c>
      <c r="C3706" s="13"/>
      <c r="D3706" s="7" t="s">
        <v>1449</v>
      </c>
      <c r="E3706" s="6">
        <v>100302</v>
      </c>
      <c r="F3706" s="6">
        <v>104170</v>
      </c>
      <c r="G3706" s="57">
        <v>3.856353811489302E-2</v>
      </c>
      <c r="H3706" s="21"/>
      <c r="I3706" s="21"/>
      <c r="J3706" s="7" t="s">
        <v>4122</v>
      </c>
      <c r="K3706" s="13"/>
      <c r="L3706" s="13"/>
    </row>
    <row r="3707" spans="1:12" s="13" customFormat="1" ht="25.5" x14ac:dyDescent="0.2">
      <c r="A3707" s="13" t="s">
        <v>4</v>
      </c>
      <c r="B3707" s="2" t="s">
        <v>250</v>
      </c>
      <c r="C3707" s="5"/>
      <c r="D3707" s="5" t="s">
        <v>504</v>
      </c>
      <c r="E3707" s="3">
        <v>101078</v>
      </c>
      <c r="F3707" s="3">
        <v>104164</v>
      </c>
      <c r="G3707" s="57">
        <v>3.0530877144383545E-2</v>
      </c>
      <c r="H3707" s="19"/>
      <c r="I3707" s="19"/>
      <c r="J3707" s="5" t="s">
        <v>3119</v>
      </c>
      <c r="K3707" s="1"/>
      <c r="L3707" s="1"/>
    </row>
    <row r="3708" spans="1:12" s="13" customFormat="1" ht="25.5" x14ac:dyDescent="0.2">
      <c r="A3708" s="1" t="s">
        <v>34</v>
      </c>
      <c r="B3708" s="2" t="s">
        <v>83</v>
      </c>
      <c r="C3708" s="1"/>
      <c r="D3708" s="5" t="s">
        <v>529</v>
      </c>
      <c r="E3708" s="3" t="s">
        <v>465</v>
      </c>
      <c r="F3708" s="3">
        <v>104129</v>
      </c>
      <c r="G3708" s="57" t="s">
        <v>465</v>
      </c>
      <c r="H3708" s="19"/>
      <c r="I3708" s="19"/>
      <c r="J3708" s="5" t="s">
        <v>2010</v>
      </c>
      <c r="K3708" s="1"/>
      <c r="L3708" s="1"/>
    </row>
    <row r="3709" spans="1:12" s="13" customFormat="1" ht="25.5" x14ac:dyDescent="0.2">
      <c r="A3709" s="1" t="s">
        <v>6</v>
      </c>
      <c r="B3709" s="2" t="s">
        <v>324</v>
      </c>
      <c r="C3709" s="5"/>
      <c r="D3709" s="5" t="s">
        <v>914</v>
      </c>
      <c r="E3709" s="3" t="s">
        <v>465</v>
      </c>
      <c r="F3709" s="3">
        <v>104124</v>
      </c>
      <c r="G3709" s="57" t="s">
        <v>465</v>
      </c>
      <c r="H3709" s="19"/>
      <c r="I3709" s="19"/>
      <c r="J3709" s="5" t="s">
        <v>2780</v>
      </c>
      <c r="K3709" s="1"/>
      <c r="L3709" s="1"/>
    </row>
    <row r="3710" spans="1:12" s="13" customFormat="1" ht="25.5" x14ac:dyDescent="0.2">
      <c r="A3710" s="13" t="s">
        <v>34</v>
      </c>
      <c r="B3710" s="12" t="s">
        <v>48</v>
      </c>
      <c r="D3710" s="7" t="s">
        <v>3732</v>
      </c>
      <c r="E3710" s="6">
        <v>87903</v>
      </c>
      <c r="F3710" s="6">
        <v>104106</v>
      </c>
      <c r="G3710" s="57">
        <v>0.1843281799255998</v>
      </c>
      <c r="H3710" s="21"/>
      <c r="I3710" s="21"/>
      <c r="J3710" s="7" t="s">
        <v>1808</v>
      </c>
    </row>
    <row r="3711" spans="1:12" s="13" customFormat="1" ht="25.5" x14ac:dyDescent="0.2">
      <c r="A3711" s="1" t="s">
        <v>34</v>
      </c>
      <c r="B3711" s="2" t="s">
        <v>83</v>
      </c>
      <c r="C3711" s="1"/>
      <c r="D3711" s="5" t="s">
        <v>529</v>
      </c>
      <c r="E3711" s="3" t="s">
        <v>465</v>
      </c>
      <c r="F3711" s="3">
        <v>104096</v>
      </c>
      <c r="G3711" s="57" t="s">
        <v>465</v>
      </c>
      <c r="H3711" s="19"/>
      <c r="I3711" s="19"/>
      <c r="J3711" s="5" t="s">
        <v>2011</v>
      </c>
      <c r="K3711" s="1"/>
      <c r="L3711" s="1"/>
    </row>
    <row r="3712" spans="1:12" s="13" customFormat="1" ht="25.5" x14ac:dyDescent="0.2">
      <c r="A3712" s="13" t="s">
        <v>1</v>
      </c>
      <c r="B3712" s="2" t="s">
        <v>156</v>
      </c>
      <c r="C3712" s="1" t="s">
        <v>1605</v>
      </c>
      <c r="D3712" s="5" t="s">
        <v>1606</v>
      </c>
      <c r="E3712" s="3">
        <v>101171</v>
      </c>
      <c r="F3712" s="3">
        <v>104094</v>
      </c>
      <c r="G3712" s="57">
        <v>2.8891678445404315E-2</v>
      </c>
      <c r="H3712" s="19"/>
      <c r="I3712" s="19"/>
      <c r="J3712" s="5" t="s">
        <v>4027</v>
      </c>
      <c r="K3712" s="1"/>
      <c r="L3712" s="1"/>
    </row>
    <row r="3713" spans="1:12" s="13" customFormat="1" ht="25.5" x14ac:dyDescent="0.2">
      <c r="A3713" s="1" t="s">
        <v>20</v>
      </c>
      <c r="B3713" s="2" t="s">
        <v>35</v>
      </c>
      <c r="C3713" s="1"/>
      <c r="D3713" s="5" t="s">
        <v>1752</v>
      </c>
      <c r="E3713" s="3">
        <v>93301</v>
      </c>
      <c r="F3713" s="3">
        <v>104083</v>
      </c>
      <c r="G3713" s="57">
        <v>0.11556146236374744</v>
      </c>
      <c r="H3713" s="19"/>
      <c r="I3713" s="19"/>
      <c r="J3713" s="5" t="s">
        <v>1753</v>
      </c>
      <c r="K3713" s="1"/>
      <c r="L3713" s="1"/>
    </row>
    <row r="3714" spans="1:12" s="13" customFormat="1" ht="25.5" x14ac:dyDescent="0.2">
      <c r="A3714" s="13" t="s">
        <v>4</v>
      </c>
      <c r="B3714" s="2" t="s">
        <v>250</v>
      </c>
      <c r="C3714" s="5"/>
      <c r="D3714" s="5" t="s">
        <v>504</v>
      </c>
      <c r="E3714" s="3">
        <v>98741</v>
      </c>
      <c r="F3714" s="3">
        <v>104069</v>
      </c>
      <c r="G3714" s="57">
        <v>5.3959348193759429E-2</v>
      </c>
      <c r="H3714" s="19"/>
      <c r="I3714" s="19"/>
      <c r="J3714" s="5" t="s">
        <v>3126</v>
      </c>
      <c r="K3714" s="1"/>
      <c r="L3714" s="1"/>
    </row>
    <row r="3715" spans="1:12" s="13" customFormat="1" ht="76.5" x14ac:dyDescent="0.2">
      <c r="A3715" s="1" t="s">
        <v>25</v>
      </c>
      <c r="B3715" s="2" t="s">
        <v>93</v>
      </c>
      <c r="C3715" s="1"/>
      <c r="D3715" s="5" t="s">
        <v>2231</v>
      </c>
      <c r="E3715" s="3">
        <v>102000</v>
      </c>
      <c r="F3715" s="3">
        <v>104000</v>
      </c>
      <c r="G3715" s="57">
        <v>1.9607843137254902E-2</v>
      </c>
      <c r="H3715" s="19"/>
      <c r="I3715" s="19"/>
      <c r="J3715" s="5" t="s">
        <v>4237</v>
      </c>
      <c r="K3715" s="1"/>
      <c r="L3715" s="1"/>
    </row>
    <row r="3716" spans="1:12" s="13" customFormat="1" ht="25.5" x14ac:dyDescent="0.2">
      <c r="A3716" s="1" t="s">
        <v>20</v>
      </c>
      <c r="B3716" s="2" t="s">
        <v>235</v>
      </c>
      <c r="C3716" s="5"/>
      <c r="D3716" s="5" t="s">
        <v>450</v>
      </c>
      <c r="E3716" s="6">
        <v>47000</v>
      </c>
      <c r="F3716" s="3">
        <v>104000</v>
      </c>
      <c r="G3716" s="57">
        <v>1.2127659574468086</v>
      </c>
      <c r="H3716" s="19"/>
      <c r="I3716" s="19"/>
      <c r="J3716" s="5" t="s">
        <v>3199</v>
      </c>
      <c r="K3716" s="1"/>
      <c r="L3716" s="1"/>
    </row>
    <row r="3717" spans="1:12" s="13" customFormat="1" ht="25.5" x14ac:dyDescent="0.2">
      <c r="A3717" s="1" t="s">
        <v>20</v>
      </c>
      <c r="B3717" s="2" t="s">
        <v>360</v>
      </c>
      <c r="C3717" s="5"/>
      <c r="D3717" s="5" t="s">
        <v>795</v>
      </c>
      <c r="E3717" s="3">
        <v>102000</v>
      </c>
      <c r="F3717" s="3">
        <v>104000</v>
      </c>
      <c r="G3717" s="57">
        <v>1.9607843137254902E-2</v>
      </c>
      <c r="H3717" s="19"/>
      <c r="I3717" s="19"/>
      <c r="J3717" s="5" t="s">
        <v>2623</v>
      </c>
      <c r="K3717" s="1"/>
      <c r="L3717" s="1"/>
    </row>
    <row r="3718" spans="1:12" ht="38.25" x14ac:dyDescent="0.2">
      <c r="A3718" s="1" t="s">
        <v>6</v>
      </c>
      <c r="B3718" s="2" t="s">
        <v>368</v>
      </c>
      <c r="D3718" s="5" t="s">
        <v>451</v>
      </c>
      <c r="E3718" s="3">
        <v>60000</v>
      </c>
      <c r="F3718" s="3">
        <v>104000</v>
      </c>
      <c r="G3718" s="57">
        <v>0.73333333333333328</v>
      </c>
      <c r="J3718" s="5" t="s">
        <v>4467</v>
      </c>
    </row>
    <row r="3719" spans="1:12" ht="38.25" x14ac:dyDescent="0.2">
      <c r="A3719" s="1" t="s">
        <v>4</v>
      </c>
      <c r="B3719" s="2" t="s">
        <v>428</v>
      </c>
      <c r="D3719" s="5" t="s">
        <v>522</v>
      </c>
      <c r="E3719" s="3">
        <v>96000</v>
      </c>
      <c r="F3719" s="3">
        <v>104000</v>
      </c>
      <c r="G3719" s="57">
        <v>8.3333333333333329E-2</v>
      </c>
      <c r="J3719" s="5" t="s">
        <v>2314</v>
      </c>
    </row>
    <row r="3720" spans="1:12" s="13" customFormat="1" ht="38.25" x14ac:dyDescent="0.2">
      <c r="A3720" s="1" t="s">
        <v>39</v>
      </c>
      <c r="B3720" s="17" t="s">
        <v>4193</v>
      </c>
      <c r="C3720" s="5"/>
      <c r="D3720" s="5" t="s">
        <v>963</v>
      </c>
      <c r="E3720" s="3">
        <v>87857</v>
      </c>
      <c r="F3720" s="3">
        <v>103912</v>
      </c>
      <c r="G3720" s="57">
        <v>0.18274013453680413</v>
      </c>
      <c r="H3720" s="19"/>
      <c r="I3720" s="19"/>
      <c r="J3720" s="5" t="s">
        <v>4194</v>
      </c>
      <c r="K3720" s="1"/>
      <c r="L3720" s="1"/>
    </row>
    <row r="3721" spans="1:12" s="13" customFormat="1" ht="25.5" x14ac:dyDescent="0.2">
      <c r="A3721" s="1" t="s">
        <v>6</v>
      </c>
      <c r="B3721" s="2" t="s">
        <v>407</v>
      </c>
      <c r="C3721" s="5"/>
      <c r="D3721" s="5" t="s">
        <v>611</v>
      </c>
      <c r="E3721" s="3">
        <v>2000</v>
      </c>
      <c r="F3721" s="3">
        <v>103859</v>
      </c>
      <c r="G3721" s="57">
        <v>50.929499999999997</v>
      </c>
      <c r="H3721" s="19"/>
      <c r="I3721" s="19"/>
      <c r="J3721" s="5" t="s">
        <v>4528</v>
      </c>
      <c r="K3721" s="1"/>
      <c r="L3721" s="1"/>
    </row>
    <row r="3722" spans="1:12" s="13" customFormat="1" ht="38.25" x14ac:dyDescent="0.2">
      <c r="A3722" s="1" t="s">
        <v>8</v>
      </c>
      <c r="B3722" s="2" t="s">
        <v>350</v>
      </c>
      <c r="C3722" s="5"/>
      <c r="D3722" s="5" t="s">
        <v>522</v>
      </c>
      <c r="E3722" s="3">
        <v>100619</v>
      </c>
      <c r="F3722" s="3">
        <v>103851</v>
      </c>
      <c r="G3722" s="57">
        <v>3.2121169957960223E-2</v>
      </c>
      <c r="H3722" s="19"/>
      <c r="I3722" s="19"/>
      <c r="J3722" s="5" t="s">
        <v>2677</v>
      </c>
      <c r="K3722" s="1"/>
      <c r="L3722" s="1"/>
    </row>
    <row r="3723" spans="1:12" s="13" customFormat="1" x14ac:dyDescent="0.2">
      <c r="A3723" s="1" t="s">
        <v>6</v>
      </c>
      <c r="B3723" s="2" t="s">
        <v>86</v>
      </c>
      <c r="C3723" s="1"/>
      <c r="D3723" s="5" t="s">
        <v>2048</v>
      </c>
      <c r="E3723" s="6">
        <v>101979</v>
      </c>
      <c r="F3723" s="3">
        <v>103841</v>
      </c>
      <c r="G3723" s="57">
        <v>1.8258661096892496E-2</v>
      </c>
      <c r="H3723" s="19"/>
      <c r="I3723" s="19"/>
      <c r="J3723" s="5" t="s">
        <v>2049</v>
      </c>
      <c r="K3723" s="1"/>
      <c r="L3723" s="1"/>
    </row>
    <row r="3724" spans="1:12" s="13" customFormat="1" ht="25.5" x14ac:dyDescent="0.2">
      <c r="A3724" s="1" t="s">
        <v>8</v>
      </c>
      <c r="B3724" s="2" t="s">
        <v>138</v>
      </c>
      <c r="C3724" s="1"/>
      <c r="D3724" s="5" t="s">
        <v>758</v>
      </c>
      <c r="E3724" s="3">
        <v>104960</v>
      </c>
      <c r="F3724" s="3">
        <v>103779</v>
      </c>
      <c r="G3724" s="57">
        <v>-1.1251905487804878E-2</v>
      </c>
      <c r="H3724" s="19"/>
      <c r="I3724" s="19"/>
      <c r="J3724" s="5" t="s">
        <v>4629</v>
      </c>
      <c r="K3724" s="1"/>
      <c r="L3724" s="1"/>
    </row>
    <row r="3725" spans="1:12" ht="25.5" x14ac:dyDescent="0.2">
      <c r="A3725" s="1" t="s">
        <v>8</v>
      </c>
      <c r="B3725" s="2" t="s">
        <v>284</v>
      </c>
      <c r="D3725" s="5" t="s">
        <v>1055</v>
      </c>
      <c r="E3725" s="3">
        <v>101457</v>
      </c>
      <c r="F3725" s="3">
        <v>103725</v>
      </c>
      <c r="G3725" s="57">
        <v>2.2354297879890003E-2</v>
      </c>
      <c r="J3725" s="5" t="s">
        <v>2966</v>
      </c>
    </row>
    <row r="3726" spans="1:12" ht="25.5" x14ac:dyDescent="0.2">
      <c r="A3726" s="1" t="s">
        <v>44</v>
      </c>
      <c r="B3726" s="2" t="s">
        <v>397</v>
      </c>
      <c r="D3726" s="7" t="s">
        <v>670</v>
      </c>
      <c r="E3726" s="6">
        <v>98740</v>
      </c>
      <c r="F3726" s="3">
        <v>103718</v>
      </c>
      <c r="G3726" s="57">
        <v>5.0415231922219972E-2</v>
      </c>
      <c r="J3726" s="5" t="s">
        <v>1628</v>
      </c>
    </row>
    <row r="3727" spans="1:12" x14ac:dyDescent="0.2">
      <c r="A3727" s="1" t="s">
        <v>111</v>
      </c>
      <c r="B3727" s="2" t="s">
        <v>276</v>
      </c>
      <c r="D3727" s="5" t="s">
        <v>1097</v>
      </c>
      <c r="E3727" s="9">
        <v>99890</v>
      </c>
      <c r="F3727" s="3">
        <v>103705</v>
      </c>
      <c r="G3727" s="57">
        <v>3.8192011212333565E-2</v>
      </c>
      <c r="J3727" s="5" t="s">
        <v>3019</v>
      </c>
    </row>
    <row r="3728" spans="1:12" x14ac:dyDescent="0.2">
      <c r="A3728" s="1" t="s">
        <v>111</v>
      </c>
      <c r="B3728" s="2" t="s">
        <v>276</v>
      </c>
      <c r="D3728" s="5" t="s">
        <v>1098</v>
      </c>
      <c r="E3728" s="9">
        <v>77779</v>
      </c>
      <c r="F3728" s="3">
        <v>103705</v>
      </c>
      <c r="G3728" s="57">
        <v>0.33332904768639349</v>
      </c>
      <c r="J3728" s="5" t="s">
        <v>3019</v>
      </c>
    </row>
    <row r="3729" spans="1:12" ht="38.25" x14ac:dyDescent="0.2">
      <c r="A3729" s="1" t="s">
        <v>39</v>
      </c>
      <c r="B3729" s="2" t="s">
        <v>318</v>
      </c>
      <c r="D3729" s="5" t="s">
        <v>529</v>
      </c>
      <c r="E3729" s="3">
        <v>94370</v>
      </c>
      <c r="F3729" s="3">
        <v>103700</v>
      </c>
      <c r="G3729" s="57">
        <v>9.8866165094839462E-2</v>
      </c>
      <c r="J3729" s="5" t="s">
        <v>2793</v>
      </c>
    </row>
    <row r="3730" spans="1:12" ht="25.5" x14ac:dyDescent="0.2">
      <c r="A3730" s="13" t="s">
        <v>1</v>
      </c>
      <c r="B3730" s="12" t="s">
        <v>9</v>
      </c>
      <c r="C3730" s="13" t="s">
        <v>2238</v>
      </c>
      <c r="D3730" s="7" t="s">
        <v>740</v>
      </c>
      <c r="E3730" s="6">
        <v>101129</v>
      </c>
      <c r="F3730" s="6">
        <v>103657</v>
      </c>
      <c r="G3730" s="57">
        <v>2.4997775118907533E-2</v>
      </c>
      <c r="H3730" s="21"/>
      <c r="I3730" s="21"/>
      <c r="J3730" s="7" t="s">
        <v>4084</v>
      </c>
      <c r="K3730" s="13"/>
      <c r="L3730" s="13"/>
    </row>
    <row r="3731" spans="1:12" ht="25.5" x14ac:dyDescent="0.2">
      <c r="A3731" s="1" t="s">
        <v>20</v>
      </c>
      <c r="B3731" s="2" t="s">
        <v>204</v>
      </c>
      <c r="D3731" s="5" t="s">
        <v>450</v>
      </c>
      <c r="E3731" s="3" t="s">
        <v>465</v>
      </c>
      <c r="F3731" s="3">
        <v>103614</v>
      </c>
      <c r="G3731" s="57" t="s">
        <v>465</v>
      </c>
      <c r="J3731" s="5" t="s">
        <v>3400</v>
      </c>
    </row>
    <row r="3732" spans="1:12" ht="38.25" x14ac:dyDescent="0.2">
      <c r="A3732" s="1" t="s">
        <v>4</v>
      </c>
      <c r="B3732" s="2" t="s">
        <v>206</v>
      </c>
      <c r="D3732" s="5" t="s">
        <v>1094</v>
      </c>
      <c r="E3732" s="9" t="s">
        <v>465</v>
      </c>
      <c r="F3732" s="9">
        <v>103581</v>
      </c>
      <c r="G3732" s="57" t="s">
        <v>465</v>
      </c>
      <c r="J3732" s="5" t="s">
        <v>3388</v>
      </c>
    </row>
    <row r="3733" spans="1:12" ht="25.5" x14ac:dyDescent="0.2">
      <c r="A3733" s="1" t="s">
        <v>6</v>
      </c>
      <c r="B3733" s="2" t="s">
        <v>179</v>
      </c>
      <c r="D3733" s="5" t="s">
        <v>1494</v>
      </c>
      <c r="E3733" s="9">
        <v>98500</v>
      </c>
      <c r="F3733" s="9">
        <v>103500</v>
      </c>
      <c r="G3733" s="57">
        <v>5.0761421319796954E-2</v>
      </c>
      <c r="J3733" s="5" t="s">
        <v>3555</v>
      </c>
    </row>
    <row r="3734" spans="1:12" ht="25.5" x14ac:dyDescent="0.2">
      <c r="A3734" s="1" t="s">
        <v>6</v>
      </c>
      <c r="B3734" s="2" t="s">
        <v>179</v>
      </c>
      <c r="D3734" s="5" t="s">
        <v>1498</v>
      </c>
      <c r="E3734" s="9">
        <v>103500</v>
      </c>
      <c r="F3734" s="9">
        <v>103500</v>
      </c>
      <c r="G3734" s="57">
        <v>0</v>
      </c>
      <c r="J3734" s="5" t="s">
        <v>3559</v>
      </c>
    </row>
    <row r="3735" spans="1:12" ht="38.25" x14ac:dyDescent="0.2">
      <c r="A3735" s="1" t="s">
        <v>8</v>
      </c>
      <c r="B3735" s="2" t="s">
        <v>100</v>
      </c>
      <c r="C3735" s="1"/>
      <c r="D3735" s="5" t="s">
        <v>520</v>
      </c>
      <c r="E3735" s="3">
        <v>76119</v>
      </c>
      <c r="F3735" s="3">
        <v>103404</v>
      </c>
      <c r="G3735" s="57">
        <v>0.35845189768651714</v>
      </c>
      <c r="J3735" s="5" t="s">
        <v>3852</v>
      </c>
    </row>
    <row r="3736" spans="1:12" ht="25.5" x14ac:dyDescent="0.2">
      <c r="A3736" s="1" t="s">
        <v>25</v>
      </c>
      <c r="B3736" s="2" t="s">
        <v>26</v>
      </c>
      <c r="C3736" s="1"/>
      <c r="D3736" s="5" t="s">
        <v>1723</v>
      </c>
      <c r="E3736" s="3" t="s">
        <v>465</v>
      </c>
      <c r="F3736" s="3">
        <v>103327</v>
      </c>
      <c r="G3736" s="57" t="s">
        <v>465</v>
      </c>
      <c r="J3736" s="5" t="s">
        <v>3683</v>
      </c>
    </row>
    <row r="3737" spans="1:12" ht="25.5" x14ac:dyDescent="0.2">
      <c r="A3737" s="1" t="s">
        <v>111</v>
      </c>
      <c r="B3737" s="2" t="s">
        <v>276</v>
      </c>
      <c r="D3737" s="5" t="s">
        <v>1100</v>
      </c>
      <c r="E3737" s="9">
        <v>100896</v>
      </c>
      <c r="F3737" s="3">
        <v>103323</v>
      </c>
      <c r="G3737" s="57">
        <v>2.4054471931493817E-2</v>
      </c>
      <c r="J3737" s="5" t="s">
        <v>4380</v>
      </c>
    </row>
    <row r="3738" spans="1:12" ht="38.25" x14ac:dyDescent="0.2">
      <c r="A3738" s="1" t="s">
        <v>4</v>
      </c>
      <c r="B3738" s="2" t="s">
        <v>431</v>
      </c>
      <c r="D3738" s="5" t="s">
        <v>504</v>
      </c>
      <c r="E3738" s="3">
        <v>103123</v>
      </c>
      <c r="F3738" s="3">
        <v>103322</v>
      </c>
      <c r="G3738" s="57">
        <v>1.9297343948488698E-3</v>
      </c>
      <c r="J3738" s="5" t="s">
        <v>4577</v>
      </c>
    </row>
    <row r="3739" spans="1:12" ht="25.5" x14ac:dyDescent="0.2">
      <c r="A3739" s="1" t="s">
        <v>20</v>
      </c>
      <c r="B3739" s="2" t="s">
        <v>35</v>
      </c>
      <c r="C3739" s="1"/>
      <c r="D3739" s="5" t="s">
        <v>1750</v>
      </c>
      <c r="E3739" s="3">
        <v>95502</v>
      </c>
      <c r="F3739" s="3">
        <v>103276</v>
      </c>
      <c r="G3739" s="57">
        <v>8.1401436619128395E-2</v>
      </c>
      <c r="J3739" s="5" t="s">
        <v>1751</v>
      </c>
    </row>
    <row r="3740" spans="1:12" x14ac:dyDescent="0.2">
      <c r="A3740" s="1" t="s">
        <v>8</v>
      </c>
      <c r="B3740" s="2" t="s">
        <v>116</v>
      </c>
      <c r="C3740" s="1"/>
      <c r="D3740" s="5" t="s">
        <v>501</v>
      </c>
      <c r="E3740" s="3">
        <v>101754</v>
      </c>
      <c r="F3740" s="3">
        <v>103224</v>
      </c>
      <c r="G3740" s="57">
        <v>1.4446606521610944E-2</v>
      </c>
      <c r="J3740" s="5" t="s">
        <v>3908</v>
      </c>
    </row>
    <row r="3741" spans="1:12" ht="25.5" x14ac:dyDescent="0.2">
      <c r="A3741" s="1" t="s">
        <v>1</v>
      </c>
      <c r="B3741" s="2" t="s">
        <v>290</v>
      </c>
      <c r="C3741" s="5" t="s">
        <v>1029</v>
      </c>
      <c r="D3741" s="5" t="s">
        <v>451</v>
      </c>
      <c r="E3741" s="6">
        <v>99442</v>
      </c>
      <c r="F3741" s="3">
        <v>103180</v>
      </c>
      <c r="G3741" s="57">
        <v>3.7589750809517104E-2</v>
      </c>
      <c r="H3741" s="21"/>
      <c r="J3741" s="5" t="s">
        <v>4671</v>
      </c>
    </row>
    <row r="3742" spans="1:12" ht="25.5" x14ac:dyDescent="0.2">
      <c r="A3742" s="1" t="s">
        <v>4</v>
      </c>
      <c r="B3742" s="2" t="s">
        <v>359</v>
      </c>
      <c r="D3742" s="5" t="s">
        <v>455</v>
      </c>
      <c r="E3742" s="3" t="s">
        <v>465</v>
      </c>
      <c r="F3742" s="3">
        <v>103068</v>
      </c>
      <c r="G3742" s="57" t="s">
        <v>465</v>
      </c>
      <c r="J3742" s="5" t="s">
        <v>2627</v>
      </c>
    </row>
    <row r="3743" spans="1:12" ht="25.5" x14ac:dyDescent="0.2">
      <c r="A3743" s="1" t="s">
        <v>6</v>
      </c>
      <c r="B3743" s="2" t="s">
        <v>407</v>
      </c>
      <c r="D3743" s="5" t="s">
        <v>612</v>
      </c>
      <c r="E3743" s="3">
        <v>100000</v>
      </c>
      <c r="F3743" s="3">
        <v>103036</v>
      </c>
      <c r="G3743" s="57">
        <v>3.0360000000000002E-2</v>
      </c>
      <c r="J3743" s="5" t="s">
        <v>2397</v>
      </c>
    </row>
    <row r="3744" spans="1:12" ht="25.5" x14ac:dyDescent="0.2">
      <c r="A3744" s="1" t="s">
        <v>39</v>
      </c>
      <c r="B3744" s="2" t="s">
        <v>433</v>
      </c>
      <c r="D3744" s="5" t="s">
        <v>451</v>
      </c>
      <c r="E3744" s="3">
        <v>100257</v>
      </c>
      <c r="F3744" s="3">
        <v>103023</v>
      </c>
      <c r="G3744" s="57">
        <v>2.7589096023220325E-2</v>
      </c>
      <c r="J3744" s="5" t="s">
        <v>2285</v>
      </c>
    </row>
    <row r="3745" spans="1:12" x14ac:dyDescent="0.2">
      <c r="A3745" s="1" t="s">
        <v>20</v>
      </c>
      <c r="B3745" s="12" t="s">
        <v>51</v>
      </c>
      <c r="C3745" s="13"/>
      <c r="D3745" s="7" t="s">
        <v>468</v>
      </c>
      <c r="E3745" s="6" t="s">
        <v>465</v>
      </c>
      <c r="F3745" s="6">
        <v>103000</v>
      </c>
      <c r="G3745" s="57" t="s">
        <v>465</v>
      </c>
      <c r="H3745" s="21"/>
      <c r="I3745" s="21"/>
      <c r="J3745" s="7" t="s">
        <v>1831</v>
      </c>
      <c r="K3745" s="13"/>
      <c r="L3745" s="13"/>
    </row>
    <row r="3746" spans="1:12" x14ac:dyDescent="0.2">
      <c r="A3746" s="1" t="s">
        <v>6</v>
      </c>
      <c r="B3746" s="2" t="s">
        <v>74</v>
      </c>
      <c r="C3746" s="1"/>
      <c r="D3746" s="5" t="s">
        <v>3808</v>
      </c>
      <c r="E3746" s="3">
        <v>100000</v>
      </c>
      <c r="F3746" s="3">
        <v>103000</v>
      </c>
      <c r="G3746" s="57">
        <v>0.03</v>
      </c>
      <c r="J3746" s="5" t="s">
        <v>1962</v>
      </c>
    </row>
    <row r="3747" spans="1:12" ht="25.5" x14ac:dyDescent="0.2">
      <c r="A3747" s="1" t="s">
        <v>8</v>
      </c>
      <c r="B3747" s="2" t="s">
        <v>346</v>
      </c>
      <c r="D3747" s="5" t="s">
        <v>504</v>
      </c>
      <c r="E3747" s="3">
        <v>96000</v>
      </c>
      <c r="F3747" s="3">
        <v>103000</v>
      </c>
      <c r="G3747" s="57">
        <v>7.2916666666666671E-2</v>
      </c>
      <c r="J3747" s="5" t="s">
        <v>2694</v>
      </c>
    </row>
    <row r="3748" spans="1:12" ht="25.5" x14ac:dyDescent="0.2">
      <c r="A3748" s="1" t="s">
        <v>6</v>
      </c>
      <c r="B3748" s="2" t="s">
        <v>368</v>
      </c>
      <c r="D3748" s="5" t="s">
        <v>775</v>
      </c>
      <c r="E3748" s="3" t="s">
        <v>465</v>
      </c>
      <c r="F3748" s="3">
        <v>103000</v>
      </c>
      <c r="G3748" s="57" t="s">
        <v>465</v>
      </c>
      <c r="J3748" s="5" t="s">
        <v>2575</v>
      </c>
    </row>
    <row r="3749" spans="1:12" ht="25.5" x14ac:dyDescent="0.2">
      <c r="A3749" s="1" t="s">
        <v>4</v>
      </c>
      <c r="B3749" s="2" t="s">
        <v>395</v>
      </c>
      <c r="D3749" s="5" t="s">
        <v>679</v>
      </c>
      <c r="E3749" s="3">
        <v>102000</v>
      </c>
      <c r="F3749" s="3">
        <v>103000</v>
      </c>
      <c r="G3749" s="57">
        <v>9.8039215686274508E-3</v>
      </c>
      <c r="J3749" s="5" t="s">
        <v>2465</v>
      </c>
    </row>
    <row r="3750" spans="1:12" ht="25.5" x14ac:dyDescent="0.2">
      <c r="A3750" s="1" t="s">
        <v>4</v>
      </c>
      <c r="B3750" s="2" t="s">
        <v>395</v>
      </c>
      <c r="D3750" s="5" t="s">
        <v>680</v>
      </c>
      <c r="E3750" s="3">
        <v>102000</v>
      </c>
      <c r="F3750" s="3">
        <v>103000</v>
      </c>
      <c r="G3750" s="57">
        <v>9.8039215686274508E-3</v>
      </c>
      <c r="J3750" s="5" t="s">
        <v>2466</v>
      </c>
    </row>
    <row r="3751" spans="1:12" ht="25.5" x14ac:dyDescent="0.2">
      <c r="A3751" s="1" t="s">
        <v>20</v>
      </c>
      <c r="B3751" s="2" t="s">
        <v>414</v>
      </c>
      <c r="C3751" s="5" t="s">
        <v>594</v>
      </c>
      <c r="D3751" s="5" t="s">
        <v>595</v>
      </c>
      <c r="E3751" s="3">
        <v>97000</v>
      </c>
      <c r="F3751" s="3">
        <v>103000</v>
      </c>
      <c r="G3751" s="57">
        <v>6.1855670103092786E-2</v>
      </c>
      <c r="J3751" s="5" t="s">
        <v>2370</v>
      </c>
    </row>
    <row r="3752" spans="1:12" ht="38.25" x14ac:dyDescent="0.2">
      <c r="A3752" s="1" t="s">
        <v>25</v>
      </c>
      <c r="B3752" s="2" t="s">
        <v>26</v>
      </c>
      <c r="C3752" s="1"/>
      <c r="D3752" s="5" t="s">
        <v>1724</v>
      </c>
      <c r="E3752" s="3" t="s">
        <v>465</v>
      </c>
      <c r="F3752" s="3">
        <v>102981</v>
      </c>
      <c r="G3752" s="57" t="s">
        <v>465</v>
      </c>
      <c r="J3752" s="5" t="s">
        <v>4110</v>
      </c>
    </row>
    <row r="3753" spans="1:12" ht="25.5" x14ac:dyDescent="0.2">
      <c r="A3753" s="1" t="s">
        <v>8</v>
      </c>
      <c r="B3753" s="2" t="s">
        <v>32</v>
      </c>
      <c r="C3753" s="1"/>
      <c r="D3753" s="5" t="s">
        <v>1735</v>
      </c>
      <c r="E3753" s="3">
        <v>102226</v>
      </c>
      <c r="F3753" s="3">
        <v>102970</v>
      </c>
      <c r="G3753" s="57">
        <v>7.277991900299337E-3</v>
      </c>
      <c r="J3753" s="7" t="s">
        <v>4130</v>
      </c>
    </row>
    <row r="3754" spans="1:12" ht="38.25" x14ac:dyDescent="0.2">
      <c r="A3754" s="1" t="s">
        <v>20</v>
      </c>
      <c r="B3754" s="12" t="s">
        <v>30</v>
      </c>
      <c r="C3754" s="13"/>
      <c r="D3754" s="7" t="s">
        <v>1732</v>
      </c>
      <c r="E3754" s="6">
        <v>101322</v>
      </c>
      <c r="F3754" s="6">
        <v>102918</v>
      </c>
      <c r="G3754" s="57">
        <v>1.575176171019127E-2</v>
      </c>
      <c r="H3754" s="21"/>
      <c r="I3754" s="21"/>
      <c r="J3754" s="7" t="s">
        <v>4121</v>
      </c>
      <c r="K3754" s="13"/>
      <c r="L3754" s="13"/>
    </row>
    <row r="3755" spans="1:12" ht="25.5" x14ac:dyDescent="0.2">
      <c r="A3755" s="13" t="s">
        <v>34</v>
      </c>
      <c r="B3755" s="12" t="s">
        <v>48</v>
      </c>
      <c r="C3755" s="13"/>
      <c r="D3755" s="7" t="s">
        <v>3737</v>
      </c>
      <c r="E3755" s="6">
        <v>85058</v>
      </c>
      <c r="F3755" s="6">
        <v>102871</v>
      </c>
      <c r="G3755" s="57">
        <v>0.20942180629687979</v>
      </c>
      <c r="H3755" s="21"/>
      <c r="I3755" s="21"/>
      <c r="J3755" s="7" t="s">
        <v>1809</v>
      </c>
      <c r="K3755" s="13"/>
      <c r="L3755" s="13"/>
    </row>
    <row r="3756" spans="1:12" ht="25.5" x14ac:dyDescent="0.2">
      <c r="A3756" s="1" t="s">
        <v>28</v>
      </c>
      <c r="B3756" s="2" t="s">
        <v>186</v>
      </c>
      <c r="D3756" s="5" t="s">
        <v>2600</v>
      </c>
      <c r="E3756" s="9">
        <v>101913</v>
      </c>
      <c r="F3756" s="9">
        <v>102782</v>
      </c>
      <c r="G3756" s="57">
        <v>8.5268807708535708E-3</v>
      </c>
      <c r="J3756" s="5" t="s">
        <v>3518</v>
      </c>
    </row>
    <row r="3757" spans="1:12" ht="25.5" x14ac:dyDescent="0.2">
      <c r="A3757" s="1" t="s">
        <v>44</v>
      </c>
      <c r="B3757" s="2" t="s">
        <v>397</v>
      </c>
      <c r="D3757" s="7" t="s">
        <v>671</v>
      </c>
      <c r="E3757" s="6">
        <v>97328</v>
      </c>
      <c r="F3757" s="3">
        <v>102780</v>
      </c>
      <c r="G3757" s="57">
        <v>5.6016768042084497E-2</v>
      </c>
      <c r="J3757" s="5" t="s">
        <v>1629</v>
      </c>
    </row>
    <row r="3758" spans="1:12" x14ac:dyDescent="0.2">
      <c r="A3758" s="1" t="s">
        <v>25</v>
      </c>
      <c r="B3758" s="2" t="s">
        <v>197</v>
      </c>
      <c r="D3758" s="5" t="s">
        <v>1403</v>
      </c>
      <c r="E3758" s="9">
        <v>102146</v>
      </c>
      <c r="F3758" s="9">
        <v>102733</v>
      </c>
      <c r="G3758" s="57">
        <v>5.7466763260431144E-3</v>
      </c>
      <c r="J3758" s="5" t="s">
        <v>3438</v>
      </c>
    </row>
    <row r="3759" spans="1:12" s="13" customFormat="1" ht="25.5" x14ac:dyDescent="0.2">
      <c r="A3759" s="1" t="s">
        <v>28</v>
      </c>
      <c r="B3759" s="2" t="s">
        <v>186</v>
      </c>
      <c r="C3759" s="5"/>
      <c r="D3759" s="5" t="s">
        <v>855</v>
      </c>
      <c r="E3759" s="9">
        <v>106468</v>
      </c>
      <c r="F3759" s="9">
        <v>102672</v>
      </c>
      <c r="G3759" s="57">
        <v>-3.5653905398805273E-2</v>
      </c>
      <c r="H3759" s="19"/>
      <c r="I3759" s="19"/>
      <c r="J3759" s="5" t="s">
        <v>3517</v>
      </c>
      <c r="K3759" s="1"/>
      <c r="L3759" s="1"/>
    </row>
    <row r="3760" spans="1:12" ht="25.5" x14ac:dyDescent="0.2">
      <c r="A3760" s="1" t="s">
        <v>6</v>
      </c>
      <c r="B3760" s="2" t="s">
        <v>407</v>
      </c>
      <c r="D3760" s="5" t="s">
        <v>613</v>
      </c>
      <c r="E3760" s="3">
        <v>87000</v>
      </c>
      <c r="F3760" s="3">
        <v>102578</v>
      </c>
      <c r="G3760" s="57">
        <v>0.17905747126436783</v>
      </c>
      <c r="J3760" s="5" t="s">
        <v>4529</v>
      </c>
    </row>
    <row r="3761" spans="1:12" ht="25.5" x14ac:dyDescent="0.2">
      <c r="A3761" s="1" t="s">
        <v>20</v>
      </c>
      <c r="B3761" s="2" t="s">
        <v>274</v>
      </c>
      <c r="D3761" s="5" t="s">
        <v>1106</v>
      </c>
      <c r="E3761" s="3">
        <v>102408</v>
      </c>
      <c r="F3761" s="3">
        <v>102567</v>
      </c>
      <c r="G3761" s="57">
        <v>1.5526130771033513E-3</v>
      </c>
      <c r="J3761" s="5" t="s">
        <v>3033</v>
      </c>
    </row>
    <row r="3762" spans="1:12" ht="25.5" x14ac:dyDescent="0.2">
      <c r="A3762" s="1" t="s">
        <v>20</v>
      </c>
      <c r="B3762" s="2" t="s">
        <v>274</v>
      </c>
      <c r="D3762" s="5" t="s">
        <v>1108</v>
      </c>
      <c r="E3762" s="3">
        <v>102408</v>
      </c>
      <c r="F3762" s="3">
        <v>102567</v>
      </c>
      <c r="G3762" s="57">
        <v>1.5526130771033513E-3</v>
      </c>
      <c r="J3762" s="5" t="s">
        <v>3033</v>
      </c>
    </row>
    <row r="3763" spans="1:12" ht="25.5" x14ac:dyDescent="0.2">
      <c r="A3763" s="13" t="s">
        <v>34</v>
      </c>
      <c r="B3763" s="12" t="s">
        <v>33</v>
      </c>
      <c r="C3763" s="13"/>
      <c r="D3763" s="7" t="s">
        <v>1741</v>
      </c>
      <c r="E3763" s="6">
        <v>102498</v>
      </c>
      <c r="F3763" s="6">
        <v>102564</v>
      </c>
      <c r="G3763" s="57">
        <v>6.43915003219575E-4</v>
      </c>
      <c r="H3763" s="21"/>
      <c r="I3763" s="21"/>
      <c r="J3763" s="7" t="s">
        <v>4137</v>
      </c>
      <c r="K3763" s="13"/>
      <c r="L3763" s="13"/>
    </row>
    <row r="3764" spans="1:12" s="13" customFormat="1" ht="25.5" x14ac:dyDescent="0.2">
      <c r="A3764" s="1" t="s">
        <v>4</v>
      </c>
      <c r="B3764" s="2" t="s">
        <v>303</v>
      </c>
      <c r="C3764" s="7" t="s">
        <v>976</v>
      </c>
      <c r="D3764" s="7" t="s">
        <v>977</v>
      </c>
      <c r="E3764" s="6" t="s">
        <v>465</v>
      </c>
      <c r="F3764" s="6">
        <v>102555</v>
      </c>
      <c r="G3764" s="57" t="s">
        <v>465</v>
      </c>
      <c r="H3764" s="19"/>
      <c r="I3764" s="19"/>
      <c r="J3764" s="5" t="s">
        <v>2848</v>
      </c>
      <c r="K3764" s="1"/>
      <c r="L3764" s="1"/>
    </row>
    <row r="3765" spans="1:12" s="13" customFormat="1" x14ac:dyDescent="0.2">
      <c r="A3765" s="13" t="s">
        <v>1</v>
      </c>
      <c r="B3765" s="2" t="s">
        <v>9</v>
      </c>
      <c r="C3765" s="1"/>
      <c r="D3765" s="5" t="s">
        <v>464</v>
      </c>
      <c r="E3765" s="3" t="s">
        <v>465</v>
      </c>
      <c r="F3765" s="3">
        <v>102500</v>
      </c>
      <c r="G3765" s="57" t="s">
        <v>465</v>
      </c>
      <c r="H3765" s="19"/>
      <c r="I3765" s="19"/>
      <c r="J3765" s="5"/>
      <c r="K3765" s="1"/>
      <c r="L3765" s="1"/>
    </row>
    <row r="3766" spans="1:12" s="13" customFormat="1" x14ac:dyDescent="0.2">
      <c r="A3766" s="1" t="s">
        <v>25</v>
      </c>
      <c r="B3766" s="2" t="s">
        <v>26</v>
      </c>
      <c r="C3766" s="1"/>
      <c r="D3766" s="5" t="s">
        <v>464</v>
      </c>
      <c r="E3766" s="58" t="s">
        <v>465</v>
      </c>
      <c r="F3766" s="3">
        <v>102500</v>
      </c>
      <c r="G3766" s="57" t="s">
        <v>465</v>
      </c>
      <c r="H3766" s="19"/>
      <c r="I3766" s="19"/>
      <c r="J3766" s="1"/>
      <c r="K3766" s="1"/>
      <c r="L3766" s="1"/>
    </row>
    <row r="3767" spans="1:12" s="13" customFormat="1" x14ac:dyDescent="0.2">
      <c r="A3767" s="1" t="s">
        <v>25</v>
      </c>
      <c r="B3767" s="2" t="s">
        <v>26</v>
      </c>
      <c r="C3767" s="1"/>
      <c r="D3767" s="5" t="s">
        <v>464</v>
      </c>
      <c r="E3767" s="58" t="s">
        <v>465</v>
      </c>
      <c r="F3767" s="3">
        <v>102500</v>
      </c>
      <c r="G3767" s="57" t="s">
        <v>465</v>
      </c>
      <c r="H3767" s="19"/>
      <c r="I3767" s="19"/>
      <c r="J3767" s="1"/>
      <c r="K3767" s="1"/>
      <c r="L3767" s="1"/>
    </row>
    <row r="3768" spans="1:12" x14ac:dyDescent="0.2">
      <c r="A3768" s="1" t="s">
        <v>25</v>
      </c>
      <c r="B3768" s="2" t="s">
        <v>26</v>
      </c>
      <c r="C3768" s="1"/>
      <c r="D3768" s="5" t="s">
        <v>464</v>
      </c>
      <c r="E3768" s="58" t="s">
        <v>465</v>
      </c>
      <c r="F3768" s="3">
        <v>102500</v>
      </c>
      <c r="G3768" s="57" t="s">
        <v>465</v>
      </c>
      <c r="J3768" s="1"/>
    </row>
    <row r="3769" spans="1:12" x14ac:dyDescent="0.2">
      <c r="A3769" s="1" t="s">
        <v>25</v>
      </c>
      <c r="B3769" s="2" t="s">
        <v>26</v>
      </c>
      <c r="C3769" s="1"/>
      <c r="D3769" s="5" t="s">
        <v>464</v>
      </c>
      <c r="E3769" s="58" t="s">
        <v>465</v>
      </c>
      <c r="F3769" s="3">
        <v>102500</v>
      </c>
      <c r="G3769" s="57" t="s">
        <v>465</v>
      </c>
      <c r="J3769" s="1"/>
    </row>
    <row r="3770" spans="1:12" x14ac:dyDescent="0.2">
      <c r="A3770" s="1" t="s">
        <v>20</v>
      </c>
      <c r="B3770" s="2" t="s">
        <v>35</v>
      </c>
      <c r="C3770" s="1"/>
      <c r="D3770" s="5" t="s">
        <v>464</v>
      </c>
      <c r="E3770" s="3" t="s">
        <v>465</v>
      </c>
      <c r="F3770" s="3">
        <v>102500</v>
      </c>
      <c r="G3770" s="57" t="s">
        <v>465</v>
      </c>
      <c r="J3770" s="1"/>
    </row>
    <row r="3771" spans="1:12" x14ac:dyDescent="0.2">
      <c r="A3771" s="1" t="s">
        <v>39</v>
      </c>
      <c r="B3771" s="2" t="s">
        <v>38</v>
      </c>
      <c r="C3771" s="1"/>
      <c r="D3771" s="5" t="s">
        <v>464</v>
      </c>
      <c r="E3771" s="3" t="s">
        <v>465</v>
      </c>
      <c r="F3771" s="3">
        <v>102500</v>
      </c>
      <c r="G3771" s="57" t="s">
        <v>465</v>
      </c>
      <c r="J3771" s="1"/>
    </row>
    <row r="3772" spans="1:12" x14ac:dyDescent="0.2">
      <c r="A3772" s="1" t="s">
        <v>39</v>
      </c>
      <c r="B3772" s="2" t="s">
        <v>38</v>
      </c>
      <c r="C3772" s="1"/>
      <c r="D3772" s="5" t="s">
        <v>464</v>
      </c>
      <c r="E3772" s="3" t="s">
        <v>465</v>
      </c>
      <c r="F3772" s="3">
        <v>102500</v>
      </c>
      <c r="G3772" s="57" t="s">
        <v>465</v>
      </c>
      <c r="J3772" s="1"/>
    </row>
    <row r="3773" spans="1:12" x14ac:dyDescent="0.2">
      <c r="A3773" s="1" t="s">
        <v>6</v>
      </c>
      <c r="B3773" s="2" t="s">
        <v>42</v>
      </c>
      <c r="C3773" s="1"/>
      <c r="D3773" s="5" t="s">
        <v>464</v>
      </c>
      <c r="E3773" s="3" t="s">
        <v>465</v>
      </c>
      <c r="F3773" s="3">
        <v>102500</v>
      </c>
      <c r="G3773" s="57" t="s">
        <v>465</v>
      </c>
      <c r="J3773" s="5" t="s">
        <v>3718</v>
      </c>
    </row>
    <row r="3774" spans="1:12" x14ac:dyDescent="0.2">
      <c r="A3774" s="13" t="s">
        <v>34</v>
      </c>
      <c r="B3774" s="12" t="s">
        <v>48</v>
      </c>
      <c r="C3774" s="13"/>
      <c r="D3774" s="7" t="s">
        <v>464</v>
      </c>
      <c r="E3774" s="6" t="s">
        <v>465</v>
      </c>
      <c r="F3774" s="6">
        <v>102500</v>
      </c>
      <c r="G3774" s="57" t="s">
        <v>465</v>
      </c>
      <c r="H3774" s="21"/>
      <c r="I3774" s="21"/>
      <c r="J3774" s="7"/>
      <c r="K3774" s="13"/>
      <c r="L3774" s="13"/>
    </row>
    <row r="3775" spans="1:12" x14ac:dyDescent="0.2">
      <c r="A3775" s="13" t="s">
        <v>34</v>
      </c>
      <c r="B3775" s="12" t="s">
        <v>48</v>
      </c>
      <c r="C3775" s="13"/>
      <c r="D3775" s="7" t="s">
        <v>464</v>
      </c>
      <c r="E3775" s="6" t="s">
        <v>465</v>
      </c>
      <c r="F3775" s="6">
        <v>102500</v>
      </c>
      <c r="G3775" s="57" t="s">
        <v>465</v>
      </c>
      <c r="H3775" s="21"/>
      <c r="I3775" s="21"/>
      <c r="J3775" s="7"/>
      <c r="K3775" s="13"/>
      <c r="L3775" s="13"/>
    </row>
    <row r="3776" spans="1:12" x14ac:dyDescent="0.2">
      <c r="A3776" s="13" t="s">
        <v>34</v>
      </c>
      <c r="B3776" s="12" t="s">
        <v>48</v>
      </c>
      <c r="C3776" s="13"/>
      <c r="D3776" s="7" t="s">
        <v>464</v>
      </c>
      <c r="E3776" s="6" t="s">
        <v>465</v>
      </c>
      <c r="F3776" s="6">
        <v>102500</v>
      </c>
      <c r="G3776" s="57" t="s">
        <v>465</v>
      </c>
      <c r="H3776" s="21"/>
      <c r="I3776" s="21"/>
      <c r="J3776" s="7"/>
      <c r="K3776" s="13"/>
      <c r="L3776" s="13"/>
    </row>
    <row r="3777" spans="1:12" x14ac:dyDescent="0.2">
      <c r="A3777" s="1" t="s">
        <v>28</v>
      </c>
      <c r="B3777" s="2" t="s">
        <v>50</v>
      </c>
      <c r="C3777" s="1"/>
      <c r="D3777" s="5" t="s">
        <v>464</v>
      </c>
      <c r="E3777" s="58" t="s">
        <v>465</v>
      </c>
      <c r="F3777" s="3">
        <v>102500</v>
      </c>
      <c r="G3777" s="57" t="s">
        <v>465</v>
      </c>
    </row>
    <row r="3778" spans="1:12" x14ac:dyDescent="0.2">
      <c r="A3778" s="1" t="s">
        <v>28</v>
      </c>
      <c r="B3778" s="2" t="s">
        <v>50</v>
      </c>
      <c r="C3778" s="1"/>
      <c r="D3778" s="5" t="s">
        <v>464</v>
      </c>
      <c r="E3778" s="58" t="s">
        <v>465</v>
      </c>
      <c r="F3778" s="3">
        <v>102500</v>
      </c>
      <c r="G3778" s="57" t="s">
        <v>465</v>
      </c>
    </row>
    <row r="3779" spans="1:12" x14ac:dyDescent="0.2">
      <c r="A3779" s="1" t="s">
        <v>25</v>
      </c>
      <c r="B3779" s="2" t="s">
        <v>53</v>
      </c>
      <c r="C3779" s="1"/>
      <c r="D3779" s="5" t="s">
        <v>464</v>
      </c>
      <c r="E3779" s="3" t="s">
        <v>465</v>
      </c>
      <c r="F3779" s="3">
        <v>102500</v>
      </c>
      <c r="G3779" s="57" t="s">
        <v>465</v>
      </c>
    </row>
    <row r="3780" spans="1:12" x14ac:dyDescent="0.2">
      <c r="A3780" s="1" t="s">
        <v>25</v>
      </c>
      <c r="B3780" s="2" t="s">
        <v>53</v>
      </c>
      <c r="C3780" s="1"/>
      <c r="D3780" s="5" t="s">
        <v>464</v>
      </c>
      <c r="E3780" s="3" t="s">
        <v>465</v>
      </c>
      <c r="F3780" s="3">
        <v>102500</v>
      </c>
      <c r="G3780" s="57" t="s">
        <v>465</v>
      </c>
    </row>
    <row r="3781" spans="1:12" x14ac:dyDescent="0.2">
      <c r="A3781" s="1" t="s">
        <v>25</v>
      </c>
      <c r="B3781" s="2" t="s">
        <v>53</v>
      </c>
      <c r="C3781" s="1"/>
      <c r="D3781" s="5" t="s">
        <v>464</v>
      </c>
      <c r="E3781" s="3" t="s">
        <v>465</v>
      </c>
      <c r="F3781" s="3">
        <v>102500</v>
      </c>
      <c r="G3781" s="57" t="s">
        <v>465</v>
      </c>
    </row>
    <row r="3782" spans="1:12" s="13" customFormat="1" x14ac:dyDescent="0.2">
      <c r="A3782" s="1" t="s">
        <v>25</v>
      </c>
      <c r="B3782" s="2" t="s">
        <v>53</v>
      </c>
      <c r="C3782" s="1"/>
      <c r="D3782" s="5" t="s">
        <v>464</v>
      </c>
      <c r="E3782" s="3" t="s">
        <v>465</v>
      </c>
      <c r="F3782" s="3">
        <v>102500</v>
      </c>
      <c r="G3782" s="57" t="s">
        <v>465</v>
      </c>
      <c r="H3782" s="19"/>
      <c r="I3782" s="19"/>
      <c r="J3782" s="5"/>
      <c r="K3782" s="1"/>
      <c r="L3782" s="1"/>
    </row>
    <row r="3783" spans="1:12" x14ac:dyDescent="0.2">
      <c r="A3783" s="1" t="s">
        <v>25</v>
      </c>
      <c r="B3783" s="2" t="s">
        <v>53</v>
      </c>
      <c r="C3783" s="1"/>
      <c r="D3783" s="5" t="s">
        <v>464</v>
      </c>
      <c r="E3783" s="3" t="s">
        <v>465</v>
      </c>
      <c r="F3783" s="3">
        <v>102500</v>
      </c>
      <c r="G3783" s="57" t="s">
        <v>465</v>
      </c>
    </row>
    <row r="3784" spans="1:12" x14ac:dyDescent="0.2">
      <c r="A3784" s="1" t="s">
        <v>25</v>
      </c>
      <c r="B3784" s="2" t="s">
        <v>53</v>
      </c>
      <c r="C3784" s="1"/>
      <c r="D3784" s="5" t="s">
        <v>464</v>
      </c>
      <c r="E3784" s="3" t="s">
        <v>465</v>
      </c>
      <c r="F3784" s="3">
        <v>102500</v>
      </c>
      <c r="G3784" s="57" t="s">
        <v>465</v>
      </c>
    </row>
    <row r="3785" spans="1:12" x14ac:dyDescent="0.2">
      <c r="A3785" s="1" t="s">
        <v>4</v>
      </c>
      <c r="B3785" s="2" t="s">
        <v>56</v>
      </c>
      <c r="C3785" s="1"/>
      <c r="D3785" s="5" t="s">
        <v>464</v>
      </c>
      <c r="E3785" s="3" t="s">
        <v>465</v>
      </c>
      <c r="F3785" s="3">
        <v>102500</v>
      </c>
      <c r="G3785" s="57" t="s">
        <v>465</v>
      </c>
    </row>
    <row r="3786" spans="1:12" x14ac:dyDescent="0.2">
      <c r="A3786" s="1" t="s">
        <v>34</v>
      </c>
      <c r="B3786" s="2" t="s">
        <v>57</v>
      </c>
      <c r="C3786" s="1"/>
      <c r="D3786" s="5" t="s">
        <v>464</v>
      </c>
      <c r="E3786" s="3" t="s">
        <v>465</v>
      </c>
      <c r="F3786" s="3">
        <v>102500</v>
      </c>
      <c r="G3786" s="57" t="s">
        <v>465</v>
      </c>
    </row>
    <row r="3787" spans="1:12" x14ac:dyDescent="0.2">
      <c r="A3787" s="1" t="s">
        <v>25</v>
      </c>
      <c r="B3787" s="2" t="s">
        <v>59</v>
      </c>
      <c r="C3787" s="1"/>
      <c r="D3787" s="5" t="s">
        <v>464</v>
      </c>
      <c r="E3787" s="3" t="s">
        <v>465</v>
      </c>
      <c r="F3787" s="3">
        <v>102500</v>
      </c>
      <c r="G3787" s="57" t="s">
        <v>465</v>
      </c>
    </row>
    <row r="3788" spans="1:12" x14ac:dyDescent="0.2">
      <c r="A3788" s="1" t="s">
        <v>25</v>
      </c>
      <c r="B3788" s="2" t="s">
        <v>59</v>
      </c>
      <c r="C3788" s="1"/>
      <c r="D3788" s="5" t="s">
        <v>464</v>
      </c>
      <c r="E3788" s="3" t="s">
        <v>465</v>
      </c>
      <c r="F3788" s="3">
        <v>102500</v>
      </c>
      <c r="G3788" s="57" t="s">
        <v>465</v>
      </c>
    </row>
    <row r="3789" spans="1:12" x14ac:dyDescent="0.2">
      <c r="A3789" s="13" t="s">
        <v>4</v>
      </c>
      <c r="B3789" s="2" t="s">
        <v>63</v>
      </c>
      <c r="C3789" s="1"/>
      <c r="D3789" s="5" t="s">
        <v>464</v>
      </c>
      <c r="E3789" s="3" t="s">
        <v>465</v>
      </c>
      <c r="F3789" s="3">
        <v>102500</v>
      </c>
      <c r="G3789" s="57" t="s">
        <v>465</v>
      </c>
    </row>
    <row r="3790" spans="1:12" x14ac:dyDescent="0.2">
      <c r="A3790" s="1" t="s">
        <v>20</v>
      </c>
      <c r="B3790" s="2" t="s">
        <v>69</v>
      </c>
      <c r="C3790" s="1"/>
      <c r="D3790" s="5" t="s">
        <v>464</v>
      </c>
      <c r="E3790" s="3" t="s">
        <v>465</v>
      </c>
      <c r="F3790" s="3">
        <v>102500</v>
      </c>
      <c r="G3790" s="57" t="s">
        <v>465</v>
      </c>
      <c r="J3790" s="5" t="s">
        <v>3718</v>
      </c>
    </row>
    <row r="3791" spans="1:12" x14ac:dyDescent="0.2">
      <c r="A3791" s="1" t="s">
        <v>20</v>
      </c>
      <c r="B3791" s="2" t="s">
        <v>69</v>
      </c>
      <c r="C3791" s="1"/>
      <c r="D3791" s="5" t="s">
        <v>464</v>
      </c>
      <c r="E3791" s="3" t="s">
        <v>465</v>
      </c>
      <c r="F3791" s="3">
        <v>102500</v>
      </c>
      <c r="G3791" s="57" t="s">
        <v>465</v>
      </c>
      <c r="J3791" s="5" t="s">
        <v>3718</v>
      </c>
    </row>
    <row r="3792" spans="1:12" x14ac:dyDescent="0.2">
      <c r="A3792" s="1" t="s">
        <v>20</v>
      </c>
      <c r="B3792" s="2" t="s">
        <v>69</v>
      </c>
      <c r="C3792" s="1"/>
      <c r="D3792" s="5" t="s">
        <v>464</v>
      </c>
      <c r="E3792" s="3" t="s">
        <v>465</v>
      </c>
      <c r="F3792" s="3">
        <v>102500</v>
      </c>
      <c r="G3792" s="57" t="s">
        <v>465</v>
      </c>
      <c r="J3792" s="5" t="s">
        <v>3718</v>
      </c>
    </row>
    <row r="3793" spans="1:12" x14ac:dyDescent="0.2">
      <c r="A3793" s="1" t="s">
        <v>25</v>
      </c>
      <c r="B3793" s="2" t="s">
        <v>70</v>
      </c>
      <c r="C3793" s="1"/>
      <c r="D3793" s="5" t="s">
        <v>464</v>
      </c>
      <c r="E3793" s="19" t="s">
        <v>465</v>
      </c>
      <c r="F3793" s="19">
        <v>102500</v>
      </c>
      <c r="G3793" s="57" t="s">
        <v>465</v>
      </c>
      <c r="J3793" s="5" t="s">
        <v>539</v>
      </c>
    </row>
    <row r="3794" spans="1:12" x14ac:dyDescent="0.2">
      <c r="A3794" s="1" t="s">
        <v>44</v>
      </c>
      <c r="B3794" s="2" t="s">
        <v>73</v>
      </c>
      <c r="C3794" s="1"/>
      <c r="D3794" s="5" t="s">
        <v>464</v>
      </c>
      <c r="E3794" s="3" t="s">
        <v>465</v>
      </c>
      <c r="F3794" s="3">
        <v>102500</v>
      </c>
      <c r="G3794" s="57" t="s">
        <v>465</v>
      </c>
    </row>
    <row r="3795" spans="1:12" x14ac:dyDescent="0.2">
      <c r="A3795" s="1" t="s">
        <v>44</v>
      </c>
      <c r="B3795" s="2" t="s">
        <v>73</v>
      </c>
      <c r="C3795" s="1"/>
      <c r="D3795" s="5" t="s">
        <v>464</v>
      </c>
      <c r="E3795" s="3" t="s">
        <v>465</v>
      </c>
      <c r="F3795" s="3">
        <v>102500</v>
      </c>
      <c r="G3795" s="57" t="s">
        <v>465</v>
      </c>
    </row>
    <row r="3796" spans="1:12" x14ac:dyDescent="0.2">
      <c r="A3796" s="1" t="s">
        <v>44</v>
      </c>
      <c r="B3796" s="2" t="s">
        <v>75</v>
      </c>
      <c r="C3796" s="1"/>
      <c r="D3796" s="5" t="s">
        <v>464</v>
      </c>
      <c r="E3796" s="3" t="s">
        <v>465</v>
      </c>
      <c r="F3796" s="3">
        <v>102500</v>
      </c>
      <c r="G3796" s="57" t="s">
        <v>465</v>
      </c>
    </row>
    <row r="3797" spans="1:12" x14ac:dyDescent="0.2">
      <c r="A3797" s="1" t="s">
        <v>44</v>
      </c>
      <c r="B3797" s="2" t="s">
        <v>75</v>
      </c>
      <c r="C3797" s="1"/>
      <c r="D3797" s="5" t="s">
        <v>464</v>
      </c>
      <c r="E3797" s="3" t="s">
        <v>465</v>
      </c>
      <c r="F3797" s="3">
        <v>102500</v>
      </c>
      <c r="G3797" s="57" t="s">
        <v>465</v>
      </c>
    </row>
    <row r="3798" spans="1:12" x14ac:dyDescent="0.2">
      <c r="A3798" s="1" t="s">
        <v>11</v>
      </c>
      <c r="B3798" s="2" t="s">
        <v>75</v>
      </c>
      <c r="C3798" s="1"/>
      <c r="D3798" s="5" t="s">
        <v>464</v>
      </c>
      <c r="E3798" s="3" t="s">
        <v>465</v>
      </c>
      <c r="F3798" s="3">
        <v>102500</v>
      </c>
      <c r="G3798" s="57" t="s">
        <v>465</v>
      </c>
    </row>
    <row r="3799" spans="1:12" s="33" customFormat="1" x14ac:dyDescent="0.2">
      <c r="A3799" s="1" t="s">
        <v>8</v>
      </c>
      <c r="B3799" s="2" t="s">
        <v>81</v>
      </c>
      <c r="C3799" s="1"/>
      <c r="D3799" s="5" t="s">
        <v>464</v>
      </c>
      <c r="E3799" s="3" t="s">
        <v>465</v>
      </c>
      <c r="F3799" s="3">
        <v>102500</v>
      </c>
      <c r="G3799" s="57" t="s">
        <v>465</v>
      </c>
      <c r="H3799" s="19"/>
      <c r="I3799" s="19"/>
      <c r="J3799" s="5"/>
      <c r="K3799" s="1"/>
      <c r="L3799" s="1"/>
    </row>
    <row r="3800" spans="1:12" s="34" customFormat="1" x14ac:dyDescent="0.2">
      <c r="A3800" s="1" t="s">
        <v>6</v>
      </c>
      <c r="B3800" s="2" t="s">
        <v>85</v>
      </c>
      <c r="C3800" s="1"/>
      <c r="D3800" s="5" t="s">
        <v>464</v>
      </c>
      <c r="E3800" s="3" t="s">
        <v>465</v>
      </c>
      <c r="F3800" s="3">
        <v>102500</v>
      </c>
      <c r="G3800" s="57" t="s">
        <v>465</v>
      </c>
      <c r="H3800" s="19"/>
      <c r="I3800" s="19"/>
      <c r="J3800" s="1"/>
      <c r="K3800" s="1"/>
      <c r="L3800" s="1"/>
    </row>
    <row r="3801" spans="1:12" s="33" customFormat="1" x14ac:dyDescent="0.2">
      <c r="A3801" s="1" t="s">
        <v>6</v>
      </c>
      <c r="B3801" s="2" t="s">
        <v>86</v>
      </c>
      <c r="C3801" s="1"/>
      <c r="D3801" s="5" t="s">
        <v>464</v>
      </c>
      <c r="E3801" s="3" t="s">
        <v>465</v>
      </c>
      <c r="F3801" s="3">
        <v>102500</v>
      </c>
      <c r="G3801" s="57" t="s">
        <v>465</v>
      </c>
      <c r="H3801" s="19"/>
      <c r="I3801" s="19"/>
      <c r="J3801" s="1"/>
      <c r="K3801" s="1"/>
      <c r="L3801" s="1"/>
    </row>
    <row r="3802" spans="1:12" s="33" customFormat="1" x14ac:dyDescent="0.2">
      <c r="A3802" s="1" t="s">
        <v>6</v>
      </c>
      <c r="B3802" s="2" t="s">
        <v>86</v>
      </c>
      <c r="C3802" s="1"/>
      <c r="D3802" s="5" t="s">
        <v>464</v>
      </c>
      <c r="E3802" s="3" t="s">
        <v>465</v>
      </c>
      <c r="F3802" s="3">
        <v>102500</v>
      </c>
      <c r="G3802" s="57" t="s">
        <v>465</v>
      </c>
      <c r="H3802" s="19"/>
      <c r="I3802" s="19"/>
      <c r="J3802" s="1"/>
      <c r="K3802" s="1"/>
      <c r="L3802" s="1"/>
    </row>
    <row r="3803" spans="1:12" s="33" customFormat="1" x14ac:dyDescent="0.2">
      <c r="A3803" s="1" t="s">
        <v>6</v>
      </c>
      <c r="B3803" s="2" t="s">
        <v>86</v>
      </c>
      <c r="C3803" s="1"/>
      <c r="D3803" s="5" t="s">
        <v>464</v>
      </c>
      <c r="E3803" s="3" t="s">
        <v>465</v>
      </c>
      <c r="F3803" s="3">
        <v>102500</v>
      </c>
      <c r="G3803" s="57" t="s">
        <v>465</v>
      </c>
      <c r="H3803" s="19"/>
      <c r="I3803" s="19"/>
      <c r="J3803" s="1"/>
      <c r="K3803" s="1"/>
      <c r="L3803" s="1"/>
    </row>
    <row r="3804" spans="1:12" s="33" customFormat="1" x14ac:dyDescent="0.2">
      <c r="A3804" s="13" t="s">
        <v>1</v>
      </c>
      <c r="B3804" s="12" t="s">
        <v>92</v>
      </c>
      <c r="C3804" s="1"/>
      <c r="D3804" s="5" t="s">
        <v>464</v>
      </c>
      <c r="E3804" s="3" t="s">
        <v>465</v>
      </c>
      <c r="F3804" s="3">
        <v>102500</v>
      </c>
      <c r="G3804" s="57" t="s">
        <v>465</v>
      </c>
      <c r="H3804" s="19"/>
      <c r="I3804" s="19"/>
      <c r="J3804" s="16"/>
      <c r="K3804" s="1"/>
      <c r="L3804" s="1"/>
    </row>
    <row r="3805" spans="1:12" s="33" customFormat="1" x14ac:dyDescent="0.2">
      <c r="A3805" s="13" t="s">
        <v>1</v>
      </c>
      <c r="B3805" s="12" t="s">
        <v>92</v>
      </c>
      <c r="C3805" s="1"/>
      <c r="D3805" s="5" t="s">
        <v>464</v>
      </c>
      <c r="E3805" s="3" t="s">
        <v>465</v>
      </c>
      <c r="F3805" s="3">
        <v>102500</v>
      </c>
      <c r="G3805" s="57" t="s">
        <v>465</v>
      </c>
      <c r="H3805" s="19"/>
      <c r="I3805" s="19"/>
      <c r="J3805" s="16"/>
      <c r="K3805" s="1"/>
      <c r="L3805" s="1"/>
    </row>
    <row r="3806" spans="1:12" s="33" customFormat="1" x14ac:dyDescent="0.2">
      <c r="A3806" s="1" t="s">
        <v>34</v>
      </c>
      <c r="B3806" s="12" t="s">
        <v>101</v>
      </c>
      <c r="C3806" s="13"/>
      <c r="D3806" s="7" t="s">
        <v>464</v>
      </c>
      <c r="E3806" s="6" t="s">
        <v>465</v>
      </c>
      <c r="F3806" s="6">
        <v>102500</v>
      </c>
      <c r="G3806" s="57" t="s">
        <v>465</v>
      </c>
      <c r="H3806" s="21"/>
      <c r="I3806" s="21"/>
      <c r="J3806" s="7"/>
      <c r="K3806" s="13"/>
      <c r="L3806" s="13"/>
    </row>
    <row r="3807" spans="1:12" s="33" customFormat="1" x14ac:dyDescent="0.2">
      <c r="A3807" s="1" t="s">
        <v>34</v>
      </c>
      <c r="B3807" s="12" t="s">
        <v>101</v>
      </c>
      <c r="C3807" s="13"/>
      <c r="D3807" s="7" t="s">
        <v>464</v>
      </c>
      <c r="E3807" s="6" t="s">
        <v>465</v>
      </c>
      <c r="F3807" s="6">
        <v>102500</v>
      </c>
      <c r="G3807" s="57" t="s">
        <v>465</v>
      </c>
      <c r="H3807" s="21"/>
      <c r="I3807" s="21"/>
      <c r="J3807" s="7"/>
      <c r="K3807" s="13"/>
      <c r="L3807" s="13"/>
    </row>
    <row r="3808" spans="1:12" s="33" customFormat="1" x14ac:dyDescent="0.2">
      <c r="A3808" s="1" t="s">
        <v>25</v>
      </c>
      <c r="B3808" s="2" t="s">
        <v>107</v>
      </c>
      <c r="C3808" s="1"/>
      <c r="D3808" s="5" t="s">
        <v>464</v>
      </c>
      <c r="E3808" s="3" t="s">
        <v>465</v>
      </c>
      <c r="F3808" s="3">
        <v>102500</v>
      </c>
      <c r="G3808" s="57" t="s">
        <v>465</v>
      </c>
      <c r="H3808" s="19"/>
      <c r="I3808" s="19"/>
      <c r="J3808" s="1"/>
      <c r="K3808" s="1"/>
      <c r="L3808" s="1"/>
    </row>
    <row r="3809" spans="1:12" s="33" customFormat="1" x14ac:dyDescent="0.2">
      <c r="A3809" s="1" t="s">
        <v>25</v>
      </c>
      <c r="B3809" s="2" t="s">
        <v>107</v>
      </c>
      <c r="C3809" s="1"/>
      <c r="D3809" s="5" t="s">
        <v>464</v>
      </c>
      <c r="E3809" s="3" t="s">
        <v>465</v>
      </c>
      <c r="F3809" s="3">
        <v>102500</v>
      </c>
      <c r="G3809" s="57" t="s">
        <v>465</v>
      </c>
      <c r="H3809" s="19"/>
      <c r="I3809" s="19"/>
      <c r="J3809" s="1"/>
      <c r="K3809" s="1"/>
      <c r="L3809" s="1"/>
    </row>
    <row r="3810" spans="1:12" s="33" customFormat="1" x14ac:dyDescent="0.2">
      <c r="A3810" s="1" t="s">
        <v>25</v>
      </c>
      <c r="B3810" s="2" t="s">
        <v>107</v>
      </c>
      <c r="C3810" s="1"/>
      <c r="D3810" s="5" t="s">
        <v>464</v>
      </c>
      <c r="E3810" s="3" t="s">
        <v>465</v>
      </c>
      <c r="F3810" s="3">
        <v>102500</v>
      </c>
      <c r="G3810" s="57" t="s">
        <v>465</v>
      </c>
      <c r="H3810" s="19"/>
      <c r="I3810" s="19"/>
      <c r="J3810" s="1"/>
      <c r="K3810" s="1"/>
      <c r="L3810" s="1"/>
    </row>
    <row r="3811" spans="1:12" s="33" customFormat="1" x14ac:dyDescent="0.2">
      <c r="A3811" s="1" t="s">
        <v>6</v>
      </c>
      <c r="B3811" s="2" t="s">
        <v>108</v>
      </c>
      <c r="C3811" s="1"/>
      <c r="D3811" s="5" t="s">
        <v>464</v>
      </c>
      <c r="E3811" s="3" t="s">
        <v>465</v>
      </c>
      <c r="F3811" s="3">
        <v>102500</v>
      </c>
      <c r="G3811" s="57" t="s">
        <v>465</v>
      </c>
      <c r="H3811" s="19"/>
      <c r="I3811" s="19"/>
      <c r="J3811" s="5"/>
      <c r="K3811" s="1"/>
      <c r="L3811" s="1"/>
    </row>
    <row r="3812" spans="1:12" s="33" customFormat="1" x14ac:dyDescent="0.2">
      <c r="A3812" s="1" t="s">
        <v>44</v>
      </c>
      <c r="B3812" s="2" t="s">
        <v>114</v>
      </c>
      <c r="C3812" s="1"/>
      <c r="D3812" s="5" t="s">
        <v>464</v>
      </c>
      <c r="E3812" s="3" t="s">
        <v>465</v>
      </c>
      <c r="F3812" s="3">
        <v>102500</v>
      </c>
      <c r="G3812" s="57" t="s">
        <v>465</v>
      </c>
      <c r="H3812" s="19"/>
      <c r="I3812" s="19"/>
      <c r="J3812" s="5"/>
      <c r="K3812" s="1"/>
      <c r="L3812" s="1"/>
    </row>
    <row r="3813" spans="1:12" s="33" customFormat="1" x14ac:dyDescent="0.2">
      <c r="A3813" s="1" t="s">
        <v>8</v>
      </c>
      <c r="B3813" s="2" t="s">
        <v>115</v>
      </c>
      <c r="C3813" s="1"/>
      <c r="D3813" s="5" t="s">
        <v>464</v>
      </c>
      <c r="E3813" s="3" t="s">
        <v>465</v>
      </c>
      <c r="F3813" s="3">
        <v>102500</v>
      </c>
      <c r="G3813" s="57" t="s">
        <v>465</v>
      </c>
      <c r="H3813" s="19"/>
      <c r="I3813" s="19"/>
      <c r="J3813" s="5"/>
      <c r="K3813" s="1"/>
      <c r="L3813" s="1"/>
    </row>
    <row r="3814" spans="1:12" s="33" customFormat="1" x14ac:dyDescent="0.2">
      <c r="A3814" s="1" t="s">
        <v>8</v>
      </c>
      <c r="B3814" s="2" t="s">
        <v>115</v>
      </c>
      <c r="C3814" s="1"/>
      <c r="D3814" s="5" t="s">
        <v>464</v>
      </c>
      <c r="E3814" s="3" t="s">
        <v>465</v>
      </c>
      <c r="F3814" s="3">
        <v>102500</v>
      </c>
      <c r="G3814" s="57" t="s">
        <v>465</v>
      </c>
      <c r="H3814" s="19"/>
      <c r="I3814" s="19"/>
      <c r="J3814" s="5"/>
      <c r="K3814" s="1"/>
      <c r="L3814" s="1"/>
    </row>
    <row r="3815" spans="1:12" s="33" customFormat="1" x14ac:dyDescent="0.2">
      <c r="A3815" s="1" t="s">
        <v>8</v>
      </c>
      <c r="B3815" s="2" t="s">
        <v>115</v>
      </c>
      <c r="C3815" s="1"/>
      <c r="D3815" s="5" t="s">
        <v>464</v>
      </c>
      <c r="E3815" s="3" t="s">
        <v>465</v>
      </c>
      <c r="F3815" s="3">
        <v>102500</v>
      </c>
      <c r="G3815" s="57" t="s">
        <v>465</v>
      </c>
      <c r="H3815" s="19"/>
      <c r="I3815" s="19"/>
      <c r="J3815" s="5"/>
      <c r="K3815" s="1"/>
      <c r="L3815" s="1"/>
    </row>
    <row r="3816" spans="1:12" s="33" customFormat="1" x14ac:dyDescent="0.2">
      <c r="A3816" s="1" t="s">
        <v>8</v>
      </c>
      <c r="B3816" s="2" t="s">
        <v>115</v>
      </c>
      <c r="C3816" s="1"/>
      <c r="D3816" s="5" t="s">
        <v>464</v>
      </c>
      <c r="E3816" s="3" t="s">
        <v>465</v>
      </c>
      <c r="F3816" s="3">
        <v>102500</v>
      </c>
      <c r="G3816" s="57" t="s">
        <v>465</v>
      </c>
      <c r="H3816" s="19"/>
      <c r="I3816" s="19"/>
      <c r="J3816" s="5"/>
      <c r="K3816" s="1"/>
      <c r="L3816" s="1"/>
    </row>
    <row r="3817" spans="1:12" s="33" customFormat="1" x14ac:dyDescent="0.2">
      <c r="A3817" s="1" t="s">
        <v>8</v>
      </c>
      <c r="B3817" s="2" t="s">
        <v>115</v>
      </c>
      <c r="C3817" s="1"/>
      <c r="D3817" s="5" t="s">
        <v>464</v>
      </c>
      <c r="E3817" s="3" t="s">
        <v>465</v>
      </c>
      <c r="F3817" s="3">
        <v>102500</v>
      </c>
      <c r="G3817" s="57" t="s">
        <v>465</v>
      </c>
      <c r="H3817" s="19"/>
      <c r="I3817" s="19"/>
      <c r="J3817" s="5"/>
      <c r="K3817" s="1"/>
      <c r="L3817" s="1"/>
    </row>
    <row r="3818" spans="1:12" s="33" customFormat="1" x14ac:dyDescent="0.2">
      <c r="A3818" s="1" t="s">
        <v>8</v>
      </c>
      <c r="B3818" s="2" t="s">
        <v>115</v>
      </c>
      <c r="C3818" s="1"/>
      <c r="D3818" s="5" t="s">
        <v>464</v>
      </c>
      <c r="E3818" s="3" t="s">
        <v>465</v>
      </c>
      <c r="F3818" s="3">
        <v>102500</v>
      </c>
      <c r="G3818" s="57" t="s">
        <v>465</v>
      </c>
      <c r="H3818" s="19"/>
      <c r="I3818" s="19"/>
      <c r="J3818" s="5"/>
      <c r="K3818" s="1"/>
      <c r="L3818" s="1"/>
    </row>
    <row r="3819" spans="1:12" s="33" customFormat="1" x14ac:dyDescent="0.2">
      <c r="A3819" s="1" t="s">
        <v>8</v>
      </c>
      <c r="B3819" s="2" t="s">
        <v>115</v>
      </c>
      <c r="C3819" s="1"/>
      <c r="D3819" s="5" t="s">
        <v>464</v>
      </c>
      <c r="E3819" s="3" t="s">
        <v>465</v>
      </c>
      <c r="F3819" s="3">
        <v>102500</v>
      </c>
      <c r="G3819" s="57" t="s">
        <v>465</v>
      </c>
      <c r="H3819" s="19"/>
      <c r="I3819" s="19"/>
      <c r="J3819" s="1"/>
      <c r="K3819" s="1"/>
      <c r="L3819" s="1"/>
    </row>
    <row r="3820" spans="1:12" s="33" customFormat="1" x14ac:dyDescent="0.2">
      <c r="A3820" s="1" t="s">
        <v>8</v>
      </c>
      <c r="B3820" s="2" t="s">
        <v>115</v>
      </c>
      <c r="C3820" s="1"/>
      <c r="D3820" s="5" t="s">
        <v>464</v>
      </c>
      <c r="E3820" s="3" t="s">
        <v>465</v>
      </c>
      <c r="F3820" s="3">
        <v>102500</v>
      </c>
      <c r="G3820" s="57" t="s">
        <v>465</v>
      </c>
      <c r="H3820" s="19"/>
      <c r="I3820" s="19"/>
      <c r="J3820" s="1"/>
      <c r="K3820" s="1"/>
      <c r="L3820" s="1"/>
    </row>
    <row r="3821" spans="1:12" s="33" customFormat="1" x14ac:dyDescent="0.2">
      <c r="A3821" s="1" t="s">
        <v>8</v>
      </c>
      <c r="B3821" s="2" t="s">
        <v>115</v>
      </c>
      <c r="C3821" s="1"/>
      <c r="D3821" s="5" t="s">
        <v>464</v>
      </c>
      <c r="E3821" s="3" t="s">
        <v>465</v>
      </c>
      <c r="F3821" s="3">
        <v>102500</v>
      </c>
      <c r="G3821" s="57" t="s">
        <v>465</v>
      </c>
      <c r="H3821" s="19"/>
      <c r="I3821" s="19"/>
      <c r="J3821" s="1"/>
      <c r="K3821" s="1"/>
      <c r="L3821" s="1"/>
    </row>
    <row r="3822" spans="1:12" s="33" customFormat="1" x14ac:dyDescent="0.2">
      <c r="A3822" s="1" t="s">
        <v>8</v>
      </c>
      <c r="B3822" s="2" t="s">
        <v>115</v>
      </c>
      <c r="C3822" s="1"/>
      <c r="D3822" s="5" t="s">
        <v>464</v>
      </c>
      <c r="E3822" s="3" t="s">
        <v>465</v>
      </c>
      <c r="F3822" s="3">
        <v>102500</v>
      </c>
      <c r="G3822" s="57" t="s">
        <v>465</v>
      </c>
      <c r="H3822" s="19"/>
      <c r="I3822" s="19"/>
      <c r="J3822" s="1"/>
      <c r="K3822" s="1"/>
      <c r="L3822" s="1"/>
    </row>
    <row r="3823" spans="1:12" s="33" customFormat="1" x14ac:dyDescent="0.2">
      <c r="A3823" s="1" t="s">
        <v>34</v>
      </c>
      <c r="B3823" s="2" t="s">
        <v>119</v>
      </c>
      <c r="C3823" s="1"/>
      <c r="D3823" s="5" t="s">
        <v>464</v>
      </c>
      <c r="E3823" s="3" t="s">
        <v>465</v>
      </c>
      <c r="F3823" s="3">
        <v>102500</v>
      </c>
      <c r="G3823" s="57" t="s">
        <v>465</v>
      </c>
      <c r="H3823" s="19"/>
      <c r="I3823" s="19"/>
      <c r="J3823" s="5"/>
      <c r="K3823" s="1"/>
      <c r="L3823" s="1"/>
    </row>
    <row r="3824" spans="1:12" s="33" customFormat="1" x14ac:dyDescent="0.2">
      <c r="A3824" s="1" t="s">
        <v>34</v>
      </c>
      <c r="B3824" s="2" t="s">
        <v>119</v>
      </c>
      <c r="C3824" s="1"/>
      <c r="D3824" s="5" t="s">
        <v>464</v>
      </c>
      <c r="E3824" s="3" t="s">
        <v>465</v>
      </c>
      <c r="F3824" s="3">
        <v>102500</v>
      </c>
      <c r="G3824" s="57" t="s">
        <v>465</v>
      </c>
      <c r="H3824" s="19"/>
      <c r="I3824" s="19"/>
      <c r="J3824" s="5"/>
      <c r="K3824" s="1"/>
      <c r="L3824" s="1"/>
    </row>
    <row r="3825" spans="1:12" s="33" customFormat="1" x14ac:dyDescent="0.2">
      <c r="A3825" s="1" t="s">
        <v>39</v>
      </c>
      <c r="B3825" s="2" t="s">
        <v>124</v>
      </c>
      <c r="C3825" s="1"/>
      <c r="D3825" s="5" t="s">
        <v>464</v>
      </c>
      <c r="E3825" s="3" t="s">
        <v>465</v>
      </c>
      <c r="F3825" s="3">
        <v>102500</v>
      </c>
      <c r="G3825" s="57" t="s">
        <v>465</v>
      </c>
      <c r="H3825" s="19"/>
      <c r="I3825" s="19"/>
      <c r="J3825" s="5"/>
      <c r="K3825" s="1"/>
      <c r="L3825" s="1"/>
    </row>
    <row r="3826" spans="1:12" s="33" customFormat="1" x14ac:dyDescent="0.2">
      <c r="A3826" s="1" t="s">
        <v>39</v>
      </c>
      <c r="B3826" s="2" t="s">
        <v>124</v>
      </c>
      <c r="C3826" s="1"/>
      <c r="D3826" s="5" t="s">
        <v>464</v>
      </c>
      <c r="E3826" s="3" t="s">
        <v>465</v>
      </c>
      <c r="F3826" s="3">
        <v>102500</v>
      </c>
      <c r="G3826" s="57" t="s">
        <v>465</v>
      </c>
      <c r="H3826" s="19"/>
      <c r="I3826" s="19"/>
      <c r="J3826" s="5"/>
      <c r="K3826" s="1"/>
      <c r="L3826" s="1"/>
    </row>
    <row r="3827" spans="1:12" s="33" customFormat="1" x14ac:dyDescent="0.2">
      <c r="A3827" s="1" t="s">
        <v>1</v>
      </c>
      <c r="B3827" s="2" t="s">
        <v>125</v>
      </c>
      <c r="C3827" s="1"/>
      <c r="D3827" s="5" t="s">
        <v>464</v>
      </c>
      <c r="E3827" s="3" t="s">
        <v>465</v>
      </c>
      <c r="F3827" s="3">
        <v>102500</v>
      </c>
      <c r="G3827" s="57" t="s">
        <v>465</v>
      </c>
      <c r="H3827" s="19"/>
      <c r="I3827" s="19"/>
      <c r="J3827" s="5"/>
      <c r="K3827" s="1"/>
      <c r="L3827" s="1"/>
    </row>
    <row r="3828" spans="1:12" s="33" customFormat="1" x14ac:dyDescent="0.2">
      <c r="A3828" s="1" t="s">
        <v>1</v>
      </c>
      <c r="B3828" s="2" t="s">
        <v>125</v>
      </c>
      <c r="C3828" s="1"/>
      <c r="D3828" s="5" t="s">
        <v>464</v>
      </c>
      <c r="E3828" s="3" t="s">
        <v>465</v>
      </c>
      <c r="F3828" s="3">
        <v>102500</v>
      </c>
      <c r="G3828" s="57" t="s">
        <v>465</v>
      </c>
      <c r="H3828" s="19"/>
      <c r="I3828" s="19"/>
      <c r="J3828" s="5"/>
      <c r="K3828" s="1"/>
      <c r="L3828" s="1"/>
    </row>
    <row r="3829" spans="1:12" s="33" customFormat="1" x14ac:dyDescent="0.2">
      <c r="A3829" s="1" t="s">
        <v>111</v>
      </c>
      <c r="B3829" s="2" t="s">
        <v>128</v>
      </c>
      <c r="C3829" s="1"/>
      <c r="D3829" s="5" t="s">
        <v>464</v>
      </c>
      <c r="E3829" s="3" t="s">
        <v>465</v>
      </c>
      <c r="F3829" s="3">
        <v>102500</v>
      </c>
      <c r="G3829" s="57" t="s">
        <v>465</v>
      </c>
      <c r="H3829" s="19"/>
      <c r="I3829" s="19"/>
      <c r="J3829" s="1"/>
      <c r="K3829" s="1"/>
      <c r="L3829" s="1"/>
    </row>
    <row r="3830" spans="1:12" s="33" customFormat="1" x14ac:dyDescent="0.2">
      <c r="A3830" s="1" t="s">
        <v>111</v>
      </c>
      <c r="B3830" s="2" t="s">
        <v>128</v>
      </c>
      <c r="C3830" s="1"/>
      <c r="D3830" s="5" t="s">
        <v>464</v>
      </c>
      <c r="E3830" s="3" t="s">
        <v>465</v>
      </c>
      <c r="F3830" s="3">
        <v>102500</v>
      </c>
      <c r="G3830" s="57" t="s">
        <v>465</v>
      </c>
      <c r="H3830" s="19"/>
      <c r="I3830" s="19"/>
      <c r="J3830" s="1"/>
      <c r="K3830" s="1"/>
      <c r="L3830" s="1"/>
    </row>
    <row r="3831" spans="1:12" s="33" customFormat="1" x14ac:dyDescent="0.2">
      <c r="A3831" s="1" t="s">
        <v>25</v>
      </c>
      <c r="B3831" s="2" t="s">
        <v>129</v>
      </c>
      <c r="C3831" s="1"/>
      <c r="D3831" s="5" t="s">
        <v>464</v>
      </c>
      <c r="E3831" s="3" t="s">
        <v>465</v>
      </c>
      <c r="F3831" s="3">
        <v>102500</v>
      </c>
      <c r="G3831" s="57" t="s">
        <v>465</v>
      </c>
      <c r="H3831" s="19"/>
      <c r="I3831" s="19"/>
      <c r="J3831" s="1"/>
      <c r="K3831" s="1"/>
      <c r="L3831" s="1"/>
    </row>
    <row r="3832" spans="1:12" s="33" customFormat="1" x14ac:dyDescent="0.2">
      <c r="A3832" s="1" t="s">
        <v>34</v>
      </c>
      <c r="B3832" s="2" t="s">
        <v>133</v>
      </c>
      <c r="C3832" s="1"/>
      <c r="D3832" s="5" t="s">
        <v>464</v>
      </c>
      <c r="E3832" s="3" t="s">
        <v>465</v>
      </c>
      <c r="F3832" s="3">
        <v>102500</v>
      </c>
      <c r="G3832" s="57" t="s">
        <v>465</v>
      </c>
      <c r="H3832" s="19"/>
      <c r="I3832" s="19"/>
      <c r="J3832" s="5"/>
      <c r="K3832" s="1"/>
      <c r="L3832" s="1"/>
    </row>
    <row r="3833" spans="1:12" s="33" customFormat="1" x14ac:dyDescent="0.2">
      <c r="A3833" s="1" t="s">
        <v>34</v>
      </c>
      <c r="B3833" s="2" t="s">
        <v>133</v>
      </c>
      <c r="C3833" s="1"/>
      <c r="D3833" s="5" t="s">
        <v>464</v>
      </c>
      <c r="E3833" s="3" t="s">
        <v>465</v>
      </c>
      <c r="F3833" s="3">
        <v>102500</v>
      </c>
      <c r="G3833" s="57" t="s">
        <v>465</v>
      </c>
      <c r="H3833" s="19"/>
      <c r="I3833" s="19"/>
      <c r="J3833" s="5"/>
      <c r="K3833" s="1"/>
      <c r="L3833" s="1"/>
    </row>
    <row r="3834" spans="1:12" s="33" customFormat="1" x14ac:dyDescent="0.2">
      <c r="A3834" s="1" t="s">
        <v>1</v>
      </c>
      <c r="B3834" s="2" t="s">
        <v>135</v>
      </c>
      <c r="C3834" s="1"/>
      <c r="D3834" s="5" t="s">
        <v>464</v>
      </c>
      <c r="E3834" s="3" t="s">
        <v>465</v>
      </c>
      <c r="F3834" s="3">
        <v>102500</v>
      </c>
      <c r="G3834" s="57" t="s">
        <v>465</v>
      </c>
      <c r="H3834" s="19"/>
      <c r="I3834" s="19"/>
      <c r="J3834" s="5"/>
      <c r="K3834" s="1"/>
      <c r="L3834" s="1"/>
    </row>
    <row r="3835" spans="1:12" s="33" customFormat="1" x14ac:dyDescent="0.2">
      <c r="A3835" s="1" t="s">
        <v>1</v>
      </c>
      <c r="B3835" s="2" t="s">
        <v>135</v>
      </c>
      <c r="C3835" s="1"/>
      <c r="D3835" s="5" t="s">
        <v>464</v>
      </c>
      <c r="E3835" s="3" t="s">
        <v>465</v>
      </c>
      <c r="F3835" s="3">
        <v>102500</v>
      </c>
      <c r="G3835" s="57" t="s">
        <v>465</v>
      </c>
      <c r="H3835" s="19"/>
      <c r="I3835" s="19"/>
      <c r="J3835" s="5"/>
      <c r="K3835" s="1"/>
      <c r="L3835" s="1"/>
    </row>
    <row r="3836" spans="1:12" s="33" customFormat="1" x14ac:dyDescent="0.2">
      <c r="A3836" s="1" t="s">
        <v>1</v>
      </c>
      <c r="B3836" s="2" t="s">
        <v>135</v>
      </c>
      <c r="C3836" s="1"/>
      <c r="D3836" s="5" t="s">
        <v>464</v>
      </c>
      <c r="E3836" s="3" t="s">
        <v>465</v>
      </c>
      <c r="F3836" s="3">
        <v>102500</v>
      </c>
      <c r="G3836" s="57" t="s">
        <v>465</v>
      </c>
      <c r="H3836" s="19"/>
      <c r="I3836" s="19"/>
      <c r="J3836" s="5"/>
      <c r="K3836" s="1"/>
      <c r="L3836" s="1"/>
    </row>
    <row r="3837" spans="1:12" s="33" customFormat="1" x14ac:dyDescent="0.2">
      <c r="A3837" s="1" t="s">
        <v>20</v>
      </c>
      <c r="B3837" s="2" t="s">
        <v>137</v>
      </c>
      <c r="C3837" s="1"/>
      <c r="D3837" s="5" t="s">
        <v>464</v>
      </c>
      <c r="E3837" s="3" t="s">
        <v>465</v>
      </c>
      <c r="F3837" s="3">
        <v>102500</v>
      </c>
      <c r="G3837" s="57" t="s">
        <v>465</v>
      </c>
      <c r="H3837" s="19"/>
      <c r="I3837" s="19"/>
      <c r="J3837" s="5"/>
      <c r="K3837" s="1"/>
      <c r="L3837" s="1"/>
    </row>
    <row r="3838" spans="1:12" s="33" customFormat="1" x14ac:dyDescent="0.2">
      <c r="A3838" s="1" t="s">
        <v>28</v>
      </c>
      <c r="B3838" s="2" t="s">
        <v>142</v>
      </c>
      <c r="C3838" s="1"/>
      <c r="D3838" s="5" t="s">
        <v>464</v>
      </c>
      <c r="E3838" s="3" t="s">
        <v>465</v>
      </c>
      <c r="F3838" s="3">
        <v>102500</v>
      </c>
      <c r="G3838" s="57" t="s">
        <v>465</v>
      </c>
      <c r="H3838" s="19"/>
      <c r="I3838" s="19"/>
      <c r="J3838" s="5"/>
      <c r="K3838" s="1"/>
      <c r="L3838" s="1"/>
    </row>
    <row r="3839" spans="1:12" s="33" customFormat="1" x14ac:dyDescent="0.2">
      <c r="A3839" s="1" t="s">
        <v>28</v>
      </c>
      <c r="B3839" s="2" t="s">
        <v>142</v>
      </c>
      <c r="C3839" s="1"/>
      <c r="D3839" s="5" t="s">
        <v>464</v>
      </c>
      <c r="E3839" s="3" t="s">
        <v>465</v>
      </c>
      <c r="F3839" s="3">
        <v>102500</v>
      </c>
      <c r="G3839" s="57" t="s">
        <v>465</v>
      </c>
      <c r="H3839" s="19"/>
      <c r="I3839" s="19"/>
      <c r="J3839" s="5"/>
      <c r="K3839" s="1"/>
      <c r="L3839" s="1"/>
    </row>
    <row r="3840" spans="1:12" x14ac:dyDescent="0.2">
      <c r="A3840" s="1" t="s">
        <v>4</v>
      </c>
      <c r="B3840" s="2" t="s">
        <v>144</v>
      </c>
      <c r="C3840" s="1"/>
      <c r="D3840" s="5" t="s">
        <v>464</v>
      </c>
      <c r="E3840" s="3" t="s">
        <v>465</v>
      </c>
      <c r="F3840" s="3">
        <v>102500</v>
      </c>
      <c r="G3840" s="57" t="s">
        <v>465</v>
      </c>
    </row>
    <row r="3841" spans="1:10" x14ac:dyDescent="0.2">
      <c r="A3841" s="1" t="s">
        <v>4</v>
      </c>
      <c r="B3841" s="2" t="s">
        <v>145</v>
      </c>
      <c r="C3841" s="1"/>
      <c r="D3841" s="5" t="s">
        <v>464</v>
      </c>
      <c r="E3841" s="3" t="s">
        <v>465</v>
      </c>
      <c r="F3841" s="3">
        <v>102500</v>
      </c>
      <c r="G3841" s="57" t="s">
        <v>465</v>
      </c>
    </row>
    <row r="3842" spans="1:10" x14ac:dyDescent="0.2">
      <c r="A3842" s="1" t="s">
        <v>25</v>
      </c>
      <c r="B3842" s="2" t="s">
        <v>150</v>
      </c>
      <c r="C3842" s="1"/>
      <c r="D3842" s="5" t="s">
        <v>464</v>
      </c>
      <c r="E3842" s="3" t="s">
        <v>465</v>
      </c>
      <c r="F3842" s="3">
        <v>102500</v>
      </c>
      <c r="G3842" s="57" t="s">
        <v>465</v>
      </c>
    </row>
    <row r="3843" spans="1:10" x14ac:dyDescent="0.2">
      <c r="A3843" s="1" t="s">
        <v>20</v>
      </c>
      <c r="B3843" s="2" t="s">
        <v>154</v>
      </c>
      <c r="C3843" s="1"/>
      <c r="D3843" s="5" t="s">
        <v>464</v>
      </c>
      <c r="E3843" s="3" t="s">
        <v>465</v>
      </c>
      <c r="F3843" s="3">
        <v>102500</v>
      </c>
      <c r="G3843" s="57" t="s">
        <v>465</v>
      </c>
      <c r="J3843" s="1"/>
    </row>
    <row r="3844" spans="1:10" x14ac:dyDescent="0.2">
      <c r="A3844" s="1" t="s">
        <v>20</v>
      </c>
      <c r="B3844" s="2" t="s">
        <v>154</v>
      </c>
      <c r="C3844" s="1"/>
      <c r="D3844" s="5" t="s">
        <v>464</v>
      </c>
      <c r="E3844" s="3" t="s">
        <v>465</v>
      </c>
      <c r="F3844" s="3">
        <v>102500</v>
      </c>
      <c r="G3844" s="57" t="s">
        <v>465</v>
      </c>
      <c r="J3844" s="1"/>
    </row>
    <row r="3845" spans="1:10" x14ac:dyDescent="0.2">
      <c r="A3845" s="1" t="s">
        <v>20</v>
      </c>
      <c r="B3845" s="2" t="s">
        <v>154</v>
      </c>
      <c r="C3845" s="1"/>
      <c r="D3845" s="5" t="s">
        <v>464</v>
      </c>
      <c r="E3845" s="3" t="s">
        <v>465</v>
      </c>
      <c r="F3845" s="3">
        <v>102500</v>
      </c>
      <c r="G3845" s="57" t="s">
        <v>465</v>
      </c>
      <c r="J3845" s="1"/>
    </row>
    <row r="3846" spans="1:10" x14ac:dyDescent="0.2">
      <c r="A3846" s="1" t="s">
        <v>20</v>
      </c>
      <c r="B3846" s="2" t="s">
        <v>154</v>
      </c>
      <c r="C3846" s="1"/>
      <c r="D3846" s="5" t="s">
        <v>464</v>
      </c>
      <c r="E3846" s="3" t="s">
        <v>465</v>
      </c>
      <c r="F3846" s="3">
        <v>102500</v>
      </c>
      <c r="G3846" s="57" t="s">
        <v>465</v>
      </c>
      <c r="J3846" s="1"/>
    </row>
    <row r="3847" spans="1:10" x14ac:dyDescent="0.2">
      <c r="A3847" s="1" t="s">
        <v>20</v>
      </c>
      <c r="B3847" s="2" t="s">
        <v>154</v>
      </c>
      <c r="C3847" s="1"/>
      <c r="D3847" s="5" t="s">
        <v>464</v>
      </c>
      <c r="E3847" s="3" t="s">
        <v>465</v>
      </c>
      <c r="F3847" s="3">
        <v>102500</v>
      </c>
      <c r="G3847" s="57" t="s">
        <v>465</v>
      </c>
      <c r="J3847" s="1"/>
    </row>
    <row r="3848" spans="1:10" x14ac:dyDescent="0.2">
      <c r="A3848" s="1" t="s">
        <v>20</v>
      </c>
      <c r="B3848" s="2" t="s">
        <v>154</v>
      </c>
      <c r="C3848" s="1"/>
      <c r="D3848" s="5" t="s">
        <v>464</v>
      </c>
      <c r="E3848" s="3" t="s">
        <v>465</v>
      </c>
      <c r="F3848" s="3">
        <v>102500</v>
      </c>
      <c r="G3848" s="57" t="s">
        <v>465</v>
      </c>
      <c r="J3848" s="1"/>
    </row>
    <row r="3849" spans="1:10" x14ac:dyDescent="0.2">
      <c r="A3849" s="1" t="s">
        <v>20</v>
      </c>
      <c r="B3849" s="2" t="s">
        <v>154</v>
      </c>
      <c r="C3849" s="1"/>
      <c r="D3849" s="5" t="s">
        <v>464</v>
      </c>
      <c r="E3849" s="3" t="s">
        <v>465</v>
      </c>
      <c r="F3849" s="3">
        <v>102500</v>
      </c>
      <c r="G3849" s="57" t="s">
        <v>465</v>
      </c>
      <c r="J3849" s="1"/>
    </row>
    <row r="3850" spans="1:10" x14ac:dyDescent="0.2">
      <c r="A3850" s="1" t="s">
        <v>111</v>
      </c>
      <c r="B3850" s="2" t="s">
        <v>166</v>
      </c>
      <c r="C3850" s="1"/>
      <c r="D3850" s="5" t="s">
        <v>464</v>
      </c>
      <c r="E3850" s="3" t="s">
        <v>465</v>
      </c>
      <c r="F3850" s="3">
        <v>102500</v>
      </c>
      <c r="G3850" s="57" t="s">
        <v>465</v>
      </c>
      <c r="J3850" s="1"/>
    </row>
    <row r="3851" spans="1:10" x14ac:dyDescent="0.2">
      <c r="A3851" s="1" t="s">
        <v>111</v>
      </c>
      <c r="B3851" s="2" t="s">
        <v>166</v>
      </c>
      <c r="C3851" s="1"/>
      <c r="D3851" s="5" t="s">
        <v>464</v>
      </c>
      <c r="E3851" s="3" t="s">
        <v>465</v>
      </c>
      <c r="F3851" s="3">
        <v>102500</v>
      </c>
      <c r="G3851" s="57" t="s">
        <v>465</v>
      </c>
      <c r="J3851" s="1"/>
    </row>
    <row r="3852" spans="1:10" x14ac:dyDescent="0.2">
      <c r="A3852" s="1" t="s">
        <v>111</v>
      </c>
      <c r="B3852" s="2" t="s">
        <v>166</v>
      </c>
      <c r="C3852" s="1"/>
      <c r="D3852" s="5" t="s">
        <v>464</v>
      </c>
      <c r="E3852" s="3" t="s">
        <v>465</v>
      </c>
      <c r="F3852" s="3">
        <v>102500</v>
      </c>
      <c r="G3852" s="57" t="s">
        <v>465</v>
      </c>
      <c r="J3852" s="1"/>
    </row>
    <row r="3853" spans="1:10" x14ac:dyDescent="0.2">
      <c r="A3853" s="1" t="s">
        <v>1</v>
      </c>
      <c r="B3853" s="2" t="s">
        <v>168</v>
      </c>
      <c r="C3853" s="1"/>
      <c r="D3853" s="5" t="s">
        <v>464</v>
      </c>
      <c r="E3853" s="3" t="s">
        <v>465</v>
      </c>
      <c r="F3853" s="3">
        <v>102500</v>
      </c>
      <c r="G3853" s="57" t="s">
        <v>465</v>
      </c>
      <c r="H3853" s="4"/>
      <c r="I3853" s="4"/>
      <c r="J3853" s="1"/>
    </row>
    <row r="3854" spans="1:10" x14ac:dyDescent="0.2">
      <c r="A3854" s="1" t="s">
        <v>1</v>
      </c>
      <c r="B3854" s="2" t="s">
        <v>168</v>
      </c>
      <c r="C3854" s="1"/>
      <c r="D3854" s="5" t="s">
        <v>464</v>
      </c>
      <c r="E3854" s="3" t="s">
        <v>465</v>
      </c>
      <c r="F3854" s="3">
        <v>102500</v>
      </c>
      <c r="G3854" s="57" t="s">
        <v>465</v>
      </c>
      <c r="H3854" s="4"/>
      <c r="I3854" s="4"/>
      <c r="J3854" s="1"/>
    </row>
    <row r="3855" spans="1:10" x14ac:dyDescent="0.2">
      <c r="A3855" s="1" t="s">
        <v>1</v>
      </c>
      <c r="B3855" s="2" t="s">
        <v>168</v>
      </c>
      <c r="C3855" s="1"/>
      <c r="D3855" s="5" t="s">
        <v>464</v>
      </c>
      <c r="E3855" s="3" t="s">
        <v>465</v>
      </c>
      <c r="F3855" s="3">
        <v>102500</v>
      </c>
      <c r="G3855" s="57" t="s">
        <v>465</v>
      </c>
      <c r="H3855" s="4"/>
      <c r="I3855" s="4"/>
      <c r="J3855" s="1"/>
    </row>
    <row r="3856" spans="1:10" x14ac:dyDescent="0.2">
      <c r="A3856" s="1" t="s">
        <v>25</v>
      </c>
      <c r="B3856" s="2" t="s">
        <v>174</v>
      </c>
      <c r="D3856" s="5" t="s">
        <v>464</v>
      </c>
      <c r="E3856" s="3" t="s">
        <v>465</v>
      </c>
      <c r="F3856" s="3">
        <v>102500</v>
      </c>
      <c r="G3856" s="57" t="s">
        <v>465</v>
      </c>
    </row>
    <row r="3857" spans="1:12" x14ac:dyDescent="0.2">
      <c r="A3857" s="1" t="s">
        <v>25</v>
      </c>
      <c r="B3857" s="2" t="s">
        <v>174</v>
      </c>
      <c r="D3857" s="5" t="s">
        <v>464</v>
      </c>
      <c r="E3857" s="3" t="s">
        <v>465</v>
      </c>
      <c r="F3857" s="3">
        <v>102500</v>
      </c>
      <c r="G3857" s="57" t="s">
        <v>465</v>
      </c>
    </row>
    <row r="3858" spans="1:12" x14ac:dyDescent="0.2">
      <c r="A3858" s="1" t="s">
        <v>25</v>
      </c>
      <c r="B3858" s="2" t="s">
        <v>175</v>
      </c>
      <c r="D3858" s="5" t="s">
        <v>464</v>
      </c>
      <c r="E3858" s="3" t="s">
        <v>465</v>
      </c>
      <c r="F3858" s="3">
        <v>102500</v>
      </c>
      <c r="G3858" s="57" t="s">
        <v>465</v>
      </c>
    </row>
    <row r="3859" spans="1:12" s="13" customFormat="1" x14ac:dyDescent="0.2">
      <c r="A3859" s="1" t="s">
        <v>25</v>
      </c>
      <c r="B3859" s="2" t="s">
        <v>175</v>
      </c>
      <c r="C3859" s="5"/>
      <c r="D3859" s="5" t="s">
        <v>464</v>
      </c>
      <c r="E3859" s="3" t="s">
        <v>465</v>
      </c>
      <c r="F3859" s="3">
        <v>102500</v>
      </c>
      <c r="G3859" s="57" t="s">
        <v>465</v>
      </c>
      <c r="H3859" s="19"/>
      <c r="I3859" s="19"/>
      <c r="J3859" s="5"/>
      <c r="K3859" s="1"/>
      <c r="L3859" s="1"/>
    </row>
    <row r="3860" spans="1:12" x14ac:dyDescent="0.2">
      <c r="A3860" s="1" t="s">
        <v>25</v>
      </c>
      <c r="B3860" s="2" t="s">
        <v>175</v>
      </c>
      <c r="D3860" s="5" t="s">
        <v>464</v>
      </c>
      <c r="E3860" s="3" t="s">
        <v>465</v>
      </c>
      <c r="F3860" s="3">
        <v>102500</v>
      </c>
      <c r="G3860" s="57" t="s">
        <v>465</v>
      </c>
    </row>
    <row r="3861" spans="1:12" x14ac:dyDescent="0.2">
      <c r="A3861" s="1" t="s">
        <v>25</v>
      </c>
      <c r="B3861" s="2" t="s">
        <v>178</v>
      </c>
      <c r="D3861" s="5" t="s">
        <v>464</v>
      </c>
      <c r="E3861" s="3" t="s">
        <v>465</v>
      </c>
      <c r="F3861" s="3">
        <v>102500</v>
      </c>
      <c r="G3861" s="57" t="s">
        <v>465</v>
      </c>
      <c r="J3861" s="1"/>
    </row>
    <row r="3862" spans="1:12" x14ac:dyDescent="0.2">
      <c r="A3862" s="1" t="s">
        <v>25</v>
      </c>
      <c r="B3862" s="2" t="s">
        <v>178</v>
      </c>
      <c r="D3862" s="5" t="s">
        <v>464</v>
      </c>
      <c r="E3862" s="3" t="s">
        <v>465</v>
      </c>
      <c r="F3862" s="3">
        <v>102500</v>
      </c>
      <c r="G3862" s="57" t="s">
        <v>465</v>
      </c>
      <c r="J3862" s="1"/>
    </row>
    <row r="3863" spans="1:12" x14ac:dyDescent="0.2">
      <c r="A3863" s="1" t="s">
        <v>25</v>
      </c>
      <c r="B3863" s="2" t="s">
        <v>178</v>
      </c>
      <c r="D3863" s="5" t="s">
        <v>464</v>
      </c>
      <c r="E3863" s="3" t="s">
        <v>465</v>
      </c>
      <c r="F3863" s="3">
        <v>102500</v>
      </c>
      <c r="G3863" s="57" t="s">
        <v>465</v>
      </c>
      <c r="J3863" s="1"/>
    </row>
    <row r="3864" spans="1:12" x14ac:dyDescent="0.2">
      <c r="A3864" s="1" t="s">
        <v>25</v>
      </c>
      <c r="B3864" s="2" t="s">
        <v>181</v>
      </c>
      <c r="D3864" s="5" t="s">
        <v>464</v>
      </c>
      <c r="E3864" s="3" t="s">
        <v>465</v>
      </c>
      <c r="F3864" s="3">
        <v>102500</v>
      </c>
      <c r="G3864" s="57" t="s">
        <v>465</v>
      </c>
    </row>
    <row r="3865" spans="1:12" x14ac:dyDescent="0.2">
      <c r="A3865" s="1" t="s">
        <v>25</v>
      </c>
      <c r="B3865" s="2" t="s">
        <v>181</v>
      </c>
      <c r="D3865" s="5" t="s">
        <v>464</v>
      </c>
      <c r="E3865" s="3" t="s">
        <v>465</v>
      </c>
      <c r="F3865" s="3">
        <v>102500</v>
      </c>
      <c r="G3865" s="57" t="s">
        <v>465</v>
      </c>
    </row>
    <row r="3866" spans="1:12" x14ac:dyDescent="0.2">
      <c r="A3866" s="1" t="s">
        <v>25</v>
      </c>
      <c r="B3866" s="2" t="s">
        <v>181</v>
      </c>
      <c r="D3866" s="5" t="s">
        <v>464</v>
      </c>
      <c r="E3866" s="3" t="s">
        <v>465</v>
      </c>
      <c r="F3866" s="3">
        <v>102500</v>
      </c>
      <c r="G3866" s="57" t="s">
        <v>465</v>
      </c>
    </row>
    <row r="3867" spans="1:12" x14ac:dyDescent="0.2">
      <c r="A3867" s="1" t="s">
        <v>25</v>
      </c>
      <c r="B3867" s="2" t="s">
        <v>181</v>
      </c>
      <c r="D3867" s="5" t="s">
        <v>464</v>
      </c>
      <c r="E3867" s="3" t="s">
        <v>465</v>
      </c>
      <c r="F3867" s="3">
        <v>102500</v>
      </c>
      <c r="G3867" s="57" t="s">
        <v>465</v>
      </c>
    </row>
    <row r="3868" spans="1:12" x14ac:dyDescent="0.2">
      <c r="A3868" s="1" t="s">
        <v>25</v>
      </c>
      <c r="B3868" s="2" t="s">
        <v>181</v>
      </c>
      <c r="D3868" s="5" t="s">
        <v>464</v>
      </c>
      <c r="E3868" s="3" t="s">
        <v>465</v>
      </c>
      <c r="F3868" s="3">
        <v>102500</v>
      </c>
      <c r="G3868" s="57" t="s">
        <v>465</v>
      </c>
    </row>
    <row r="3869" spans="1:12" x14ac:dyDescent="0.2">
      <c r="A3869" s="1" t="s">
        <v>25</v>
      </c>
      <c r="B3869" s="2" t="s">
        <v>181</v>
      </c>
      <c r="D3869" s="5" t="s">
        <v>464</v>
      </c>
      <c r="E3869" s="3" t="s">
        <v>465</v>
      </c>
      <c r="F3869" s="3">
        <v>102500</v>
      </c>
      <c r="G3869" s="57" t="s">
        <v>465</v>
      </c>
    </row>
    <row r="3870" spans="1:12" x14ac:dyDescent="0.2">
      <c r="A3870" s="1" t="s">
        <v>4</v>
      </c>
      <c r="B3870" s="2" t="s">
        <v>182</v>
      </c>
      <c r="D3870" s="5" t="s">
        <v>464</v>
      </c>
      <c r="E3870" s="3" t="s">
        <v>465</v>
      </c>
      <c r="F3870" s="3">
        <v>102500</v>
      </c>
      <c r="G3870" s="57" t="s">
        <v>465</v>
      </c>
      <c r="J3870" s="5" t="s">
        <v>1475</v>
      </c>
    </row>
    <row r="3871" spans="1:12" x14ac:dyDescent="0.2">
      <c r="A3871" s="1" t="s">
        <v>4</v>
      </c>
      <c r="B3871" s="2" t="s">
        <v>182</v>
      </c>
      <c r="D3871" s="5" t="s">
        <v>464</v>
      </c>
      <c r="E3871" s="3" t="s">
        <v>465</v>
      </c>
      <c r="F3871" s="3">
        <v>102500</v>
      </c>
      <c r="G3871" s="57" t="s">
        <v>465</v>
      </c>
      <c r="J3871" s="5" t="s">
        <v>1475</v>
      </c>
    </row>
    <row r="3872" spans="1:12" x14ac:dyDescent="0.2">
      <c r="A3872" s="1" t="s">
        <v>4</v>
      </c>
      <c r="B3872" s="2" t="s">
        <v>182</v>
      </c>
      <c r="D3872" s="5" t="s">
        <v>464</v>
      </c>
      <c r="E3872" s="3" t="s">
        <v>465</v>
      </c>
      <c r="F3872" s="3">
        <v>102500</v>
      </c>
      <c r="G3872" s="57" t="s">
        <v>465</v>
      </c>
      <c r="J3872" s="5" t="s">
        <v>1475</v>
      </c>
    </row>
    <row r="3873" spans="1:10" x14ac:dyDescent="0.2">
      <c r="A3873" s="1" t="s">
        <v>4</v>
      </c>
      <c r="B3873" s="2" t="s">
        <v>182</v>
      </c>
      <c r="D3873" s="5" t="s">
        <v>464</v>
      </c>
      <c r="E3873" s="3" t="s">
        <v>465</v>
      </c>
      <c r="F3873" s="3">
        <v>102500</v>
      </c>
      <c r="G3873" s="57" t="s">
        <v>465</v>
      </c>
      <c r="J3873" s="5" t="s">
        <v>1475</v>
      </c>
    </row>
    <row r="3874" spans="1:10" x14ac:dyDescent="0.2">
      <c r="A3874" s="1" t="s">
        <v>4</v>
      </c>
      <c r="B3874" s="2" t="s">
        <v>182</v>
      </c>
      <c r="D3874" s="5" t="s">
        <v>464</v>
      </c>
      <c r="E3874" s="3" t="s">
        <v>465</v>
      </c>
      <c r="F3874" s="3">
        <v>102500</v>
      </c>
      <c r="G3874" s="57" t="s">
        <v>465</v>
      </c>
      <c r="J3874" s="5" t="s">
        <v>1475</v>
      </c>
    </row>
    <row r="3875" spans="1:10" x14ac:dyDescent="0.2">
      <c r="A3875" s="1" t="s">
        <v>4</v>
      </c>
      <c r="B3875" s="2" t="s">
        <v>182</v>
      </c>
      <c r="D3875" s="5" t="s">
        <v>464</v>
      </c>
      <c r="E3875" s="3" t="s">
        <v>465</v>
      </c>
      <c r="F3875" s="3">
        <v>102500</v>
      </c>
      <c r="G3875" s="57" t="s">
        <v>465</v>
      </c>
      <c r="J3875" s="5" t="s">
        <v>1475</v>
      </c>
    </row>
    <row r="3876" spans="1:10" x14ac:dyDescent="0.2">
      <c r="A3876" s="1" t="s">
        <v>4</v>
      </c>
      <c r="B3876" s="2" t="s">
        <v>182</v>
      </c>
      <c r="D3876" s="5" t="s">
        <v>464</v>
      </c>
      <c r="E3876" s="3" t="s">
        <v>465</v>
      </c>
      <c r="F3876" s="3">
        <v>102500</v>
      </c>
      <c r="G3876" s="57" t="s">
        <v>465</v>
      </c>
    </row>
    <row r="3877" spans="1:10" x14ac:dyDescent="0.2">
      <c r="A3877" s="1" t="s">
        <v>4</v>
      </c>
      <c r="B3877" s="2" t="s">
        <v>182</v>
      </c>
      <c r="D3877" s="5" t="s">
        <v>464</v>
      </c>
      <c r="E3877" s="3" t="s">
        <v>465</v>
      </c>
      <c r="F3877" s="3">
        <v>102500</v>
      </c>
      <c r="G3877" s="57" t="s">
        <v>465</v>
      </c>
    </row>
    <row r="3878" spans="1:10" x14ac:dyDescent="0.2">
      <c r="A3878" s="1" t="s">
        <v>4</v>
      </c>
      <c r="B3878" s="2" t="s">
        <v>182</v>
      </c>
      <c r="D3878" s="5" t="s">
        <v>464</v>
      </c>
      <c r="E3878" s="3" t="s">
        <v>465</v>
      </c>
      <c r="F3878" s="3">
        <v>102500</v>
      </c>
      <c r="G3878" s="57" t="s">
        <v>465</v>
      </c>
    </row>
    <row r="3879" spans="1:10" x14ac:dyDescent="0.2">
      <c r="A3879" s="1" t="s">
        <v>25</v>
      </c>
      <c r="B3879" s="2" t="s">
        <v>184</v>
      </c>
      <c r="D3879" s="5" t="s">
        <v>464</v>
      </c>
      <c r="E3879" s="3" t="s">
        <v>465</v>
      </c>
      <c r="F3879" s="3">
        <v>102500</v>
      </c>
      <c r="G3879" s="57" t="s">
        <v>465</v>
      </c>
    </row>
    <row r="3880" spans="1:10" x14ac:dyDescent="0.2">
      <c r="A3880" s="1" t="s">
        <v>25</v>
      </c>
      <c r="B3880" s="2" t="s">
        <v>184</v>
      </c>
      <c r="D3880" s="5" t="s">
        <v>464</v>
      </c>
      <c r="E3880" s="3" t="s">
        <v>465</v>
      </c>
      <c r="F3880" s="3">
        <v>102500</v>
      </c>
      <c r="G3880" s="57" t="s">
        <v>465</v>
      </c>
    </row>
    <row r="3881" spans="1:10" x14ac:dyDescent="0.2">
      <c r="A3881" s="1" t="s">
        <v>25</v>
      </c>
      <c r="B3881" s="2" t="s">
        <v>187</v>
      </c>
      <c r="D3881" s="5" t="s">
        <v>464</v>
      </c>
      <c r="E3881" s="3" t="s">
        <v>465</v>
      </c>
      <c r="F3881" s="3">
        <v>102500</v>
      </c>
      <c r="G3881" s="57" t="s">
        <v>465</v>
      </c>
      <c r="J3881" s="1"/>
    </row>
    <row r="3882" spans="1:10" x14ac:dyDescent="0.2">
      <c r="A3882" s="1" t="s">
        <v>25</v>
      </c>
      <c r="B3882" s="2" t="s">
        <v>187</v>
      </c>
      <c r="D3882" s="5" t="s">
        <v>464</v>
      </c>
      <c r="E3882" s="3" t="s">
        <v>465</v>
      </c>
      <c r="F3882" s="3">
        <v>102500</v>
      </c>
      <c r="G3882" s="57" t="s">
        <v>465</v>
      </c>
      <c r="J3882" s="1"/>
    </row>
    <row r="3883" spans="1:10" x14ac:dyDescent="0.2">
      <c r="A3883" s="1" t="s">
        <v>25</v>
      </c>
      <c r="B3883" s="2" t="s">
        <v>192</v>
      </c>
      <c r="D3883" s="5" t="s">
        <v>464</v>
      </c>
      <c r="E3883" s="3" t="s">
        <v>465</v>
      </c>
      <c r="F3883" s="3">
        <v>102500</v>
      </c>
      <c r="G3883" s="57" t="s">
        <v>465</v>
      </c>
    </row>
    <row r="3884" spans="1:10" x14ac:dyDescent="0.2">
      <c r="A3884" s="1" t="s">
        <v>25</v>
      </c>
      <c r="B3884" s="2" t="s">
        <v>192</v>
      </c>
      <c r="D3884" s="5" t="s">
        <v>464</v>
      </c>
      <c r="E3884" s="3" t="s">
        <v>465</v>
      </c>
      <c r="F3884" s="3">
        <v>102500</v>
      </c>
      <c r="G3884" s="57" t="s">
        <v>465</v>
      </c>
    </row>
    <row r="3885" spans="1:10" x14ac:dyDescent="0.2">
      <c r="A3885" s="1" t="s">
        <v>20</v>
      </c>
      <c r="B3885" s="2" t="s">
        <v>194</v>
      </c>
      <c r="D3885" s="5" t="s">
        <v>464</v>
      </c>
      <c r="E3885" s="3" t="s">
        <v>465</v>
      </c>
      <c r="F3885" s="3">
        <v>102500</v>
      </c>
      <c r="G3885" s="57" t="s">
        <v>465</v>
      </c>
      <c r="J3885" s="1"/>
    </row>
    <row r="3886" spans="1:10" x14ac:dyDescent="0.2">
      <c r="A3886" s="1" t="s">
        <v>20</v>
      </c>
      <c r="B3886" s="2" t="s">
        <v>194</v>
      </c>
      <c r="D3886" s="5" t="s">
        <v>464</v>
      </c>
      <c r="E3886" s="3" t="s">
        <v>465</v>
      </c>
      <c r="F3886" s="3">
        <v>102500</v>
      </c>
      <c r="G3886" s="57" t="s">
        <v>465</v>
      </c>
      <c r="J3886" s="1"/>
    </row>
    <row r="3887" spans="1:10" x14ac:dyDescent="0.2">
      <c r="A3887" s="1" t="s">
        <v>20</v>
      </c>
      <c r="B3887" s="2" t="s">
        <v>194</v>
      </c>
      <c r="D3887" s="5" t="s">
        <v>464</v>
      </c>
      <c r="E3887" s="3" t="s">
        <v>465</v>
      </c>
      <c r="F3887" s="3">
        <v>102500</v>
      </c>
      <c r="G3887" s="57" t="s">
        <v>465</v>
      </c>
      <c r="J3887" s="1"/>
    </row>
    <row r="3888" spans="1:10" x14ac:dyDescent="0.2">
      <c r="A3888" s="1" t="s">
        <v>25</v>
      </c>
      <c r="B3888" s="2" t="s">
        <v>200</v>
      </c>
      <c r="D3888" s="5" t="s">
        <v>464</v>
      </c>
      <c r="E3888" s="3" t="s">
        <v>465</v>
      </c>
      <c r="F3888" s="3">
        <v>102500</v>
      </c>
      <c r="G3888" s="57" t="s">
        <v>465</v>
      </c>
    </row>
    <row r="3889" spans="1:10" x14ac:dyDescent="0.2">
      <c r="A3889" s="1" t="s">
        <v>25</v>
      </c>
      <c r="B3889" s="2" t="s">
        <v>200</v>
      </c>
      <c r="D3889" s="5" t="s">
        <v>464</v>
      </c>
      <c r="E3889" s="3" t="s">
        <v>465</v>
      </c>
      <c r="F3889" s="3">
        <v>102500</v>
      </c>
      <c r="G3889" s="57" t="s">
        <v>465</v>
      </c>
    </row>
    <row r="3890" spans="1:10" x14ac:dyDescent="0.2">
      <c r="A3890" s="1" t="s">
        <v>25</v>
      </c>
      <c r="B3890" s="2" t="s">
        <v>208</v>
      </c>
      <c r="D3890" s="5" t="s">
        <v>464</v>
      </c>
      <c r="E3890" s="3" t="s">
        <v>465</v>
      </c>
      <c r="F3890" s="3">
        <v>102500</v>
      </c>
      <c r="G3890" s="57" t="s">
        <v>465</v>
      </c>
      <c r="J3890" s="1"/>
    </row>
    <row r="3891" spans="1:10" x14ac:dyDescent="0.2">
      <c r="A3891" s="1" t="s">
        <v>25</v>
      </c>
      <c r="B3891" s="2" t="s">
        <v>208</v>
      </c>
      <c r="D3891" s="5" t="s">
        <v>464</v>
      </c>
      <c r="E3891" s="3" t="s">
        <v>465</v>
      </c>
      <c r="F3891" s="3">
        <v>102500</v>
      </c>
      <c r="G3891" s="57" t="s">
        <v>465</v>
      </c>
      <c r="J3891" s="1"/>
    </row>
    <row r="3892" spans="1:10" x14ac:dyDescent="0.2">
      <c r="A3892" s="1" t="s">
        <v>25</v>
      </c>
      <c r="B3892" s="2" t="s">
        <v>208</v>
      </c>
      <c r="D3892" s="5" t="s">
        <v>464</v>
      </c>
      <c r="E3892" s="3" t="s">
        <v>465</v>
      </c>
      <c r="F3892" s="3">
        <v>102500</v>
      </c>
      <c r="G3892" s="57" t="s">
        <v>465</v>
      </c>
      <c r="J3892" s="1"/>
    </row>
    <row r="3893" spans="1:10" x14ac:dyDescent="0.2">
      <c r="A3893" s="1" t="s">
        <v>25</v>
      </c>
      <c r="B3893" s="2" t="s">
        <v>208</v>
      </c>
      <c r="D3893" s="5" t="s">
        <v>464</v>
      </c>
      <c r="E3893" s="3" t="s">
        <v>465</v>
      </c>
      <c r="F3893" s="3">
        <v>102500</v>
      </c>
      <c r="G3893" s="57" t="s">
        <v>465</v>
      </c>
      <c r="H3893" s="4"/>
      <c r="I3893" s="4"/>
      <c r="J3893" s="1"/>
    </row>
    <row r="3894" spans="1:10" x14ac:dyDescent="0.2">
      <c r="A3894" s="1" t="s">
        <v>25</v>
      </c>
      <c r="B3894" s="2" t="s">
        <v>208</v>
      </c>
      <c r="D3894" s="5" t="s">
        <v>464</v>
      </c>
      <c r="E3894" s="3" t="s">
        <v>465</v>
      </c>
      <c r="F3894" s="3">
        <v>102500</v>
      </c>
      <c r="G3894" s="57" t="s">
        <v>465</v>
      </c>
      <c r="H3894" s="4"/>
      <c r="I3894" s="4"/>
      <c r="J3894" s="1"/>
    </row>
    <row r="3895" spans="1:10" x14ac:dyDescent="0.2">
      <c r="A3895" s="1" t="s">
        <v>25</v>
      </c>
      <c r="B3895" s="2" t="s">
        <v>208</v>
      </c>
      <c r="D3895" s="5" t="s">
        <v>464</v>
      </c>
      <c r="E3895" s="3" t="s">
        <v>465</v>
      </c>
      <c r="F3895" s="3">
        <v>102500</v>
      </c>
      <c r="G3895" s="57" t="s">
        <v>465</v>
      </c>
      <c r="H3895" s="4"/>
      <c r="I3895" s="4"/>
      <c r="J3895" s="1"/>
    </row>
    <row r="3896" spans="1:10" x14ac:dyDescent="0.2">
      <c r="A3896" s="1" t="s">
        <v>25</v>
      </c>
      <c r="B3896" s="2" t="s">
        <v>208</v>
      </c>
      <c r="D3896" s="5" t="s">
        <v>464</v>
      </c>
      <c r="E3896" s="3" t="s">
        <v>465</v>
      </c>
      <c r="F3896" s="3">
        <v>102500</v>
      </c>
      <c r="G3896" s="57" t="s">
        <v>465</v>
      </c>
      <c r="H3896" s="4"/>
      <c r="I3896" s="4"/>
      <c r="J3896" s="1"/>
    </row>
    <row r="3897" spans="1:10" x14ac:dyDescent="0.2">
      <c r="A3897" s="1" t="s">
        <v>25</v>
      </c>
      <c r="B3897" s="2" t="s">
        <v>208</v>
      </c>
      <c r="D3897" s="5" t="s">
        <v>464</v>
      </c>
      <c r="E3897" s="3" t="s">
        <v>465</v>
      </c>
      <c r="F3897" s="3">
        <v>102500</v>
      </c>
      <c r="G3897" s="57" t="s">
        <v>465</v>
      </c>
      <c r="H3897" s="4"/>
      <c r="I3897" s="4"/>
      <c r="J3897" s="1"/>
    </row>
    <row r="3898" spans="1:10" x14ac:dyDescent="0.2">
      <c r="A3898" s="1" t="s">
        <v>25</v>
      </c>
      <c r="B3898" s="2" t="s">
        <v>208</v>
      </c>
      <c r="D3898" s="5" t="s">
        <v>464</v>
      </c>
      <c r="E3898" s="3" t="s">
        <v>465</v>
      </c>
      <c r="F3898" s="3">
        <v>102500</v>
      </c>
      <c r="G3898" s="57" t="s">
        <v>465</v>
      </c>
      <c r="H3898" s="4"/>
      <c r="I3898" s="4"/>
      <c r="J3898" s="1"/>
    </row>
    <row r="3899" spans="1:10" x14ac:dyDescent="0.2">
      <c r="A3899" s="1" t="s">
        <v>25</v>
      </c>
      <c r="B3899" s="2" t="s">
        <v>208</v>
      </c>
      <c r="D3899" s="5" t="s">
        <v>464</v>
      </c>
      <c r="E3899" s="3" t="s">
        <v>465</v>
      </c>
      <c r="F3899" s="3">
        <v>102500</v>
      </c>
      <c r="G3899" s="57" t="s">
        <v>465</v>
      </c>
      <c r="H3899" s="4"/>
      <c r="I3899" s="4"/>
      <c r="J3899" s="1"/>
    </row>
    <row r="3900" spans="1:10" x14ac:dyDescent="0.2">
      <c r="A3900" s="1" t="s">
        <v>25</v>
      </c>
      <c r="B3900" s="2" t="s">
        <v>208</v>
      </c>
      <c r="D3900" s="5" t="s">
        <v>464</v>
      </c>
      <c r="E3900" s="3" t="s">
        <v>465</v>
      </c>
      <c r="F3900" s="3">
        <v>102500</v>
      </c>
      <c r="G3900" s="57" t="s">
        <v>465</v>
      </c>
      <c r="H3900" s="4"/>
      <c r="I3900" s="4"/>
      <c r="J3900" s="1"/>
    </row>
    <row r="3901" spans="1:10" x14ac:dyDescent="0.2">
      <c r="A3901" s="1" t="s">
        <v>25</v>
      </c>
      <c r="B3901" s="2" t="s">
        <v>209</v>
      </c>
      <c r="D3901" s="5" t="s">
        <v>464</v>
      </c>
      <c r="E3901" s="3" t="s">
        <v>465</v>
      </c>
      <c r="F3901" s="3">
        <v>102500</v>
      </c>
      <c r="G3901" s="57" t="s">
        <v>465</v>
      </c>
      <c r="J3901" s="1"/>
    </row>
    <row r="3902" spans="1:10" x14ac:dyDescent="0.2">
      <c r="A3902" s="1" t="s">
        <v>25</v>
      </c>
      <c r="B3902" s="2" t="s">
        <v>209</v>
      </c>
      <c r="D3902" s="5" t="s">
        <v>464</v>
      </c>
      <c r="E3902" s="3" t="s">
        <v>465</v>
      </c>
      <c r="F3902" s="3">
        <v>102500</v>
      </c>
      <c r="G3902" s="57" t="s">
        <v>465</v>
      </c>
    </row>
    <row r="3903" spans="1:10" x14ac:dyDescent="0.2">
      <c r="A3903" s="1" t="s">
        <v>4</v>
      </c>
      <c r="B3903" s="2" t="s">
        <v>210</v>
      </c>
      <c r="D3903" s="5" t="s">
        <v>464</v>
      </c>
      <c r="E3903" s="3" t="s">
        <v>465</v>
      </c>
      <c r="F3903" s="3">
        <v>102500</v>
      </c>
      <c r="G3903" s="57" t="s">
        <v>465</v>
      </c>
      <c r="J3903" s="1"/>
    </row>
    <row r="3904" spans="1:10" x14ac:dyDescent="0.2">
      <c r="A3904" s="1" t="s">
        <v>4</v>
      </c>
      <c r="B3904" s="2" t="s">
        <v>210</v>
      </c>
      <c r="D3904" s="5" t="s">
        <v>464</v>
      </c>
      <c r="E3904" s="3" t="s">
        <v>465</v>
      </c>
      <c r="F3904" s="3">
        <v>102500</v>
      </c>
      <c r="G3904" s="57" t="s">
        <v>465</v>
      </c>
      <c r="J3904" s="1"/>
    </row>
    <row r="3905" spans="1:12" x14ac:dyDescent="0.2">
      <c r="A3905" s="1" t="s">
        <v>4</v>
      </c>
      <c r="B3905" s="2" t="s">
        <v>210</v>
      </c>
      <c r="D3905" s="5" t="s">
        <v>464</v>
      </c>
      <c r="E3905" s="3" t="s">
        <v>465</v>
      </c>
      <c r="F3905" s="3">
        <v>102500</v>
      </c>
      <c r="G3905" s="57" t="s">
        <v>465</v>
      </c>
      <c r="J3905" s="1"/>
    </row>
    <row r="3906" spans="1:12" x14ac:dyDescent="0.2">
      <c r="A3906" s="1" t="s">
        <v>6</v>
      </c>
      <c r="B3906" s="2" t="s">
        <v>216</v>
      </c>
      <c r="D3906" s="5" t="s">
        <v>464</v>
      </c>
      <c r="E3906" s="3" t="s">
        <v>465</v>
      </c>
      <c r="F3906" s="3">
        <v>102500</v>
      </c>
      <c r="G3906" s="57" t="s">
        <v>465</v>
      </c>
      <c r="J3906" s="1"/>
    </row>
    <row r="3907" spans="1:12" x14ac:dyDescent="0.2">
      <c r="A3907" s="1" t="s">
        <v>6</v>
      </c>
      <c r="B3907" s="2" t="s">
        <v>216</v>
      </c>
      <c r="D3907" s="5" t="s">
        <v>464</v>
      </c>
      <c r="E3907" s="3" t="s">
        <v>465</v>
      </c>
      <c r="F3907" s="3">
        <v>102500</v>
      </c>
      <c r="G3907" s="57" t="s">
        <v>465</v>
      </c>
      <c r="J3907" s="1"/>
    </row>
    <row r="3908" spans="1:12" x14ac:dyDescent="0.2">
      <c r="A3908" s="1" t="s">
        <v>6</v>
      </c>
      <c r="B3908" s="2" t="s">
        <v>216</v>
      </c>
      <c r="D3908" s="5" t="s">
        <v>464</v>
      </c>
      <c r="E3908" s="3" t="s">
        <v>465</v>
      </c>
      <c r="F3908" s="3">
        <v>102500</v>
      </c>
      <c r="G3908" s="57" t="s">
        <v>465</v>
      </c>
      <c r="J3908" s="1"/>
    </row>
    <row r="3909" spans="1:12" x14ac:dyDescent="0.2">
      <c r="A3909" s="1" t="s">
        <v>25</v>
      </c>
      <c r="B3909" s="2" t="s">
        <v>217</v>
      </c>
      <c r="D3909" s="5" t="s">
        <v>464</v>
      </c>
      <c r="E3909" s="3" t="s">
        <v>465</v>
      </c>
      <c r="F3909" s="3">
        <v>102500</v>
      </c>
      <c r="G3909" s="57" t="s">
        <v>465</v>
      </c>
      <c r="J3909" s="1"/>
    </row>
    <row r="3910" spans="1:12" x14ac:dyDescent="0.2">
      <c r="A3910" s="1" t="s">
        <v>25</v>
      </c>
      <c r="B3910" s="2" t="s">
        <v>217</v>
      </c>
      <c r="D3910" s="5" t="s">
        <v>464</v>
      </c>
      <c r="E3910" s="3" t="s">
        <v>465</v>
      </c>
      <c r="F3910" s="3">
        <v>102500</v>
      </c>
      <c r="G3910" s="57" t="s">
        <v>465</v>
      </c>
      <c r="H3910" s="4"/>
      <c r="I3910" s="4"/>
      <c r="J3910" s="1"/>
    </row>
    <row r="3911" spans="1:12" x14ac:dyDescent="0.2">
      <c r="A3911" s="1" t="s">
        <v>25</v>
      </c>
      <c r="B3911" s="2" t="s">
        <v>217</v>
      </c>
      <c r="D3911" s="5" t="s">
        <v>464</v>
      </c>
      <c r="E3911" s="3" t="s">
        <v>465</v>
      </c>
      <c r="F3911" s="3">
        <v>102500</v>
      </c>
      <c r="G3911" s="57" t="s">
        <v>465</v>
      </c>
      <c r="H3911" s="4"/>
      <c r="I3911" s="4"/>
      <c r="J3911" s="1"/>
    </row>
    <row r="3912" spans="1:12" x14ac:dyDescent="0.2">
      <c r="A3912" s="1" t="s">
        <v>25</v>
      </c>
      <c r="B3912" s="2" t="s">
        <v>217</v>
      </c>
      <c r="D3912" s="5" t="s">
        <v>464</v>
      </c>
      <c r="E3912" s="3" t="s">
        <v>465</v>
      </c>
      <c r="F3912" s="3">
        <v>102500</v>
      </c>
      <c r="G3912" s="57" t="s">
        <v>465</v>
      </c>
      <c r="H3912" s="4"/>
      <c r="I3912" s="4"/>
      <c r="J3912" s="1"/>
    </row>
    <row r="3913" spans="1:12" x14ac:dyDescent="0.2">
      <c r="A3913" s="1" t="s">
        <v>6</v>
      </c>
      <c r="B3913" s="2" t="s">
        <v>218</v>
      </c>
      <c r="D3913" s="5" t="s">
        <v>464</v>
      </c>
      <c r="E3913" s="3" t="s">
        <v>465</v>
      </c>
      <c r="F3913" s="3">
        <v>102500</v>
      </c>
      <c r="G3913" s="57" t="s">
        <v>465</v>
      </c>
    </row>
    <row r="3914" spans="1:12" x14ac:dyDescent="0.2">
      <c r="A3914" s="1" t="s">
        <v>6</v>
      </c>
      <c r="B3914" s="2" t="s">
        <v>218</v>
      </c>
      <c r="D3914" s="5" t="s">
        <v>464</v>
      </c>
      <c r="E3914" s="3" t="s">
        <v>465</v>
      </c>
      <c r="F3914" s="3">
        <v>102500</v>
      </c>
      <c r="G3914" s="57" t="s">
        <v>465</v>
      </c>
    </row>
    <row r="3915" spans="1:12" x14ac:dyDescent="0.2">
      <c r="A3915" s="1" t="s">
        <v>28</v>
      </c>
      <c r="B3915" s="2" t="s">
        <v>221</v>
      </c>
      <c r="D3915" s="5" t="s">
        <v>464</v>
      </c>
      <c r="E3915" s="3" t="s">
        <v>465</v>
      </c>
      <c r="F3915" s="3">
        <v>102500</v>
      </c>
      <c r="G3915" s="57" t="s">
        <v>465</v>
      </c>
    </row>
    <row r="3916" spans="1:12" x14ac:dyDescent="0.2">
      <c r="A3916" s="1" t="s">
        <v>28</v>
      </c>
      <c r="B3916" s="2" t="s">
        <v>221</v>
      </c>
      <c r="D3916" s="5" t="s">
        <v>464</v>
      </c>
      <c r="E3916" s="3" t="s">
        <v>465</v>
      </c>
      <c r="F3916" s="3">
        <v>102500</v>
      </c>
      <c r="G3916" s="57" t="s">
        <v>465</v>
      </c>
    </row>
    <row r="3917" spans="1:12" x14ac:dyDescent="0.2">
      <c r="A3917" s="1" t="s">
        <v>8</v>
      </c>
      <c r="B3917" s="2" t="s">
        <v>222</v>
      </c>
      <c r="D3917" s="5" t="s">
        <v>464</v>
      </c>
      <c r="E3917" s="3" t="s">
        <v>465</v>
      </c>
      <c r="F3917" s="3">
        <v>102500</v>
      </c>
      <c r="G3917" s="57" t="s">
        <v>465</v>
      </c>
      <c r="J3917" s="1"/>
    </row>
    <row r="3918" spans="1:12" x14ac:dyDescent="0.2">
      <c r="A3918" s="1" t="s">
        <v>8</v>
      </c>
      <c r="B3918" s="2" t="s">
        <v>222</v>
      </c>
      <c r="D3918" s="5" t="s">
        <v>464</v>
      </c>
      <c r="E3918" s="3" t="s">
        <v>465</v>
      </c>
      <c r="F3918" s="3">
        <v>102500</v>
      </c>
      <c r="G3918" s="57" t="s">
        <v>465</v>
      </c>
      <c r="H3918" s="4"/>
      <c r="I3918" s="4"/>
      <c r="J3918" s="1"/>
    </row>
    <row r="3919" spans="1:12" s="13" customFormat="1" x14ac:dyDescent="0.2">
      <c r="A3919" s="1" t="s">
        <v>8</v>
      </c>
      <c r="B3919" s="2" t="s">
        <v>222</v>
      </c>
      <c r="C3919" s="5"/>
      <c r="D3919" s="5" t="s">
        <v>464</v>
      </c>
      <c r="E3919" s="3" t="s">
        <v>465</v>
      </c>
      <c r="F3919" s="3">
        <v>102500</v>
      </c>
      <c r="G3919" s="57" t="s">
        <v>465</v>
      </c>
      <c r="H3919" s="4"/>
      <c r="I3919" s="4"/>
      <c r="J3919" s="1"/>
      <c r="K3919" s="1"/>
      <c r="L3919" s="1"/>
    </row>
    <row r="3920" spans="1:12" s="13" customFormat="1" x14ac:dyDescent="0.2">
      <c r="A3920" s="1" t="s">
        <v>8</v>
      </c>
      <c r="B3920" s="2" t="s">
        <v>222</v>
      </c>
      <c r="C3920" s="5"/>
      <c r="D3920" s="5" t="s">
        <v>464</v>
      </c>
      <c r="E3920" s="3" t="s">
        <v>465</v>
      </c>
      <c r="F3920" s="3">
        <v>102500</v>
      </c>
      <c r="G3920" s="57" t="s">
        <v>465</v>
      </c>
      <c r="H3920" s="4"/>
      <c r="I3920" s="4"/>
      <c r="J3920" s="1"/>
      <c r="K3920" s="1"/>
      <c r="L3920" s="1"/>
    </row>
    <row r="3921" spans="1:12" s="13" customFormat="1" x14ac:dyDescent="0.2">
      <c r="A3921" s="1" t="s">
        <v>8</v>
      </c>
      <c r="B3921" s="2" t="s">
        <v>223</v>
      </c>
      <c r="C3921" s="5"/>
      <c r="D3921" s="5" t="s">
        <v>464</v>
      </c>
      <c r="E3921" s="3" t="s">
        <v>465</v>
      </c>
      <c r="F3921" s="3">
        <v>102500</v>
      </c>
      <c r="G3921" s="57" t="s">
        <v>465</v>
      </c>
      <c r="H3921" s="19"/>
      <c r="I3921" s="19"/>
      <c r="J3921" s="1"/>
      <c r="K3921" s="1"/>
      <c r="L3921" s="1"/>
    </row>
    <row r="3922" spans="1:12" s="13" customFormat="1" x14ac:dyDescent="0.2">
      <c r="A3922" s="1" t="s">
        <v>8</v>
      </c>
      <c r="B3922" s="2" t="s">
        <v>223</v>
      </c>
      <c r="C3922" s="5"/>
      <c r="D3922" s="5" t="s">
        <v>464</v>
      </c>
      <c r="E3922" s="3" t="s">
        <v>465</v>
      </c>
      <c r="F3922" s="3">
        <v>102500</v>
      </c>
      <c r="G3922" s="57" t="s">
        <v>465</v>
      </c>
      <c r="H3922" s="4"/>
      <c r="I3922" s="4"/>
      <c r="J3922" s="1"/>
      <c r="K3922" s="1"/>
      <c r="L3922" s="1"/>
    </row>
    <row r="3923" spans="1:12" s="13" customFormat="1" x14ac:dyDescent="0.2">
      <c r="A3923" s="1" t="s">
        <v>4</v>
      </c>
      <c r="B3923" s="2" t="s">
        <v>224</v>
      </c>
      <c r="C3923" s="5"/>
      <c r="D3923" s="5" t="s">
        <v>464</v>
      </c>
      <c r="E3923" s="3" t="s">
        <v>465</v>
      </c>
      <c r="F3923" s="3">
        <v>102500</v>
      </c>
      <c r="G3923" s="57" t="s">
        <v>465</v>
      </c>
      <c r="H3923" s="19"/>
      <c r="I3923" s="19"/>
      <c r="J3923" s="5"/>
      <c r="K3923" s="1"/>
      <c r="L3923" s="1"/>
    </row>
    <row r="3924" spans="1:12" s="13" customFormat="1" x14ac:dyDescent="0.2">
      <c r="A3924" s="1" t="s">
        <v>25</v>
      </c>
      <c r="B3924" s="2" t="s">
        <v>225</v>
      </c>
      <c r="C3924" s="5"/>
      <c r="D3924" s="5" t="s">
        <v>464</v>
      </c>
      <c r="E3924" s="3" t="s">
        <v>465</v>
      </c>
      <c r="F3924" s="3">
        <v>102500</v>
      </c>
      <c r="G3924" s="57" t="s">
        <v>465</v>
      </c>
      <c r="H3924" s="19"/>
      <c r="I3924" s="19"/>
      <c r="J3924" s="1"/>
      <c r="K3924" s="1"/>
      <c r="L3924" s="1"/>
    </row>
    <row r="3925" spans="1:12" s="13" customFormat="1" x14ac:dyDescent="0.2">
      <c r="A3925" s="1" t="s">
        <v>25</v>
      </c>
      <c r="B3925" s="2" t="s">
        <v>225</v>
      </c>
      <c r="C3925" s="5"/>
      <c r="D3925" s="5" t="s">
        <v>464</v>
      </c>
      <c r="E3925" s="3" t="s">
        <v>465</v>
      </c>
      <c r="F3925" s="3">
        <v>102500</v>
      </c>
      <c r="G3925" s="57" t="s">
        <v>465</v>
      </c>
      <c r="H3925" s="19"/>
      <c r="I3925" s="19"/>
      <c r="J3925" s="1"/>
      <c r="K3925" s="1"/>
      <c r="L3925" s="1"/>
    </row>
    <row r="3926" spans="1:12" s="13" customFormat="1" x14ac:dyDescent="0.2">
      <c r="A3926" s="1" t="s">
        <v>25</v>
      </c>
      <c r="B3926" s="2" t="s">
        <v>225</v>
      </c>
      <c r="C3926" s="5"/>
      <c r="D3926" s="5" t="s">
        <v>464</v>
      </c>
      <c r="E3926" s="3" t="s">
        <v>465</v>
      </c>
      <c r="F3926" s="3">
        <v>102500</v>
      </c>
      <c r="G3926" s="57" t="s">
        <v>465</v>
      </c>
      <c r="H3926" s="19"/>
      <c r="I3926" s="19"/>
      <c r="J3926" s="1"/>
      <c r="K3926" s="1"/>
      <c r="L3926" s="1"/>
    </row>
    <row r="3927" spans="1:12" x14ac:dyDescent="0.2">
      <c r="A3927" s="1" t="s">
        <v>25</v>
      </c>
      <c r="B3927" s="2" t="s">
        <v>225</v>
      </c>
      <c r="D3927" s="5" t="s">
        <v>464</v>
      </c>
      <c r="E3927" s="3" t="s">
        <v>465</v>
      </c>
      <c r="F3927" s="3">
        <v>102500</v>
      </c>
      <c r="G3927" s="57" t="s">
        <v>465</v>
      </c>
    </row>
    <row r="3928" spans="1:12" x14ac:dyDescent="0.2">
      <c r="A3928" s="1" t="s">
        <v>8</v>
      </c>
      <c r="B3928" s="2" t="s">
        <v>228</v>
      </c>
      <c r="D3928" s="5" t="s">
        <v>464</v>
      </c>
      <c r="E3928" s="3" t="s">
        <v>465</v>
      </c>
      <c r="F3928" s="3">
        <v>102500</v>
      </c>
      <c r="G3928" s="57" t="s">
        <v>465</v>
      </c>
    </row>
    <row r="3929" spans="1:12" x14ac:dyDescent="0.2">
      <c r="A3929" s="1" t="s">
        <v>6</v>
      </c>
      <c r="B3929" s="12" t="s">
        <v>231</v>
      </c>
      <c r="D3929" s="5" t="s">
        <v>464</v>
      </c>
      <c r="E3929" s="3" t="s">
        <v>465</v>
      </c>
      <c r="F3929" s="3">
        <v>102500</v>
      </c>
      <c r="G3929" s="57" t="s">
        <v>465</v>
      </c>
      <c r="J3929" s="1"/>
    </row>
    <row r="3930" spans="1:12" x14ac:dyDescent="0.2">
      <c r="A3930" s="1" t="s">
        <v>6</v>
      </c>
      <c r="B3930" s="12" t="s">
        <v>231</v>
      </c>
      <c r="D3930" s="5" t="s">
        <v>464</v>
      </c>
      <c r="E3930" s="3" t="s">
        <v>465</v>
      </c>
      <c r="F3930" s="3">
        <v>102500</v>
      </c>
      <c r="G3930" s="57" t="s">
        <v>465</v>
      </c>
      <c r="H3930" s="4"/>
      <c r="I3930" s="4"/>
      <c r="J3930" s="1"/>
    </row>
    <row r="3931" spans="1:12" x14ac:dyDescent="0.2">
      <c r="A3931" s="1" t="s">
        <v>6</v>
      </c>
      <c r="B3931" s="12" t="s">
        <v>231</v>
      </c>
      <c r="D3931" s="5" t="s">
        <v>464</v>
      </c>
      <c r="E3931" s="3" t="s">
        <v>465</v>
      </c>
      <c r="F3931" s="3">
        <v>102500</v>
      </c>
      <c r="G3931" s="57" t="s">
        <v>465</v>
      </c>
      <c r="H3931" s="4"/>
      <c r="I3931" s="4"/>
      <c r="J3931" s="1"/>
    </row>
    <row r="3932" spans="1:12" x14ac:dyDescent="0.2">
      <c r="A3932" s="1" t="s">
        <v>6</v>
      </c>
      <c r="B3932" s="12" t="s">
        <v>231</v>
      </c>
      <c r="D3932" s="5" t="s">
        <v>464</v>
      </c>
      <c r="E3932" s="3" t="s">
        <v>465</v>
      </c>
      <c r="F3932" s="3">
        <v>102500</v>
      </c>
      <c r="G3932" s="57" t="s">
        <v>465</v>
      </c>
      <c r="H3932" s="4"/>
      <c r="I3932" s="4"/>
      <c r="J3932" s="1"/>
    </row>
    <row r="3933" spans="1:12" x14ac:dyDescent="0.2">
      <c r="A3933" s="1" t="s">
        <v>6</v>
      </c>
      <c r="B3933" s="12" t="s">
        <v>231</v>
      </c>
      <c r="D3933" s="5" t="s">
        <v>464</v>
      </c>
      <c r="E3933" s="3" t="s">
        <v>465</v>
      </c>
      <c r="F3933" s="3">
        <v>102500</v>
      </c>
      <c r="G3933" s="57" t="s">
        <v>465</v>
      </c>
      <c r="H3933" s="4"/>
      <c r="I3933" s="4"/>
      <c r="J3933" s="1"/>
    </row>
    <row r="3934" spans="1:12" x14ac:dyDescent="0.2">
      <c r="A3934" s="1" t="s">
        <v>6</v>
      </c>
      <c r="B3934" s="12" t="s">
        <v>231</v>
      </c>
      <c r="D3934" s="5" t="s">
        <v>464</v>
      </c>
      <c r="E3934" s="3" t="s">
        <v>465</v>
      </c>
      <c r="F3934" s="3">
        <v>102500</v>
      </c>
      <c r="G3934" s="57" t="s">
        <v>465</v>
      </c>
      <c r="H3934" s="4"/>
      <c r="I3934" s="4"/>
      <c r="J3934" s="1"/>
    </row>
    <row r="3935" spans="1:12" x14ac:dyDescent="0.2">
      <c r="A3935" s="1" t="s">
        <v>6</v>
      </c>
      <c r="B3935" s="12" t="s">
        <v>231</v>
      </c>
      <c r="D3935" s="5" t="s">
        <v>464</v>
      </c>
      <c r="E3935" s="3" t="s">
        <v>465</v>
      </c>
      <c r="F3935" s="3">
        <v>102500</v>
      </c>
      <c r="G3935" s="57" t="s">
        <v>465</v>
      </c>
      <c r="H3935" s="4"/>
      <c r="I3935" s="4"/>
      <c r="J3935" s="1"/>
    </row>
    <row r="3936" spans="1:12" x14ac:dyDescent="0.2">
      <c r="A3936" s="1" t="s">
        <v>6</v>
      </c>
      <c r="B3936" s="12" t="s">
        <v>231</v>
      </c>
      <c r="D3936" s="5" t="s">
        <v>464</v>
      </c>
      <c r="E3936" s="3" t="s">
        <v>465</v>
      </c>
      <c r="F3936" s="3">
        <v>102500</v>
      </c>
      <c r="G3936" s="57" t="s">
        <v>465</v>
      </c>
      <c r="H3936" s="4"/>
      <c r="I3936" s="4"/>
      <c r="J3936" s="1"/>
    </row>
    <row r="3937" spans="1:12" x14ac:dyDescent="0.2">
      <c r="A3937" s="1" t="s">
        <v>6</v>
      </c>
      <c r="B3937" s="12" t="s">
        <v>231</v>
      </c>
      <c r="D3937" s="5" t="s">
        <v>464</v>
      </c>
      <c r="E3937" s="3" t="s">
        <v>465</v>
      </c>
      <c r="F3937" s="3">
        <v>102500</v>
      </c>
      <c r="G3937" s="57" t="s">
        <v>465</v>
      </c>
      <c r="H3937" s="4"/>
      <c r="I3937" s="4"/>
      <c r="J3937" s="1"/>
    </row>
    <row r="3938" spans="1:12" x14ac:dyDescent="0.2">
      <c r="A3938" s="1" t="s">
        <v>6</v>
      </c>
      <c r="B3938" s="2" t="s">
        <v>237</v>
      </c>
      <c r="D3938" s="7" t="s">
        <v>464</v>
      </c>
      <c r="E3938" s="6" t="s">
        <v>465</v>
      </c>
      <c r="F3938" s="6">
        <v>102500</v>
      </c>
      <c r="G3938" s="57" t="s">
        <v>465</v>
      </c>
      <c r="H3938" s="21"/>
      <c r="I3938" s="21"/>
      <c r="J3938" s="7" t="s">
        <v>539</v>
      </c>
    </row>
    <row r="3939" spans="1:12" x14ac:dyDescent="0.2">
      <c r="A3939" s="1" t="s">
        <v>6</v>
      </c>
      <c r="B3939" s="2" t="s">
        <v>237</v>
      </c>
      <c r="D3939" s="7" t="s">
        <v>464</v>
      </c>
      <c r="E3939" s="6" t="s">
        <v>465</v>
      </c>
      <c r="F3939" s="6">
        <v>102500</v>
      </c>
      <c r="G3939" s="57" t="s">
        <v>465</v>
      </c>
      <c r="H3939" s="21"/>
      <c r="I3939" s="21"/>
      <c r="J3939" s="7" t="s">
        <v>539</v>
      </c>
    </row>
    <row r="3940" spans="1:12" x14ac:dyDescent="0.2">
      <c r="A3940" s="1" t="s">
        <v>6</v>
      </c>
      <c r="B3940" s="2" t="s">
        <v>237</v>
      </c>
      <c r="D3940" s="7" t="s">
        <v>464</v>
      </c>
      <c r="E3940" s="6" t="s">
        <v>465</v>
      </c>
      <c r="F3940" s="6">
        <v>102500</v>
      </c>
      <c r="G3940" s="57" t="s">
        <v>465</v>
      </c>
      <c r="H3940" s="21"/>
      <c r="I3940" s="21"/>
      <c r="J3940" s="7" t="s">
        <v>539</v>
      </c>
    </row>
    <row r="3941" spans="1:12" x14ac:dyDescent="0.2">
      <c r="A3941" s="1" t="s">
        <v>6</v>
      </c>
      <c r="B3941" s="2" t="s">
        <v>237</v>
      </c>
      <c r="D3941" s="7" t="s">
        <v>464</v>
      </c>
      <c r="E3941" s="6" t="s">
        <v>465</v>
      </c>
      <c r="F3941" s="6">
        <v>102500</v>
      </c>
      <c r="G3941" s="57" t="s">
        <v>465</v>
      </c>
      <c r="H3941" s="21"/>
      <c r="I3941" s="21"/>
      <c r="J3941" s="7" t="s">
        <v>539</v>
      </c>
    </row>
    <row r="3942" spans="1:12" x14ac:dyDescent="0.2">
      <c r="A3942" s="1" t="s">
        <v>6</v>
      </c>
      <c r="B3942" s="2" t="s">
        <v>237</v>
      </c>
      <c r="D3942" s="7" t="s">
        <v>464</v>
      </c>
      <c r="E3942" s="6" t="s">
        <v>465</v>
      </c>
      <c r="F3942" s="6">
        <v>102500</v>
      </c>
      <c r="G3942" s="57" t="s">
        <v>465</v>
      </c>
      <c r="H3942" s="21"/>
      <c r="I3942" s="21"/>
      <c r="J3942" s="7" t="s">
        <v>539</v>
      </c>
    </row>
    <row r="3943" spans="1:12" x14ac:dyDescent="0.2">
      <c r="A3943" s="1" t="s">
        <v>6</v>
      </c>
      <c r="B3943" s="2" t="s">
        <v>237</v>
      </c>
      <c r="D3943" s="7" t="s">
        <v>464</v>
      </c>
      <c r="E3943" s="6" t="s">
        <v>465</v>
      </c>
      <c r="F3943" s="6">
        <v>102500</v>
      </c>
      <c r="G3943" s="57" t="s">
        <v>465</v>
      </c>
      <c r="H3943" s="21"/>
      <c r="I3943" s="21"/>
      <c r="J3943" s="7" t="s">
        <v>539</v>
      </c>
    </row>
    <row r="3944" spans="1:12" x14ac:dyDescent="0.2">
      <c r="A3944" s="1" t="s">
        <v>25</v>
      </c>
      <c r="B3944" s="2" t="s">
        <v>243</v>
      </c>
      <c r="D3944" s="7" t="s">
        <v>464</v>
      </c>
      <c r="E3944" s="6" t="s">
        <v>465</v>
      </c>
      <c r="F3944" s="6">
        <v>102500</v>
      </c>
      <c r="G3944" s="57" t="s">
        <v>465</v>
      </c>
      <c r="H3944" s="21"/>
      <c r="I3944" s="21"/>
      <c r="J3944" s="7" t="s">
        <v>539</v>
      </c>
    </row>
    <row r="3945" spans="1:12" x14ac:dyDescent="0.2">
      <c r="A3945" s="1" t="s">
        <v>25</v>
      </c>
      <c r="B3945" s="2" t="s">
        <v>243</v>
      </c>
      <c r="D3945" s="7" t="s">
        <v>464</v>
      </c>
      <c r="E3945" s="6" t="s">
        <v>465</v>
      </c>
      <c r="F3945" s="6">
        <v>102500</v>
      </c>
      <c r="G3945" s="57" t="s">
        <v>465</v>
      </c>
      <c r="H3945" s="21"/>
      <c r="I3945" s="21"/>
      <c r="J3945" s="7" t="s">
        <v>539</v>
      </c>
    </row>
    <row r="3946" spans="1:12" x14ac:dyDescent="0.2">
      <c r="A3946" s="1" t="s">
        <v>4</v>
      </c>
      <c r="B3946" s="12" t="s">
        <v>249</v>
      </c>
      <c r="D3946" s="7" t="s">
        <v>464</v>
      </c>
      <c r="E3946" s="3" t="s">
        <v>465</v>
      </c>
      <c r="F3946" s="3">
        <v>102500</v>
      </c>
      <c r="G3946" s="57" t="s">
        <v>465</v>
      </c>
    </row>
    <row r="3947" spans="1:12" x14ac:dyDescent="0.2">
      <c r="A3947" s="1" t="s">
        <v>4</v>
      </c>
      <c r="B3947" s="12" t="s">
        <v>249</v>
      </c>
      <c r="D3947" s="7" t="s">
        <v>464</v>
      </c>
      <c r="E3947" s="3" t="s">
        <v>465</v>
      </c>
      <c r="F3947" s="3">
        <v>102500</v>
      </c>
      <c r="G3947" s="57" t="s">
        <v>465</v>
      </c>
    </row>
    <row r="3948" spans="1:12" x14ac:dyDescent="0.2">
      <c r="A3948" s="1" t="s">
        <v>4</v>
      </c>
      <c r="B3948" s="12" t="s">
        <v>249</v>
      </c>
      <c r="D3948" s="7" t="s">
        <v>464</v>
      </c>
      <c r="E3948" s="3" t="s">
        <v>465</v>
      </c>
      <c r="F3948" s="3">
        <v>102500</v>
      </c>
      <c r="G3948" s="57" t="s">
        <v>465</v>
      </c>
    </row>
    <row r="3949" spans="1:12" x14ac:dyDescent="0.2">
      <c r="A3949" s="1" t="s">
        <v>1</v>
      </c>
      <c r="B3949" s="12" t="s">
        <v>252</v>
      </c>
      <c r="D3949" s="5" t="s">
        <v>464</v>
      </c>
      <c r="E3949" s="3" t="s">
        <v>465</v>
      </c>
      <c r="F3949" s="3">
        <v>102500</v>
      </c>
      <c r="G3949" s="57" t="s">
        <v>465</v>
      </c>
    </row>
    <row r="3950" spans="1:12" x14ac:dyDescent="0.2">
      <c r="A3950" s="1" t="s">
        <v>1</v>
      </c>
      <c r="B3950" s="12" t="s">
        <v>252</v>
      </c>
      <c r="D3950" s="5" t="s">
        <v>464</v>
      </c>
      <c r="E3950" s="3" t="s">
        <v>465</v>
      </c>
      <c r="F3950" s="3">
        <v>102500</v>
      </c>
      <c r="G3950" s="57" t="s">
        <v>465</v>
      </c>
    </row>
    <row r="3951" spans="1:12" x14ac:dyDescent="0.2">
      <c r="A3951" s="1" t="s">
        <v>25</v>
      </c>
      <c r="B3951" s="12" t="s">
        <v>259</v>
      </c>
      <c r="D3951" s="5" t="s">
        <v>464</v>
      </c>
      <c r="F3951" s="19">
        <v>102500</v>
      </c>
      <c r="G3951" s="57" t="s">
        <v>465</v>
      </c>
      <c r="J3951" s="1"/>
    </row>
    <row r="3952" spans="1:12" x14ac:dyDescent="0.2">
      <c r="A3952" s="1" t="s">
        <v>44</v>
      </c>
      <c r="B3952" s="12" t="s">
        <v>260</v>
      </c>
      <c r="C3952" s="7"/>
      <c r="D3952" s="7" t="s">
        <v>464</v>
      </c>
      <c r="E3952" s="6" t="s">
        <v>465</v>
      </c>
      <c r="F3952" s="6">
        <v>102500</v>
      </c>
      <c r="G3952" s="57" t="s">
        <v>465</v>
      </c>
      <c r="H3952" s="21"/>
      <c r="I3952" s="21"/>
      <c r="J3952" s="7" t="s">
        <v>539</v>
      </c>
      <c r="K3952" s="13"/>
      <c r="L3952" s="13"/>
    </row>
    <row r="3953" spans="1:10" x14ac:dyDescent="0.2">
      <c r="A3953" s="1" t="s">
        <v>20</v>
      </c>
      <c r="B3953" s="2" t="s">
        <v>263</v>
      </c>
      <c r="D3953" s="7" t="s">
        <v>464</v>
      </c>
      <c r="E3953" s="6" t="s">
        <v>465</v>
      </c>
      <c r="F3953" s="6">
        <v>102500</v>
      </c>
      <c r="G3953" s="57" t="s">
        <v>465</v>
      </c>
      <c r="H3953" s="21"/>
      <c r="I3953" s="21"/>
      <c r="J3953" s="1"/>
    </row>
    <row r="3954" spans="1:10" x14ac:dyDescent="0.2">
      <c r="A3954" s="1" t="s">
        <v>20</v>
      </c>
      <c r="B3954" s="2" t="s">
        <v>263</v>
      </c>
      <c r="D3954" s="7" t="s">
        <v>464</v>
      </c>
      <c r="E3954" s="6" t="s">
        <v>465</v>
      </c>
      <c r="F3954" s="6">
        <v>102500</v>
      </c>
      <c r="G3954" s="57" t="s">
        <v>465</v>
      </c>
      <c r="H3954" s="21"/>
      <c r="I3954" s="21"/>
      <c r="J3954" s="1"/>
    </row>
    <row r="3955" spans="1:10" x14ac:dyDescent="0.2">
      <c r="A3955" s="1" t="s">
        <v>20</v>
      </c>
      <c r="B3955" s="2" t="s">
        <v>263</v>
      </c>
      <c r="D3955" s="7" t="s">
        <v>464</v>
      </c>
      <c r="E3955" s="6" t="s">
        <v>465</v>
      </c>
      <c r="F3955" s="6">
        <v>102500</v>
      </c>
      <c r="G3955" s="57" t="s">
        <v>465</v>
      </c>
      <c r="H3955" s="21"/>
      <c r="I3955" s="21"/>
      <c r="J3955" s="1"/>
    </row>
    <row r="3956" spans="1:10" x14ac:dyDescent="0.2">
      <c r="A3956" s="1" t="s">
        <v>20</v>
      </c>
      <c r="B3956" s="2" t="s">
        <v>263</v>
      </c>
      <c r="D3956" s="7" t="s">
        <v>464</v>
      </c>
      <c r="E3956" s="6" t="s">
        <v>465</v>
      </c>
      <c r="F3956" s="6">
        <v>102500</v>
      </c>
      <c r="G3956" s="57" t="s">
        <v>465</v>
      </c>
      <c r="H3956" s="21"/>
      <c r="I3956" s="21"/>
      <c r="J3956" s="1"/>
    </row>
    <row r="3957" spans="1:10" x14ac:dyDescent="0.2">
      <c r="A3957" s="1" t="s">
        <v>8</v>
      </c>
      <c r="B3957" s="2" t="s">
        <v>271</v>
      </c>
      <c r="D3957" s="5" t="s">
        <v>464</v>
      </c>
      <c r="E3957" s="3" t="s">
        <v>465</v>
      </c>
      <c r="F3957" s="3">
        <v>102500</v>
      </c>
      <c r="G3957" s="57" t="s">
        <v>465</v>
      </c>
    </row>
    <row r="3958" spans="1:10" x14ac:dyDescent="0.2">
      <c r="A3958" s="1" t="s">
        <v>8</v>
      </c>
      <c r="B3958" s="2" t="s">
        <v>281</v>
      </c>
      <c r="D3958" s="5" t="s">
        <v>464</v>
      </c>
      <c r="E3958" s="3" t="s">
        <v>465</v>
      </c>
      <c r="F3958" s="3">
        <v>102500</v>
      </c>
      <c r="G3958" s="57" t="s">
        <v>465</v>
      </c>
      <c r="J3958" s="1"/>
    </row>
    <row r="3959" spans="1:10" x14ac:dyDescent="0.2">
      <c r="A3959" s="1" t="s">
        <v>111</v>
      </c>
      <c r="B3959" s="2" t="s">
        <v>282</v>
      </c>
      <c r="D3959" s="5" t="s">
        <v>464</v>
      </c>
      <c r="E3959" s="3" t="s">
        <v>465</v>
      </c>
      <c r="F3959" s="3">
        <v>102500</v>
      </c>
      <c r="G3959" s="57" t="s">
        <v>465</v>
      </c>
      <c r="J3959" s="5" t="s">
        <v>539</v>
      </c>
    </row>
    <row r="3960" spans="1:10" x14ac:dyDescent="0.2">
      <c r="A3960" s="1" t="s">
        <v>111</v>
      </c>
      <c r="B3960" s="2" t="s">
        <v>282</v>
      </c>
      <c r="D3960" s="5" t="s">
        <v>464</v>
      </c>
      <c r="E3960" s="3" t="s">
        <v>465</v>
      </c>
      <c r="F3960" s="3">
        <v>102500</v>
      </c>
      <c r="G3960" s="57" t="s">
        <v>465</v>
      </c>
      <c r="J3960" s="5" t="s">
        <v>539</v>
      </c>
    </row>
    <row r="3961" spans="1:10" x14ac:dyDescent="0.2">
      <c r="A3961" s="1" t="s">
        <v>111</v>
      </c>
      <c r="B3961" s="2" t="s">
        <v>282</v>
      </c>
      <c r="D3961" s="5" t="s">
        <v>464</v>
      </c>
      <c r="E3961" s="3" t="s">
        <v>465</v>
      </c>
      <c r="F3961" s="3">
        <v>102500</v>
      </c>
      <c r="G3961" s="57" t="s">
        <v>465</v>
      </c>
      <c r="J3961" s="5" t="s">
        <v>539</v>
      </c>
    </row>
    <row r="3962" spans="1:10" x14ac:dyDescent="0.2">
      <c r="A3962" s="1" t="s">
        <v>111</v>
      </c>
      <c r="B3962" s="2" t="s">
        <v>282</v>
      </c>
      <c r="D3962" s="5" t="s">
        <v>464</v>
      </c>
      <c r="E3962" s="3" t="s">
        <v>465</v>
      </c>
      <c r="F3962" s="3">
        <v>102500</v>
      </c>
      <c r="G3962" s="57" t="s">
        <v>465</v>
      </c>
    </row>
    <row r="3963" spans="1:10" x14ac:dyDescent="0.2">
      <c r="A3963" s="1" t="s">
        <v>111</v>
      </c>
      <c r="B3963" s="2" t="s">
        <v>282</v>
      </c>
      <c r="D3963" s="5" t="s">
        <v>464</v>
      </c>
      <c r="E3963" s="3" t="s">
        <v>465</v>
      </c>
      <c r="F3963" s="3">
        <v>102500</v>
      </c>
      <c r="G3963" s="57" t="s">
        <v>465</v>
      </c>
    </row>
    <row r="3964" spans="1:10" x14ac:dyDescent="0.2">
      <c r="A3964" s="1" t="s">
        <v>8</v>
      </c>
      <c r="B3964" s="2" t="s">
        <v>284</v>
      </c>
      <c r="D3964" s="5" t="s">
        <v>464</v>
      </c>
      <c r="E3964" s="3" t="s">
        <v>465</v>
      </c>
      <c r="F3964" s="3">
        <v>102500</v>
      </c>
      <c r="G3964" s="57" t="s">
        <v>465</v>
      </c>
      <c r="J3964" s="1"/>
    </row>
    <row r="3965" spans="1:10" x14ac:dyDescent="0.2">
      <c r="A3965" s="1" t="s">
        <v>8</v>
      </c>
      <c r="B3965" s="2" t="s">
        <v>284</v>
      </c>
      <c r="D3965" s="5" t="s">
        <v>464</v>
      </c>
      <c r="E3965" s="3" t="s">
        <v>465</v>
      </c>
      <c r="F3965" s="3">
        <v>102500</v>
      </c>
      <c r="G3965" s="57" t="s">
        <v>465</v>
      </c>
      <c r="J3965" s="1"/>
    </row>
    <row r="3966" spans="1:10" x14ac:dyDescent="0.2">
      <c r="A3966" s="1" t="s">
        <v>8</v>
      </c>
      <c r="B3966" s="2" t="s">
        <v>285</v>
      </c>
      <c r="D3966" s="5" t="s">
        <v>464</v>
      </c>
      <c r="E3966" s="3" t="s">
        <v>465</v>
      </c>
      <c r="F3966" s="3">
        <v>102500</v>
      </c>
      <c r="G3966" s="57" t="s">
        <v>465</v>
      </c>
      <c r="J3966" s="1"/>
    </row>
    <row r="3967" spans="1:10" x14ac:dyDescent="0.2">
      <c r="A3967" s="1" t="s">
        <v>8</v>
      </c>
      <c r="B3967" s="2" t="s">
        <v>285</v>
      </c>
      <c r="D3967" s="5" t="s">
        <v>464</v>
      </c>
      <c r="E3967" s="3" t="s">
        <v>465</v>
      </c>
      <c r="F3967" s="3">
        <v>102500</v>
      </c>
      <c r="G3967" s="57" t="s">
        <v>465</v>
      </c>
      <c r="H3967" s="4"/>
      <c r="I3967" s="4"/>
      <c r="J3967" s="1"/>
    </row>
    <row r="3968" spans="1:10" x14ac:dyDescent="0.2">
      <c r="A3968" s="1" t="s">
        <v>8</v>
      </c>
      <c r="B3968" s="2" t="s">
        <v>285</v>
      </c>
      <c r="D3968" s="5" t="s">
        <v>464</v>
      </c>
      <c r="E3968" s="3" t="s">
        <v>465</v>
      </c>
      <c r="F3968" s="3">
        <v>102500</v>
      </c>
      <c r="G3968" s="57" t="s">
        <v>465</v>
      </c>
      <c r="H3968" s="4"/>
      <c r="I3968" s="4"/>
      <c r="J3968" s="1"/>
    </row>
    <row r="3969" spans="1:10" x14ac:dyDescent="0.2">
      <c r="A3969" s="1" t="s">
        <v>8</v>
      </c>
      <c r="B3969" s="2" t="s">
        <v>285</v>
      </c>
      <c r="D3969" s="5" t="s">
        <v>464</v>
      </c>
      <c r="E3969" s="3" t="s">
        <v>465</v>
      </c>
      <c r="F3969" s="3">
        <v>102500</v>
      </c>
      <c r="G3969" s="57" t="s">
        <v>465</v>
      </c>
      <c r="H3969" s="4"/>
      <c r="I3969" s="4"/>
      <c r="J3969" s="1"/>
    </row>
    <row r="3970" spans="1:10" x14ac:dyDescent="0.2">
      <c r="A3970" s="1" t="s">
        <v>8</v>
      </c>
      <c r="B3970" s="2" t="s">
        <v>285</v>
      </c>
      <c r="D3970" s="5" t="s">
        <v>464</v>
      </c>
      <c r="E3970" s="3" t="s">
        <v>465</v>
      </c>
      <c r="F3970" s="3">
        <v>102500</v>
      </c>
      <c r="G3970" s="57" t="s">
        <v>465</v>
      </c>
      <c r="H3970" s="4"/>
      <c r="I3970" s="4"/>
      <c r="J3970" s="1"/>
    </row>
    <row r="3971" spans="1:10" x14ac:dyDescent="0.2">
      <c r="A3971" s="1" t="s">
        <v>8</v>
      </c>
      <c r="B3971" s="2" t="s">
        <v>285</v>
      </c>
      <c r="D3971" s="5" t="s">
        <v>464</v>
      </c>
      <c r="E3971" s="3" t="s">
        <v>465</v>
      </c>
      <c r="F3971" s="3">
        <v>102500</v>
      </c>
      <c r="G3971" s="57" t="s">
        <v>465</v>
      </c>
      <c r="H3971" s="4"/>
      <c r="I3971" s="4"/>
      <c r="J3971" s="1"/>
    </row>
    <row r="3972" spans="1:10" x14ac:dyDescent="0.2">
      <c r="A3972" s="1" t="s">
        <v>6</v>
      </c>
      <c r="B3972" s="2" t="s">
        <v>288</v>
      </c>
      <c r="D3972" s="5" t="s">
        <v>464</v>
      </c>
      <c r="E3972" s="3" t="s">
        <v>465</v>
      </c>
      <c r="F3972" s="3">
        <v>102500</v>
      </c>
      <c r="G3972" s="57" t="s">
        <v>465</v>
      </c>
    </row>
    <row r="3973" spans="1:10" x14ac:dyDescent="0.2">
      <c r="A3973" s="1" t="s">
        <v>20</v>
      </c>
      <c r="B3973" s="2" t="s">
        <v>296</v>
      </c>
      <c r="D3973" s="5" t="s">
        <v>464</v>
      </c>
      <c r="E3973" s="3" t="s">
        <v>465</v>
      </c>
      <c r="F3973" s="3">
        <v>102500</v>
      </c>
      <c r="G3973" s="57" t="s">
        <v>465</v>
      </c>
    </row>
    <row r="3974" spans="1:10" x14ac:dyDescent="0.2">
      <c r="A3974" s="1" t="s">
        <v>34</v>
      </c>
      <c r="B3974" s="2" t="s">
        <v>297</v>
      </c>
      <c r="D3974" s="5" t="s">
        <v>464</v>
      </c>
      <c r="E3974" s="3" t="s">
        <v>465</v>
      </c>
      <c r="F3974" s="3">
        <v>102500</v>
      </c>
      <c r="G3974" s="57" t="s">
        <v>465</v>
      </c>
    </row>
    <row r="3975" spans="1:10" x14ac:dyDescent="0.2">
      <c r="A3975" s="1" t="s">
        <v>4</v>
      </c>
      <c r="B3975" s="2" t="s">
        <v>299</v>
      </c>
      <c r="D3975" s="5" t="s">
        <v>464</v>
      </c>
      <c r="E3975" s="3" t="s">
        <v>465</v>
      </c>
      <c r="F3975" s="3">
        <v>102500</v>
      </c>
      <c r="G3975" s="57" t="s">
        <v>465</v>
      </c>
    </row>
    <row r="3976" spans="1:10" x14ac:dyDescent="0.2">
      <c r="A3976" s="1" t="s">
        <v>4</v>
      </c>
      <c r="B3976" s="2" t="s">
        <v>303</v>
      </c>
      <c r="D3976" s="5" t="s">
        <v>464</v>
      </c>
      <c r="E3976" s="3" t="s">
        <v>465</v>
      </c>
      <c r="F3976" s="3">
        <v>102500</v>
      </c>
      <c r="G3976" s="57" t="s">
        <v>465</v>
      </c>
      <c r="J3976" s="5" t="s">
        <v>539</v>
      </c>
    </row>
    <row r="3977" spans="1:10" x14ac:dyDescent="0.2">
      <c r="A3977" s="1" t="s">
        <v>25</v>
      </c>
      <c r="B3977" s="2" t="s">
        <v>304</v>
      </c>
      <c r="D3977" s="5" t="s">
        <v>464</v>
      </c>
      <c r="E3977" s="3" t="s">
        <v>465</v>
      </c>
      <c r="F3977" s="3">
        <v>102500</v>
      </c>
      <c r="G3977" s="57" t="s">
        <v>465</v>
      </c>
    </row>
    <row r="3978" spans="1:10" x14ac:dyDescent="0.2">
      <c r="A3978" s="1" t="s">
        <v>25</v>
      </c>
      <c r="B3978" s="2" t="s">
        <v>304</v>
      </c>
      <c r="D3978" s="5" t="s">
        <v>464</v>
      </c>
      <c r="E3978" s="3" t="s">
        <v>465</v>
      </c>
      <c r="F3978" s="3">
        <v>102500</v>
      </c>
      <c r="G3978" s="57" t="s">
        <v>465</v>
      </c>
    </row>
    <row r="3979" spans="1:10" x14ac:dyDescent="0.2">
      <c r="A3979" s="1" t="s">
        <v>111</v>
      </c>
      <c r="B3979" s="2" t="s">
        <v>305</v>
      </c>
      <c r="D3979" s="5" t="s">
        <v>464</v>
      </c>
      <c r="E3979" s="3" t="s">
        <v>465</v>
      </c>
      <c r="F3979" s="3">
        <v>102500</v>
      </c>
      <c r="G3979" s="57" t="s">
        <v>465</v>
      </c>
    </row>
    <row r="3980" spans="1:10" x14ac:dyDescent="0.2">
      <c r="A3980" s="1" t="s">
        <v>1</v>
      </c>
      <c r="B3980" s="12" t="s">
        <v>308</v>
      </c>
      <c r="D3980" s="5" t="s">
        <v>464</v>
      </c>
      <c r="E3980" s="3" t="s">
        <v>465</v>
      </c>
      <c r="F3980" s="3">
        <v>102500</v>
      </c>
      <c r="G3980" s="57" t="s">
        <v>465</v>
      </c>
      <c r="J3980" s="5" t="s">
        <v>539</v>
      </c>
    </row>
    <row r="3981" spans="1:10" x14ac:dyDescent="0.2">
      <c r="A3981" s="1" t="s">
        <v>25</v>
      </c>
      <c r="B3981" s="2" t="s">
        <v>311</v>
      </c>
      <c r="D3981" s="5" t="s">
        <v>464</v>
      </c>
      <c r="E3981" s="3" t="s">
        <v>465</v>
      </c>
      <c r="F3981" s="3">
        <v>102500</v>
      </c>
      <c r="G3981" s="57" t="s">
        <v>465</v>
      </c>
      <c r="J3981" s="1"/>
    </row>
    <row r="3982" spans="1:10" x14ac:dyDescent="0.2">
      <c r="A3982" s="1" t="s">
        <v>25</v>
      </c>
      <c r="B3982" s="2" t="s">
        <v>311</v>
      </c>
      <c r="D3982" s="5" t="s">
        <v>464</v>
      </c>
      <c r="E3982" s="3" t="s">
        <v>465</v>
      </c>
      <c r="F3982" s="3">
        <v>102500</v>
      </c>
      <c r="G3982" s="57" t="s">
        <v>465</v>
      </c>
      <c r="J3982" s="1"/>
    </row>
    <row r="3983" spans="1:10" x14ac:dyDescent="0.2">
      <c r="A3983" s="1" t="s">
        <v>25</v>
      </c>
      <c r="B3983" s="2" t="s">
        <v>311</v>
      </c>
      <c r="D3983" s="5" t="s">
        <v>464</v>
      </c>
      <c r="E3983" s="3" t="s">
        <v>465</v>
      </c>
      <c r="F3983" s="3">
        <v>102500</v>
      </c>
      <c r="G3983" s="57" t="s">
        <v>465</v>
      </c>
      <c r="J3983" s="1"/>
    </row>
    <row r="3984" spans="1:10" x14ac:dyDescent="0.2">
      <c r="A3984" s="1" t="s">
        <v>25</v>
      </c>
      <c r="B3984" s="2" t="s">
        <v>311</v>
      </c>
      <c r="D3984" s="5" t="s">
        <v>464</v>
      </c>
      <c r="E3984" s="3" t="s">
        <v>465</v>
      </c>
      <c r="F3984" s="3">
        <v>102500</v>
      </c>
      <c r="G3984" s="57" t="s">
        <v>465</v>
      </c>
      <c r="J3984" s="1"/>
    </row>
    <row r="3985" spans="1:10" x14ac:dyDescent="0.2">
      <c r="A3985" s="1" t="s">
        <v>25</v>
      </c>
      <c r="B3985" s="2" t="s">
        <v>311</v>
      </c>
      <c r="D3985" s="5" t="s">
        <v>464</v>
      </c>
      <c r="E3985" s="3" t="s">
        <v>465</v>
      </c>
      <c r="F3985" s="3">
        <v>102500</v>
      </c>
      <c r="G3985" s="57" t="s">
        <v>465</v>
      </c>
      <c r="J3985" s="1"/>
    </row>
    <row r="3986" spans="1:10" x14ac:dyDescent="0.2">
      <c r="A3986" s="1" t="s">
        <v>25</v>
      </c>
      <c r="B3986" s="2" t="s">
        <v>311</v>
      </c>
      <c r="D3986" s="5" t="s">
        <v>464</v>
      </c>
      <c r="E3986" s="3" t="s">
        <v>465</v>
      </c>
      <c r="F3986" s="3">
        <v>102500</v>
      </c>
      <c r="G3986" s="57" t="s">
        <v>465</v>
      </c>
      <c r="J3986" s="1"/>
    </row>
    <row r="3987" spans="1:10" x14ac:dyDescent="0.2">
      <c r="A3987" s="1" t="s">
        <v>6</v>
      </c>
      <c r="B3987" s="2" t="s">
        <v>313</v>
      </c>
      <c r="D3987" s="5" t="s">
        <v>464</v>
      </c>
      <c r="E3987" s="3" t="s">
        <v>465</v>
      </c>
      <c r="F3987" s="3">
        <v>102500</v>
      </c>
      <c r="G3987" s="57" t="s">
        <v>465</v>
      </c>
    </row>
    <row r="3988" spans="1:10" x14ac:dyDescent="0.2">
      <c r="A3988" s="1" t="s">
        <v>28</v>
      </c>
      <c r="B3988" s="2" t="s">
        <v>317</v>
      </c>
      <c r="D3988" s="5" t="s">
        <v>464</v>
      </c>
      <c r="E3988" s="3" t="s">
        <v>465</v>
      </c>
      <c r="F3988" s="19">
        <v>102500</v>
      </c>
      <c r="G3988" s="57" t="s">
        <v>465</v>
      </c>
      <c r="H3988" s="19" t="s">
        <v>465</v>
      </c>
    </row>
    <row r="3989" spans="1:10" x14ac:dyDescent="0.2">
      <c r="A3989" s="1" t="s">
        <v>6</v>
      </c>
      <c r="B3989" s="2" t="s">
        <v>324</v>
      </c>
      <c r="D3989" s="5" t="s">
        <v>464</v>
      </c>
      <c r="E3989" s="3" t="s">
        <v>465</v>
      </c>
      <c r="F3989" s="3">
        <v>102500</v>
      </c>
      <c r="G3989" s="57" t="s">
        <v>465</v>
      </c>
    </row>
    <row r="3990" spans="1:10" x14ac:dyDescent="0.2">
      <c r="A3990" s="1" t="s">
        <v>6</v>
      </c>
      <c r="B3990" s="2" t="s">
        <v>324</v>
      </c>
      <c r="D3990" s="5" t="s">
        <v>464</v>
      </c>
      <c r="E3990" s="3" t="s">
        <v>465</v>
      </c>
      <c r="F3990" s="3">
        <v>102500</v>
      </c>
      <c r="G3990" s="57" t="s">
        <v>465</v>
      </c>
    </row>
    <row r="3991" spans="1:10" x14ac:dyDescent="0.2">
      <c r="A3991" s="1" t="s">
        <v>39</v>
      </c>
      <c r="B3991" s="2" t="s">
        <v>325</v>
      </c>
      <c r="D3991" s="5" t="s">
        <v>464</v>
      </c>
      <c r="F3991" s="3">
        <v>102500</v>
      </c>
      <c r="G3991" s="57" t="s">
        <v>465</v>
      </c>
      <c r="J3991" s="5" t="s">
        <v>1241</v>
      </c>
    </row>
    <row r="3992" spans="1:10" x14ac:dyDescent="0.2">
      <c r="A3992" s="1" t="s">
        <v>39</v>
      </c>
      <c r="B3992" s="2" t="s">
        <v>325</v>
      </c>
      <c r="D3992" s="5" t="s">
        <v>464</v>
      </c>
      <c r="F3992" s="3">
        <v>102500</v>
      </c>
      <c r="G3992" s="57" t="s">
        <v>465</v>
      </c>
      <c r="J3992" s="5" t="s">
        <v>1241</v>
      </c>
    </row>
    <row r="3993" spans="1:10" x14ac:dyDescent="0.2">
      <c r="A3993" s="1" t="s">
        <v>28</v>
      </c>
      <c r="B3993" s="2" t="s">
        <v>332</v>
      </c>
      <c r="D3993" s="5" t="s">
        <v>464</v>
      </c>
      <c r="E3993" s="3" t="s">
        <v>465</v>
      </c>
      <c r="F3993" s="3">
        <v>102500</v>
      </c>
      <c r="G3993" s="57" t="s">
        <v>465</v>
      </c>
      <c r="J3993" s="1"/>
    </row>
    <row r="3994" spans="1:10" x14ac:dyDescent="0.2">
      <c r="A3994" s="1" t="s">
        <v>39</v>
      </c>
      <c r="B3994" s="2" t="s">
        <v>335</v>
      </c>
      <c r="D3994" s="7" t="s">
        <v>464</v>
      </c>
      <c r="E3994" s="6" t="s">
        <v>465</v>
      </c>
      <c r="F3994" s="6">
        <v>102500</v>
      </c>
      <c r="G3994" s="57" t="s">
        <v>465</v>
      </c>
      <c r="H3994" s="21"/>
      <c r="I3994" s="21"/>
    </row>
    <row r="3995" spans="1:10" x14ac:dyDescent="0.2">
      <c r="A3995" s="1" t="s">
        <v>39</v>
      </c>
      <c r="B3995" s="2" t="s">
        <v>335</v>
      </c>
      <c r="D3995" s="7" t="s">
        <v>464</v>
      </c>
      <c r="E3995" s="6" t="s">
        <v>465</v>
      </c>
      <c r="F3995" s="6">
        <v>102500</v>
      </c>
      <c r="G3995" s="57" t="s">
        <v>465</v>
      </c>
      <c r="H3995" s="21"/>
      <c r="I3995" s="21"/>
      <c r="J3995" s="5" t="s">
        <v>2742</v>
      </c>
    </row>
    <row r="3996" spans="1:10" x14ac:dyDescent="0.2">
      <c r="A3996" s="1" t="s">
        <v>39</v>
      </c>
      <c r="B3996" s="2" t="s">
        <v>335</v>
      </c>
      <c r="D3996" s="7" t="s">
        <v>464</v>
      </c>
      <c r="E3996" s="6" t="s">
        <v>465</v>
      </c>
      <c r="F3996" s="6">
        <v>102500</v>
      </c>
      <c r="G3996" s="57" t="s">
        <v>465</v>
      </c>
      <c r="H3996" s="21"/>
      <c r="I3996" s="21"/>
      <c r="J3996" s="5" t="s">
        <v>2742</v>
      </c>
    </row>
    <row r="3997" spans="1:10" x14ac:dyDescent="0.2">
      <c r="A3997" s="1" t="s">
        <v>4</v>
      </c>
      <c r="B3997" s="2" t="s">
        <v>336</v>
      </c>
      <c r="D3997" s="5" t="s">
        <v>464</v>
      </c>
      <c r="E3997" s="3" t="s">
        <v>465</v>
      </c>
      <c r="F3997" s="3">
        <v>102500</v>
      </c>
      <c r="G3997" s="57" t="s">
        <v>465</v>
      </c>
      <c r="J3997" s="1"/>
    </row>
    <row r="3998" spans="1:10" x14ac:dyDescent="0.2">
      <c r="A3998" s="1" t="s">
        <v>39</v>
      </c>
      <c r="B3998" s="2" t="s">
        <v>337</v>
      </c>
      <c r="D3998" s="5" t="s">
        <v>464</v>
      </c>
      <c r="E3998" s="3" t="s">
        <v>465</v>
      </c>
      <c r="F3998" s="3">
        <v>102500</v>
      </c>
      <c r="G3998" s="57" t="s">
        <v>465</v>
      </c>
    </row>
    <row r="3999" spans="1:10" x14ac:dyDescent="0.2">
      <c r="A3999" s="1" t="s">
        <v>111</v>
      </c>
      <c r="B3999" s="2" t="s">
        <v>355</v>
      </c>
      <c r="D3999" s="5" t="s">
        <v>464</v>
      </c>
      <c r="E3999" s="3" t="s">
        <v>465</v>
      </c>
      <c r="F3999" s="3">
        <v>102500</v>
      </c>
      <c r="G3999" s="57" t="s">
        <v>465</v>
      </c>
      <c r="J3999" s="5" t="s">
        <v>539</v>
      </c>
    </row>
    <row r="4000" spans="1:10" x14ac:dyDescent="0.2">
      <c r="A4000" s="1" t="s">
        <v>111</v>
      </c>
      <c r="B4000" s="2" t="s">
        <v>355</v>
      </c>
      <c r="D4000" s="5" t="s">
        <v>464</v>
      </c>
      <c r="E4000" s="3" t="s">
        <v>465</v>
      </c>
      <c r="F4000" s="3">
        <v>102500</v>
      </c>
      <c r="G4000" s="57" t="s">
        <v>465</v>
      </c>
      <c r="J4000" s="5" t="s">
        <v>539</v>
      </c>
    </row>
    <row r="4001" spans="1:10" x14ac:dyDescent="0.2">
      <c r="A4001" s="1" t="s">
        <v>111</v>
      </c>
      <c r="B4001" s="2" t="s">
        <v>355</v>
      </c>
      <c r="D4001" s="5" t="s">
        <v>464</v>
      </c>
      <c r="E4001" s="3" t="s">
        <v>465</v>
      </c>
      <c r="F4001" s="3">
        <v>102500</v>
      </c>
      <c r="G4001" s="57" t="s">
        <v>465</v>
      </c>
      <c r="J4001" s="5" t="s">
        <v>539</v>
      </c>
    </row>
    <row r="4002" spans="1:10" x14ac:dyDescent="0.2">
      <c r="A4002" s="1" t="s">
        <v>4</v>
      </c>
      <c r="B4002" s="2" t="s">
        <v>356</v>
      </c>
      <c r="D4002" s="5" t="s">
        <v>464</v>
      </c>
      <c r="E4002" s="3" t="s">
        <v>465</v>
      </c>
      <c r="F4002" s="3">
        <v>102500</v>
      </c>
      <c r="G4002" s="57" t="s">
        <v>465</v>
      </c>
    </row>
    <row r="4003" spans="1:10" x14ac:dyDescent="0.2">
      <c r="A4003" s="1" t="s">
        <v>25</v>
      </c>
      <c r="B4003" s="2" t="s">
        <v>358</v>
      </c>
      <c r="D4003" s="5" t="s">
        <v>464</v>
      </c>
      <c r="E4003" s="3" t="s">
        <v>465</v>
      </c>
      <c r="F4003" s="3">
        <v>102500</v>
      </c>
      <c r="G4003" s="57" t="s">
        <v>465</v>
      </c>
      <c r="J4003" s="1"/>
    </row>
    <row r="4004" spans="1:10" x14ac:dyDescent="0.2">
      <c r="A4004" s="1" t="s">
        <v>25</v>
      </c>
      <c r="B4004" s="2" t="s">
        <v>358</v>
      </c>
      <c r="D4004" s="5" t="s">
        <v>464</v>
      </c>
      <c r="E4004" s="3" t="s">
        <v>465</v>
      </c>
      <c r="F4004" s="3">
        <v>102500</v>
      </c>
      <c r="G4004" s="57" t="s">
        <v>465</v>
      </c>
      <c r="J4004" s="1"/>
    </row>
    <row r="4005" spans="1:10" x14ac:dyDescent="0.2">
      <c r="A4005" s="1" t="s">
        <v>20</v>
      </c>
      <c r="B4005" s="2" t="s">
        <v>360</v>
      </c>
      <c r="E4005" s="3" t="s">
        <v>465</v>
      </c>
      <c r="F4005" s="3">
        <v>102500</v>
      </c>
      <c r="G4005" s="57" t="s">
        <v>465</v>
      </c>
      <c r="J4005" s="5" t="s">
        <v>1241</v>
      </c>
    </row>
    <row r="4006" spans="1:10" x14ac:dyDescent="0.2">
      <c r="A4006" s="1" t="s">
        <v>39</v>
      </c>
      <c r="B4006" s="2" t="s">
        <v>364</v>
      </c>
      <c r="D4006" s="5" t="s">
        <v>464</v>
      </c>
      <c r="E4006" s="3" t="s">
        <v>465</v>
      </c>
      <c r="F4006" s="3">
        <v>102500</v>
      </c>
      <c r="G4006" s="57" t="s">
        <v>465</v>
      </c>
    </row>
    <row r="4007" spans="1:10" x14ac:dyDescent="0.2">
      <c r="A4007" s="1" t="s">
        <v>39</v>
      </c>
      <c r="B4007" s="2" t="s">
        <v>364</v>
      </c>
      <c r="D4007" s="5" t="s">
        <v>464</v>
      </c>
      <c r="E4007" s="3" t="s">
        <v>465</v>
      </c>
      <c r="F4007" s="3">
        <v>102500</v>
      </c>
      <c r="G4007" s="57" t="s">
        <v>465</v>
      </c>
    </row>
    <row r="4008" spans="1:10" x14ac:dyDescent="0.2">
      <c r="A4008" s="1" t="s">
        <v>39</v>
      </c>
      <c r="B4008" s="2" t="s">
        <v>364</v>
      </c>
      <c r="D4008" s="5" t="s">
        <v>464</v>
      </c>
      <c r="E4008" s="3" t="s">
        <v>465</v>
      </c>
      <c r="F4008" s="3">
        <v>102500</v>
      </c>
      <c r="G4008" s="57" t="s">
        <v>465</v>
      </c>
    </row>
    <row r="4009" spans="1:10" x14ac:dyDescent="0.2">
      <c r="A4009" s="1" t="s">
        <v>39</v>
      </c>
      <c r="B4009" s="2" t="s">
        <v>364</v>
      </c>
      <c r="D4009" s="5" t="s">
        <v>464</v>
      </c>
      <c r="E4009" s="3" t="s">
        <v>465</v>
      </c>
      <c r="F4009" s="3">
        <v>102500</v>
      </c>
      <c r="G4009" s="57" t="s">
        <v>465</v>
      </c>
    </row>
    <row r="4010" spans="1:10" x14ac:dyDescent="0.2">
      <c r="A4010" s="1" t="s">
        <v>39</v>
      </c>
      <c r="B4010" s="2" t="s">
        <v>364</v>
      </c>
      <c r="D4010" s="5" t="s">
        <v>464</v>
      </c>
      <c r="E4010" s="3" t="s">
        <v>465</v>
      </c>
      <c r="F4010" s="3">
        <v>102500</v>
      </c>
      <c r="G4010" s="57" t="s">
        <v>465</v>
      </c>
    </row>
    <row r="4011" spans="1:10" x14ac:dyDescent="0.2">
      <c r="A4011" s="1" t="s">
        <v>39</v>
      </c>
      <c r="B4011" s="2" t="s">
        <v>364</v>
      </c>
      <c r="D4011" s="5" t="s">
        <v>464</v>
      </c>
      <c r="E4011" s="3" t="s">
        <v>465</v>
      </c>
      <c r="F4011" s="3">
        <v>102500</v>
      </c>
      <c r="G4011" s="57" t="s">
        <v>465</v>
      </c>
    </row>
    <row r="4012" spans="1:10" x14ac:dyDescent="0.2">
      <c r="A4012" s="1" t="s">
        <v>6</v>
      </c>
      <c r="B4012" s="2" t="s">
        <v>368</v>
      </c>
      <c r="D4012" s="5" t="s">
        <v>464</v>
      </c>
      <c r="E4012" s="3" t="s">
        <v>465</v>
      </c>
      <c r="F4012" s="3">
        <v>102500</v>
      </c>
      <c r="G4012" s="57" t="s">
        <v>465</v>
      </c>
    </row>
    <row r="4013" spans="1:10" x14ac:dyDescent="0.2">
      <c r="A4013" s="1" t="s">
        <v>6</v>
      </c>
      <c r="B4013" s="2" t="s">
        <v>368</v>
      </c>
      <c r="D4013" s="5" t="s">
        <v>464</v>
      </c>
      <c r="E4013" s="3" t="s">
        <v>465</v>
      </c>
      <c r="F4013" s="3">
        <v>102500</v>
      </c>
      <c r="G4013" s="57" t="s">
        <v>465</v>
      </c>
    </row>
    <row r="4014" spans="1:10" x14ac:dyDescent="0.2">
      <c r="A4014" s="1" t="s">
        <v>6</v>
      </c>
      <c r="B4014" s="2" t="s">
        <v>368</v>
      </c>
      <c r="D4014" s="5" t="s">
        <v>464</v>
      </c>
      <c r="E4014" s="3" t="s">
        <v>465</v>
      </c>
      <c r="F4014" s="3">
        <v>102500</v>
      </c>
      <c r="G4014" s="57" t="s">
        <v>465</v>
      </c>
    </row>
    <row r="4015" spans="1:10" x14ac:dyDescent="0.2">
      <c r="A4015" s="1" t="s">
        <v>6</v>
      </c>
      <c r="B4015" s="2" t="s">
        <v>368</v>
      </c>
      <c r="D4015" s="5" t="s">
        <v>464</v>
      </c>
      <c r="E4015" s="3" t="s">
        <v>465</v>
      </c>
      <c r="F4015" s="3">
        <v>102500</v>
      </c>
      <c r="G4015" s="57" t="s">
        <v>465</v>
      </c>
    </row>
    <row r="4016" spans="1:10" x14ac:dyDescent="0.2">
      <c r="A4016" s="1" t="s">
        <v>6</v>
      </c>
      <c r="B4016" s="2" t="s">
        <v>368</v>
      </c>
      <c r="D4016" s="5" t="s">
        <v>464</v>
      </c>
      <c r="E4016" s="3" t="s">
        <v>465</v>
      </c>
      <c r="F4016" s="3">
        <v>102500</v>
      </c>
      <c r="G4016" s="57" t="s">
        <v>465</v>
      </c>
    </row>
    <row r="4017" spans="1:10" x14ac:dyDescent="0.2">
      <c r="A4017" s="1" t="s">
        <v>6</v>
      </c>
      <c r="B4017" s="2" t="s">
        <v>368</v>
      </c>
      <c r="D4017" s="5" t="s">
        <v>464</v>
      </c>
      <c r="E4017" s="3" t="s">
        <v>465</v>
      </c>
      <c r="F4017" s="3">
        <v>102500</v>
      </c>
      <c r="G4017" s="57" t="s">
        <v>465</v>
      </c>
    </row>
    <row r="4018" spans="1:10" x14ac:dyDescent="0.2">
      <c r="A4018" s="1" t="s">
        <v>111</v>
      </c>
      <c r="B4018" s="2" t="s">
        <v>369</v>
      </c>
      <c r="D4018" s="5" t="s">
        <v>464</v>
      </c>
      <c r="E4018" s="3" t="s">
        <v>465</v>
      </c>
      <c r="F4018" s="3">
        <v>102500</v>
      </c>
      <c r="G4018" s="57" t="s">
        <v>465</v>
      </c>
    </row>
    <row r="4019" spans="1:10" x14ac:dyDescent="0.2">
      <c r="A4019" s="1" t="s">
        <v>39</v>
      </c>
      <c r="B4019" s="2" t="s">
        <v>370</v>
      </c>
      <c r="D4019" s="5" t="s">
        <v>464</v>
      </c>
      <c r="E4019" s="3" t="s">
        <v>465</v>
      </c>
      <c r="F4019" s="3">
        <v>102500</v>
      </c>
      <c r="G4019" s="57" t="s">
        <v>465</v>
      </c>
      <c r="J4019" s="5" t="s">
        <v>539</v>
      </c>
    </row>
    <row r="4020" spans="1:10" x14ac:dyDescent="0.2">
      <c r="A4020" s="1" t="s">
        <v>39</v>
      </c>
      <c r="B4020" s="2" t="s">
        <v>370</v>
      </c>
      <c r="D4020" s="5" t="s">
        <v>464</v>
      </c>
      <c r="E4020" s="3" t="s">
        <v>465</v>
      </c>
      <c r="F4020" s="3">
        <v>102500</v>
      </c>
      <c r="G4020" s="57" t="s">
        <v>465</v>
      </c>
      <c r="J4020" s="5" t="s">
        <v>539</v>
      </c>
    </row>
    <row r="4021" spans="1:10" x14ac:dyDescent="0.2">
      <c r="A4021" s="1" t="s">
        <v>39</v>
      </c>
      <c r="B4021" s="2" t="s">
        <v>370</v>
      </c>
      <c r="D4021" s="5" t="s">
        <v>464</v>
      </c>
      <c r="E4021" s="3" t="s">
        <v>465</v>
      </c>
      <c r="F4021" s="3">
        <v>102500</v>
      </c>
      <c r="G4021" s="57" t="s">
        <v>465</v>
      </c>
    </row>
    <row r="4022" spans="1:10" x14ac:dyDescent="0.2">
      <c r="A4022" s="1" t="s">
        <v>39</v>
      </c>
      <c r="B4022" s="2" t="s">
        <v>370</v>
      </c>
      <c r="D4022" s="5" t="s">
        <v>464</v>
      </c>
      <c r="E4022" s="3" t="s">
        <v>465</v>
      </c>
      <c r="F4022" s="3">
        <v>102500</v>
      </c>
      <c r="G4022" s="57" t="s">
        <v>465</v>
      </c>
    </row>
    <row r="4023" spans="1:10" x14ac:dyDescent="0.2">
      <c r="A4023" s="1" t="s">
        <v>20</v>
      </c>
      <c r="B4023" s="2" t="s">
        <v>374</v>
      </c>
      <c r="D4023" s="5" t="s">
        <v>464</v>
      </c>
      <c r="E4023" s="3" t="s">
        <v>465</v>
      </c>
      <c r="F4023" s="3">
        <v>102500</v>
      </c>
      <c r="G4023" s="57" t="s">
        <v>465</v>
      </c>
    </row>
    <row r="4024" spans="1:10" x14ac:dyDescent="0.2">
      <c r="A4024" s="1" t="s">
        <v>4</v>
      </c>
      <c r="B4024" s="2" t="s">
        <v>377</v>
      </c>
      <c r="D4024" s="5" t="s">
        <v>464</v>
      </c>
      <c r="E4024" s="3" t="s">
        <v>465</v>
      </c>
      <c r="F4024" s="3">
        <v>102500</v>
      </c>
      <c r="G4024" s="57" t="s">
        <v>465</v>
      </c>
      <c r="J4024" s="1"/>
    </row>
    <row r="4025" spans="1:10" x14ac:dyDescent="0.2">
      <c r="A4025" s="1" t="s">
        <v>4</v>
      </c>
      <c r="B4025" s="2" t="s">
        <v>377</v>
      </c>
      <c r="D4025" s="5" t="s">
        <v>464</v>
      </c>
      <c r="E4025" s="3" t="s">
        <v>465</v>
      </c>
      <c r="F4025" s="3">
        <v>102500</v>
      </c>
      <c r="G4025" s="57" t="s">
        <v>465</v>
      </c>
    </row>
    <row r="4026" spans="1:10" x14ac:dyDescent="0.2">
      <c r="A4026" s="1" t="s">
        <v>4</v>
      </c>
      <c r="B4026" s="2" t="s">
        <v>378</v>
      </c>
      <c r="D4026" s="5" t="s">
        <v>464</v>
      </c>
      <c r="E4026" s="3" t="s">
        <v>465</v>
      </c>
      <c r="F4026" s="3">
        <v>102500</v>
      </c>
      <c r="G4026" s="57" t="s">
        <v>465</v>
      </c>
    </row>
    <row r="4027" spans="1:10" x14ac:dyDescent="0.2">
      <c r="A4027" s="1" t="s">
        <v>25</v>
      </c>
      <c r="B4027" s="2" t="s">
        <v>379</v>
      </c>
      <c r="D4027" s="5" t="s">
        <v>464</v>
      </c>
      <c r="E4027" s="3" t="s">
        <v>465</v>
      </c>
      <c r="F4027" s="3">
        <v>102500</v>
      </c>
      <c r="G4027" s="57" t="s">
        <v>465</v>
      </c>
    </row>
    <row r="4028" spans="1:10" x14ac:dyDescent="0.2">
      <c r="A4028" s="1" t="s">
        <v>25</v>
      </c>
      <c r="B4028" s="2" t="s">
        <v>379</v>
      </c>
      <c r="D4028" s="5" t="s">
        <v>464</v>
      </c>
      <c r="E4028" s="3" t="s">
        <v>465</v>
      </c>
      <c r="F4028" s="3">
        <v>102500</v>
      </c>
      <c r="G4028" s="57" t="s">
        <v>465</v>
      </c>
    </row>
    <row r="4029" spans="1:10" x14ac:dyDescent="0.2">
      <c r="A4029" s="1" t="s">
        <v>44</v>
      </c>
      <c r="B4029" s="2" t="s">
        <v>381</v>
      </c>
      <c r="D4029" s="5" t="s">
        <v>464</v>
      </c>
      <c r="E4029" s="3" t="s">
        <v>465</v>
      </c>
      <c r="F4029" s="3">
        <v>102500</v>
      </c>
      <c r="G4029" s="57" t="s">
        <v>465</v>
      </c>
    </row>
    <row r="4030" spans="1:10" x14ac:dyDescent="0.2">
      <c r="A4030" s="1" t="s">
        <v>34</v>
      </c>
      <c r="B4030" s="2" t="s">
        <v>382</v>
      </c>
      <c r="D4030" s="5" t="s">
        <v>464</v>
      </c>
      <c r="E4030" s="3" t="s">
        <v>465</v>
      </c>
      <c r="F4030" s="3">
        <v>102500</v>
      </c>
      <c r="G4030" s="57" t="s">
        <v>465</v>
      </c>
    </row>
    <row r="4031" spans="1:10" x14ac:dyDescent="0.2">
      <c r="A4031" s="1" t="s">
        <v>34</v>
      </c>
      <c r="B4031" s="2" t="s">
        <v>382</v>
      </c>
      <c r="D4031" s="5" t="s">
        <v>464</v>
      </c>
      <c r="E4031" s="3" t="s">
        <v>465</v>
      </c>
      <c r="F4031" s="3">
        <v>102500</v>
      </c>
      <c r="G4031" s="57" t="s">
        <v>465</v>
      </c>
    </row>
    <row r="4032" spans="1:10" x14ac:dyDescent="0.2">
      <c r="A4032" s="1" t="s">
        <v>39</v>
      </c>
      <c r="B4032" s="2" t="s">
        <v>388</v>
      </c>
      <c r="D4032" s="5" t="s">
        <v>464</v>
      </c>
      <c r="E4032" s="3" t="s">
        <v>465</v>
      </c>
      <c r="F4032" s="3">
        <v>102500</v>
      </c>
      <c r="G4032" s="57" t="s">
        <v>465</v>
      </c>
    </row>
    <row r="4033" spans="1:10" x14ac:dyDescent="0.2">
      <c r="A4033" s="1" t="s">
        <v>39</v>
      </c>
      <c r="B4033" s="2" t="s">
        <v>388</v>
      </c>
      <c r="D4033" s="5" t="s">
        <v>464</v>
      </c>
      <c r="E4033" s="3" t="s">
        <v>465</v>
      </c>
      <c r="F4033" s="3">
        <v>102500</v>
      </c>
      <c r="G4033" s="57" t="s">
        <v>465</v>
      </c>
    </row>
    <row r="4034" spans="1:10" x14ac:dyDescent="0.2">
      <c r="A4034" s="1" t="s">
        <v>20</v>
      </c>
      <c r="B4034" s="2" t="s">
        <v>394</v>
      </c>
      <c r="D4034" s="5" t="s">
        <v>464</v>
      </c>
      <c r="E4034" s="3" t="s">
        <v>465</v>
      </c>
      <c r="F4034" s="3">
        <v>102500</v>
      </c>
      <c r="G4034" s="57" t="s">
        <v>465</v>
      </c>
      <c r="J4034" s="5" t="s">
        <v>539</v>
      </c>
    </row>
    <row r="4035" spans="1:10" x14ac:dyDescent="0.2">
      <c r="A4035" s="1" t="s">
        <v>25</v>
      </c>
      <c r="B4035" s="2" t="s">
        <v>398</v>
      </c>
      <c r="D4035" s="5" t="s">
        <v>464</v>
      </c>
      <c r="E4035" s="3" t="s">
        <v>465</v>
      </c>
      <c r="F4035" s="3">
        <v>102500</v>
      </c>
      <c r="G4035" s="57" t="s">
        <v>465</v>
      </c>
      <c r="J4035" s="5" t="s">
        <v>1241</v>
      </c>
    </row>
    <row r="4036" spans="1:10" x14ac:dyDescent="0.2">
      <c r="A4036" s="1" t="s">
        <v>25</v>
      </c>
      <c r="B4036" s="2" t="s">
        <v>398</v>
      </c>
      <c r="D4036" s="5" t="s">
        <v>464</v>
      </c>
      <c r="E4036" s="3" t="s">
        <v>465</v>
      </c>
      <c r="F4036" s="3">
        <v>102500</v>
      </c>
      <c r="G4036" s="57" t="s">
        <v>465</v>
      </c>
      <c r="J4036" s="5" t="s">
        <v>1241</v>
      </c>
    </row>
    <row r="4037" spans="1:10" x14ac:dyDescent="0.2">
      <c r="A4037" s="1" t="s">
        <v>25</v>
      </c>
      <c r="B4037" s="2" t="s">
        <v>398</v>
      </c>
      <c r="D4037" s="5" t="s">
        <v>464</v>
      </c>
      <c r="E4037" s="3" t="s">
        <v>465</v>
      </c>
      <c r="F4037" s="3">
        <v>102500</v>
      </c>
      <c r="G4037" s="57" t="s">
        <v>465</v>
      </c>
      <c r="J4037" s="5" t="s">
        <v>1241</v>
      </c>
    </row>
    <row r="4038" spans="1:10" x14ac:dyDescent="0.2">
      <c r="A4038" s="1" t="s">
        <v>25</v>
      </c>
      <c r="B4038" s="2" t="s">
        <v>398</v>
      </c>
      <c r="D4038" s="5" t="s">
        <v>464</v>
      </c>
      <c r="E4038" s="3" t="s">
        <v>465</v>
      </c>
      <c r="F4038" s="3">
        <v>102500</v>
      </c>
      <c r="G4038" s="57" t="s">
        <v>465</v>
      </c>
      <c r="J4038" s="5" t="s">
        <v>1241</v>
      </c>
    </row>
    <row r="4039" spans="1:10" x14ac:dyDescent="0.2">
      <c r="A4039" s="1" t="s">
        <v>25</v>
      </c>
      <c r="B4039" s="2" t="s">
        <v>398</v>
      </c>
      <c r="D4039" s="5" t="s">
        <v>464</v>
      </c>
      <c r="E4039" s="3" t="s">
        <v>465</v>
      </c>
      <c r="F4039" s="3">
        <v>102500</v>
      </c>
      <c r="G4039" s="57" t="s">
        <v>465</v>
      </c>
      <c r="J4039" s="5" t="s">
        <v>1241</v>
      </c>
    </row>
    <row r="4040" spans="1:10" x14ac:dyDescent="0.2">
      <c r="A4040" s="1" t="s">
        <v>25</v>
      </c>
      <c r="B4040" s="2" t="s">
        <v>398</v>
      </c>
      <c r="D4040" s="5" t="s">
        <v>464</v>
      </c>
      <c r="E4040" s="3" t="s">
        <v>465</v>
      </c>
      <c r="F4040" s="3">
        <v>102500</v>
      </c>
      <c r="G4040" s="57" t="s">
        <v>465</v>
      </c>
      <c r="J4040" s="5" t="s">
        <v>1241</v>
      </c>
    </row>
    <row r="4041" spans="1:10" x14ac:dyDescent="0.2">
      <c r="A4041" s="1" t="s">
        <v>25</v>
      </c>
      <c r="B4041" s="2" t="s">
        <v>398</v>
      </c>
      <c r="D4041" s="5" t="s">
        <v>464</v>
      </c>
      <c r="E4041" s="3" t="s">
        <v>465</v>
      </c>
      <c r="F4041" s="3">
        <v>102500</v>
      </c>
      <c r="G4041" s="57" t="s">
        <v>465</v>
      </c>
    </row>
    <row r="4042" spans="1:10" x14ac:dyDescent="0.2">
      <c r="A4042" s="1" t="s">
        <v>25</v>
      </c>
      <c r="B4042" s="2" t="s">
        <v>398</v>
      </c>
      <c r="D4042" s="5" t="s">
        <v>464</v>
      </c>
      <c r="E4042" s="3" t="s">
        <v>465</v>
      </c>
      <c r="F4042" s="3">
        <v>102500</v>
      </c>
      <c r="G4042" s="57" t="s">
        <v>465</v>
      </c>
    </row>
    <row r="4043" spans="1:10" x14ac:dyDescent="0.2">
      <c r="A4043" s="1" t="s">
        <v>25</v>
      </c>
      <c r="B4043" s="2" t="s">
        <v>398</v>
      </c>
      <c r="D4043" s="5" t="s">
        <v>464</v>
      </c>
      <c r="E4043" s="3" t="s">
        <v>465</v>
      </c>
      <c r="F4043" s="3">
        <v>102500</v>
      </c>
      <c r="G4043" s="57" t="s">
        <v>465</v>
      </c>
    </row>
    <row r="4044" spans="1:10" x14ac:dyDescent="0.2">
      <c r="A4044" s="1" t="s">
        <v>25</v>
      </c>
      <c r="B4044" s="2" t="s">
        <v>398</v>
      </c>
      <c r="D4044" s="5" t="s">
        <v>464</v>
      </c>
      <c r="E4044" s="3" t="s">
        <v>465</v>
      </c>
      <c r="F4044" s="3">
        <v>102500</v>
      </c>
      <c r="G4044" s="57" t="s">
        <v>465</v>
      </c>
    </row>
    <row r="4045" spans="1:10" x14ac:dyDescent="0.2">
      <c r="A4045" s="1" t="s">
        <v>6</v>
      </c>
      <c r="B4045" s="2" t="s">
        <v>399</v>
      </c>
      <c r="D4045" s="5" t="s">
        <v>464</v>
      </c>
      <c r="E4045" s="3" t="s">
        <v>465</v>
      </c>
      <c r="F4045" s="3">
        <v>102500</v>
      </c>
      <c r="G4045" s="57" t="s">
        <v>465</v>
      </c>
      <c r="J4045" s="5" t="s">
        <v>539</v>
      </c>
    </row>
    <row r="4046" spans="1:10" x14ac:dyDescent="0.2">
      <c r="A4046" s="1" t="s">
        <v>44</v>
      </c>
      <c r="B4046" s="2" t="s">
        <v>2429</v>
      </c>
      <c r="D4046" s="5" t="s">
        <v>464</v>
      </c>
      <c r="E4046" s="3" t="s">
        <v>465</v>
      </c>
      <c r="F4046" s="3">
        <v>102500</v>
      </c>
      <c r="G4046" s="57" t="s">
        <v>465</v>
      </c>
    </row>
    <row r="4047" spans="1:10" x14ac:dyDescent="0.2">
      <c r="A4047" s="1" t="s">
        <v>25</v>
      </c>
      <c r="B4047" s="2" t="s">
        <v>405</v>
      </c>
      <c r="D4047" s="5" t="s">
        <v>464</v>
      </c>
      <c r="E4047" s="3" t="s">
        <v>465</v>
      </c>
      <c r="F4047" s="3">
        <v>102500</v>
      </c>
      <c r="G4047" s="57" t="s">
        <v>465</v>
      </c>
    </row>
    <row r="4048" spans="1:10" x14ac:dyDescent="0.2">
      <c r="A4048" s="1" t="s">
        <v>25</v>
      </c>
      <c r="B4048" s="2" t="s">
        <v>405</v>
      </c>
      <c r="D4048" s="5" t="s">
        <v>464</v>
      </c>
      <c r="E4048" s="3" t="s">
        <v>465</v>
      </c>
      <c r="F4048" s="3">
        <v>102500</v>
      </c>
      <c r="G4048" s="57" t="s">
        <v>465</v>
      </c>
    </row>
    <row r="4049" spans="1:10" x14ac:dyDescent="0.2">
      <c r="A4049" s="1" t="s">
        <v>25</v>
      </c>
      <c r="B4049" s="2" t="s">
        <v>406</v>
      </c>
      <c r="D4049" s="5" t="s">
        <v>464</v>
      </c>
      <c r="E4049" s="3" t="s">
        <v>465</v>
      </c>
      <c r="F4049" s="3">
        <v>102500</v>
      </c>
      <c r="G4049" s="57" t="s">
        <v>465</v>
      </c>
      <c r="H4049" s="4"/>
      <c r="I4049" s="4"/>
      <c r="J4049" s="1"/>
    </row>
    <row r="4050" spans="1:10" x14ac:dyDescent="0.2">
      <c r="A4050" s="1" t="s">
        <v>25</v>
      </c>
      <c r="B4050" s="2" t="s">
        <v>406</v>
      </c>
      <c r="D4050" s="5" t="s">
        <v>464</v>
      </c>
      <c r="E4050" s="3" t="s">
        <v>465</v>
      </c>
      <c r="F4050" s="3">
        <v>102500</v>
      </c>
      <c r="G4050" s="57" t="s">
        <v>465</v>
      </c>
      <c r="H4050" s="4"/>
      <c r="I4050" s="4"/>
      <c r="J4050" s="1"/>
    </row>
    <row r="4051" spans="1:10" x14ac:dyDescent="0.2">
      <c r="A4051" s="1" t="s">
        <v>6</v>
      </c>
      <c r="B4051" s="2" t="s">
        <v>407</v>
      </c>
      <c r="D4051" s="5" t="s">
        <v>464</v>
      </c>
      <c r="E4051" s="3" t="s">
        <v>465</v>
      </c>
      <c r="F4051" s="3">
        <v>102500</v>
      </c>
      <c r="G4051" s="57" t="s">
        <v>465</v>
      </c>
      <c r="J4051" s="5" t="s">
        <v>651</v>
      </c>
    </row>
    <row r="4052" spans="1:10" x14ac:dyDescent="0.2">
      <c r="A4052" s="1" t="s">
        <v>6</v>
      </c>
      <c r="B4052" s="2" t="s">
        <v>407</v>
      </c>
      <c r="D4052" s="5" t="s">
        <v>464</v>
      </c>
      <c r="E4052" s="3" t="s">
        <v>465</v>
      </c>
      <c r="F4052" s="3">
        <v>102500</v>
      </c>
      <c r="G4052" s="57" t="s">
        <v>465</v>
      </c>
      <c r="J4052" s="5" t="s">
        <v>651</v>
      </c>
    </row>
    <row r="4053" spans="1:10" x14ac:dyDescent="0.2">
      <c r="A4053" s="1" t="s">
        <v>6</v>
      </c>
      <c r="B4053" s="2" t="s">
        <v>407</v>
      </c>
      <c r="D4053" s="5" t="s">
        <v>464</v>
      </c>
      <c r="E4053" s="3" t="s">
        <v>465</v>
      </c>
      <c r="F4053" s="3">
        <v>102500</v>
      </c>
      <c r="G4053" s="57" t="s">
        <v>465</v>
      </c>
      <c r="J4053" s="5" t="s">
        <v>651</v>
      </c>
    </row>
    <row r="4054" spans="1:10" x14ac:dyDescent="0.2">
      <c r="A4054" s="1" t="s">
        <v>6</v>
      </c>
      <c r="B4054" s="2" t="s">
        <v>407</v>
      </c>
      <c r="D4054" s="5" t="s">
        <v>464</v>
      </c>
      <c r="E4054" s="3" t="s">
        <v>465</v>
      </c>
      <c r="F4054" s="3">
        <v>102500</v>
      </c>
      <c r="G4054" s="57" t="s">
        <v>465</v>
      </c>
      <c r="J4054" s="5" t="s">
        <v>651</v>
      </c>
    </row>
    <row r="4055" spans="1:10" x14ac:dyDescent="0.2">
      <c r="A4055" s="1" t="s">
        <v>6</v>
      </c>
      <c r="B4055" s="2" t="s">
        <v>407</v>
      </c>
      <c r="D4055" s="5" t="s">
        <v>464</v>
      </c>
      <c r="E4055" s="3" t="s">
        <v>465</v>
      </c>
      <c r="F4055" s="3">
        <v>102500</v>
      </c>
      <c r="G4055" s="57" t="s">
        <v>465</v>
      </c>
      <c r="J4055" s="5" t="s">
        <v>652</v>
      </c>
    </row>
    <row r="4056" spans="1:10" x14ac:dyDescent="0.2">
      <c r="A4056" s="1" t="s">
        <v>6</v>
      </c>
      <c r="B4056" s="2" t="s">
        <v>407</v>
      </c>
      <c r="D4056" s="5" t="s">
        <v>464</v>
      </c>
      <c r="E4056" s="3" t="s">
        <v>465</v>
      </c>
      <c r="F4056" s="3">
        <v>102500</v>
      </c>
      <c r="G4056" s="57" t="s">
        <v>465</v>
      </c>
      <c r="J4056" s="5" t="s">
        <v>652</v>
      </c>
    </row>
    <row r="4057" spans="1:10" x14ac:dyDescent="0.2">
      <c r="A4057" s="1" t="s">
        <v>6</v>
      </c>
      <c r="B4057" s="2" t="s">
        <v>407</v>
      </c>
      <c r="D4057" s="5" t="s">
        <v>464</v>
      </c>
      <c r="E4057" s="3" t="s">
        <v>465</v>
      </c>
      <c r="F4057" s="3">
        <v>102500</v>
      </c>
      <c r="G4057" s="57" t="s">
        <v>465</v>
      </c>
      <c r="J4057" s="5" t="s">
        <v>652</v>
      </c>
    </row>
    <row r="4058" spans="1:10" x14ac:dyDescent="0.2">
      <c r="A4058" s="1" t="s">
        <v>6</v>
      </c>
      <c r="B4058" s="2" t="s">
        <v>407</v>
      </c>
      <c r="D4058" s="5" t="s">
        <v>464</v>
      </c>
      <c r="E4058" s="3" t="s">
        <v>465</v>
      </c>
      <c r="F4058" s="3">
        <v>102500</v>
      </c>
      <c r="G4058" s="57" t="s">
        <v>465</v>
      </c>
      <c r="J4058" s="5" t="s">
        <v>652</v>
      </c>
    </row>
    <row r="4059" spans="1:10" x14ac:dyDescent="0.2">
      <c r="A4059" s="1" t="s">
        <v>39</v>
      </c>
      <c r="B4059" s="2" t="s">
        <v>409</v>
      </c>
      <c r="D4059" s="5" t="s">
        <v>587</v>
      </c>
      <c r="E4059" s="3" t="s">
        <v>465</v>
      </c>
      <c r="F4059" s="3">
        <v>102500</v>
      </c>
      <c r="G4059" s="57" t="s">
        <v>465</v>
      </c>
    </row>
    <row r="4060" spans="1:10" x14ac:dyDescent="0.2">
      <c r="A4060" s="1" t="s">
        <v>39</v>
      </c>
      <c r="B4060" s="2" t="s">
        <v>409</v>
      </c>
      <c r="D4060" s="5" t="s">
        <v>587</v>
      </c>
      <c r="E4060" s="3" t="s">
        <v>465</v>
      </c>
      <c r="F4060" s="3">
        <v>102500</v>
      </c>
      <c r="G4060" s="57" t="s">
        <v>465</v>
      </c>
    </row>
    <row r="4061" spans="1:10" x14ac:dyDescent="0.2">
      <c r="A4061" s="1" t="s">
        <v>39</v>
      </c>
      <c r="B4061" s="2" t="s">
        <v>409</v>
      </c>
      <c r="D4061" s="5" t="s">
        <v>587</v>
      </c>
      <c r="E4061" s="3" t="s">
        <v>465</v>
      </c>
      <c r="F4061" s="3">
        <v>102500</v>
      </c>
      <c r="G4061" s="57" t="s">
        <v>465</v>
      </c>
      <c r="J4061" s="5" t="s">
        <v>540</v>
      </c>
    </row>
    <row r="4062" spans="1:10" x14ac:dyDescent="0.2">
      <c r="A4062" s="1" t="s">
        <v>39</v>
      </c>
      <c r="B4062" s="2" t="s">
        <v>409</v>
      </c>
      <c r="D4062" s="5" t="s">
        <v>587</v>
      </c>
      <c r="E4062" s="3" t="s">
        <v>465</v>
      </c>
      <c r="F4062" s="3">
        <v>102500</v>
      </c>
      <c r="G4062" s="57" t="s">
        <v>465</v>
      </c>
      <c r="J4062" s="5" t="s">
        <v>540</v>
      </c>
    </row>
    <row r="4063" spans="1:10" x14ac:dyDescent="0.2">
      <c r="A4063" s="1" t="s">
        <v>39</v>
      </c>
      <c r="B4063" s="2" t="s">
        <v>409</v>
      </c>
      <c r="D4063" s="5" t="s">
        <v>587</v>
      </c>
      <c r="E4063" s="3" t="s">
        <v>465</v>
      </c>
      <c r="F4063" s="3">
        <v>102500</v>
      </c>
      <c r="G4063" s="57" t="s">
        <v>465</v>
      </c>
      <c r="J4063" s="5" t="s">
        <v>540</v>
      </c>
    </row>
    <row r="4064" spans="1:10" x14ac:dyDescent="0.2">
      <c r="A4064" s="1" t="s">
        <v>4</v>
      </c>
      <c r="B4064" s="2" t="s">
        <v>411</v>
      </c>
      <c r="D4064" s="5" t="s">
        <v>464</v>
      </c>
      <c r="E4064" s="3" t="s">
        <v>465</v>
      </c>
      <c r="F4064" s="3">
        <v>102500</v>
      </c>
      <c r="G4064" s="57" t="s">
        <v>465</v>
      </c>
      <c r="J4064" s="5" t="s">
        <v>539</v>
      </c>
    </row>
    <row r="4065" spans="1:10" x14ac:dyDescent="0.2">
      <c r="A4065" s="1" t="s">
        <v>4</v>
      </c>
      <c r="B4065" s="2" t="s">
        <v>415</v>
      </c>
      <c r="D4065" s="5" t="s">
        <v>464</v>
      </c>
      <c r="E4065" s="3" t="s">
        <v>465</v>
      </c>
      <c r="F4065" s="3">
        <v>102500</v>
      </c>
      <c r="G4065" s="57" t="s">
        <v>465</v>
      </c>
      <c r="J4065" s="5" t="s">
        <v>539</v>
      </c>
    </row>
    <row r="4066" spans="1:10" x14ac:dyDescent="0.2">
      <c r="A4066" s="1" t="s">
        <v>4</v>
      </c>
      <c r="B4066" s="2" t="s">
        <v>423</v>
      </c>
      <c r="D4066" s="5" t="s">
        <v>464</v>
      </c>
      <c r="E4066" s="3" t="s">
        <v>465</v>
      </c>
      <c r="F4066" s="3">
        <v>102500</v>
      </c>
      <c r="G4066" s="57" t="s">
        <v>465</v>
      </c>
    </row>
    <row r="4067" spans="1:10" x14ac:dyDescent="0.2">
      <c r="A4067" s="1" t="s">
        <v>25</v>
      </c>
      <c r="B4067" s="2" t="s">
        <v>424</v>
      </c>
      <c r="D4067" s="5" t="s">
        <v>464</v>
      </c>
      <c r="E4067" s="3" t="s">
        <v>465</v>
      </c>
      <c r="F4067" s="3">
        <v>102500</v>
      </c>
      <c r="G4067" s="57" t="s">
        <v>465</v>
      </c>
    </row>
    <row r="4068" spans="1:10" x14ac:dyDescent="0.2">
      <c r="A4068" s="1" t="s">
        <v>25</v>
      </c>
      <c r="B4068" s="2" t="s">
        <v>424</v>
      </c>
      <c r="D4068" s="5" t="s">
        <v>464</v>
      </c>
      <c r="E4068" s="3" t="s">
        <v>465</v>
      </c>
      <c r="F4068" s="3">
        <v>102500</v>
      </c>
      <c r="G4068" s="57" t="s">
        <v>465</v>
      </c>
      <c r="H4068" s="4"/>
      <c r="I4068" s="4"/>
      <c r="J4068" s="1"/>
    </row>
    <row r="4069" spans="1:10" x14ac:dyDescent="0.2">
      <c r="A4069" s="1" t="s">
        <v>25</v>
      </c>
      <c r="B4069" s="2" t="s">
        <v>424</v>
      </c>
      <c r="D4069" s="5" t="s">
        <v>464</v>
      </c>
      <c r="E4069" s="3" t="s">
        <v>465</v>
      </c>
      <c r="F4069" s="3">
        <v>102500</v>
      </c>
      <c r="G4069" s="57" t="s">
        <v>465</v>
      </c>
      <c r="H4069" s="4"/>
      <c r="I4069" s="4"/>
      <c r="J4069" s="1"/>
    </row>
    <row r="4070" spans="1:10" x14ac:dyDescent="0.2">
      <c r="A4070" s="1" t="s">
        <v>25</v>
      </c>
      <c r="B4070" s="2" t="s">
        <v>424</v>
      </c>
      <c r="D4070" s="5" t="s">
        <v>464</v>
      </c>
      <c r="E4070" s="3" t="s">
        <v>465</v>
      </c>
      <c r="F4070" s="3">
        <v>102500</v>
      </c>
      <c r="G4070" s="57" t="s">
        <v>465</v>
      </c>
      <c r="H4070" s="4"/>
      <c r="I4070" s="4"/>
      <c r="J4070" s="1"/>
    </row>
    <row r="4071" spans="1:10" x14ac:dyDescent="0.2">
      <c r="A4071" s="1" t="s">
        <v>25</v>
      </c>
      <c r="B4071" s="2" t="s">
        <v>424</v>
      </c>
      <c r="D4071" s="5" t="s">
        <v>464</v>
      </c>
      <c r="E4071" s="3" t="s">
        <v>465</v>
      </c>
      <c r="F4071" s="3">
        <v>102500</v>
      </c>
      <c r="G4071" s="57" t="s">
        <v>465</v>
      </c>
      <c r="H4071" s="4"/>
      <c r="I4071" s="4"/>
      <c r="J4071" s="1"/>
    </row>
    <row r="4072" spans="1:10" x14ac:dyDescent="0.2">
      <c r="A4072" s="1" t="s">
        <v>25</v>
      </c>
      <c r="B4072" s="2" t="s">
        <v>424</v>
      </c>
      <c r="D4072" s="5" t="s">
        <v>464</v>
      </c>
      <c r="E4072" s="3" t="s">
        <v>465</v>
      </c>
      <c r="F4072" s="3">
        <v>102500</v>
      </c>
      <c r="G4072" s="57" t="s">
        <v>465</v>
      </c>
      <c r="H4072" s="4"/>
      <c r="I4072" s="4"/>
      <c r="J4072" s="1"/>
    </row>
    <row r="4073" spans="1:10" x14ac:dyDescent="0.2">
      <c r="A4073" s="1" t="s">
        <v>25</v>
      </c>
      <c r="B4073" s="2" t="s">
        <v>424</v>
      </c>
      <c r="D4073" s="5" t="s">
        <v>464</v>
      </c>
      <c r="E4073" s="3" t="s">
        <v>465</v>
      </c>
      <c r="F4073" s="3">
        <v>102500</v>
      </c>
      <c r="G4073" s="57" t="s">
        <v>465</v>
      </c>
      <c r="H4073" s="4"/>
      <c r="I4073" s="4"/>
      <c r="J4073" s="1"/>
    </row>
    <row r="4074" spans="1:10" x14ac:dyDescent="0.2">
      <c r="A4074" s="1" t="s">
        <v>25</v>
      </c>
      <c r="B4074" s="2" t="s">
        <v>424</v>
      </c>
      <c r="D4074" s="5" t="s">
        <v>464</v>
      </c>
      <c r="E4074" s="3" t="s">
        <v>465</v>
      </c>
      <c r="F4074" s="3">
        <v>102500</v>
      </c>
      <c r="G4074" s="57" t="s">
        <v>465</v>
      </c>
      <c r="H4074" s="4"/>
      <c r="I4074" s="4"/>
      <c r="J4074" s="1"/>
    </row>
    <row r="4075" spans="1:10" x14ac:dyDescent="0.2">
      <c r="A4075" s="1" t="s">
        <v>34</v>
      </c>
      <c r="B4075" s="2" t="s">
        <v>427</v>
      </c>
      <c r="D4075" s="5" t="s">
        <v>464</v>
      </c>
      <c r="E4075" s="3" t="s">
        <v>465</v>
      </c>
      <c r="F4075" s="3">
        <v>102500</v>
      </c>
      <c r="G4075" s="57" t="s">
        <v>465</v>
      </c>
      <c r="J4075" s="5" t="s">
        <v>1241</v>
      </c>
    </row>
    <row r="4076" spans="1:10" x14ac:dyDescent="0.2">
      <c r="A4076" s="1" t="s">
        <v>34</v>
      </c>
      <c r="B4076" s="2" t="s">
        <v>427</v>
      </c>
      <c r="D4076" s="5" t="s">
        <v>464</v>
      </c>
      <c r="E4076" s="3" t="s">
        <v>465</v>
      </c>
      <c r="F4076" s="3">
        <v>102500</v>
      </c>
      <c r="G4076" s="57" t="s">
        <v>465</v>
      </c>
      <c r="J4076" s="5" t="s">
        <v>1241</v>
      </c>
    </row>
    <row r="4077" spans="1:10" x14ac:dyDescent="0.2">
      <c r="A4077" s="1" t="s">
        <v>28</v>
      </c>
      <c r="B4077" s="2" t="s">
        <v>441</v>
      </c>
      <c r="D4077" s="5" t="s">
        <v>464</v>
      </c>
      <c r="E4077" s="3" t="s">
        <v>465</v>
      </c>
      <c r="F4077" s="3">
        <v>102500</v>
      </c>
      <c r="G4077" s="57" t="s">
        <v>465</v>
      </c>
    </row>
    <row r="4078" spans="1:10" x14ac:dyDescent="0.2">
      <c r="A4078" s="1" t="s">
        <v>28</v>
      </c>
      <c r="B4078" s="2" t="s">
        <v>441</v>
      </c>
      <c r="D4078" s="5" t="s">
        <v>464</v>
      </c>
      <c r="E4078" s="3" t="s">
        <v>465</v>
      </c>
      <c r="F4078" s="3">
        <v>102500</v>
      </c>
      <c r="G4078" s="57" t="s">
        <v>465</v>
      </c>
    </row>
    <row r="4079" spans="1:10" x14ac:dyDescent="0.2">
      <c r="A4079" s="1" t="s">
        <v>28</v>
      </c>
      <c r="B4079" s="2" t="s">
        <v>441</v>
      </c>
      <c r="D4079" s="5" t="s">
        <v>464</v>
      </c>
      <c r="E4079" s="3" t="s">
        <v>465</v>
      </c>
      <c r="F4079" s="3">
        <v>102500</v>
      </c>
      <c r="G4079" s="57" t="s">
        <v>465</v>
      </c>
    </row>
    <row r="4080" spans="1:10" x14ac:dyDescent="0.2">
      <c r="A4080" s="1" t="s">
        <v>28</v>
      </c>
      <c r="B4080" s="2" t="s">
        <v>441</v>
      </c>
      <c r="D4080" s="5" t="s">
        <v>464</v>
      </c>
      <c r="E4080" s="3" t="s">
        <v>465</v>
      </c>
      <c r="F4080" s="3">
        <v>102500</v>
      </c>
      <c r="G4080" s="57" t="s">
        <v>465</v>
      </c>
    </row>
    <row r="4081" spans="1:12" ht="38.25" x14ac:dyDescent="0.2">
      <c r="A4081" s="1" t="s">
        <v>39</v>
      </c>
      <c r="B4081" s="2" t="s">
        <v>364</v>
      </c>
      <c r="C4081" s="7"/>
      <c r="D4081" s="5" t="s">
        <v>873</v>
      </c>
      <c r="E4081" s="9" t="s">
        <v>465</v>
      </c>
      <c r="F4081" s="9">
        <v>102446</v>
      </c>
      <c r="G4081" s="57" t="s">
        <v>465</v>
      </c>
      <c r="J4081" s="5" t="s">
        <v>2607</v>
      </c>
    </row>
    <row r="4082" spans="1:12" x14ac:dyDescent="0.2">
      <c r="A4082" s="1" t="s">
        <v>34</v>
      </c>
      <c r="B4082" s="2" t="s">
        <v>91</v>
      </c>
      <c r="C4082" s="1"/>
      <c r="D4082" s="5" t="s">
        <v>718</v>
      </c>
      <c r="E4082" s="3" t="s">
        <v>465</v>
      </c>
      <c r="F4082" s="3">
        <v>102436</v>
      </c>
      <c r="G4082" s="57" t="s">
        <v>465</v>
      </c>
      <c r="J4082" s="5" t="s">
        <v>2076</v>
      </c>
    </row>
    <row r="4083" spans="1:12" ht="25.5" x14ac:dyDescent="0.2">
      <c r="A4083" s="1" t="s">
        <v>8</v>
      </c>
      <c r="B4083" s="2" t="s">
        <v>40</v>
      </c>
      <c r="C4083" s="1"/>
      <c r="D4083" s="5" t="s">
        <v>455</v>
      </c>
      <c r="E4083" s="3">
        <v>102961</v>
      </c>
      <c r="F4083" s="3">
        <v>102392</v>
      </c>
      <c r="G4083" s="57">
        <v>-5.526364351550587E-3</v>
      </c>
      <c r="J4083" s="5" t="s">
        <v>1770</v>
      </c>
    </row>
    <row r="4084" spans="1:12" ht="25.5" x14ac:dyDescent="0.2">
      <c r="A4084" s="1" t="s">
        <v>1</v>
      </c>
      <c r="B4084" s="2" t="s">
        <v>168</v>
      </c>
      <c r="C4084" s="5" t="s">
        <v>1568</v>
      </c>
      <c r="D4084" s="5" t="s">
        <v>1569</v>
      </c>
      <c r="E4084" s="3">
        <v>100563</v>
      </c>
      <c r="F4084" s="3">
        <v>102334</v>
      </c>
      <c r="G4084" s="57">
        <v>1.761085090938019E-2</v>
      </c>
      <c r="J4084" s="5" t="s">
        <v>4063</v>
      </c>
    </row>
    <row r="4085" spans="1:12" x14ac:dyDescent="0.2">
      <c r="A4085" s="1" t="s">
        <v>6</v>
      </c>
      <c r="B4085" s="2" t="s">
        <v>86</v>
      </c>
      <c r="C4085" s="1"/>
      <c r="D4085" s="5" t="s">
        <v>740</v>
      </c>
      <c r="E4085" s="6">
        <v>83874</v>
      </c>
      <c r="F4085" s="3">
        <v>102301</v>
      </c>
      <c r="G4085" s="57">
        <v>0.2196985955123161</v>
      </c>
      <c r="J4085" s="5" t="s">
        <v>2038</v>
      </c>
    </row>
    <row r="4086" spans="1:12" ht="25.5" x14ac:dyDescent="0.2">
      <c r="A4086" s="1" t="s">
        <v>4</v>
      </c>
      <c r="B4086" s="2" t="s">
        <v>292</v>
      </c>
      <c r="D4086" s="5" t="s">
        <v>569</v>
      </c>
      <c r="E4086" s="9">
        <v>102300</v>
      </c>
      <c r="F4086" s="3">
        <v>102300</v>
      </c>
      <c r="G4086" s="57">
        <v>0</v>
      </c>
      <c r="J4086" s="5" t="s">
        <v>2915</v>
      </c>
    </row>
    <row r="4087" spans="1:12" ht="25.5" x14ac:dyDescent="0.2">
      <c r="A4087" s="1" t="s">
        <v>4</v>
      </c>
      <c r="B4087" s="2" t="s">
        <v>292</v>
      </c>
      <c r="D4087" s="5" t="s">
        <v>1024</v>
      </c>
      <c r="E4087" s="9">
        <v>102300</v>
      </c>
      <c r="F4087" s="3">
        <v>102300</v>
      </c>
      <c r="G4087" s="57">
        <v>0</v>
      </c>
      <c r="J4087" s="5" t="s">
        <v>2915</v>
      </c>
    </row>
    <row r="4088" spans="1:12" x14ac:dyDescent="0.2">
      <c r="A4088" s="1" t="s">
        <v>6</v>
      </c>
      <c r="B4088" s="2" t="s">
        <v>86</v>
      </c>
      <c r="C4088" s="1"/>
      <c r="D4088" s="5" t="s">
        <v>2039</v>
      </c>
      <c r="E4088" s="6">
        <v>99515</v>
      </c>
      <c r="F4088" s="3">
        <v>102296</v>
      </c>
      <c r="G4088" s="57">
        <v>2.7945535848867005E-2</v>
      </c>
      <c r="J4088" s="5" t="s">
        <v>2040</v>
      </c>
    </row>
    <row r="4089" spans="1:12" ht="25.5" x14ac:dyDescent="0.2">
      <c r="A4089" s="1" t="s">
        <v>8</v>
      </c>
      <c r="B4089" s="2" t="s">
        <v>222</v>
      </c>
      <c r="D4089" s="5" t="s">
        <v>949</v>
      </c>
      <c r="E4089" s="3">
        <v>98350</v>
      </c>
      <c r="F4089" s="3">
        <v>102262</v>
      </c>
      <c r="G4089" s="57">
        <v>3.9776309100152514E-2</v>
      </c>
      <c r="J4089" s="5" t="s">
        <v>3259</v>
      </c>
    </row>
    <row r="4090" spans="1:12" ht="25.5" x14ac:dyDescent="0.2">
      <c r="A4090" s="1" t="s">
        <v>20</v>
      </c>
      <c r="B4090" s="12" t="s">
        <v>61</v>
      </c>
      <c r="C4090" s="13"/>
      <c r="D4090" s="7" t="s">
        <v>4196</v>
      </c>
      <c r="E4090" s="6">
        <v>78293</v>
      </c>
      <c r="F4090" s="6">
        <v>102230</v>
      </c>
      <c r="G4090" s="57">
        <v>0.3057361449938053</v>
      </c>
      <c r="H4090" s="21"/>
      <c r="I4090" s="21"/>
      <c r="J4090" s="7" t="s">
        <v>3766</v>
      </c>
      <c r="K4090" s="13"/>
      <c r="L4090" s="13"/>
    </row>
    <row r="4091" spans="1:12" x14ac:dyDescent="0.2">
      <c r="A4091" s="1" t="s">
        <v>39</v>
      </c>
      <c r="B4091" s="2" t="s">
        <v>258</v>
      </c>
      <c r="D4091" s="5" t="s">
        <v>1175</v>
      </c>
      <c r="E4091" s="3">
        <v>101212</v>
      </c>
      <c r="F4091" s="3">
        <v>102219</v>
      </c>
      <c r="G4091" s="57">
        <v>9.9494131130695961E-3</v>
      </c>
      <c r="J4091" s="5" t="s">
        <v>3092</v>
      </c>
    </row>
    <row r="4092" spans="1:12" ht="25.5" x14ac:dyDescent="0.2">
      <c r="A4092" s="1" t="s">
        <v>6</v>
      </c>
      <c r="B4092" s="2" t="s">
        <v>407</v>
      </c>
      <c r="D4092" s="5" t="s">
        <v>614</v>
      </c>
      <c r="E4092" s="3">
        <v>98000</v>
      </c>
      <c r="F4092" s="3">
        <v>102199</v>
      </c>
      <c r="G4092" s="57">
        <v>4.2846938775510206E-2</v>
      </c>
      <c r="J4092" s="5" t="s">
        <v>2398</v>
      </c>
    </row>
    <row r="4093" spans="1:12" x14ac:dyDescent="0.2">
      <c r="A4093" s="1" t="s">
        <v>8</v>
      </c>
      <c r="B4093" s="2" t="s">
        <v>285</v>
      </c>
      <c r="D4093" s="5" t="s">
        <v>1052</v>
      </c>
      <c r="E4093" s="3">
        <v>106629</v>
      </c>
      <c r="F4093" s="3">
        <v>102183</v>
      </c>
      <c r="G4093" s="57">
        <v>-4.1695973890780183E-2</v>
      </c>
      <c r="J4093" s="5" t="s">
        <v>2963</v>
      </c>
    </row>
    <row r="4094" spans="1:12" ht="25.5" x14ac:dyDescent="0.2">
      <c r="A4094" s="1" t="s">
        <v>39</v>
      </c>
      <c r="B4094" s="2" t="s">
        <v>384</v>
      </c>
      <c r="D4094" s="5" t="s">
        <v>699</v>
      </c>
      <c r="E4094" s="3">
        <v>101001</v>
      </c>
      <c r="F4094" s="3">
        <v>102179</v>
      </c>
      <c r="G4094" s="57">
        <v>1.1663250858902387E-2</v>
      </c>
      <c r="J4094" s="5" t="s">
        <v>2496</v>
      </c>
    </row>
    <row r="4095" spans="1:12" x14ac:dyDescent="0.2">
      <c r="A4095" s="1" t="s">
        <v>6</v>
      </c>
      <c r="B4095" s="2" t="s">
        <v>86</v>
      </c>
      <c r="C4095" s="1"/>
      <c r="D4095" s="5" t="s">
        <v>2053</v>
      </c>
      <c r="E4095" s="6">
        <v>102235</v>
      </c>
      <c r="F4095" s="3">
        <v>102133</v>
      </c>
      <c r="G4095" s="57">
        <v>-9.9770137428473616E-4</v>
      </c>
      <c r="J4095" s="5" t="s">
        <v>2054</v>
      </c>
    </row>
    <row r="4096" spans="1:12" ht="38.25" x14ac:dyDescent="0.2">
      <c r="A4096" s="1" t="s">
        <v>4</v>
      </c>
      <c r="B4096" s="2" t="s">
        <v>429</v>
      </c>
      <c r="D4096" s="5" t="s">
        <v>520</v>
      </c>
      <c r="E4096" s="3">
        <v>51018</v>
      </c>
      <c r="F4096" s="3">
        <v>102123</v>
      </c>
      <c r="G4096" s="57">
        <v>1.001705280489239</v>
      </c>
      <c r="J4096" s="5" t="s">
        <v>4573</v>
      </c>
    </row>
    <row r="4097" spans="1:10" x14ac:dyDescent="0.2">
      <c r="A4097" s="1" t="s">
        <v>39</v>
      </c>
      <c r="B4097" s="2" t="s">
        <v>325</v>
      </c>
      <c r="D4097" s="5" t="s">
        <v>911</v>
      </c>
      <c r="E4097" s="6">
        <v>127782</v>
      </c>
      <c r="F4097" s="3">
        <v>102084</v>
      </c>
      <c r="G4097" s="57">
        <v>-0.20110813729633281</v>
      </c>
      <c r="J4097" s="5" t="s">
        <v>2776</v>
      </c>
    </row>
    <row r="4098" spans="1:10" ht="38.25" x14ac:dyDescent="0.2">
      <c r="A4098" s="1" t="s">
        <v>39</v>
      </c>
      <c r="B4098" s="2" t="s">
        <v>318</v>
      </c>
      <c r="D4098" s="5" t="s">
        <v>529</v>
      </c>
      <c r="E4098" s="3">
        <v>92660</v>
      </c>
      <c r="F4098" s="3">
        <v>102050</v>
      </c>
      <c r="G4098" s="57">
        <v>0.10133822577163824</v>
      </c>
      <c r="J4098" s="5" t="s">
        <v>2794</v>
      </c>
    </row>
    <row r="4099" spans="1:10" ht="25.5" x14ac:dyDescent="0.2">
      <c r="A4099" s="1" t="s">
        <v>4</v>
      </c>
      <c r="B4099" s="2" t="s">
        <v>106</v>
      </c>
      <c r="C4099" s="1"/>
      <c r="D4099" s="5" t="s">
        <v>855</v>
      </c>
      <c r="E4099" s="3">
        <v>98065</v>
      </c>
      <c r="F4099" s="3">
        <v>102043</v>
      </c>
      <c r="G4099" s="57">
        <v>4.0564931423035744E-2</v>
      </c>
      <c r="J4099" s="5" t="s">
        <v>3860</v>
      </c>
    </row>
    <row r="4100" spans="1:10" ht="25.5" x14ac:dyDescent="0.2">
      <c r="A4100" s="1" t="s">
        <v>20</v>
      </c>
      <c r="B4100" s="2" t="s">
        <v>51</v>
      </c>
      <c r="C4100" s="1"/>
      <c r="D4100" s="5" t="s">
        <v>4160</v>
      </c>
      <c r="E4100" s="3">
        <v>66000</v>
      </c>
      <c r="F4100" s="3">
        <v>102000</v>
      </c>
      <c r="G4100" s="57">
        <v>0.54545454545454541</v>
      </c>
      <c r="J4100" s="5" t="s">
        <v>4161</v>
      </c>
    </row>
    <row r="4101" spans="1:10" ht="51" x14ac:dyDescent="0.2">
      <c r="A4101" s="1" t="s">
        <v>39</v>
      </c>
      <c r="B4101" s="2" t="s">
        <v>124</v>
      </c>
      <c r="C4101" s="1"/>
      <c r="D4101" s="5" t="s">
        <v>2135</v>
      </c>
      <c r="E4101" s="3">
        <v>127000</v>
      </c>
      <c r="F4101" s="3">
        <v>102000</v>
      </c>
      <c r="G4101" s="57">
        <v>-0.19685039370078741</v>
      </c>
      <c r="J4101" s="5" t="s">
        <v>4288</v>
      </c>
    </row>
    <row r="4102" spans="1:10" x14ac:dyDescent="0.2">
      <c r="A4102" s="1" t="s">
        <v>8</v>
      </c>
      <c r="B4102" s="2" t="s">
        <v>280</v>
      </c>
      <c r="D4102" s="5" t="s">
        <v>1083</v>
      </c>
      <c r="E4102" s="3">
        <v>85000</v>
      </c>
      <c r="F4102" s="3">
        <v>102000</v>
      </c>
      <c r="G4102" s="57">
        <v>0.2</v>
      </c>
      <c r="J4102" s="5" t="s">
        <v>2998</v>
      </c>
    </row>
    <row r="4103" spans="1:10" ht="25.5" x14ac:dyDescent="0.2">
      <c r="A4103" s="1" t="s">
        <v>44</v>
      </c>
      <c r="B4103" s="2" t="s">
        <v>300</v>
      </c>
      <c r="D4103" s="5" t="s">
        <v>985</v>
      </c>
      <c r="E4103" s="3">
        <v>91000</v>
      </c>
      <c r="F4103" s="3">
        <v>102000</v>
      </c>
      <c r="G4103" s="57">
        <v>0.12087912087912088</v>
      </c>
      <c r="J4103" s="5" t="s">
        <v>2856</v>
      </c>
    </row>
    <row r="4104" spans="1:10" ht="25.5" x14ac:dyDescent="0.2">
      <c r="A4104" s="1" t="s">
        <v>6</v>
      </c>
      <c r="B4104" s="2" t="s">
        <v>368</v>
      </c>
      <c r="D4104" s="5" t="s">
        <v>775</v>
      </c>
      <c r="E4104" s="3" t="s">
        <v>465</v>
      </c>
      <c r="F4104" s="3">
        <v>102000</v>
      </c>
      <c r="G4104" s="57" t="s">
        <v>465</v>
      </c>
      <c r="J4104" s="5" t="s">
        <v>2579</v>
      </c>
    </row>
    <row r="4105" spans="1:10" ht="25.5" x14ac:dyDescent="0.2">
      <c r="A4105" s="1" t="s">
        <v>6</v>
      </c>
      <c r="B4105" s="2" t="s">
        <v>368</v>
      </c>
      <c r="D4105" s="5" t="s">
        <v>775</v>
      </c>
      <c r="E4105" s="3" t="s">
        <v>465</v>
      </c>
      <c r="F4105" s="3">
        <v>102000</v>
      </c>
      <c r="G4105" s="57" t="s">
        <v>465</v>
      </c>
      <c r="J4105" s="5" t="s">
        <v>2581</v>
      </c>
    </row>
    <row r="4106" spans="1:10" ht="25.5" x14ac:dyDescent="0.2">
      <c r="A4106" s="1" t="s">
        <v>4</v>
      </c>
      <c r="B4106" s="2" t="s">
        <v>395</v>
      </c>
      <c r="D4106" s="5" t="s">
        <v>2461</v>
      </c>
      <c r="E4106" s="3">
        <v>99000</v>
      </c>
      <c r="F4106" s="3">
        <v>102000</v>
      </c>
      <c r="G4106" s="57">
        <v>3.0303030303030304E-2</v>
      </c>
      <c r="J4106" s="5" t="s">
        <v>2463</v>
      </c>
    </row>
    <row r="4107" spans="1:10" x14ac:dyDescent="0.2">
      <c r="A4107" s="1" t="s">
        <v>6</v>
      </c>
      <c r="B4107" s="2" t="s">
        <v>85</v>
      </c>
      <c r="C4107" s="1"/>
      <c r="D4107" s="5" t="s">
        <v>2028</v>
      </c>
      <c r="E4107" s="3">
        <v>70878</v>
      </c>
      <c r="F4107" s="3">
        <v>101976</v>
      </c>
      <c r="G4107" s="57">
        <v>0.43875391517819351</v>
      </c>
      <c r="J4107" s="5" t="s">
        <v>2029</v>
      </c>
    </row>
    <row r="4108" spans="1:10" x14ac:dyDescent="0.2">
      <c r="A4108" s="1" t="s">
        <v>8</v>
      </c>
      <c r="B4108" s="2" t="s">
        <v>87</v>
      </c>
      <c r="C4108" s="1"/>
      <c r="D4108" s="5" t="s">
        <v>455</v>
      </c>
      <c r="E4108" s="3">
        <v>98708</v>
      </c>
      <c r="F4108" s="3">
        <v>101972</v>
      </c>
      <c r="G4108" s="57">
        <v>3.3067228593427075E-2</v>
      </c>
      <c r="J4108" s="5" t="s">
        <v>2056</v>
      </c>
    </row>
    <row r="4109" spans="1:10" ht="38.25" x14ac:dyDescent="0.2">
      <c r="A4109" s="1" t="s">
        <v>4</v>
      </c>
      <c r="B4109" s="2" t="s">
        <v>333</v>
      </c>
      <c r="D4109" s="5" t="s">
        <v>655</v>
      </c>
      <c r="E4109" s="3">
        <v>16995</v>
      </c>
      <c r="F4109" s="3">
        <v>101970</v>
      </c>
      <c r="G4109" s="57">
        <v>5</v>
      </c>
      <c r="J4109" s="5" t="s">
        <v>4597</v>
      </c>
    </row>
    <row r="4110" spans="1:10" ht="25.5" x14ac:dyDescent="0.2">
      <c r="A4110" s="1" t="s">
        <v>4</v>
      </c>
      <c r="B4110" s="2" t="s">
        <v>429</v>
      </c>
      <c r="D4110" s="5" t="s">
        <v>516</v>
      </c>
      <c r="E4110" s="3">
        <v>99955</v>
      </c>
      <c r="F4110" s="3">
        <v>101951</v>
      </c>
      <c r="G4110" s="57">
        <v>1.9968986043719675E-2</v>
      </c>
      <c r="J4110" s="5" t="s">
        <v>2309</v>
      </c>
    </row>
    <row r="4111" spans="1:10" ht="25.5" x14ac:dyDescent="0.2">
      <c r="A4111" s="1" t="s">
        <v>4</v>
      </c>
      <c r="B4111" s="2" t="s">
        <v>423</v>
      </c>
      <c r="D4111" s="5" t="s">
        <v>569</v>
      </c>
      <c r="E4111" s="6">
        <v>91202</v>
      </c>
      <c r="F4111" s="3">
        <v>101929</v>
      </c>
      <c r="G4111" s="57">
        <v>0.11761803469222167</v>
      </c>
      <c r="J4111" s="5" t="s">
        <v>2348</v>
      </c>
    </row>
    <row r="4112" spans="1:10" ht="25.5" x14ac:dyDescent="0.2">
      <c r="A4112" s="1" t="s">
        <v>8</v>
      </c>
      <c r="B4112" s="2" t="s">
        <v>113</v>
      </c>
      <c r="C4112" s="1"/>
      <c r="D4112" s="5" t="s">
        <v>2163</v>
      </c>
      <c r="E4112" s="3">
        <v>116349</v>
      </c>
      <c r="F4112" s="3">
        <v>101923</v>
      </c>
      <c r="G4112" s="57">
        <v>-0.12398903299555647</v>
      </c>
      <c r="J4112" s="5" t="s">
        <v>4267</v>
      </c>
    </row>
    <row r="4113" spans="1:12" x14ac:dyDescent="0.2">
      <c r="A4113" s="1" t="s">
        <v>44</v>
      </c>
      <c r="B4113" s="2" t="s">
        <v>73</v>
      </c>
      <c r="C4113" s="1"/>
      <c r="D4113" s="5" t="s">
        <v>1952</v>
      </c>
      <c r="E4113" s="3">
        <v>101629</v>
      </c>
      <c r="F4113" s="3">
        <v>101879</v>
      </c>
      <c r="G4113" s="57">
        <v>2.4599277765204814E-3</v>
      </c>
      <c r="J4113" s="5" t="s">
        <v>1953</v>
      </c>
    </row>
    <row r="4114" spans="1:12" x14ac:dyDescent="0.2">
      <c r="A4114" s="1" t="s">
        <v>6</v>
      </c>
      <c r="B4114" s="2" t="s">
        <v>86</v>
      </c>
      <c r="C4114" s="1"/>
      <c r="D4114" s="5" t="s">
        <v>2051</v>
      </c>
      <c r="E4114" s="6">
        <v>101648</v>
      </c>
      <c r="F4114" s="3">
        <v>101803</v>
      </c>
      <c r="G4114" s="57">
        <v>1.5248701400912956E-3</v>
      </c>
      <c r="J4114" s="5" t="s">
        <v>2052</v>
      </c>
    </row>
    <row r="4115" spans="1:12" ht="25.5" x14ac:dyDescent="0.2">
      <c r="A4115" s="1" t="s">
        <v>6</v>
      </c>
      <c r="B4115" s="2" t="s">
        <v>86</v>
      </c>
      <c r="C4115" s="1"/>
      <c r="D4115" s="5" t="s">
        <v>570</v>
      </c>
      <c r="E4115" s="6">
        <v>95494</v>
      </c>
      <c r="F4115" s="3">
        <v>101798</v>
      </c>
      <c r="G4115" s="57">
        <v>6.6014618719500706E-2</v>
      </c>
      <c r="J4115" s="5" t="s">
        <v>4225</v>
      </c>
    </row>
    <row r="4116" spans="1:12" ht="25.5" x14ac:dyDescent="0.2">
      <c r="A4116" s="1" t="s">
        <v>6</v>
      </c>
      <c r="B4116" s="2" t="s">
        <v>86</v>
      </c>
      <c r="C4116" s="1"/>
      <c r="D4116" s="5" t="s">
        <v>2035</v>
      </c>
      <c r="E4116" s="6">
        <v>90830</v>
      </c>
      <c r="F4116" s="3">
        <v>101772</v>
      </c>
      <c r="G4116" s="57">
        <v>0.12046680612132556</v>
      </c>
      <c r="J4116" s="5" t="s">
        <v>4224</v>
      </c>
    </row>
    <row r="4117" spans="1:12" ht="38.25" x14ac:dyDescent="0.2">
      <c r="A4117" s="1" t="s">
        <v>4</v>
      </c>
      <c r="B4117" s="2" t="s">
        <v>385</v>
      </c>
      <c r="D4117" s="5" t="s">
        <v>698</v>
      </c>
      <c r="E4117" s="3">
        <v>99223</v>
      </c>
      <c r="F4117" s="3">
        <v>101705</v>
      </c>
      <c r="G4117" s="57">
        <v>2.501436158955081E-2</v>
      </c>
      <c r="J4117" s="5" t="s">
        <v>2494</v>
      </c>
    </row>
    <row r="4118" spans="1:12" ht="25.5" x14ac:dyDescent="0.2">
      <c r="A4118" s="1" t="s">
        <v>20</v>
      </c>
      <c r="B4118" s="2" t="s">
        <v>79</v>
      </c>
      <c r="C4118" s="1" t="s">
        <v>1978</v>
      </c>
      <c r="D4118" s="5" t="s">
        <v>1979</v>
      </c>
      <c r="E4118" s="3">
        <v>106484</v>
      </c>
      <c r="F4118" s="3">
        <v>101633</v>
      </c>
      <c r="G4118" s="57">
        <v>-4.5556139889560872E-2</v>
      </c>
      <c r="J4118" s="5" t="s">
        <v>4610</v>
      </c>
    </row>
    <row r="4119" spans="1:12" x14ac:dyDescent="0.2">
      <c r="A4119" s="1" t="s">
        <v>44</v>
      </c>
      <c r="B4119" s="2" t="s">
        <v>73</v>
      </c>
      <c r="C4119" s="1"/>
      <c r="D4119" s="5" t="s">
        <v>1957</v>
      </c>
      <c r="E4119" s="3">
        <v>101629</v>
      </c>
      <c r="F4119" s="3">
        <v>101629</v>
      </c>
      <c r="G4119" s="57">
        <v>0</v>
      </c>
      <c r="J4119" s="5" t="s">
        <v>1958</v>
      </c>
    </row>
    <row r="4120" spans="1:12" x14ac:dyDescent="0.2">
      <c r="A4120" s="1" t="s">
        <v>44</v>
      </c>
      <c r="B4120" s="2" t="s">
        <v>73</v>
      </c>
      <c r="C4120" s="1"/>
      <c r="D4120" s="5" t="s">
        <v>1959</v>
      </c>
      <c r="E4120" s="3">
        <v>101629</v>
      </c>
      <c r="F4120" s="3">
        <v>101629</v>
      </c>
      <c r="G4120" s="57">
        <v>0</v>
      </c>
      <c r="J4120" s="5" t="s">
        <v>1958</v>
      </c>
    </row>
    <row r="4121" spans="1:12" x14ac:dyDescent="0.2">
      <c r="A4121" s="1" t="s">
        <v>44</v>
      </c>
      <c r="B4121" s="2" t="s">
        <v>73</v>
      </c>
      <c r="C4121" s="1"/>
      <c r="D4121" s="7" t="s">
        <v>1960</v>
      </c>
      <c r="E4121" s="3">
        <v>101629</v>
      </c>
      <c r="F4121" s="3">
        <v>101629</v>
      </c>
      <c r="G4121" s="57">
        <v>0</v>
      </c>
      <c r="J4121" s="5" t="s">
        <v>1958</v>
      </c>
    </row>
    <row r="4122" spans="1:12" x14ac:dyDescent="0.2">
      <c r="A4122" s="1" t="s">
        <v>44</v>
      </c>
      <c r="B4122" s="2" t="s">
        <v>161</v>
      </c>
      <c r="D4122" s="5" t="s">
        <v>570</v>
      </c>
      <c r="E4122" s="3">
        <v>101569</v>
      </c>
      <c r="F4122" s="3">
        <v>101569</v>
      </c>
      <c r="G4122" s="57">
        <v>0</v>
      </c>
      <c r="J4122" s="5" t="s">
        <v>4046</v>
      </c>
    </row>
    <row r="4123" spans="1:12" ht="38.25" x14ac:dyDescent="0.2">
      <c r="A4123" s="1" t="s">
        <v>20</v>
      </c>
      <c r="B4123" s="2" t="s">
        <v>296</v>
      </c>
      <c r="D4123" s="5" t="s">
        <v>1002</v>
      </c>
      <c r="E4123" s="3">
        <v>108987</v>
      </c>
      <c r="F4123" s="3">
        <v>101531</v>
      </c>
      <c r="G4123" s="57">
        <v>-6.8411828933726035E-2</v>
      </c>
      <c r="J4123" s="5" t="s">
        <v>4397</v>
      </c>
    </row>
    <row r="4124" spans="1:12" x14ac:dyDescent="0.2">
      <c r="A4124" s="1" t="s">
        <v>6</v>
      </c>
      <c r="B4124" s="12" t="s">
        <v>86</v>
      </c>
      <c r="C4124" s="13"/>
      <c r="D4124" s="7" t="s">
        <v>2041</v>
      </c>
      <c r="E4124" s="6" t="s">
        <v>465</v>
      </c>
      <c r="F4124" s="6">
        <v>101496</v>
      </c>
      <c r="G4124" s="57" t="s">
        <v>465</v>
      </c>
      <c r="H4124" s="21"/>
      <c r="I4124" s="21"/>
      <c r="J4124" s="7" t="s">
        <v>2042</v>
      </c>
      <c r="K4124" s="13"/>
      <c r="L4124" s="13"/>
    </row>
    <row r="4125" spans="1:12" ht="25.5" x14ac:dyDescent="0.2">
      <c r="A4125" s="13" t="s">
        <v>34</v>
      </c>
      <c r="B4125" s="12" t="s">
        <v>48</v>
      </c>
      <c r="C4125" s="13"/>
      <c r="D4125" s="7" t="s">
        <v>3735</v>
      </c>
      <c r="E4125" s="6">
        <v>84950</v>
      </c>
      <c r="F4125" s="6">
        <v>101478</v>
      </c>
      <c r="G4125" s="57">
        <v>0.19456150676868747</v>
      </c>
      <c r="H4125" s="21"/>
      <c r="I4125" s="21"/>
      <c r="J4125" s="7" t="s">
        <v>3736</v>
      </c>
      <c r="K4125" s="13"/>
      <c r="L4125" s="13"/>
    </row>
    <row r="4126" spans="1:12" ht="25.5" x14ac:dyDescent="0.2">
      <c r="A4126" s="1" t="s">
        <v>44</v>
      </c>
      <c r="B4126" s="2" t="s">
        <v>97</v>
      </c>
      <c r="C4126" s="1"/>
      <c r="D4126" s="5" t="s">
        <v>2218</v>
      </c>
      <c r="E4126" s="3">
        <v>83034</v>
      </c>
      <c r="F4126" s="3">
        <v>101457</v>
      </c>
      <c r="G4126" s="57">
        <v>0.22187296769997833</v>
      </c>
      <c r="J4126" s="5" t="s">
        <v>3848</v>
      </c>
    </row>
    <row r="4127" spans="1:12" ht="25.5" x14ac:dyDescent="0.2">
      <c r="A4127" s="1" t="s">
        <v>44</v>
      </c>
      <c r="B4127" s="2" t="s">
        <v>242</v>
      </c>
      <c r="D4127" s="5" t="s">
        <v>1211</v>
      </c>
      <c r="E4127" s="3">
        <v>92389</v>
      </c>
      <c r="F4127" s="3">
        <v>101421</v>
      </c>
      <c r="G4127" s="57">
        <v>9.7760555910335639E-2</v>
      </c>
      <c r="J4127" s="5" t="s">
        <v>3164</v>
      </c>
    </row>
    <row r="4128" spans="1:12" ht="25.5" x14ac:dyDescent="0.2">
      <c r="A4128" s="1" t="s">
        <v>25</v>
      </c>
      <c r="B4128" s="2" t="s">
        <v>197</v>
      </c>
      <c r="D4128" s="5" t="s">
        <v>1410</v>
      </c>
      <c r="E4128" s="9">
        <v>96950</v>
      </c>
      <c r="F4128" s="9">
        <v>101387</v>
      </c>
      <c r="G4128" s="57">
        <v>4.5765858690046415E-2</v>
      </c>
      <c r="J4128" s="5" t="s">
        <v>3449</v>
      </c>
    </row>
    <row r="4129" spans="1:12" ht="25.5" x14ac:dyDescent="0.2">
      <c r="A4129" s="1" t="s">
        <v>8</v>
      </c>
      <c r="B4129" s="2" t="s">
        <v>240</v>
      </c>
      <c r="D4129" s="5" t="s">
        <v>450</v>
      </c>
      <c r="E4129" s="3">
        <v>101813.51</v>
      </c>
      <c r="F4129" s="3">
        <v>101383.74</v>
      </c>
      <c r="G4129" s="57">
        <v>-4.2211490400437968E-3</v>
      </c>
      <c r="J4129" s="5" t="s">
        <v>3171</v>
      </c>
    </row>
    <row r="4130" spans="1:12" ht="25.5" x14ac:dyDescent="0.2">
      <c r="A4130" s="1" t="s">
        <v>20</v>
      </c>
      <c r="B4130" s="2" t="s">
        <v>274</v>
      </c>
      <c r="D4130" s="5" t="s">
        <v>1107</v>
      </c>
      <c r="E4130" s="3">
        <v>101779</v>
      </c>
      <c r="F4130" s="3">
        <v>101351</v>
      </c>
      <c r="G4130" s="57">
        <v>-4.2051896756698333E-3</v>
      </c>
      <c r="J4130" s="5" t="s">
        <v>3034</v>
      </c>
    </row>
    <row r="4131" spans="1:12" ht="25.5" x14ac:dyDescent="0.2">
      <c r="A4131" s="1" t="s">
        <v>6</v>
      </c>
      <c r="B4131" s="2" t="s">
        <v>407</v>
      </c>
      <c r="D4131" s="5" t="s">
        <v>2399</v>
      </c>
      <c r="E4131" s="3">
        <v>95000</v>
      </c>
      <c r="F4131" s="3">
        <v>101349</v>
      </c>
      <c r="G4131" s="57">
        <v>6.6831578947368422E-2</v>
      </c>
      <c r="J4131" s="5" t="s">
        <v>2400</v>
      </c>
    </row>
    <row r="4132" spans="1:12" ht="25.5" x14ac:dyDescent="0.2">
      <c r="A4132" s="1" t="s">
        <v>34</v>
      </c>
      <c r="B4132" s="2" t="s">
        <v>83</v>
      </c>
      <c r="C4132" s="1"/>
      <c r="D4132" s="5" t="s">
        <v>2009</v>
      </c>
      <c r="E4132" s="3">
        <v>68518</v>
      </c>
      <c r="F4132" s="3">
        <v>101305</v>
      </c>
      <c r="G4132" s="57">
        <v>0.4785165941796316</v>
      </c>
      <c r="J4132" s="5" t="s">
        <v>4222</v>
      </c>
    </row>
    <row r="4133" spans="1:12" x14ac:dyDescent="0.2">
      <c r="A4133" s="1" t="s">
        <v>8</v>
      </c>
      <c r="B4133" s="12" t="s">
        <v>62</v>
      </c>
      <c r="C4133" s="13"/>
      <c r="D4133" s="7" t="s">
        <v>455</v>
      </c>
      <c r="E4133" s="6">
        <v>105149</v>
      </c>
      <c r="F4133" s="6">
        <v>101244</v>
      </c>
      <c r="G4133" s="57">
        <v>-3.7137775917983055E-2</v>
      </c>
      <c r="H4133" s="21"/>
      <c r="I4133" s="21"/>
      <c r="J4133" s="7" t="s">
        <v>1877</v>
      </c>
      <c r="K4133" s="13"/>
      <c r="L4133" s="13"/>
    </row>
    <row r="4134" spans="1:12" ht="25.5" x14ac:dyDescent="0.2">
      <c r="A4134" s="1" t="s">
        <v>1</v>
      </c>
      <c r="B4134" s="2" t="s">
        <v>290</v>
      </c>
      <c r="C4134" s="5" t="s">
        <v>1032</v>
      </c>
      <c r="D4134" s="5" t="s">
        <v>1033</v>
      </c>
      <c r="E4134" s="6">
        <v>97968</v>
      </c>
      <c r="F4134" s="3">
        <v>101196</v>
      </c>
      <c r="G4134" s="57">
        <v>3.2949534541891229E-2</v>
      </c>
      <c r="J4134" s="5" t="s">
        <v>2946</v>
      </c>
    </row>
    <row r="4135" spans="1:12" ht="25.5" x14ac:dyDescent="0.2">
      <c r="A4135" s="1" t="s">
        <v>1</v>
      </c>
      <c r="B4135" s="2" t="s">
        <v>290</v>
      </c>
      <c r="C4135" s="5" t="s">
        <v>1030</v>
      </c>
      <c r="D4135" s="5" t="s">
        <v>1031</v>
      </c>
      <c r="E4135" s="6">
        <v>97448</v>
      </c>
      <c r="F4135" s="3">
        <v>101174</v>
      </c>
      <c r="G4135" s="57">
        <v>3.8235777029800508E-2</v>
      </c>
      <c r="J4135" s="5" t="s">
        <v>2945</v>
      </c>
    </row>
    <row r="4136" spans="1:12" ht="25.5" x14ac:dyDescent="0.2">
      <c r="A4136" s="1" t="s">
        <v>1</v>
      </c>
      <c r="B4136" s="2" t="s">
        <v>290</v>
      </c>
      <c r="C4136" s="5" t="s">
        <v>1034</v>
      </c>
      <c r="D4136" s="5" t="s">
        <v>1035</v>
      </c>
      <c r="E4136" s="6">
        <v>97785</v>
      </c>
      <c r="F4136" s="3">
        <v>101173</v>
      </c>
      <c r="G4136" s="57">
        <v>3.4647440814030782E-2</v>
      </c>
      <c r="J4136" s="5" t="s">
        <v>2947</v>
      </c>
    </row>
    <row r="4137" spans="1:12" ht="25.5" x14ac:dyDescent="0.2">
      <c r="A4137" s="1" t="s">
        <v>1</v>
      </c>
      <c r="B4137" s="12" t="s">
        <v>420</v>
      </c>
      <c r="C4137" s="5" t="s">
        <v>3615</v>
      </c>
      <c r="D4137" s="5" t="s">
        <v>3616</v>
      </c>
      <c r="E4137" s="9">
        <v>98643</v>
      </c>
      <c r="F4137" s="9">
        <v>101148</v>
      </c>
      <c r="G4137" s="57">
        <v>2.5394604786959034E-2</v>
      </c>
      <c r="J4137" s="5" t="s">
        <v>3621</v>
      </c>
    </row>
    <row r="4138" spans="1:12" ht="25.5" x14ac:dyDescent="0.2">
      <c r="A4138" s="1" t="s">
        <v>1</v>
      </c>
      <c r="B4138" s="12" t="s">
        <v>420</v>
      </c>
      <c r="C4138" s="5" t="s">
        <v>3611</v>
      </c>
      <c r="D4138" s="5" t="s">
        <v>3612</v>
      </c>
      <c r="E4138" s="9">
        <v>98604</v>
      </c>
      <c r="F4138" s="9">
        <v>101145</v>
      </c>
      <c r="G4138" s="57">
        <v>2.5769745649263723E-2</v>
      </c>
      <c r="J4138" s="5" t="s">
        <v>3620</v>
      </c>
    </row>
    <row r="4139" spans="1:12" ht="25.5" x14ac:dyDescent="0.2">
      <c r="A4139" s="1" t="s">
        <v>1</v>
      </c>
      <c r="B4139" s="12" t="s">
        <v>420</v>
      </c>
      <c r="C4139" s="5" t="s">
        <v>3613</v>
      </c>
      <c r="D4139" s="5" t="s">
        <v>3614</v>
      </c>
      <c r="E4139" s="9">
        <v>98604</v>
      </c>
      <c r="F4139" s="9">
        <v>101145</v>
      </c>
      <c r="G4139" s="57">
        <v>2.5769745649263723E-2</v>
      </c>
      <c r="J4139" s="5" t="s">
        <v>3620</v>
      </c>
    </row>
    <row r="4140" spans="1:12" ht="25.5" x14ac:dyDescent="0.2">
      <c r="A4140" s="1" t="s">
        <v>44</v>
      </c>
      <c r="B4140" s="2" t="s">
        <v>97</v>
      </c>
      <c r="C4140" s="1"/>
      <c r="D4140" s="5" t="s">
        <v>2219</v>
      </c>
      <c r="E4140" s="3">
        <v>82991</v>
      </c>
      <c r="F4140" s="3">
        <v>101143</v>
      </c>
      <c r="G4140" s="57">
        <v>0.21872251207962309</v>
      </c>
      <c r="J4140" s="5" t="s">
        <v>3849</v>
      </c>
    </row>
    <row r="4141" spans="1:12" ht="38.25" x14ac:dyDescent="0.2">
      <c r="A4141" s="1" t="s">
        <v>8</v>
      </c>
      <c r="B4141" s="2" t="s">
        <v>322</v>
      </c>
      <c r="D4141" s="5" t="s">
        <v>919</v>
      </c>
      <c r="E4141" s="3">
        <v>89005</v>
      </c>
      <c r="F4141" s="3">
        <v>101136</v>
      </c>
      <c r="G4141" s="57">
        <v>0.13629571372394808</v>
      </c>
      <c r="J4141" s="5" t="s">
        <v>2788</v>
      </c>
    </row>
    <row r="4142" spans="1:12" ht="25.5" x14ac:dyDescent="0.2">
      <c r="A4142" s="1" t="s">
        <v>44</v>
      </c>
      <c r="B4142" s="12" t="s">
        <v>43</v>
      </c>
      <c r="C4142" s="13"/>
      <c r="D4142" s="7" t="s">
        <v>463</v>
      </c>
      <c r="E4142" s="6" t="s">
        <v>465</v>
      </c>
      <c r="F4142" s="6">
        <v>101110</v>
      </c>
      <c r="G4142" s="57" t="s">
        <v>465</v>
      </c>
      <c r="H4142" s="21"/>
      <c r="I4142" s="21"/>
      <c r="J4142" s="7" t="s">
        <v>3727</v>
      </c>
      <c r="K4142" s="13"/>
      <c r="L4142" s="13"/>
    </row>
    <row r="4143" spans="1:12" x14ac:dyDescent="0.2">
      <c r="A4143" s="1" t="s">
        <v>4</v>
      </c>
      <c r="B4143" s="2" t="s">
        <v>49</v>
      </c>
      <c r="C4143" s="1"/>
      <c r="D4143" s="5" t="s">
        <v>532</v>
      </c>
      <c r="E4143" s="3">
        <v>100400</v>
      </c>
      <c r="F4143" s="3">
        <v>101100</v>
      </c>
      <c r="G4143" s="57">
        <v>6.9721115537848604E-3</v>
      </c>
      <c r="J4143" s="5" t="s">
        <v>1818</v>
      </c>
    </row>
    <row r="4144" spans="1:12" ht="25.5" x14ac:dyDescent="0.2">
      <c r="A4144" s="1" t="s">
        <v>39</v>
      </c>
      <c r="B4144" s="2" t="s">
        <v>404</v>
      </c>
      <c r="D4144" s="5" t="s">
        <v>650</v>
      </c>
      <c r="E4144" s="3">
        <v>110223</v>
      </c>
      <c r="F4144" s="3">
        <v>101085</v>
      </c>
      <c r="G4144" s="57">
        <v>-8.2904656922783815E-2</v>
      </c>
      <c r="J4144" s="5" t="s">
        <v>2421</v>
      </c>
    </row>
    <row r="4145" spans="1:12" ht="25.5" x14ac:dyDescent="0.2">
      <c r="A4145" s="1" t="s">
        <v>4</v>
      </c>
      <c r="B4145" s="2" t="s">
        <v>411</v>
      </c>
      <c r="D4145" s="38" t="s">
        <v>504</v>
      </c>
      <c r="E4145" s="3" t="s">
        <v>465</v>
      </c>
      <c r="F4145" s="3">
        <v>101080</v>
      </c>
      <c r="G4145" s="57" t="s">
        <v>465</v>
      </c>
      <c r="J4145" s="5" t="s">
        <v>1623</v>
      </c>
    </row>
    <row r="4146" spans="1:12" ht="38.25" x14ac:dyDescent="0.2">
      <c r="A4146" s="1" t="s">
        <v>20</v>
      </c>
      <c r="B4146" s="2" t="s">
        <v>30</v>
      </c>
      <c r="C4146" s="1"/>
      <c r="D4146" s="5" t="s">
        <v>1733</v>
      </c>
      <c r="E4146" s="3">
        <v>98114</v>
      </c>
      <c r="F4146" s="3">
        <v>101030</v>
      </c>
      <c r="G4146" s="57">
        <v>2.9720529180341234E-2</v>
      </c>
      <c r="J4146" s="7" t="s">
        <v>4123</v>
      </c>
    </row>
    <row r="4147" spans="1:12" ht="25.5" x14ac:dyDescent="0.2">
      <c r="A4147" s="1" t="s">
        <v>4</v>
      </c>
      <c r="B4147" s="2" t="s">
        <v>239</v>
      </c>
      <c r="D4147" s="5" t="s">
        <v>1223</v>
      </c>
      <c r="E4147" s="3">
        <v>99458</v>
      </c>
      <c r="F4147" s="3">
        <v>101024</v>
      </c>
      <c r="G4147" s="57">
        <v>1.5745339741398381E-2</v>
      </c>
      <c r="J4147" s="5" t="s">
        <v>3184</v>
      </c>
    </row>
    <row r="4148" spans="1:12" ht="38.25" x14ac:dyDescent="0.2">
      <c r="A4148" s="1" t="s">
        <v>25</v>
      </c>
      <c r="B4148" s="12" t="s">
        <v>70</v>
      </c>
      <c r="C4148" s="13"/>
      <c r="D4148" s="7" t="s">
        <v>4219</v>
      </c>
      <c r="E4148" s="21">
        <v>121848</v>
      </c>
      <c r="F4148" s="21">
        <v>101018</v>
      </c>
      <c r="G4148" s="57">
        <v>-0.17095069266627275</v>
      </c>
      <c r="H4148" s="21"/>
      <c r="I4148" s="21"/>
      <c r="J4148" s="7" t="s">
        <v>1941</v>
      </c>
      <c r="K4148" s="13"/>
      <c r="L4148" s="13"/>
    </row>
    <row r="4149" spans="1:12" ht="25.5" x14ac:dyDescent="0.2">
      <c r="A4149" s="1" t="s">
        <v>6</v>
      </c>
      <c r="B4149" s="12" t="s">
        <v>41</v>
      </c>
      <c r="C4149" s="13"/>
      <c r="D4149" s="7" t="s">
        <v>3716</v>
      </c>
      <c r="E4149" s="6">
        <v>91000</v>
      </c>
      <c r="F4149" s="6">
        <v>101000</v>
      </c>
      <c r="G4149" s="57">
        <v>0.10989010989010989</v>
      </c>
      <c r="H4149" s="21"/>
      <c r="I4149" s="21"/>
      <c r="J4149" s="7" t="s">
        <v>3717</v>
      </c>
      <c r="K4149" s="13"/>
      <c r="L4149" s="13"/>
    </row>
    <row r="4150" spans="1:12" ht="25.5" x14ac:dyDescent="0.2">
      <c r="A4150" s="1" t="s">
        <v>8</v>
      </c>
      <c r="B4150" s="2" t="s">
        <v>117</v>
      </c>
      <c r="C4150" s="1"/>
      <c r="D4150" s="5" t="s">
        <v>855</v>
      </c>
      <c r="E4150" s="3">
        <v>98000</v>
      </c>
      <c r="F4150" s="3">
        <v>101000</v>
      </c>
      <c r="G4150" s="57">
        <v>3.0612244897959183E-2</v>
      </c>
      <c r="J4150" s="5" t="s">
        <v>3912</v>
      </c>
    </row>
    <row r="4151" spans="1:12" ht="25.5" x14ac:dyDescent="0.2">
      <c r="A4151" s="1" t="s">
        <v>6</v>
      </c>
      <c r="B4151" s="2" t="s">
        <v>179</v>
      </c>
      <c r="D4151" s="5" t="s">
        <v>1495</v>
      </c>
      <c r="E4151" s="9">
        <v>99200</v>
      </c>
      <c r="F4151" s="9">
        <v>101000</v>
      </c>
      <c r="G4151" s="57">
        <v>1.8145161290322582E-2</v>
      </c>
      <c r="J4151" s="5" t="s">
        <v>3556</v>
      </c>
    </row>
    <row r="4152" spans="1:12" ht="25.5" x14ac:dyDescent="0.2">
      <c r="A4152" s="1" t="s">
        <v>6</v>
      </c>
      <c r="B4152" s="2" t="s">
        <v>179</v>
      </c>
      <c r="D4152" s="5" t="s">
        <v>1496</v>
      </c>
      <c r="E4152" s="9">
        <v>98500</v>
      </c>
      <c r="F4152" s="9">
        <v>101000</v>
      </c>
      <c r="G4152" s="57">
        <v>2.5380710659898477E-2</v>
      </c>
      <c r="J4152" s="5" t="s">
        <v>3557</v>
      </c>
    </row>
    <row r="4153" spans="1:12" ht="25.5" x14ac:dyDescent="0.2">
      <c r="A4153" s="1" t="s">
        <v>6</v>
      </c>
      <c r="B4153" s="2" t="s">
        <v>179</v>
      </c>
      <c r="D4153" s="5" t="s">
        <v>1499</v>
      </c>
      <c r="E4153" s="9">
        <v>98500</v>
      </c>
      <c r="F4153" s="9">
        <v>101000</v>
      </c>
      <c r="G4153" s="57">
        <v>2.5380710659898477E-2</v>
      </c>
      <c r="J4153" s="5" t="s">
        <v>3556</v>
      </c>
    </row>
    <row r="4154" spans="1:12" ht="25.5" x14ac:dyDescent="0.2">
      <c r="A4154" s="1" t="s">
        <v>6</v>
      </c>
      <c r="B4154" s="2" t="s">
        <v>179</v>
      </c>
      <c r="D4154" s="5" t="s">
        <v>1501</v>
      </c>
      <c r="E4154" s="9">
        <v>98500</v>
      </c>
      <c r="F4154" s="9">
        <v>101000</v>
      </c>
      <c r="G4154" s="57">
        <v>2.5380710659898477E-2</v>
      </c>
      <c r="J4154" s="5" t="s">
        <v>3557</v>
      </c>
    </row>
    <row r="4155" spans="1:12" ht="25.5" x14ac:dyDescent="0.2">
      <c r="A4155" s="1" t="s">
        <v>6</v>
      </c>
      <c r="B4155" s="2" t="s">
        <v>368</v>
      </c>
      <c r="D4155" s="5" t="s">
        <v>451</v>
      </c>
      <c r="E4155" s="3">
        <v>91000</v>
      </c>
      <c r="F4155" s="3">
        <v>101000</v>
      </c>
      <c r="G4155" s="57">
        <v>0.10989010989010989</v>
      </c>
      <c r="J4155" s="5" t="s">
        <v>2464</v>
      </c>
    </row>
    <row r="4156" spans="1:12" ht="25.5" x14ac:dyDescent="0.2">
      <c r="A4156" s="1" t="s">
        <v>6</v>
      </c>
      <c r="B4156" s="2" t="s">
        <v>368</v>
      </c>
      <c r="D4156" s="5" t="s">
        <v>775</v>
      </c>
      <c r="E4156" s="3" t="s">
        <v>465</v>
      </c>
      <c r="F4156" s="3">
        <v>101000</v>
      </c>
      <c r="G4156" s="57" t="s">
        <v>465</v>
      </c>
      <c r="J4156" s="5" t="s">
        <v>2578</v>
      </c>
    </row>
    <row r="4157" spans="1:12" ht="25.5" x14ac:dyDescent="0.2">
      <c r="A4157" s="1" t="s">
        <v>4</v>
      </c>
      <c r="B4157" s="2" t="s">
        <v>395</v>
      </c>
      <c r="D4157" s="5" t="s">
        <v>507</v>
      </c>
      <c r="E4157" s="3">
        <v>100000</v>
      </c>
      <c r="F4157" s="3">
        <v>101000</v>
      </c>
      <c r="G4157" s="57">
        <v>0.01</v>
      </c>
      <c r="J4157" s="5" t="s">
        <v>2464</v>
      </c>
    </row>
    <row r="4158" spans="1:12" ht="25.5" x14ac:dyDescent="0.2">
      <c r="A4158" s="1" t="s">
        <v>20</v>
      </c>
      <c r="B4158" s="2" t="s">
        <v>414</v>
      </c>
      <c r="C4158" s="5" t="s">
        <v>592</v>
      </c>
      <c r="D4158" s="5" t="s">
        <v>593</v>
      </c>
      <c r="E4158" s="3">
        <v>95000</v>
      </c>
      <c r="F4158" s="3">
        <v>101000</v>
      </c>
      <c r="G4158" s="57">
        <v>6.3157894736842107E-2</v>
      </c>
      <c r="J4158" s="5" t="s">
        <v>2369</v>
      </c>
    </row>
    <row r="4159" spans="1:12" ht="25.5" x14ac:dyDescent="0.2">
      <c r="A4159" s="1" t="s">
        <v>44</v>
      </c>
      <c r="B4159" s="2" t="s">
        <v>177</v>
      </c>
      <c r="D4159" s="5" t="s">
        <v>468</v>
      </c>
      <c r="E4159" s="9">
        <v>100948</v>
      </c>
      <c r="F4159" s="9">
        <v>100952</v>
      </c>
      <c r="G4159" s="57">
        <v>3.9624361057177956E-5</v>
      </c>
      <c r="J4159" s="5" t="s">
        <v>3571</v>
      </c>
    </row>
    <row r="4160" spans="1:12" x14ac:dyDescent="0.2">
      <c r="A4160" s="1" t="s">
        <v>28</v>
      </c>
      <c r="B4160" s="2" t="s">
        <v>317</v>
      </c>
      <c r="C4160" s="5" t="s">
        <v>4411</v>
      </c>
      <c r="D4160" s="5" t="s">
        <v>4412</v>
      </c>
      <c r="E4160" s="6">
        <v>100938.93</v>
      </c>
      <c r="F4160" s="6">
        <v>100917.62999999999</v>
      </c>
      <c r="G4160" s="57">
        <v>-2.1101868228643708E-4</v>
      </c>
      <c r="H4160" s="21"/>
      <c r="I4160" s="21"/>
      <c r="J4160" s="7" t="s">
        <v>4413</v>
      </c>
    </row>
    <row r="4161" spans="1:12" ht="25.5" x14ac:dyDescent="0.2">
      <c r="A4161" s="1" t="s">
        <v>44</v>
      </c>
      <c r="B4161" s="12" t="s">
        <v>43</v>
      </c>
      <c r="C4161" s="13"/>
      <c r="D4161" s="7" t="s">
        <v>942</v>
      </c>
      <c r="E4161" s="6" t="s">
        <v>465</v>
      </c>
      <c r="F4161" s="6">
        <v>100891</v>
      </c>
      <c r="G4161" s="57" t="s">
        <v>465</v>
      </c>
      <c r="H4161" s="21"/>
      <c r="I4161" s="21"/>
      <c r="J4161" s="7" t="s">
        <v>3726</v>
      </c>
      <c r="K4161" s="13"/>
      <c r="L4161" s="13"/>
    </row>
    <row r="4162" spans="1:12" ht="25.5" x14ac:dyDescent="0.2">
      <c r="A4162" s="1" t="s">
        <v>6</v>
      </c>
      <c r="B4162" s="2" t="s">
        <v>329</v>
      </c>
      <c r="D4162" s="5" t="s">
        <v>898</v>
      </c>
      <c r="E4162" s="3">
        <v>100918</v>
      </c>
      <c r="F4162" s="3">
        <v>100837</v>
      </c>
      <c r="G4162" s="57">
        <v>-8.0263183971144886E-4</v>
      </c>
      <c r="J4162" s="5" t="s">
        <v>2764</v>
      </c>
    </row>
    <row r="4163" spans="1:12" ht="25.5" x14ac:dyDescent="0.2">
      <c r="A4163" s="1" t="s">
        <v>1</v>
      </c>
      <c r="B4163" s="2" t="s">
        <v>203</v>
      </c>
      <c r="C4163" s="5" t="s">
        <v>1391</v>
      </c>
      <c r="D4163" s="5" t="s">
        <v>852</v>
      </c>
      <c r="E4163" s="9">
        <v>94780</v>
      </c>
      <c r="F4163" s="9">
        <v>100834</v>
      </c>
      <c r="G4163" s="57">
        <v>6.3874235070690025E-2</v>
      </c>
      <c r="J4163" s="5" t="s">
        <v>3406</v>
      </c>
    </row>
    <row r="4164" spans="1:12" ht="51" x14ac:dyDescent="0.2">
      <c r="A4164" s="1" t="s">
        <v>4</v>
      </c>
      <c r="B4164" s="2" t="s">
        <v>176</v>
      </c>
      <c r="D4164" s="5" t="s">
        <v>1508</v>
      </c>
      <c r="E4164" s="9">
        <v>109399</v>
      </c>
      <c r="F4164" s="9">
        <v>100806</v>
      </c>
      <c r="G4164" s="57">
        <v>-7.8547335898865617E-2</v>
      </c>
      <c r="J4164" s="5" t="s">
        <v>4648</v>
      </c>
    </row>
    <row r="4165" spans="1:12" ht="25.5" x14ac:dyDescent="0.2">
      <c r="A4165" s="1" t="s">
        <v>25</v>
      </c>
      <c r="B4165" s="2" t="s">
        <v>217</v>
      </c>
      <c r="C4165" s="5" t="s">
        <v>1303</v>
      </c>
      <c r="D4165" s="5" t="s">
        <v>1304</v>
      </c>
      <c r="E4165" s="3">
        <v>176592</v>
      </c>
      <c r="F4165" s="3">
        <v>100771</v>
      </c>
      <c r="G4165" s="57">
        <v>-0.42935693576152939</v>
      </c>
      <c r="J4165" s="5" t="s">
        <v>3296</v>
      </c>
    </row>
    <row r="4166" spans="1:12" ht="25.5" x14ac:dyDescent="0.2">
      <c r="A4166" s="1" t="s">
        <v>44</v>
      </c>
      <c r="B4166" s="2" t="s">
        <v>177</v>
      </c>
      <c r="D4166" s="5" t="s">
        <v>468</v>
      </c>
      <c r="E4166" s="9">
        <v>100715</v>
      </c>
      <c r="F4166" s="9">
        <v>100735</v>
      </c>
      <c r="G4166" s="57">
        <v>1.985801519138162E-4</v>
      </c>
      <c r="J4166" s="5" t="s">
        <v>3572</v>
      </c>
    </row>
    <row r="4167" spans="1:12" ht="25.5" x14ac:dyDescent="0.2">
      <c r="A4167" s="1" t="s">
        <v>1</v>
      </c>
      <c r="B4167" s="12" t="s">
        <v>417</v>
      </c>
      <c r="C4167" s="5" t="s">
        <v>4545</v>
      </c>
      <c r="D4167" s="5" t="s">
        <v>4546</v>
      </c>
      <c r="E4167" s="3">
        <v>93581</v>
      </c>
      <c r="F4167" s="3">
        <v>100699</v>
      </c>
      <c r="G4167" s="57">
        <v>7.606244857396266E-2</v>
      </c>
      <c r="J4167" s="7" t="s">
        <v>4547</v>
      </c>
    </row>
    <row r="4168" spans="1:12" x14ac:dyDescent="0.2">
      <c r="A4168" s="1" t="s">
        <v>6</v>
      </c>
      <c r="B4168" s="12" t="s">
        <v>86</v>
      </c>
      <c r="C4168" s="13"/>
      <c r="D4168" s="7" t="s">
        <v>2045</v>
      </c>
      <c r="E4168" s="6" t="s">
        <v>465</v>
      </c>
      <c r="F4168" s="6">
        <v>100696</v>
      </c>
      <c r="G4168" s="57" t="s">
        <v>465</v>
      </c>
      <c r="H4168" s="21"/>
      <c r="I4168" s="21"/>
      <c r="J4168" s="7" t="s">
        <v>2046</v>
      </c>
      <c r="K4168" s="13"/>
      <c r="L4168" s="13"/>
    </row>
    <row r="4169" spans="1:12" ht="25.5" x14ac:dyDescent="0.2">
      <c r="A4169" s="1" t="s">
        <v>20</v>
      </c>
      <c r="B4169" s="2" t="s">
        <v>357</v>
      </c>
      <c r="C4169" s="5" t="s">
        <v>816</v>
      </c>
      <c r="D4169" s="15" t="s">
        <v>817</v>
      </c>
      <c r="E4169" s="9">
        <v>101382</v>
      </c>
      <c r="F4169" s="9">
        <v>100694</v>
      </c>
      <c r="G4169" s="57">
        <v>-6.7862145153972106E-3</v>
      </c>
      <c r="J4169" s="5" t="s">
        <v>4693</v>
      </c>
    </row>
    <row r="4170" spans="1:12" ht="25.5" x14ac:dyDescent="0.2">
      <c r="A4170" s="1" t="s">
        <v>6</v>
      </c>
      <c r="B4170" s="2" t="s">
        <v>347</v>
      </c>
      <c r="D4170" s="5" t="s">
        <v>851</v>
      </c>
      <c r="E4170" s="3">
        <v>100372</v>
      </c>
      <c r="F4170" s="3">
        <v>100690</v>
      </c>
      <c r="G4170" s="57">
        <v>3.1682142430159805E-3</v>
      </c>
      <c r="J4170" s="5" t="s">
        <v>2691</v>
      </c>
    </row>
    <row r="4171" spans="1:12" ht="25.5" x14ac:dyDescent="0.2">
      <c r="A4171" s="1" t="s">
        <v>6</v>
      </c>
      <c r="B4171" s="2" t="s">
        <v>294</v>
      </c>
      <c r="D4171" s="5" t="s">
        <v>4674</v>
      </c>
      <c r="E4171" s="3">
        <v>101195</v>
      </c>
      <c r="F4171" s="3">
        <v>100681</v>
      </c>
      <c r="G4171" s="57">
        <v>-5.0793023370719901E-3</v>
      </c>
      <c r="J4171" s="5" t="s">
        <v>2899</v>
      </c>
    </row>
    <row r="4172" spans="1:12" x14ac:dyDescent="0.2">
      <c r="A4172" s="1" t="s">
        <v>4</v>
      </c>
      <c r="B4172" s="2" t="s">
        <v>88</v>
      </c>
      <c r="C4172" s="1"/>
      <c r="D4172" s="5" t="s">
        <v>452</v>
      </c>
      <c r="E4172" s="3">
        <v>88852</v>
      </c>
      <c r="F4172" s="3">
        <v>100615</v>
      </c>
      <c r="G4172" s="57">
        <v>0.13238869130689235</v>
      </c>
      <c r="J4172" s="5" t="s">
        <v>2058</v>
      </c>
    </row>
    <row r="4173" spans="1:12" x14ac:dyDescent="0.2">
      <c r="A4173" s="1" t="s">
        <v>4</v>
      </c>
      <c r="B4173" s="2" t="s">
        <v>88</v>
      </c>
      <c r="C4173" s="1"/>
      <c r="D4173" s="5" t="s">
        <v>2063</v>
      </c>
      <c r="E4173" s="3">
        <v>86963</v>
      </c>
      <c r="F4173" s="3">
        <v>100511</v>
      </c>
      <c r="G4173" s="57">
        <v>0.15579039361567562</v>
      </c>
      <c r="J4173" s="5" t="s">
        <v>2064</v>
      </c>
    </row>
    <row r="4174" spans="1:12" x14ac:dyDescent="0.2">
      <c r="A4174" s="1" t="s">
        <v>4</v>
      </c>
      <c r="B4174" s="2" t="s">
        <v>88</v>
      </c>
      <c r="C4174" s="1"/>
      <c r="D4174" s="5" t="s">
        <v>942</v>
      </c>
      <c r="E4174" s="3">
        <v>86489</v>
      </c>
      <c r="F4174" s="3">
        <v>100511</v>
      </c>
      <c r="G4174" s="57">
        <v>0.16212466325197425</v>
      </c>
      <c r="J4174" s="5" t="s">
        <v>2064</v>
      </c>
    </row>
    <row r="4175" spans="1:12" x14ac:dyDescent="0.2">
      <c r="A4175" s="1" t="s">
        <v>44</v>
      </c>
      <c r="B4175" s="2" t="s">
        <v>177</v>
      </c>
      <c r="D4175" s="5" t="s">
        <v>468</v>
      </c>
      <c r="E4175" s="9">
        <v>100493</v>
      </c>
      <c r="F4175" s="9">
        <v>100493</v>
      </c>
      <c r="G4175" s="57">
        <v>0</v>
      </c>
      <c r="J4175" s="5" t="s">
        <v>3573</v>
      </c>
    </row>
    <row r="4176" spans="1:12" ht="25.5" x14ac:dyDescent="0.2">
      <c r="A4176" s="1" t="s">
        <v>39</v>
      </c>
      <c r="B4176" s="2" t="s">
        <v>103</v>
      </c>
      <c r="C4176" s="1"/>
      <c r="D4176" s="5" t="s">
        <v>2206</v>
      </c>
      <c r="E4176" s="3">
        <v>136601</v>
      </c>
      <c r="F4176" s="3">
        <v>100476</v>
      </c>
      <c r="G4176" s="57">
        <v>-0.26445633633721571</v>
      </c>
      <c r="J4176" s="5" t="s">
        <v>4247</v>
      </c>
    </row>
    <row r="4177" spans="1:12" ht="25.5" x14ac:dyDescent="0.2">
      <c r="A4177" s="1" t="s">
        <v>4</v>
      </c>
      <c r="B4177" s="2" t="s">
        <v>421</v>
      </c>
      <c r="D4177" s="5" t="s">
        <v>572</v>
      </c>
      <c r="E4177" s="3">
        <v>101521</v>
      </c>
      <c r="F4177" s="3">
        <v>100460</v>
      </c>
      <c r="G4177" s="57">
        <v>-1.0451039686370308E-2</v>
      </c>
      <c r="J4177" s="5" t="s">
        <v>2350</v>
      </c>
    </row>
    <row r="4178" spans="1:12" x14ac:dyDescent="0.2">
      <c r="A4178" s="1" t="s">
        <v>4</v>
      </c>
      <c r="B4178" s="2" t="s">
        <v>88</v>
      </c>
      <c r="C4178" s="1"/>
      <c r="D4178" s="5" t="s">
        <v>2059</v>
      </c>
      <c r="E4178" s="3">
        <v>85948</v>
      </c>
      <c r="F4178" s="3">
        <v>100434</v>
      </c>
      <c r="G4178" s="57">
        <v>0.16854377065202214</v>
      </c>
      <c r="J4178" s="5" t="s">
        <v>2060</v>
      </c>
    </row>
    <row r="4179" spans="1:12" ht="38.25" x14ac:dyDescent="0.2">
      <c r="A4179" s="1" t="s">
        <v>4</v>
      </c>
      <c r="B4179" s="2" t="s">
        <v>292</v>
      </c>
      <c r="D4179" s="5" t="s">
        <v>2917</v>
      </c>
      <c r="E4179" s="9">
        <v>115936</v>
      </c>
      <c r="F4179" s="3">
        <v>100419</v>
      </c>
      <c r="G4179" s="57">
        <v>-0.1338410847364063</v>
      </c>
      <c r="J4179" s="5" t="s">
        <v>2916</v>
      </c>
    </row>
    <row r="4180" spans="1:12" ht="25.5" x14ac:dyDescent="0.2">
      <c r="A4180" s="1" t="s">
        <v>39</v>
      </c>
      <c r="B4180" s="2" t="s">
        <v>258</v>
      </c>
      <c r="D4180" s="5" t="s">
        <v>1176</v>
      </c>
      <c r="E4180" s="3">
        <v>98219</v>
      </c>
      <c r="F4180" s="3">
        <v>100414</v>
      </c>
      <c r="G4180" s="57">
        <v>2.2348018204217106E-2</v>
      </c>
      <c r="J4180" s="5" t="s">
        <v>3093</v>
      </c>
    </row>
    <row r="4181" spans="1:12" ht="102" x14ac:dyDescent="0.2">
      <c r="A4181" s="1" t="s">
        <v>1</v>
      </c>
      <c r="B4181" s="2" t="s">
        <v>130</v>
      </c>
      <c r="C4181" s="1" t="s">
        <v>2092</v>
      </c>
      <c r="D4181" s="5" t="s">
        <v>2093</v>
      </c>
      <c r="E4181" s="3">
        <v>54310</v>
      </c>
      <c r="F4181" s="3">
        <v>100409</v>
      </c>
      <c r="G4181" s="57">
        <v>0.84881237341189464</v>
      </c>
      <c r="J4181" s="5" t="s">
        <v>4627</v>
      </c>
    </row>
    <row r="4182" spans="1:12" ht="25.5" x14ac:dyDescent="0.2">
      <c r="A4182" s="1" t="s">
        <v>6</v>
      </c>
      <c r="B4182" s="2" t="s">
        <v>179</v>
      </c>
      <c r="D4182" s="5" t="s">
        <v>1500</v>
      </c>
      <c r="E4182" s="9">
        <v>100200</v>
      </c>
      <c r="F4182" s="9">
        <v>100400</v>
      </c>
      <c r="G4182" s="57">
        <v>1.996007984031936E-3</v>
      </c>
      <c r="J4182" s="5" t="s">
        <v>3560</v>
      </c>
    </row>
    <row r="4183" spans="1:12" ht="25.5" x14ac:dyDescent="0.2">
      <c r="A4183" s="1" t="s">
        <v>44</v>
      </c>
      <c r="B4183" s="12" t="s">
        <v>43</v>
      </c>
      <c r="C4183" s="13"/>
      <c r="D4183" s="7" t="s">
        <v>690</v>
      </c>
      <c r="E4183" s="6" t="s">
        <v>465</v>
      </c>
      <c r="F4183" s="6">
        <v>100325</v>
      </c>
      <c r="G4183" s="57" t="s">
        <v>465</v>
      </c>
      <c r="H4183" s="21"/>
      <c r="I4183" s="21"/>
      <c r="J4183" s="7" t="s">
        <v>4151</v>
      </c>
      <c r="K4183" s="13"/>
      <c r="L4183" s="13"/>
    </row>
    <row r="4184" spans="1:12" ht="51" x14ac:dyDescent="0.2">
      <c r="A4184" s="1" t="s">
        <v>28</v>
      </c>
      <c r="B4184" s="2" t="s">
        <v>120</v>
      </c>
      <c r="C4184" s="1"/>
      <c r="D4184" s="5" t="s">
        <v>3918</v>
      </c>
      <c r="E4184" s="3">
        <v>79755</v>
      </c>
      <c r="F4184" s="3">
        <v>100323</v>
      </c>
      <c r="G4184" s="57">
        <v>0.25788978747413954</v>
      </c>
      <c r="J4184" s="5" t="s">
        <v>4283</v>
      </c>
    </row>
    <row r="4185" spans="1:12" ht="25.5" x14ac:dyDescent="0.2">
      <c r="A4185" s="1" t="s">
        <v>34</v>
      </c>
      <c r="B4185" s="2" t="s">
        <v>338</v>
      </c>
      <c r="D4185" s="5" t="s">
        <v>871</v>
      </c>
      <c r="E4185" s="3">
        <v>99767.8</v>
      </c>
      <c r="F4185" s="3">
        <v>100283.42</v>
      </c>
      <c r="G4185" s="57">
        <v>5.1682005617042304E-3</v>
      </c>
      <c r="J4185" s="5" t="s">
        <v>2725</v>
      </c>
    </row>
    <row r="4186" spans="1:12" ht="25.5" x14ac:dyDescent="0.2">
      <c r="A4186" s="13" t="s">
        <v>34</v>
      </c>
      <c r="B4186" s="12" t="s">
        <v>48</v>
      </c>
      <c r="C4186" s="13"/>
      <c r="D4186" s="7" t="s">
        <v>3733</v>
      </c>
      <c r="E4186" s="6" t="s">
        <v>465</v>
      </c>
      <c r="F4186" s="6">
        <v>100275</v>
      </c>
      <c r="G4186" s="57" t="s">
        <v>465</v>
      </c>
      <c r="H4186" s="21"/>
      <c r="I4186" s="21"/>
      <c r="J4186" s="7" t="s">
        <v>3734</v>
      </c>
      <c r="K4186" s="13"/>
      <c r="L4186" s="13"/>
    </row>
    <row r="4187" spans="1:12" ht="25.5" x14ac:dyDescent="0.2">
      <c r="A4187" s="1" t="s">
        <v>34</v>
      </c>
      <c r="B4187" s="2" t="s">
        <v>338</v>
      </c>
      <c r="D4187" s="5" t="s">
        <v>870</v>
      </c>
      <c r="E4187" s="3">
        <v>99870.15</v>
      </c>
      <c r="F4187" s="3">
        <v>100255.07</v>
      </c>
      <c r="G4187" s="57">
        <v>3.8542046847833194E-3</v>
      </c>
      <c r="J4187" s="5" t="s">
        <v>2724</v>
      </c>
    </row>
    <row r="4188" spans="1:12" x14ac:dyDescent="0.2">
      <c r="A4188" s="1" t="s">
        <v>44</v>
      </c>
      <c r="B4188" s="2" t="s">
        <v>161</v>
      </c>
      <c r="D4188" s="5" t="s">
        <v>740</v>
      </c>
      <c r="E4188" s="3">
        <v>100397</v>
      </c>
      <c r="F4188" s="3">
        <v>100237</v>
      </c>
      <c r="G4188" s="57">
        <v>-1.5936731177226412E-3</v>
      </c>
      <c r="J4188" s="5" t="s">
        <v>4045</v>
      </c>
    </row>
    <row r="4189" spans="1:12" ht="25.5" x14ac:dyDescent="0.2">
      <c r="A4189" s="1" t="s">
        <v>111</v>
      </c>
      <c r="B4189" s="2" t="s">
        <v>189</v>
      </c>
      <c r="D4189" s="5" t="s">
        <v>1455</v>
      </c>
      <c r="E4189" s="9">
        <v>97787</v>
      </c>
      <c r="F4189" s="9">
        <v>100220</v>
      </c>
      <c r="G4189" s="57">
        <v>2.4880607851759436E-2</v>
      </c>
      <c r="J4189" s="5" t="s">
        <v>3502</v>
      </c>
    </row>
    <row r="4190" spans="1:12" ht="25.5" x14ac:dyDescent="0.2">
      <c r="A4190" s="1" t="s">
        <v>39</v>
      </c>
      <c r="B4190" s="2" t="s">
        <v>286</v>
      </c>
      <c r="D4190" s="5" t="s">
        <v>450</v>
      </c>
      <c r="E4190" s="3">
        <v>117938</v>
      </c>
      <c r="F4190" s="3">
        <v>100220</v>
      </c>
      <c r="G4190" s="57">
        <v>-0.15023147755600399</v>
      </c>
      <c r="J4190" s="5" t="s">
        <v>4394</v>
      </c>
    </row>
    <row r="4191" spans="1:12" ht="25.5" x14ac:dyDescent="0.2">
      <c r="A4191" s="1" t="s">
        <v>44</v>
      </c>
      <c r="B4191" s="2" t="s">
        <v>251</v>
      </c>
      <c r="D4191" s="5" t="s">
        <v>852</v>
      </c>
      <c r="E4191" s="6" t="s">
        <v>465</v>
      </c>
      <c r="F4191" s="3">
        <v>100187</v>
      </c>
      <c r="G4191" s="57" t="s">
        <v>465</v>
      </c>
      <c r="J4191" s="5" t="s">
        <v>3118</v>
      </c>
    </row>
    <row r="4192" spans="1:12" x14ac:dyDescent="0.2">
      <c r="A4192" s="1" t="s">
        <v>44</v>
      </c>
      <c r="B4192" s="2" t="s">
        <v>80</v>
      </c>
      <c r="C4192" s="1"/>
      <c r="D4192" s="5" t="s">
        <v>1992</v>
      </c>
      <c r="E4192" s="3">
        <v>96739</v>
      </c>
      <c r="F4192" s="3">
        <v>100175</v>
      </c>
      <c r="G4192" s="57">
        <v>3.5518250136966474E-2</v>
      </c>
      <c r="J4192" s="5" t="s">
        <v>1993</v>
      </c>
    </row>
    <row r="4193" spans="1:10" ht="25.5" x14ac:dyDescent="0.2">
      <c r="A4193" s="1" t="s">
        <v>44</v>
      </c>
      <c r="B4193" s="2" t="s">
        <v>242</v>
      </c>
      <c r="D4193" s="5" t="s">
        <v>1210</v>
      </c>
      <c r="E4193" s="6">
        <v>97376</v>
      </c>
      <c r="F4193" s="3">
        <v>100174</v>
      </c>
      <c r="G4193" s="57">
        <v>2.87339796253697E-2</v>
      </c>
      <c r="J4193" s="5" t="s">
        <v>3163</v>
      </c>
    </row>
    <row r="4194" spans="1:10" x14ac:dyDescent="0.2">
      <c r="A4194" s="1" t="s">
        <v>44</v>
      </c>
      <c r="B4194" s="2" t="s">
        <v>80</v>
      </c>
      <c r="C4194" s="1"/>
      <c r="D4194" s="5" t="s">
        <v>1990</v>
      </c>
      <c r="E4194" s="3">
        <v>96819</v>
      </c>
      <c r="F4194" s="3">
        <v>100123</v>
      </c>
      <c r="G4194" s="57">
        <v>3.4125533211456428E-2</v>
      </c>
      <c r="J4194" s="5" t="s">
        <v>1991</v>
      </c>
    </row>
    <row r="4195" spans="1:10" ht="25.5" x14ac:dyDescent="0.2">
      <c r="A4195" s="1" t="s">
        <v>28</v>
      </c>
      <c r="B4195" s="2" t="s">
        <v>273</v>
      </c>
      <c r="D4195" s="5" t="s">
        <v>1113</v>
      </c>
      <c r="E4195" s="3">
        <v>99393</v>
      </c>
      <c r="F4195" s="3">
        <v>100074</v>
      </c>
      <c r="G4195" s="57">
        <v>6.8515891461169301E-3</v>
      </c>
      <c r="J4195" s="5" t="s">
        <v>3041</v>
      </c>
    </row>
    <row r="4196" spans="1:10" ht="25.5" x14ac:dyDescent="0.2">
      <c r="A4196" s="1" t="s">
        <v>4</v>
      </c>
      <c r="B4196" s="2" t="s">
        <v>392</v>
      </c>
      <c r="D4196" s="5" t="s">
        <v>691</v>
      </c>
      <c r="E4196" s="3">
        <v>105003</v>
      </c>
      <c r="F4196" s="3">
        <v>100067</v>
      </c>
      <c r="G4196" s="57">
        <v>-4.7008180718646132E-2</v>
      </c>
      <c r="J4196" s="5" t="s">
        <v>2478</v>
      </c>
    </row>
    <row r="4197" spans="1:10" ht="25.5" x14ac:dyDescent="0.2">
      <c r="A4197" s="1" t="s">
        <v>20</v>
      </c>
      <c r="B4197" s="2" t="s">
        <v>270</v>
      </c>
      <c r="C4197" s="5" t="s">
        <v>1136</v>
      </c>
      <c r="D4197" s="5" t="s">
        <v>1137</v>
      </c>
      <c r="E4197" s="3">
        <v>95930</v>
      </c>
      <c r="F4197" s="3">
        <v>100036</v>
      </c>
      <c r="G4197" s="57">
        <v>4.280204315646826E-2</v>
      </c>
      <c r="J4197" s="5" t="s">
        <v>3057</v>
      </c>
    </row>
    <row r="4198" spans="1:10" x14ac:dyDescent="0.2">
      <c r="A4198" s="1" t="s">
        <v>44</v>
      </c>
      <c r="B4198" s="2" t="s">
        <v>80</v>
      </c>
      <c r="C4198" s="1"/>
      <c r="D4198" s="5" t="s">
        <v>507</v>
      </c>
      <c r="E4198" s="3">
        <v>96680</v>
      </c>
      <c r="F4198" s="3">
        <v>100034</v>
      </c>
      <c r="G4198" s="57">
        <v>3.4691766652875468E-2</v>
      </c>
      <c r="J4198" s="5" t="s">
        <v>1989</v>
      </c>
    </row>
    <row r="4199" spans="1:10" ht="25.5" x14ac:dyDescent="0.2">
      <c r="A4199" s="1" t="s">
        <v>1</v>
      </c>
      <c r="B4199" s="12" t="s">
        <v>420</v>
      </c>
      <c r="C4199" s="5" t="s">
        <v>3609</v>
      </c>
      <c r="D4199" s="5" t="s">
        <v>1732</v>
      </c>
      <c r="E4199" s="9">
        <v>95806</v>
      </c>
      <c r="F4199" s="9">
        <v>100026</v>
      </c>
      <c r="G4199" s="57">
        <v>4.4047345677723733E-2</v>
      </c>
      <c r="J4199" s="5" t="s">
        <v>3610</v>
      </c>
    </row>
    <row r="4200" spans="1:10" ht="25.5" x14ac:dyDescent="0.2">
      <c r="A4200" s="1" t="s">
        <v>8</v>
      </c>
      <c r="B4200" s="2" t="s">
        <v>32</v>
      </c>
      <c r="C4200" s="1"/>
      <c r="D4200" s="5" t="s">
        <v>855</v>
      </c>
      <c r="E4200" s="3">
        <v>96419</v>
      </c>
      <c r="F4200" s="3">
        <v>100017</v>
      </c>
      <c r="G4200" s="57">
        <v>3.7316296580549475E-2</v>
      </c>
      <c r="J4200" s="7" t="s">
        <v>4131</v>
      </c>
    </row>
    <row r="4201" spans="1:10" x14ac:dyDescent="0.2">
      <c r="A4201" s="1" t="s">
        <v>34</v>
      </c>
      <c r="B4201" s="2" t="s">
        <v>121</v>
      </c>
      <c r="C4201" s="1"/>
      <c r="D4201" s="5" t="s">
        <v>464</v>
      </c>
      <c r="E4201" s="3" t="s">
        <v>465</v>
      </c>
      <c r="F4201" s="3">
        <v>100000</v>
      </c>
      <c r="G4201" s="57" t="s">
        <v>465</v>
      </c>
    </row>
    <row r="4202" spans="1:10" x14ac:dyDescent="0.2">
      <c r="A4202" s="1" t="s">
        <v>34</v>
      </c>
      <c r="B4202" s="2" t="s">
        <v>121</v>
      </c>
      <c r="C4202" s="1"/>
      <c r="D4202" s="5" t="s">
        <v>464</v>
      </c>
      <c r="E4202" s="3" t="s">
        <v>465</v>
      </c>
      <c r="F4202" s="3">
        <v>100000</v>
      </c>
      <c r="G4202" s="57" t="s">
        <v>465</v>
      </c>
    </row>
    <row r="4203" spans="1:10" ht="25.5" x14ac:dyDescent="0.2">
      <c r="A4203" s="1" t="s">
        <v>6</v>
      </c>
      <c r="B4203" s="2" t="s">
        <v>301</v>
      </c>
      <c r="D4203" s="5" t="s">
        <v>980</v>
      </c>
      <c r="E4203" s="3">
        <v>24000</v>
      </c>
      <c r="F4203" s="3">
        <v>100000</v>
      </c>
      <c r="G4203" s="57">
        <v>3.1666666666666665</v>
      </c>
      <c r="J4203" s="5" t="s">
        <v>2851</v>
      </c>
    </row>
    <row r="4204" spans="1:10" ht="25.5" x14ac:dyDescent="0.2">
      <c r="A4204" s="1" t="s">
        <v>6</v>
      </c>
      <c r="B4204" s="2" t="s">
        <v>368</v>
      </c>
      <c r="D4204" s="5" t="s">
        <v>775</v>
      </c>
      <c r="E4204" s="3" t="s">
        <v>465</v>
      </c>
      <c r="F4204" s="3">
        <v>100000</v>
      </c>
      <c r="G4204" s="57" t="s">
        <v>465</v>
      </c>
      <c r="J4204" s="5" t="s">
        <v>2580</v>
      </c>
    </row>
    <row r="4205" spans="1:10" ht="25.5" x14ac:dyDescent="0.2">
      <c r="A4205" s="1" t="s">
        <v>6</v>
      </c>
      <c r="B4205" s="2" t="s">
        <v>294</v>
      </c>
      <c r="D4205" s="5" t="s">
        <v>2901</v>
      </c>
      <c r="E4205" s="3">
        <v>100032</v>
      </c>
      <c r="F4205" s="3">
        <v>99946</v>
      </c>
      <c r="G4205" s="57">
        <v>-8.5972488803582854E-4</v>
      </c>
      <c r="J4205" s="5" t="s">
        <v>2900</v>
      </c>
    </row>
    <row r="4206" spans="1:10" ht="25.5" x14ac:dyDescent="0.2">
      <c r="A4206" s="1" t="s">
        <v>4</v>
      </c>
      <c r="B4206" s="2" t="s">
        <v>392</v>
      </c>
      <c r="D4206" s="5" t="s">
        <v>2474</v>
      </c>
      <c r="E4206" s="6">
        <v>104712</v>
      </c>
      <c r="F4206" s="6">
        <v>99877</v>
      </c>
      <c r="G4206" s="57">
        <v>-4.6174268469707389E-2</v>
      </c>
      <c r="J4206" s="5" t="s">
        <v>2479</v>
      </c>
    </row>
    <row r="4207" spans="1:10" ht="25.5" x14ac:dyDescent="0.2">
      <c r="A4207" s="1" t="s">
        <v>1</v>
      </c>
      <c r="B4207" s="2" t="s">
        <v>295</v>
      </c>
      <c r="C4207" s="7" t="s">
        <v>2895</v>
      </c>
      <c r="D4207" s="7" t="s">
        <v>520</v>
      </c>
      <c r="E4207" s="6">
        <v>102235</v>
      </c>
      <c r="F4207" s="6">
        <v>99593</v>
      </c>
      <c r="G4207" s="57">
        <v>-2.5842421871179147E-2</v>
      </c>
      <c r="H4207" s="21"/>
      <c r="I4207" s="21"/>
      <c r="J4207" s="7" t="s">
        <v>2897</v>
      </c>
    </row>
    <row r="4208" spans="1:10" ht="25.5" x14ac:dyDescent="0.2">
      <c r="A4208" s="1" t="s">
        <v>1</v>
      </c>
      <c r="B4208" s="2" t="s">
        <v>295</v>
      </c>
      <c r="C4208" s="7" t="s">
        <v>2896</v>
      </c>
      <c r="D4208" s="7" t="s">
        <v>740</v>
      </c>
      <c r="E4208" s="6">
        <v>102235</v>
      </c>
      <c r="F4208" s="6">
        <v>99593</v>
      </c>
      <c r="G4208" s="57">
        <v>-2.5842421871179147E-2</v>
      </c>
      <c r="H4208" s="21"/>
      <c r="I4208" s="21"/>
      <c r="J4208" s="7" t="s">
        <v>2897</v>
      </c>
    </row>
    <row r="4209" spans="1:12" ht="25.5" x14ac:dyDescent="0.2">
      <c r="A4209" s="1" t="s">
        <v>4</v>
      </c>
      <c r="B4209" s="2" t="s">
        <v>429</v>
      </c>
      <c r="D4209" s="5" t="s">
        <v>740</v>
      </c>
      <c r="E4209" s="3">
        <v>100811</v>
      </c>
      <c r="F4209" s="3">
        <v>99485</v>
      </c>
      <c r="G4209" s="57">
        <v>-1.3153326521907331E-2</v>
      </c>
      <c r="J4209" s="5" t="s">
        <v>2311</v>
      </c>
    </row>
    <row r="4210" spans="1:12" ht="25.5" x14ac:dyDescent="0.2">
      <c r="A4210" s="1" t="s">
        <v>8</v>
      </c>
      <c r="B4210" s="2" t="s">
        <v>284</v>
      </c>
      <c r="D4210" s="5" t="s">
        <v>2968</v>
      </c>
      <c r="E4210" s="3">
        <v>168955</v>
      </c>
      <c r="F4210" s="3">
        <v>99062</v>
      </c>
      <c r="G4210" s="57">
        <v>-0.41367819833683528</v>
      </c>
      <c r="J4210" s="5" t="s">
        <v>2971</v>
      </c>
    </row>
    <row r="4211" spans="1:12" ht="38.25" x14ac:dyDescent="0.2">
      <c r="A4211" s="1" t="s">
        <v>6</v>
      </c>
      <c r="B4211" s="2" t="s">
        <v>218</v>
      </c>
      <c r="D4211" s="5" t="s">
        <v>3293</v>
      </c>
      <c r="E4211" s="9">
        <v>118386</v>
      </c>
      <c r="F4211" s="9">
        <v>98576</v>
      </c>
      <c r="G4211" s="57">
        <v>-0.16733397530113359</v>
      </c>
      <c r="J4211" s="5" t="s">
        <v>4359</v>
      </c>
    </row>
    <row r="4212" spans="1:12" ht="25.5" x14ac:dyDescent="0.2">
      <c r="A4212" s="1" t="s">
        <v>44</v>
      </c>
      <c r="B4212" s="2" t="s">
        <v>436</v>
      </c>
      <c r="D4212" s="5" t="s">
        <v>2263</v>
      </c>
      <c r="E4212" s="3">
        <v>100450</v>
      </c>
      <c r="F4212" s="3">
        <v>98332</v>
      </c>
      <c r="G4212" s="57">
        <v>-2.1085116973618714E-2</v>
      </c>
      <c r="J4212" s="5" t="s">
        <v>2264</v>
      </c>
    </row>
    <row r="4213" spans="1:12" ht="25.5" x14ac:dyDescent="0.2">
      <c r="A4213" s="1" t="s">
        <v>20</v>
      </c>
      <c r="B4213" s="2" t="s">
        <v>357</v>
      </c>
      <c r="C4213" s="5" t="s">
        <v>2637</v>
      </c>
      <c r="D4213" s="15" t="s">
        <v>2638</v>
      </c>
      <c r="E4213" s="9">
        <v>100620</v>
      </c>
      <c r="F4213" s="9">
        <v>98223</v>
      </c>
      <c r="G4213" s="57">
        <v>-2.3822301729278475E-2</v>
      </c>
      <c r="J4213" s="5" t="s">
        <v>2641</v>
      </c>
    </row>
    <row r="4214" spans="1:12" ht="38.25" x14ac:dyDescent="0.2">
      <c r="A4214" s="1" t="s">
        <v>20</v>
      </c>
      <c r="B4214" s="2" t="s">
        <v>389</v>
      </c>
      <c r="C4214" s="7"/>
      <c r="D4214" s="7" t="s">
        <v>451</v>
      </c>
      <c r="E4214" s="6">
        <v>116699</v>
      </c>
      <c r="F4214" s="6">
        <v>97949</v>
      </c>
      <c r="G4214" s="57">
        <v>-0.16066975723870813</v>
      </c>
      <c r="H4214" s="21"/>
      <c r="I4214" s="21"/>
      <c r="J4214" s="7" t="s">
        <v>4489</v>
      </c>
    </row>
    <row r="4215" spans="1:12" x14ac:dyDescent="0.2">
      <c r="A4215" s="1" t="s">
        <v>8</v>
      </c>
      <c r="B4215" s="2" t="s">
        <v>116</v>
      </c>
      <c r="C4215" s="1"/>
      <c r="D4215" s="5" t="s">
        <v>3909</v>
      </c>
      <c r="E4215" s="3">
        <v>108827</v>
      </c>
      <c r="F4215" s="3">
        <v>97798</v>
      </c>
      <c r="G4215" s="57">
        <v>-0.10134433550497579</v>
      </c>
      <c r="J4215" s="5" t="s">
        <v>3910</v>
      </c>
    </row>
    <row r="4216" spans="1:12" ht="38.25" x14ac:dyDescent="0.2">
      <c r="A4216" s="1" t="s">
        <v>4</v>
      </c>
      <c r="B4216" s="2" t="s">
        <v>206</v>
      </c>
      <c r="D4216" s="5" t="s">
        <v>604</v>
      </c>
      <c r="E4216" s="9">
        <v>107199</v>
      </c>
      <c r="F4216" s="9">
        <v>97631</v>
      </c>
      <c r="G4216" s="57">
        <v>-8.9254563941827819E-2</v>
      </c>
      <c r="J4216" s="5" t="s">
        <v>3392</v>
      </c>
    </row>
    <row r="4217" spans="1:12" ht="51" x14ac:dyDescent="0.2">
      <c r="A4217" s="1" t="s">
        <v>44</v>
      </c>
      <c r="B4217" s="2" t="s">
        <v>205</v>
      </c>
      <c r="D4217" s="5" t="s">
        <v>3398</v>
      </c>
      <c r="E4217" s="59">
        <v>106545</v>
      </c>
      <c r="F4217" s="3">
        <v>97517</v>
      </c>
      <c r="G4217" s="57">
        <v>-8.4734149889717961E-2</v>
      </c>
      <c r="J4217" s="5" t="s">
        <v>3399</v>
      </c>
    </row>
    <row r="4218" spans="1:12" x14ac:dyDescent="0.2">
      <c r="A4218" s="1" t="s">
        <v>34</v>
      </c>
      <c r="B4218" s="2" t="s">
        <v>119</v>
      </c>
      <c r="C4218" s="1"/>
      <c r="D4218" s="5" t="s">
        <v>464</v>
      </c>
      <c r="E4218" s="3" t="s">
        <v>465</v>
      </c>
      <c r="F4218" s="3">
        <v>97500</v>
      </c>
      <c r="G4218" s="57" t="s">
        <v>465</v>
      </c>
    </row>
    <row r="4219" spans="1:12" ht="38.25" x14ac:dyDescent="0.2">
      <c r="A4219" s="1" t="s">
        <v>34</v>
      </c>
      <c r="B4219" s="2" t="s">
        <v>297</v>
      </c>
      <c r="D4219" s="5" t="s">
        <v>4675</v>
      </c>
      <c r="E4219" s="3">
        <v>101760</v>
      </c>
      <c r="F4219" s="3">
        <v>97344</v>
      </c>
      <c r="G4219" s="57">
        <v>-4.3396226415094337E-2</v>
      </c>
      <c r="J4219" s="5" t="s">
        <v>2872</v>
      </c>
    </row>
    <row r="4220" spans="1:12" ht="25.5" x14ac:dyDescent="0.2">
      <c r="A4220" s="1" t="s">
        <v>20</v>
      </c>
      <c r="B4220" s="12" t="s">
        <v>69</v>
      </c>
      <c r="C4220" s="13" t="s">
        <v>4211</v>
      </c>
      <c r="D4220" s="7" t="s">
        <v>1905</v>
      </c>
      <c r="E4220" s="6">
        <v>178166</v>
      </c>
      <c r="F4220" s="6">
        <v>97217</v>
      </c>
      <c r="G4220" s="57">
        <v>-0.45434594703815545</v>
      </c>
      <c r="H4220" s="21"/>
      <c r="I4220" s="21"/>
      <c r="J4220" s="7" t="s">
        <v>4210</v>
      </c>
      <c r="K4220" s="13"/>
      <c r="L4220" s="13"/>
    </row>
    <row r="4221" spans="1:12" ht="25.5" x14ac:dyDescent="0.2">
      <c r="A4221" s="1" t="s">
        <v>25</v>
      </c>
      <c r="B4221" s="2" t="s">
        <v>197</v>
      </c>
      <c r="D4221" s="5" t="s">
        <v>3451</v>
      </c>
      <c r="E4221" s="9">
        <v>143429</v>
      </c>
      <c r="F4221" s="9">
        <v>97003</v>
      </c>
      <c r="G4221" s="57">
        <v>-0.3236862838059249</v>
      </c>
      <c r="J4221" s="5" t="s">
        <v>3452</v>
      </c>
    </row>
    <row r="4222" spans="1:12" ht="38.25" x14ac:dyDescent="0.2">
      <c r="A4222" s="1" t="s">
        <v>6</v>
      </c>
      <c r="B4222" s="2" t="s">
        <v>399</v>
      </c>
      <c r="D4222" s="7" t="s">
        <v>2440</v>
      </c>
      <c r="E4222" s="6">
        <v>100000</v>
      </c>
      <c r="F4222" s="6">
        <v>97000</v>
      </c>
      <c r="G4222" s="57">
        <v>-0.03</v>
      </c>
      <c r="H4222" s="21"/>
      <c r="I4222" s="21"/>
      <c r="J4222" s="7" t="s">
        <v>2445</v>
      </c>
    </row>
    <row r="4223" spans="1:12" x14ac:dyDescent="0.2">
      <c r="A4223" s="1" t="s">
        <v>11</v>
      </c>
      <c r="B4223" s="2" t="s">
        <v>227</v>
      </c>
      <c r="D4223" s="5" t="s">
        <v>464</v>
      </c>
      <c r="E4223" s="3" t="s">
        <v>465</v>
      </c>
      <c r="F4223" s="3">
        <v>95000</v>
      </c>
      <c r="G4223" s="57" t="s">
        <v>465</v>
      </c>
    </row>
    <row r="4224" spans="1:12" x14ac:dyDescent="0.2">
      <c r="A4224" s="1" t="s">
        <v>11</v>
      </c>
      <c r="B4224" s="2" t="s">
        <v>230</v>
      </c>
      <c r="D4224" s="5" t="s">
        <v>464</v>
      </c>
      <c r="E4224" s="3" t="s">
        <v>465</v>
      </c>
      <c r="F4224" s="3">
        <v>95000</v>
      </c>
      <c r="G4224" s="57" t="s">
        <v>465</v>
      </c>
    </row>
    <row r="4225" spans="1:12" x14ac:dyDescent="0.2">
      <c r="A4225" s="1" t="s">
        <v>11</v>
      </c>
      <c r="B4225" s="12" t="s">
        <v>261</v>
      </c>
      <c r="D4225" s="5" t="s">
        <v>464</v>
      </c>
      <c r="E4225" s="3" t="s">
        <v>465</v>
      </c>
      <c r="F4225" s="3">
        <v>95000</v>
      </c>
      <c r="G4225" s="57" t="s">
        <v>465</v>
      </c>
    </row>
    <row r="4226" spans="1:12" ht="38.25" x14ac:dyDescent="0.2">
      <c r="A4226" s="1" t="s">
        <v>4</v>
      </c>
      <c r="B4226" s="2" t="s">
        <v>157</v>
      </c>
      <c r="C4226" s="1"/>
      <c r="D4226" s="5" t="s">
        <v>613</v>
      </c>
      <c r="E4226" s="3">
        <v>100550</v>
      </c>
      <c r="F4226" s="3">
        <v>94431</v>
      </c>
      <c r="G4226" s="57">
        <v>-6.0855295872700152E-2</v>
      </c>
      <c r="J4226" s="5" t="s">
        <v>4639</v>
      </c>
    </row>
    <row r="4227" spans="1:12" ht="25.5" x14ac:dyDescent="0.2">
      <c r="A4227" s="1" t="s">
        <v>25</v>
      </c>
      <c r="B4227" s="2" t="s">
        <v>405</v>
      </c>
      <c r="D4227" s="5" t="s">
        <v>507</v>
      </c>
      <c r="E4227" s="3" t="s">
        <v>465</v>
      </c>
      <c r="F4227" s="3">
        <v>93447</v>
      </c>
      <c r="G4227" s="57" t="s">
        <v>465</v>
      </c>
      <c r="J4227" s="5" t="s">
        <v>4518</v>
      </c>
    </row>
    <row r="4228" spans="1:12" ht="25.5" x14ac:dyDescent="0.2">
      <c r="A4228" s="1" t="s">
        <v>111</v>
      </c>
      <c r="B4228" s="2" t="s">
        <v>305</v>
      </c>
      <c r="D4228" s="7" t="s">
        <v>2838</v>
      </c>
      <c r="E4228" s="6">
        <v>134372</v>
      </c>
      <c r="F4228" s="6">
        <v>92851</v>
      </c>
      <c r="G4228" s="57">
        <v>-0.30900038698538385</v>
      </c>
      <c r="H4228" s="21"/>
      <c r="I4228" s="21"/>
      <c r="J4228" s="7" t="s">
        <v>2839</v>
      </c>
    </row>
    <row r="4229" spans="1:12" ht="51" x14ac:dyDescent="0.2">
      <c r="A4229" s="1" t="s">
        <v>4</v>
      </c>
      <c r="B4229" s="2" t="s">
        <v>385</v>
      </c>
      <c r="D4229" s="5" t="s">
        <v>2491</v>
      </c>
      <c r="E4229" s="3">
        <v>105604</v>
      </c>
      <c r="F4229" s="3">
        <v>92791</v>
      </c>
      <c r="G4229" s="57">
        <v>-0.12133063141547669</v>
      </c>
      <c r="J4229" s="5" t="s">
        <v>4481</v>
      </c>
    </row>
    <row r="4230" spans="1:12" ht="25.5" x14ac:dyDescent="0.2">
      <c r="A4230" s="1" t="s">
        <v>111</v>
      </c>
      <c r="B4230" s="2" t="s">
        <v>276</v>
      </c>
      <c r="D4230" s="5" t="s">
        <v>3023</v>
      </c>
      <c r="E4230" s="3">
        <v>103770</v>
      </c>
      <c r="F4230" s="3">
        <v>90704</v>
      </c>
      <c r="G4230" s="57">
        <v>-0.12591307699720536</v>
      </c>
      <c r="J4230" s="5" t="s">
        <v>3027</v>
      </c>
    </row>
    <row r="4231" spans="1:12" ht="25.5" x14ac:dyDescent="0.2">
      <c r="A4231" s="1" t="s">
        <v>1</v>
      </c>
      <c r="B4231" s="12" t="s">
        <v>420</v>
      </c>
      <c r="C4231" s="5" t="s">
        <v>3600</v>
      </c>
      <c r="D4231" s="5" t="s">
        <v>450</v>
      </c>
      <c r="E4231" s="9">
        <v>154346</v>
      </c>
      <c r="F4231" s="9">
        <v>89243</v>
      </c>
      <c r="G4231" s="57">
        <v>-0.42179907480595547</v>
      </c>
      <c r="J4231" s="5" t="s">
        <v>3632</v>
      </c>
    </row>
    <row r="4232" spans="1:12" ht="38.25" x14ac:dyDescent="0.2">
      <c r="A4232" s="1" t="s">
        <v>28</v>
      </c>
      <c r="B4232" s="2" t="s">
        <v>213</v>
      </c>
      <c r="D4232" s="5" t="s">
        <v>3336</v>
      </c>
      <c r="E4232" s="9">
        <v>109623</v>
      </c>
      <c r="F4232" s="9">
        <v>88415</v>
      </c>
      <c r="G4232" s="57">
        <v>-0.1934630506371838</v>
      </c>
      <c r="J4232" s="5" t="s">
        <v>3337</v>
      </c>
    </row>
    <row r="4233" spans="1:12" ht="25.5" x14ac:dyDescent="0.2">
      <c r="A4233" s="1" t="s">
        <v>4</v>
      </c>
      <c r="B4233" s="2" t="s">
        <v>18</v>
      </c>
      <c r="C4233" s="1"/>
      <c r="D4233" s="5" t="s">
        <v>655</v>
      </c>
      <c r="E4233" s="3">
        <v>122000</v>
      </c>
      <c r="F4233" s="3">
        <v>88000</v>
      </c>
      <c r="G4233" s="57">
        <v>-0.27868852459016391</v>
      </c>
      <c r="J4233" s="5" t="s">
        <v>3653</v>
      </c>
    </row>
    <row r="4234" spans="1:12" ht="38.25" x14ac:dyDescent="0.2">
      <c r="A4234" s="1" t="s">
        <v>34</v>
      </c>
      <c r="B4234" s="2" t="s">
        <v>170</v>
      </c>
      <c r="D4234" s="5" t="s">
        <v>4071</v>
      </c>
      <c r="E4234" s="3">
        <v>156524</v>
      </c>
      <c r="F4234" s="3">
        <v>87720</v>
      </c>
      <c r="G4234" s="57">
        <v>-0.43957476169788656</v>
      </c>
      <c r="J4234" s="5" t="s">
        <v>4347</v>
      </c>
    </row>
    <row r="4235" spans="1:12" ht="25.5" x14ac:dyDescent="0.2">
      <c r="A4235" s="1" t="s">
        <v>28</v>
      </c>
      <c r="B4235" s="2" t="s">
        <v>221</v>
      </c>
      <c r="C4235" s="5" t="s">
        <v>3264</v>
      </c>
      <c r="D4235" s="5" t="s">
        <v>450</v>
      </c>
      <c r="E4235" s="9">
        <v>222122</v>
      </c>
      <c r="F4235" s="9">
        <v>87316</v>
      </c>
      <c r="G4235" s="57">
        <v>-0.60690071222121178</v>
      </c>
      <c r="J4235" s="5" t="s">
        <v>3265</v>
      </c>
    </row>
    <row r="4236" spans="1:12" ht="25.5" x14ac:dyDescent="0.2">
      <c r="A4236" s="1" t="s">
        <v>25</v>
      </c>
      <c r="B4236" s="12" t="s">
        <v>53</v>
      </c>
      <c r="C4236" s="13"/>
      <c r="D4236" s="7" t="s">
        <v>3757</v>
      </c>
      <c r="E4236" s="6">
        <v>161303</v>
      </c>
      <c r="F4236" s="6">
        <v>86288</v>
      </c>
      <c r="G4236" s="57">
        <v>-0.46505644656330014</v>
      </c>
      <c r="H4236" s="21"/>
      <c r="I4236" s="21"/>
      <c r="J4236" s="7" t="s">
        <v>4174</v>
      </c>
      <c r="K4236" s="13"/>
      <c r="L4236" s="13"/>
    </row>
    <row r="4237" spans="1:12" ht="25.5" x14ac:dyDescent="0.2">
      <c r="A4237" s="1" t="s">
        <v>1</v>
      </c>
      <c r="B4237" s="2" t="s">
        <v>160</v>
      </c>
      <c r="C4237" s="5" t="s">
        <v>4038</v>
      </c>
      <c r="D4237" s="5" t="s">
        <v>4039</v>
      </c>
      <c r="E4237" s="3">
        <v>127519</v>
      </c>
      <c r="F4237" s="3">
        <v>85815</v>
      </c>
      <c r="G4237" s="57">
        <v>-0.32704146048824095</v>
      </c>
      <c r="J4237" s="5" t="s">
        <v>4332</v>
      </c>
    </row>
    <row r="4238" spans="1:12" ht="38.25" x14ac:dyDescent="0.2">
      <c r="A4238" s="1" t="s">
        <v>4</v>
      </c>
      <c r="B4238" s="2" t="s">
        <v>378</v>
      </c>
      <c r="D4238" s="7" t="s">
        <v>1761</v>
      </c>
      <c r="E4238" s="6">
        <v>109000</v>
      </c>
      <c r="F4238" s="6">
        <v>85000</v>
      </c>
      <c r="G4238" s="57">
        <v>-0.22018348623853212</v>
      </c>
      <c r="H4238" s="21"/>
      <c r="I4238" s="21"/>
      <c r="J4238" s="7" t="s">
        <v>2528</v>
      </c>
    </row>
    <row r="4239" spans="1:12" ht="38.25" x14ac:dyDescent="0.2">
      <c r="A4239" s="1" t="s">
        <v>4</v>
      </c>
      <c r="B4239" s="2" t="s">
        <v>378</v>
      </c>
      <c r="D4239" s="7" t="s">
        <v>450</v>
      </c>
      <c r="E4239" s="6">
        <v>145000</v>
      </c>
      <c r="F4239" s="6">
        <v>84000</v>
      </c>
      <c r="G4239" s="57">
        <v>-0.4206896551724138</v>
      </c>
      <c r="H4239" s="21"/>
      <c r="I4239" s="21"/>
      <c r="J4239" s="7" t="s">
        <v>2527</v>
      </c>
    </row>
    <row r="4240" spans="1:12" ht="25.5" x14ac:dyDescent="0.2">
      <c r="A4240" s="1" t="s">
        <v>111</v>
      </c>
      <c r="B4240" s="2" t="s">
        <v>128</v>
      </c>
      <c r="C4240" s="1"/>
      <c r="D4240" s="5" t="s">
        <v>666</v>
      </c>
      <c r="E4240" s="3">
        <v>169260</v>
      </c>
      <c r="F4240" s="3">
        <v>83764</v>
      </c>
      <c r="G4240" s="57">
        <v>-0.50511638898735678</v>
      </c>
      <c r="J4240" s="5" t="s">
        <v>4294</v>
      </c>
    </row>
    <row r="4241" spans="1:12" ht="38.25" x14ac:dyDescent="0.2">
      <c r="A4241" s="1" t="s">
        <v>6</v>
      </c>
      <c r="B4241" s="2" t="s">
        <v>399</v>
      </c>
      <c r="D4241" s="5" t="s">
        <v>2443</v>
      </c>
      <c r="E4241" s="3">
        <v>146000</v>
      </c>
      <c r="F4241" s="3">
        <v>83000</v>
      </c>
      <c r="G4241" s="57">
        <v>-0.4315068493150685</v>
      </c>
      <c r="J4241" s="5" t="s">
        <v>2444</v>
      </c>
    </row>
    <row r="4242" spans="1:12" ht="25.5" x14ac:dyDescent="0.2">
      <c r="A4242" s="1" t="s">
        <v>6</v>
      </c>
      <c r="B4242" s="12" t="s">
        <v>231</v>
      </c>
      <c r="D4242" s="5" t="s">
        <v>3223</v>
      </c>
      <c r="E4242" s="9">
        <v>176690</v>
      </c>
      <c r="F4242" s="9">
        <v>82445</v>
      </c>
      <c r="G4242" s="57">
        <v>-0.53339181617522213</v>
      </c>
      <c r="J4242" s="5" t="s">
        <v>3224</v>
      </c>
    </row>
    <row r="4243" spans="1:12" ht="25.5" x14ac:dyDescent="0.2">
      <c r="A4243" s="1" t="s">
        <v>25</v>
      </c>
      <c r="B4243" s="2" t="s">
        <v>150</v>
      </c>
      <c r="C4243" s="1"/>
      <c r="D4243" s="5" t="s">
        <v>4002</v>
      </c>
      <c r="E4243" s="3">
        <v>137877</v>
      </c>
      <c r="F4243" s="3">
        <v>81167</v>
      </c>
      <c r="G4243" s="57">
        <v>-0.41130863015586355</v>
      </c>
      <c r="J4243" s="5" t="s">
        <v>4318</v>
      </c>
    </row>
    <row r="4244" spans="1:12" ht="51" x14ac:dyDescent="0.2">
      <c r="A4244" s="1" t="s">
        <v>28</v>
      </c>
      <c r="B4244" s="2" t="s">
        <v>213</v>
      </c>
      <c r="D4244" s="5" t="s">
        <v>3331</v>
      </c>
      <c r="E4244" s="9">
        <v>160138</v>
      </c>
      <c r="F4244" s="9">
        <v>80401</v>
      </c>
      <c r="G4244" s="57">
        <v>-0.49792678814522473</v>
      </c>
      <c r="J4244" s="5" t="s">
        <v>3332</v>
      </c>
    </row>
    <row r="4245" spans="1:12" x14ac:dyDescent="0.2">
      <c r="A4245" s="1" t="s">
        <v>8</v>
      </c>
      <c r="B4245" s="2" t="s">
        <v>284</v>
      </c>
      <c r="D4245" s="5" t="s">
        <v>2970</v>
      </c>
      <c r="E4245" s="3">
        <v>129799</v>
      </c>
      <c r="F4245" s="3">
        <v>78448</v>
      </c>
      <c r="G4245" s="57">
        <v>-0.39561938073482844</v>
      </c>
      <c r="J4245" s="5" t="s">
        <v>2972</v>
      </c>
    </row>
    <row r="4246" spans="1:12" ht="25.5" x14ac:dyDescent="0.2">
      <c r="A4246" s="1" t="s">
        <v>4</v>
      </c>
      <c r="B4246" s="2" t="s">
        <v>72</v>
      </c>
      <c r="C4246" s="1"/>
      <c r="D4246" s="5" t="s">
        <v>3789</v>
      </c>
      <c r="E4246" s="3">
        <v>104000</v>
      </c>
      <c r="F4246" s="3">
        <v>77000</v>
      </c>
      <c r="G4246" s="57">
        <v>-0.25961538461538464</v>
      </c>
      <c r="J4246" s="5" t="s">
        <v>3790</v>
      </c>
    </row>
    <row r="4247" spans="1:12" ht="51" x14ac:dyDescent="0.2">
      <c r="A4247" s="1" t="s">
        <v>4</v>
      </c>
      <c r="B4247" s="2" t="s">
        <v>429</v>
      </c>
      <c r="D4247" s="5" t="s">
        <v>517</v>
      </c>
      <c r="E4247" s="3">
        <v>104656</v>
      </c>
      <c r="F4247" s="3">
        <v>76452</v>
      </c>
      <c r="G4247" s="57">
        <v>-0.26949243234979359</v>
      </c>
      <c r="J4247" s="5" t="s">
        <v>4570</v>
      </c>
    </row>
    <row r="4248" spans="1:12" ht="63.75" x14ac:dyDescent="0.2">
      <c r="A4248" s="1" t="s">
        <v>6</v>
      </c>
      <c r="B4248" s="2" t="s">
        <v>216</v>
      </c>
      <c r="D4248" s="5" t="s">
        <v>3304</v>
      </c>
      <c r="E4248" s="3">
        <v>153632</v>
      </c>
      <c r="F4248" s="3">
        <v>75461</v>
      </c>
      <c r="G4248" s="57">
        <v>-0.50881977712976467</v>
      </c>
      <c r="J4248" s="5" t="s">
        <v>3305</v>
      </c>
    </row>
    <row r="4249" spans="1:12" ht="25.5" x14ac:dyDescent="0.2">
      <c r="A4249" s="1" t="s">
        <v>34</v>
      </c>
      <c r="B4249" s="12" t="s">
        <v>57</v>
      </c>
      <c r="C4249" s="13"/>
      <c r="D4249" s="7" t="s">
        <v>2378</v>
      </c>
      <c r="E4249" s="6">
        <v>103387</v>
      </c>
      <c r="F4249" s="6">
        <v>72580</v>
      </c>
      <c r="G4249" s="57">
        <v>-0.29797750200702217</v>
      </c>
      <c r="H4249" s="21"/>
      <c r="I4249" s="21"/>
      <c r="J4249" s="7" t="s">
        <v>4188</v>
      </c>
      <c r="K4249" s="13"/>
      <c r="L4249" s="13"/>
    </row>
    <row r="4250" spans="1:12" ht="25.5" x14ac:dyDescent="0.2">
      <c r="A4250" s="1" t="s">
        <v>6</v>
      </c>
      <c r="B4250" s="12" t="s">
        <v>86</v>
      </c>
      <c r="C4250" s="13"/>
      <c r="D4250" s="7" t="s">
        <v>790</v>
      </c>
      <c r="E4250" s="6">
        <v>152325</v>
      </c>
      <c r="F4250" s="6">
        <v>72089</v>
      </c>
      <c r="G4250" s="57">
        <v>-0.52674216313802724</v>
      </c>
      <c r="H4250" s="21"/>
      <c r="I4250" s="21"/>
      <c r="J4250" s="7" t="s">
        <v>4228</v>
      </c>
      <c r="K4250" s="13"/>
      <c r="L4250" s="13"/>
    </row>
    <row r="4251" spans="1:12" ht="38.25" x14ac:dyDescent="0.2">
      <c r="A4251" s="1" t="s">
        <v>20</v>
      </c>
      <c r="B4251" s="2" t="s">
        <v>314</v>
      </c>
      <c r="D4251" s="7" t="s">
        <v>2800</v>
      </c>
      <c r="E4251" s="6">
        <v>108725</v>
      </c>
      <c r="F4251" s="6">
        <v>71995</v>
      </c>
      <c r="G4251" s="57">
        <v>-0.33782478730742699</v>
      </c>
      <c r="H4251" s="21"/>
      <c r="I4251" s="21"/>
      <c r="J4251" s="7" t="s">
        <v>2802</v>
      </c>
    </row>
    <row r="4252" spans="1:12" ht="25.5" x14ac:dyDescent="0.2">
      <c r="A4252" s="1" t="s">
        <v>8</v>
      </c>
      <c r="B4252" s="2" t="s">
        <v>115</v>
      </c>
      <c r="C4252" s="1"/>
      <c r="D4252" s="5" t="s">
        <v>515</v>
      </c>
      <c r="E4252" s="3">
        <v>134970</v>
      </c>
      <c r="F4252" s="3">
        <v>71189</v>
      </c>
      <c r="G4252" s="57">
        <v>-0.47255686448840484</v>
      </c>
      <c r="J4252" s="5" t="s">
        <v>4275</v>
      </c>
    </row>
    <row r="4253" spans="1:12" ht="25.5" x14ac:dyDescent="0.2">
      <c r="A4253" s="1" t="s">
        <v>25</v>
      </c>
      <c r="B4253" s="2" t="s">
        <v>53</v>
      </c>
      <c r="C4253" s="13"/>
      <c r="D4253" s="7" t="s">
        <v>4169</v>
      </c>
      <c r="E4253" s="6">
        <v>161303</v>
      </c>
      <c r="F4253" s="6">
        <v>69898</v>
      </c>
      <c r="G4253" s="57">
        <v>-0.56666646001624277</v>
      </c>
      <c r="H4253" s="21"/>
      <c r="I4253" s="21"/>
      <c r="J4253" s="7" t="s">
        <v>4168</v>
      </c>
      <c r="K4253" s="13"/>
      <c r="L4253" s="13"/>
    </row>
    <row r="4254" spans="1:12" ht="25.5" x14ac:dyDescent="0.2">
      <c r="A4254" s="1" t="s">
        <v>34</v>
      </c>
      <c r="B4254" s="12" t="s">
        <v>101</v>
      </c>
      <c r="C4254" s="13"/>
      <c r="D4254" s="7" t="s">
        <v>3855</v>
      </c>
      <c r="E4254" s="6">
        <v>231274</v>
      </c>
      <c r="F4254" s="6">
        <v>69649</v>
      </c>
      <c r="G4254" s="57">
        <v>-0.69884638999628146</v>
      </c>
      <c r="H4254" s="21"/>
      <c r="I4254" s="21"/>
      <c r="J4254" s="7" t="s">
        <v>4240</v>
      </c>
      <c r="K4254" s="13"/>
      <c r="L4254" s="13"/>
    </row>
    <row r="4255" spans="1:12" x14ac:dyDescent="0.2">
      <c r="A4255" s="1" t="s">
        <v>34</v>
      </c>
      <c r="B4255" s="12" t="s">
        <v>57</v>
      </c>
      <c r="C4255" s="13"/>
      <c r="D4255" s="7" t="s">
        <v>455</v>
      </c>
      <c r="E4255" s="6">
        <v>157876</v>
      </c>
      <c r="F4255" s="6">
        <v>68666</v>
      </c>
      <c r="G4255" s="57">
        <v>-0.56506372089487955</v>
      </c>
      <c r="H4255" s="21"/>
      <c r="I4255" s="21"/>
      <c r="J4255" s="7" t="s">
        <v>4184</v>
      </c>
      <c r="K4255" s="13"/>
      <c r="L4255" s="13"/>
    </row>
    <row r="4256" spans="1:12" ht="38.25" x14ac:dyDescent="0.2">
      <c r="A4256" s="1" t="s">
        <v>25</v>
      </c>
      <c r="B4256" s="12" t="s">
        <v>26</v>
      </c>
      <c r="C4256" s="13"/>
      <c r="D4256" s="7" t="s">
        <v>3692</v>
      </c>
      <c r="E4256" s="6">
        <v>104069</v>
      </c>
      <c r="F4256" s="6">
        <v>68278</v>
      </c>
      <c r="G4256" s="57">
        <v>-0.3439160556938185</v>
      </c>
      <c r="H4256" s="21"/>
      <c r="I4256" s="21"/>
      <c r="J4256" s="7" t="s">
        <v>4109</v>
      </c>
      <c r="K4256" s="13"/>
      <c r="L4256" s="13"/>
    </row>
    <row r="4257" spans="1:12" ht="25.5" x14ac:dyDescent="0.2">
      <c r="A4257" s="1" t="s">
        <v>1</v>
      </c>
      <c r="B4257" s="2" t="s">
        <v>339</v>
      </c>
      <c r="C4257" s="5" t="s">
        <v>2713</v>
      </c>
      <c r="D4257" s="5" t="s">
        <v>2714</v>
      </c>
      <c r="E4257" s="3">
        <v>123840</v>
      </c>
      <c r="F4257" s="3">
        <v>67723</v>
      </c>
      <c r="G4257" s="57">
        <v>-0.45314114987080101</v>
      </c>
      <c r="J4257" s="5" t="s">
        <v>2716</v>
      </c>
    </row>
    <row r="4258" spans="1:12" ht="25.5" x14ac:dyDescent="0.2">
      <c r="A4258" s="1" t="s">
        <v>4</v>
      </c>
      <c r="B4258" s="2" t="s">
        <v>292</v>
      </c>
      <c r="D4258" s="7" t="s">
        <v>2934</v>
      </c>
      <c r="E4258" s="6">
        <v>115936</v>
      </c>
      <c r="F4258" s="6">
        <v>67629</v>
      </c>
      <c r="G4258" s="57">
        <v>-0.41666954181617444</v>
      </c>
      <c r="H4258" s="21"/>
      <c r="I4258" s="21"/>
      <c r="J4258" s="7" t="s">
        <v>2935</v>
      </c>
    </row>
    <row r="4259" spans="1:12" ht="25.5" x14ac:dyDescent="0.2">
      <c r="A4259" s="13" t="s">
        <v>4</v>
      </c>
      <c r="B4259" s="12" t="s">
        <v>84</v>
      </c>
      <c r="C4259" s="13"/>
      <c r="D4259" s="7" t="s">
        <v>3821</v>
      </c>
      <c r="E4259" s="6">
        <v>101010</v>
      </c>
      <c r="F4259" s="6">
        <v>67431</v>
      </c>
      <c r="G4259" s="57">
        <v>-0.33243243243243242</v>
      </c>
      <c r="H4259" s="21"/>
      <c r="I4259" s="21"/>
      <c r="J4259" s="7" t="s">
        <v>3822</v>
      </c>
      <c r="K4259" s="13"/>
      <c r="L4259" s="13"/>
    </row>
    <row r="4260" spans="1:12" ht="38.25" x14ac:dyDescent="0.2">
      <c r="A4260" s="1" t="s">
        <v>28</v>
      </c>
      <c r="B4260" s="2" t="s">
        <v>213</v>
      </c>
      <c r="D4260" s="5" t="s">
        <v>3338</v>
      </c>
      <c r="E4260" s="9">
        <v>128694</v>
      </c>
      <c r="F4260" s="9">
        <v>67088</v>
      </c>
      <c r="G4260" s="57">
        <v>-0.47870141576141856</v>
      </c>
      <c r="J4260" s="5" t="s">
        <v>3339</v>
      </c>
    </row>
    <row r="4261" spans="1:12" ht="25.5" x14ac:dyDescent="0.2">
      <c r="A4261" s="1" t="s">
        <v>39</v>
      </c>
      <c r="B4261" s="2" t="s">
        <v>364</v>
      </c>
      <c r="D4261" s="5" t="s">
        <v>2599</v>
      </c>
      <c r="E4261" s="9">
        <v>159867</v>
      </c>
      <c r="F4261" s="9">
        <v>66961</v>
      </c>
      <c r="G4261" s="57">
        <v>-0.58114557726109828</v>
      </c>
      <c r="J4261" s="5" t="s">
        <v>2609</v>
      </c>
    </row>
    <row r="4262" spans="1:12" x14ac:dyDescent="0.2">
      <c r="A4262" s="1" t="s">
        <v>6</v>
      </c>
      <c r="B4262" s="12" t="s">
        <v>85</v>
      </c>
      <c r="C4262" s="13"/>
      <c r="D4262" s="7" t="s">
        <v>3823</v>
      </c>
      <c r="E4262" s="6">
        <v>158426</v>
      </c>
      <c r="F4262" s="6">
        <v>66072</v>
      </c>
      <c r="G4262" s="57">
        <v>-0.58294724350801008</v>
      </c>
      <c r="H4262" s="21"/>
      <c r="I4262" s="21"/>
      <c r="J4262" s="7" t="s">
        <v>3824</v>
      </c>
      <c r="K4262" s="13"/>
      <c r="L4262" s="13"/>
    </row>
    <row r="4263" spans="1:12" x14ac:dyDescent="0.2">
      <c r="A4263" s="1" t="s">
        <v>34</v>
      </c>
      <c r="B4263" s="12" t="s">
        <v>57</v>
      </c>
      <c r="C4263" s="13"/>
      <c r="D4263" s="7" t="s">
        <v>4190</v>
      </c>
      <c r="E4263" s="6">
        <v>122273</v>
      </c>
      <c r="F4263" s="6">
        <v>63042</v>
      </c>
      <c r="G4263" s="57">
        <v>-0.48441601988991845</v>
      </c>
      <c r="H4263" s="21"/>
      <c r="I4263" s="21"/>
      <c r="J4263" s="7" t="s">
        <v>4189</v>
      </c>
      <c r="K4263" s="13"/>
      <c r="L4263" s="13"/>
    </row>
    <row r="4264" spans="1:12" ht="38.25" x14ac:dyDescent="0.2">
      <c r="A4264" s="1" t="s">
        <v>4</v>
      </c>
      <c r="B4264" s="2" t="s">
        <v>356</v>
      </c>
      <c r="C4264" s="5" t="s">
        <v>2643</v>
      </c>
      <c r="D4264" s="5" t="s">
        <v>2642</v>
      </c>
      <c r="E4264" s="3">
        <v>109732</v>
      </c>
      <c r="F4264" s="3">
        <v>62795</v>
      </c>
      <c r="G4264" s="57">
        <v>-0.42774213538439104</v>
      </c>
      <c r="J4264" s="5" t="s">
        <v>2648</v>
      </c>
    </row>
    <row r="4265" spans="1:12" ht="25.5" x14ac:dyDescent="0.2">
      <c r="A4265" s="1" t="s">
        <v>8</v>
      </c>
      <c r="B4265" s="2" t="s">
        <v>115</v>
      </c>
      <c r="C4265" s="1"/>
      <c r="D4265" s="5" t="s">
        <v>3895</v>
      </c>
      <c r="E4265" s="3">
        <v>150723</v>
      </c>
      <c r="F4265" s="3">
        <v>62637</v>
      </c>
      <c r="G4265" s="57">
        <v>-0.5844230807507812</v>
      </c>
      <c r="J4265" s="5" t="s">
        <v>4272</v>
      </c>
    </row>
    <row r="4266" spans="1:12" ht="25.5" x14ac:dyDescent="0.2">
      <c r="A4266" s="1" t="s">
        <v>28</v>
      </c>
      <c r="B4266" s="2" t="s">
        <v>221</v>
      </c>
      <c r="D4266" s="5" t="s">
        <v>3274</v>
      </c>
      <c r="E4266" s="9">
        <v>163866</v>
      </c>
      <c r="F4266" s="9">
        <v>60878</v>
      </c>
      <c r="G4266" s="57">
        <v>-0.6284891313634311</v>
      </c>
      <c r="J4266" s="5" t="s">
        <v>3275</v>
      </c>
    </row>
    <row r="4267" spans="1:12" ht="38.25" x14ac:dyDescent="0.2">
      <c r="A4267" s="1" t="s">
        <v>4</v>
      </c>
      <c r="B4267" s="2" t="s">
        <v>429</v>
      </c>
      <c r="D4267" s="5" t="s">
        <v>2303</v>
      </c>
      <c r="E4267" s="3">
        <v>103606</v>
      </c>
      <c r="F4267" s="3">
        <v>60713</v>
      </c>
      <c r="G4267" s="57">
        <v>-0.41400111962627645</v>
      </c>
      <c r="J4267" s="5" t="s">
        <v>4571</v>
      </c>
    </row>
    <row r="4268" spans="1:12" x14ac:dyDescent="0.2">
      <c r="A4268" s="1" t="s">
        <v>39</v>
      </c>
      <c r="B4268" s="2" t="s">
        <v>124</v>
      </c>
      <c r="C4268" s="1"/>
      <c r="D4268" s="5" t="s">
        <v>3929</v>
      </c>
      <c r="E4268" s="3">
        <v>119000</v>
      </c>
      <c r="F4268" s="3">
        <v>60000</v>
      </c>
      <c r="G4268" s="57">
        <v>-0.49579831932773111</v>
      </c>
      <c r="J4268" s="5" t="s">
        <v>4622</v>
      </c>
    </row>
    <row r="4269" spans="1:12" ht="38.25" x14ac:dyDescent="0.2">
      <c r="A4269" s="1" t="s">
        <v>4</v>
      </c>
      <c r="B4269" s="2" t="s">
        <v>378</v>
      </c>
      <c r="D4269" s="7" t="s">
        <v>452</v>
      </c>
      <c r="E4269" s="6">
        <v>111000</v>
      </c>
      <c r="F4269" s="6">
        <v>60000</v>
      </c>
      <c r="G4269" s="57">
        <v>-0.45945945945945948</v>
      </c>
      <c r="H4269" s="21"/>
      <c r="I4269" s="21"/>
      <c r="J4269" s="7" t="s">
        <v>4696</v>
      </c>
    </row>
    <row r="4270" spans="1:12" ht="38.25" x14ac:dyDescent="0.2">
      <c r="A4270" s="1" t="s">
        <v>25</v>
      </c>
      <c r="B4270" s="12" t="s">
        <v>26</v>
      </c>
      <c r="C4270" s="13"/>
      <c r="D4270" s="7" t="s">
        <v>3691</v>
      </c>
      <c r="E4270" s="6">
        <v>104649</v>
      </c>
      <c r="F4270" s="6">
        <v>59931</v>
      </c>
      <c r="G4270" s="57">
        <v>-0.42731416449273285</v>
      </c>
      <c r="H4270" s="21"/>
      <c r="I4270" s="21"/>
      <c r="J4270" s="7" t="s">
        <v>4106</v>
      </c>
      <c r="K4270" s="13"/>
      <c r="L4270" s="13"/>
    </row>
    <row r="4271" spans="1:12" ht="25.5" x14ac:dyDescent="0.2">
      <c r="A4271" s="1" t="s">
        <v>4</v>
      </c>
      <c r="B4271" s="2" t="s">
        <v>423</v>
      </c>
      <c r="D4271" s="5" t="s">
        <v>2333</v>
      </c>
      <c r="E4271" s="6">
        <v>118503</v>
      </c>
      <c r="F4271" s="3">
        <v>59387</v>
      </c>
      <c r="G4271" s="57">
        <v>-0.49885656903200765</v>
      </c>
      <c r="J4271" s="5" t="s">
        <v>4559</v>
      </c>
    </row>
    <row r="4272" spans="1:12" ht="25.5" x14ac:dyDescent="0.2">
      <c r="A4272" s="1" t="s">
        <v>4</v>
      </c>
      <c r="B4272" s="2" t="s">
        <v>356</v>
      </c>
      <c r="C4272" s="5" t="s">
        <v>1470</v>
      </c>
      <c r="D4272" s="5" t="s">
        <v>886</v>
      </c>
      <c r="E4272" s="3">
        <v>156012</v>
      </c>
      <c r="F4272" s="3">
        <v>58872</v>
      </c>
      <c r="G4272" s="57">
        <v>-0.62264441196831011</v>
      </c>
      <c r="J4272" s="5" t="s">
        <v>2654</v>
      </c>
    </row>
    <row r="4273" spans="1:12" x14ac:dyDescent="0.2">
      <c r="A4273" s="1" t="s">
        <v>28</v>
      </c>
      <c r="B4273" s="12" t="s">
        <v>27</v>
      </c>
      <c r="C4273" s="13"/>
      <c r="D4273" s="7" t="s">
        <v>3695</v>
      </c>
      <c r="E4273" s="6">
        <v>119000</v>
      </c>
      <c r="F4273" s="6">
        <v>58000</v>
      </c>
      <c r="G4273" s="57">
        <v>-0.51260504201680668</v>
      </c>
      <c r="H4273" s="21"/>
      <c r="I4273" s="21"/>
      <c r="J4273" s="7" t="s">
        <v>3696</v>
      </c>
      <c r="K4273" s="13"/>
      <c r="L4273" s="13"/>
    </row>
    <row r="4274" spans="1:12" ht="25.5" x14ac:dyDescent="0.2">
      <c r="A4274" s="1" t="s">
        <v>8</v>
      </c>
      <c r="B4274" s="2" t="s">
        <v>229</v>
      </c>
      <c r="D4274" s="5" t="s">
        <v>3226</v>
      </c>
      <c r="E4274" s="3">
        <v>150948</v>
      </c>
      <c r="F4274" s="3">
        <v>57118</v>
      </c>
      <c r="G4274" s="57">
        <v>-0.6216047910538729</v>
      </c>
      <c r="J4274" s="5" t="s">
        <v>3227</v>
      </c>
    </row>
    <row r="4275" spans="1:12" ht="25.5" x14ac:dyDescent="0.2">
      <c r="A4275" s="1" t="s">
        <v>111</v>
      </c>
      <c r="B4275" s="2" t="s">
        <v>376</v>
      </c>
      <c r="D4275" s="7" t="s">
        <v>1455</v>
      </c>
      <c r="E4275" s="3">
        <v>104209</v>
      </c>
      <c r="F4275" s="3">
        <v>56019</v>
      </c>
      <c r="G4275" s="57">
        <v>-0.46243606598278458</v>
      </c>
      <c r="J4275" s="5" t="s">
        <v>2595</v>
      </c>
    </row>
    <row r="4276" spans="1:12" ht="25.5" x14ac:dyDescent="0.2">
      <c r="A4276" s="1" t="s">
        <v>39</v>
      </c>
      <c r="B4276" s="2" t="s">
        <v>325</v>
      </c>
      <c r="D4276" s="5" t="s">
        <v>1905</v>
      </c>
      <c r="E4276" s="6">
        <v>111594</v>
      </c>
      <c r="F4276" s="3">
        <v>54816</v>
      </c>
      <c r="G4276" s="57">
        <v>-0.50879079520404324</v>
      </c>
      <c r="J4276" s="5" t="s">
        <v>2778</v>
      </c>
    </row>
    <row r="4277" spans="1:12" ht="25.5" x14ac:dyDescent="0.2">
      <c r="A4277" s="1" t="s">
        <v>1</v>
      </c>
      <c r="B4277" s="12" t="s">
        <v>2</v>
      </c>
      <c r="C4277" s="13" t="s">
        <v>3637</v>
      </c>
      <c r="D4277" s="7" t="s">
        <v>3638</v>
      </c>
      <c r="E4277" s="6">
        <v>128265</v>
      </c>
      <c r="F4277" s="6">
        <v>54159</v>
      </c>
      <c r="G4277" s="57">
        <v>-0.57775698748684368</v>
      </c>
      <c r="H4277" s="21"/>
      <c r="I4277" s="21"/>
      <c r="J4277" s="7" t="s">
        <v>3639</v>
      </c>
      <c r="K4277" s="13"/>
      <c r="L4277" s="13"/>
    </row>
    <row r="4278" spans="1:12" ht="25.5" x14ac:dyDescent="0.2">
      <c r="A4278" s="1" t="s">
        <v>6</v>
      </c>
      <c r="B4278" s="12" t="s">
        <v>108</v>
      </c>
      <c r="C4278" s="13" t="s">
        <v>3875</v>
      </c>
      <c r="D4278" s="7" t="s">
        <v>2720</v>
      </c>
      <c r="E4278" s="6">
        <v>147221</v>
      </c>
      <c r="F4278" s="6">
        <v>53514</v>
      </c>
      <c r="G4278" s="57">
        <v>-0.63650566155643551</v>
      </c>
      <c r="H4278" s="21"/>
      <c r="I4278" s="21"/>
      <c r="J4278" s="7" t="s">
        <v>4259</v>
      </c>
      <c r="K4278" s="13"/>
      <c r="L4278" s="13"/>
    </row>
    <row r="4279" spans="1:12" ht="25.5" x14ac:dyDescent="0.2">
      <c r="A4279" s="1" t="s">
        <v>39</v>
      </c>
      <c r="B4279" s="2" t="s">
        <v>435</v>
      </c>
      <c r="D4279" s="5" t="s">
        <v>477</v>
      </c>
      <c r="E4279" s="3">
        <v>127297</v>
      </c>
      <c r="F4279" s="3">
        <v>53239</v>
      </c>
      <c r="G4279" s="57">
        <v>-0.58177333322859137</v>
      </c>
      <c r="J4279" s="5" t="s">
        <v>4580</v>
      </c>
    </row>
    <row r="4280" spans="1:12" ht="25.5" x14ac:dyDescent="0.2">
      <c r="A4280" s="1" t="s">
        <v>39</v>
      </c>
      <c r="B4280" s="2" t="s">
        <v>364</v>
      </c>
      <c r="D4280" s="5" t="s">
        <v>2596</v>
      </c>
      <c r="E4280" s="9">
        <v>124417</v>
      </c>
      <c r="F4280" s="9">
        <v>52488</v>
      </c>
      <c r="G4280" s="57">
        <v>-0.57812839081476008</v>
      </c>
      <c r="J4280" s="5" t="s">
        <v>2597</v>
      </c>
    </row>
    <row r="4281" spans="1:12" ht="25.5" x14ac:dyDescent="0.2">
      <c r="A4281" s="1" t="s">
        <v>20</v>
      </c>
      <c r="B4281" s="2" t="s">
        <v>232</v>
      </c>
      <c r="D4281" s="15" t="s">
        <v>3211</v>
      </c>
      <c r="E4281" s="9">
        <v>142570</v>
      </c>
      <c r="F4281" s="9">
        <v>50590</v>
      </c>
      <c r="G4281" s="57">
        <v>-0.6451567650978467</v>
      </c>
      <c r="J4281" s="5" t="s">
        <v>3212</v>
      </c>
    </row>
    <row r="4282" spans="1:12" ht="25.5" x14ac:dyDescent="0.2">
      <c r="A4282" s="1" t="s">
        <v>39</v>
      </c>
      <c r="B4282" s="2" t="s">
        <v>364</v>
      </c>
      <c r="C4282" s="7"/>
      <c r="D4282" s="5" t="s">
        <v>2602</v>
      </c>
      <c r="E4282" s="9">
        <v>117191</v>
      </c>
      <c r="F4282" s="9">
        <v>49660</v>
      </c>
      <c r="G4282" s="57">
        <v>-0.57624732274662727</v>
      </c>
      <c r="J4282" s="5" t="s">
        <v>2603</v>
      </c>
    </row>
    <row r="4283" spans="1:12" ht="25.5" x14ac:dyDescent="0.2">
      <c r="A4283" s="1" t="s">
        <v>1</v>
      </c>
      <c r="B4283" s="12" t="s">
        <v>420</v>
      </c>
      <c r="C4283" s="5" t="s">
        <v>3619</v>
      </c>
      <c r="D4283" s="5" t="s">
        <v>3626</v>
      </c>
      <c r="E4283" s="9">
        <v>104001</v>
      </c>
      <c r="F4283" s="9">
        <v>48767</v>
      </c>
      <c r="G4283" s="57">
        <v>-0.53109104720146927</v>
      </c>
      <c r="J4283" s="5" t="s">
        <v>3627</v>
      </c>
    </row>
    <row r="4284" spans="1:12" ht="25.5" x14ac:dyDescent="0.2">
      <c r="A4284" s="1" t="s">
        <v>1</v>
      </c>
      <c r="B4284" s="12" t="s">
        <v>248</v>
      </c>
      <c r="C4284" s="7" t="s">
        <v>3141</v>
      </c>
      <c r="D4284" s="7" t="s">
        <v>3142</v>
      </c>
      <c r="E4284" s="6">
        <v>111430</v>
      </c>
      <c r="F4284" s="6">
        <v>44181</v>
      </c>
      <c r="G4284" s="57">
        <v>-0.6035089293727004</v>
      </c>
      <c r="H4284" s="21"/>
      <c r="I4284" s="21"/>
      <c r="J4284" s="7" t="s">
        <v>3144</v>
      </c>
      <c r="K4284" s="13"/>
      <c r="L4284" s="13"/>
    </row>
    <row r="4285" spans="1:12" ht="25.5" x14ac:dyDescent="0.2">
      <c r="A4285" s="1" t="s">
        <v>1</v>
      </c>
      <c r="B4285" s="12" t="s">
        <v>2</v>
      </c>
      <c r="C4285" s="13" t="s">
        <v>3641</v>
      </c>
      <c r="D4285" s="7" t="s">
        <v>452</v>
      </c>
      <c r="E4285" s="6">
        <v>127732</v>
      </c>
      <c r="F4285" s="6">
        <v>44116</v>
      </c>
      <c r="G4285" s="57">
        <v>-0.6546206119061786</v>
      </c>
      <c r="H4285" s="21"/>
      <c r="I4285" s="21"/>
      <c r="J4285" s="7" t="s">
        <v>4076</v>
      </c>
      <c r="K4285" s="13"/>
      <c r="L4285" s="13"/>
    </row>
    <row r="4286" spans="1:12" ht="25.5" x14ac:dyDescent="0.2">
      <c r="A4286" s="1" t="s">
        <v>8</v>
      </c>
      <c r="B4286" s="2" t="s">
        <v>281</v>
      </c>
      <c r="C4286" s="5" t="s">
        <v>2992</v>
      </c>
      <c r="D4286" s="5" t="s">
        <v>450</v>
      </c>
      <c r="E4286" s="10">
        <v>237000</v>
      </c>
      <c r="F4286" s="3">
        <v>44000</v>
      </c>
      <c r="G4286" s="57">
        <v>-0.81434599156118148</v>
      </c>
      <c r="J4286" s="5" t="s">
        <v>4384</v>
      </c>
    </row>
    <row r="4287" spans="1:12" ht="25.5" x14ac:dyDescent="0.2">
      <c r="A4287" s="1" t="s">
        <v>4</v>
      </c>
      <c r="B4287" s="2" t="s">
        <v>292</v>
      </c>
      <c r="D4287" s="7" t="s">
        <v>2525</v>
      </c>
      <c r="E4287" s="6">
        <v>115256</v>
      </c>
      <c r="F4287" s="6">
        <v>43996</v>
      </c>
      <c r="G4287" s="57">
        <v>-0.61827583813424025</v>
      </c>
      <c r="H4287" s="21"/>
      <c r="I4287" s="21"/>
      <c r="J4287" s="7" t="s">
        <v>2939</v>
      </c>
    </row>
    <row r="4288" spans="1:12" ht="25.5" x14ac:dyDescent="0.2">
      <c r="A4288" s="13" t="s">
        <v>4719</v>
      </c>
      <c r="B4288" s="2" t="s">
        <v>246</v>
      </c>
      <c r="C4288" s="7" t="s">
        <v>4367</v>
      </c>
      <c r="D4288" s="7" t="s">
        <v>450</v>
      </c>
      <c r="E4288" s="6">
        <v>195759</v>
      </c>
      <c r="F4288" s="6">
        <v>43312</v>
      </c>
      <c r="G4288" s="57">
        <v>-0.77874835895156802</v>
      </c>
      <c r="H4288" s="21"/>
      <c r="I4288" s="21"/>
      <c r="J4288" s="7" t="s">
        <v>4368</v>
      </c>
      <c r="K4288" s="13"/>
      <c r="L4288" s="13"/>
    </row>
    <row r="4289" spans="1:12" ht="25.5" x14ac:dyDescent="0.2">
      <c r="A4289" s="1" t="s">
        <v>8</v>
      </c>
      <c r="B4289" s="2" t="s">
        <v>419</v>
      </c>
      <c r="D4289" s="5" t="s">
        <v>2354</v>
      </c>
      <c r="E4289" s="3">
        <v>100395</v>
      </c>
      <c r="F4289" s="3">
        <v>43259</v>
      </c>
      <c r="G4289" s="57">
        <v>-0.56911200757009817</v>
      </c>
      <c r="J4289" s="5" t="s">
        <v>4554</v>
      </c>
    </row>
    <row r="4290" spans="1:12" ht="38.25" x14ac:dyDescent="0.2">
      <c r="A4290" s="1" t="s">
        <v>4</v>
      </c>
      <c r="B4290" s="2" t="s">
        <v>210</v>
      </c>
      <c r="D4290" s="5" t="s">
        <v>3367</v>
      </c>
      <c r="E4290" s="9">
        <v>134424</v>
      </c>
      <c r="F4290" s="9">
        <v>42757</v>
      </c>
      <c r="G4290" s="57">
        <v>-0.68192435874546209</v>
      </c>
      <c r="J4290" s="5" t="s">
        <v>3368</v>
      </c>
    </row>
    <row r="4291" spans="1:12" ht="38.25" x14ac:dyDescent="0.2">
      <c r="A4291" s="1" t="s">
        <v>6</v>
      </c>
      <c r="B4291" s="2" t="s">
        <v>347</v>
      </c>
      <c r="D4291" s="5" t="s">
        <v>450</v>
      </c>
      <c r="E4291" s="3">
        <v>115112</v>
      </c>
      <c r="F4291" s="3">
        <v>41966</v>
      </c>
      <c r="G4291" s="57">
        <v>-0.63543331711724238</v>
      </c>
      <c r="J4291" s="5" t="s">
        <v>4461</v>
      </c>
    </row>
    <row r="4292" spans="1:12" ht="63.75" x14ac:dyDescent="0.2">
      <c r="A4292" s="1" t="s">
        <v>28</v>
      </c>
      <c r="B4292" s="2" t="s">
        <v>215</v>
      </c>
      <c r="D4292" s="5" t="s">
        <v>949</v>
      </c>
      <c r="E4292" s="3">
        <v>117533</v>
      </c>
      <c r="F4292" s="3">
        <v>41083</v>
      </c>
      <c r="G4292" s="57">
        <v>-0.65045561672041041</v>
      </c>
      <c r="J4292" s="5" t="s">
        <v>3312</v>
      </c>
    </row>
    <row r="4293" spans="1:12" ht="25.5" x14ac:dyDescent="0.2">
      <c r="A4293" s="1" t="s">
        <v>8</v>
      </c>
      <c r="B4293" s="2" t="s">
        <v>413</v>
      </c>
      <c r="D4293" s="5" t="s">
        <v>450</v>
      </c>
      <c r="E4293" s="3">
        <v>147685</v>
      </c>
      <c r="F4293" s="3">
        <v>39858</v>
      </c>
      <c r="G4293" s="57">
        <v>-0.73011477130378843</v>
      </c>
      <c r="J4293" s="5" t="s">
        <v>2371</v>
      </c>
    </row>
    <row r="4294" spans="1:12" ht="38.25" x14ac:dyDescent="0.2">
      <c r="A4294" s="1" t="s">
        <v>20</v>
      </c>
      <c r="B4294" s="2" t="s">
        <v>366</v>
      </c>
      <c r="D4294" s="5" t="s">
        <v>2586</v>
      </c>
      <c r="E4294" s="3">
        <v>114714</v>
      </c>
      <c r="F4294" s="3">
        <v>39694</v>
      </c>
      <c r="G4294" s="57">
        <v>-0.65397423156720191</v>
      </c>
      <c r="J4294" s="5" t="s">
        <v>2589</v>
      </c>
    </row>
    <row r="4295" spans="1:12" ht="25.5" x14ac:dyDescent="0.2">
      <c r="A4295" s="1" t="s">
        <v>4</v>
      </c>
      <c r="B4295" s="2" t="s">
        <v>182</v>
      </c>
      <c r="C4295" s="5" t="s">
        <v>3532</v>
      </c>
      <c r="D4295" s="5" t="s">
        <v>1471</v>
      </c>
      <c r="E4295" s="9">
        <v>187409</v>
      </c>
      <c r="F4295" s="9">
        <v>39369</v>
      </c>
      <c r="G4295" s="57">
        <v>-0.78993004604901584</v>
      </c>
      <c r="J4295" s="5" t="s">
        <v>3533</v>
      </c>
    </row>
    <row r="4296" spans="1:12" ht="38.25" x14ac:dyDescent="0.2">
      <c r="A4296" s="13" t="s">
        <v>20</v>
      </c>
      <c r="B4296" s="17" t="s">
        <v>4166</v>
      </c>
      <c r="C4296" s="13"/>
      <c r="D4296" s="7" t="s">
        <v>450</v>
      </c>
      <c r="E4296" s="6">
        <v>133099</v>
      </c>
      <c r="F4296" s="6">
        <v>38953</v>
      </c>
      <c r="G4296" s="57">
        <v>-0.70733814679298868</v>
      </c>
      <c r="H4296" s="21"/>
      <c r="I4296" s="21"/>
      <c r="J4296" s="7" t="s">
        <v>4165</v>
      </c>
      <c r="K4296" s="13"/>
      <c r="L4296" s="13"/>
    </row>
    <row r="4297" spans="1:12" ht="25.5" x14ac:dyDescent="0.2">
      <c r="A4297" s="1" t="s">
        <v>39</v>
      </c>
      <c r="B4297" s="2" t="s">
        <v>370</v>
      </c>
      <c r="D4297" s="7" t="s">
        <v>2558</v>
      </c>
      <c r="E4297" s="6">
        <v>120411</v>
      </c>
      <c r="F4297" s="6">
        <v>38865</v>
      </c>
      <c r="G4297" s="57">
        <v>-0.67723048558686494</v>
      </c>
      <c r="J4297" s="5" t="s">
        <v>4471</v>
      </c>
    </row>
    <row r="4298" spans="1:12" ht="25.5" x14ac:dyDescent="0.2">
      <c r="A4298" s="1" t="s">
        <v>111</v>
      </c>
      <c r="B4298" s="2" t="s">
        <v>282</v>
      </c>
      <c r="C4298" s="5" t="s">
        <v>2985</v>
      </c>
      <c r="D4298" s="5" t="s">
        <v>2984</v>
      </c>
      <c r="E4298" s="9">
        <v>131518</v>
      </c>
      <c r="F4298" s="3">
        <v>38565</v>
      </c>
      <c r="G4298" s="57">
        <v>-0.70677017594549796</v>
      </c>
      <c r="J4298" s="5" t="s">
        <v>4390</v>
      </c>
    </row>
    <row r="4299" spans="1:12" ht="25.5" x14ac:dyDescent="0.2">
      <c r="A4299" s="1" t="s">
        <v>1</v>
      </c>
      <c r="B4299" s="2" t="s">
        <v>160</v>
      </c>
      <c r="C4299" s="5" t="s">
        <v>4041</v>
      </c>
      <c r="D4299" s="5" t="s">
        <v>604</v>
      </c>
      <c r="E4299" s="3">
        <v>104546</v>
      </c>
      <c r="F4299" s="3">
        <v>37605</v>
      </c>
      <c r="G4299" s="57">
        <v>-0.6403018766858608</v>
      </c>
      <c r="J4299" s="7" t="s">
        <v>4334</v>
      </c>
    </row>
    <row r="4300" spans="1:12" ht="25.5" x14ac:dyDescent="0.2">
      <c r="A4300" s="1" t="s">
        <v>4</v>
      </c>
      <c r="B4300" s="2" t="s">
        <v>224</v>
      </c>
      <c r="D4300" s="5" t="s">
        <v>450</v>
      </c>
      <c r="E4300" s="3">
        <v>130266</v>
      </c>
      <c r="F4300" s="3">
        <v>36892</v>
      </c>
      <c r="G4300" s="57">
        <v>-0.71679486588979469</v>
      </c>
      <c r="J4300" s="5" t="s">
        <v>3246</v>
      </c>
    </row>
    <row r="4301" spans="1:12" ht="89.25" x14ac:dyDescent="0.2">
      <c r="A4301" s="1" t="s">
        <v>28</v>
      </c>
      <c r="B4301" s="2" t="s">
        <v>215</v>
      </c>
      <c r="C4301" s="5" t="s">
        <v>2148</v>
      </c>
      <c r="D4301" s="5" t="s">
        <v>450</v>
      </c>
      <c r="E4301" s="3">
        <v>180689</v>
      </c>
      <c r="F4301" s="3">
        <v>36354</v>
      </c>
      <c r="G4301" s="57">
        <v>-0.79880346894387599</v>
      </c>
      <c r="J4301" s="5" t="s">
        <v>3313</v>
      </c>
    </row>
    <row r="4302" spans="1:12" ht="25.5" x14ac:dyDescent="0.2">
      <c r="A4302" s="1" t="s">
        <v>34</v>
      </c>
      <c r="B4302" s="12" t="s">
        <v>57</v>
      </c>
      <c r="C4302" s="13"/>
      <c r="D4302" s="7" t="s">
        <v>4186</v>
      </c>
      <c r="E4302" s="6">
        <v>121364</v>
      </c>
      <c r="F4302" s="6">
        <v>33997</v>
      </c>
      <c r="G4302" s="57">
        <v>-0.7198757456906496</v>
      </c>
      <c r="H4302" s="21"/>
      <c r="I4302" s="21"/>
      <c r="J4302" s="7" t="s">
        <v>4187</v>
      </c>
      <c r="K4302" s="13"/>
      <c r="L4302" s="13"/>
    </row>
    <row r="4303" spans="1:12" ht="25.5" x14ac:dyDescent="0.2">
      <c r="A4303" s="1" t="s">
        <v>25</v>
      </c>
      <c r="B4303" s="2" t="s">
        <v>200</v>
      </c>
      <c r="C4303" s="5" t="s">
        <v>3413</v>
      </c>
      <c r="D4303" s="5" t="s">
        <v>450</v>
      </c>
      <c r="E4303" s="9">
        <v>201183</v>
      </c>
      <c r="F4303" s="9">
        <v>33388</v>
      </c>
      <c r="G4303" s="57">
        <v>-0.83404164367764677</v>
      </c>
      <c r="J4303" s="5" t="s">
        <v>3419</v>
      </c>
    </row>
    <row r="4304" spans="1:12" ht="38.25" x14ac:dyDescent="0.2">
      <c r="A4304" s="1" t="s">
        <v>4</v>
      </c>
      <c r="B4304" s="2" t="s">
        <v>429</v>
      </c>
      <c r="D4304" s="5" t="s">
        <v>546</v>
      </c>
      <c r="E4304" s="3">
        <v>121375</v>
      </c>
      <c r="F4304" s="3">
        <v>32932</v>
      </c>
      <c r="G4304" s="57">
        <v>-0.72867559217301747</v>
      </c>
      <c r="J4304" s="5" t="s">
        <v>2306</v>
      </c>
    </row>
    <row r="4305" spans="1:12" ht="25.5" x14ac:dyDescent="0.2">
      <c r="A4305" s="1" t="s">
        <v>20</v>
      </c>
      <c r="B4305" s="2" t="s">
        <v>357</v>
      </c>
      <c r="C4305" s="5" t="s">
        <v>2639</v>
      </c>
      <c r="D4305" s="15" t="s">
        <v>4692</v>
      </c>
      <c r="E4305" s="9">
        <v>110534</v>
      </c>
      <c r="F4305" s="9">
        <v>31344</v>
      </c>
      <c r="G4305" s="57">
        <v>-0.71643114335860458</v>
      </c>
      <c r="J4305" s="5" t="s">
        <v>4464</v>
      </c>
    </row>
    <row r="4306" spans="1:12" ht="25.5" x14ac:dyDescent="0.2">
      <c r="A4306" s="1" t="s">
        <v>8</v>
      </c>
      <c r="B4306" s="2" t="s">
        <v>413</v>
      </c>
      <c r="D4306" s="5" t="s">
        <v>455</v>
      </c>
      <c r="E4306" s="3">
        <v>107727</v>
      </c>
      <c r="F4306" s="3">
        <v>27517</v>
      </c>
      <c r="G4306" s="57">
        <v>-0.74456728582435228</v>
      </c>
      <c r="J4306" s="5" t="s">
        <v>2372</v>
      </c>
    </row>
    <row r="4307" spans="1:12" x14ac:dyDescent="0.2">
      <c r="A4307" s="1" t="s">
        <v>28</v>
      </c>
      <c r="B4307" s="2" t="s">
        <v>105</v>
      </c>
      <c r="C4307" s="1"/>
      <c r="D4307" s="5" t="s">
        <v>487</v>
      </c>
      <c r="E4307" s="3">
        <v>100500</v>
      </c>
      <c r="F4307" s="3">
        <v>25964</v>
      </c>
      <c r="G4307" s="57">
        <v>-0.74165174129353229</v>
      </c>
      <c r="J4307" s="5" t="s">
        <v>4251</v>
      </c>
    </row>
    <row r="4308" spans="1:12" ht="25.5" x14ac:dyDescent="0.2">
      <c r="A4308" s="1" t="s">
        <v>4</v>
      </c>
      <c r="B4308" s="2" t="s">
        <v>292</v>
      </c>
      <c r="D4308" s="7" t="s">
        <v>1437</v>
      </c>
      <c r="E4308" s="6">
        <v>119418</v>
      </c>
      <c r="F4308" s="6">
        <v>25422</v>
      </c>
      <c r="G4308" s="57">
        <v>-0.78711751997186352</v>
      </c>
      <c r="H4308" s="21"/>
      <c r="I4308" s="21"/>
      <c r="J4308" s="7" t="s">
        <v>2936</v>
      </c>
    </row>
    <row r="4309" spans="1:12" ht="25.5" x14ac:dyDescent="0.2">
      <c r="A4309" s="1" t="s">
        <v>4</v>
      </c>
      <c r="B4309" s="2" t="s">
        <v>292</v>
      </c>
      <c r="D4309" s="7" t="s">
        <v>2937</v>
      </c>
      <c r="E4309" s="6">
        <v>109682</v>
      </c>
      <c r="F4309" s="6">
        <v>25357</v>
      </c>
      <c r="G4309" s="57">
        <v>-0.76881347896646668</v>
      </c>
      <c r="H4309" s="21"/>
      <c r="I4309" s="21"/>
      <c r="J4309" s="7" t="s">
        <v>2938</v>
      </c>
    </row>
    <row r="4310" spans="1:12" ht="25.5" x14ac:dyDescent="0.2">
      <c r="A4310" s="1" t="s">
        <v>25</v>
      </c>
      <c r="B4310" s="2" t="s">
        <v>379</v>
      </c>
      <c r="D4310" s="5" t="s">
        <v>496</v>
      </c>
      <c r="E4310" s="3">
        <v>133325</v>
      </c>
      <c r="F4310" s="3">
        <v>22907</v>
      </c>
      <c r="G4310" s="57">
        <v>-0.82818676167260452</v>
      </c>
      <c r="J4310" s="5" t="s">
        <v>4479</v>
      </c>
    </row>
    <row r="4311" spans="1:12" ht="25.5" x14ac:dyDescent="0.2">
      <c r="A4311" s="1" t="s">
        <v>39</v>
      </c>
      <c r="B4311" s="2" t="s">
        <v>193</v>
      </c>
      <c r="D4311" s="5" t="s">
        <v>562</v>
      </c>
      <c r="E4311" s="9">
        <v>147036</v>
      </c>
      <c r="F4311" s="9">
        <v>22506</v>
      </c>
      <c r="G4311" s="57">
        <v>-0.84693544438096791</v>
      </c>
      <c r="J4311" s="5" t="s">
        <v>3487</v>
      </c>
    </row>
    <row r="4312" spans="1:12" ht="51" x14ac:dyDescent="0.2">
      <c r="A4312" s="1" t="s">
        <v>28</v>
      </c>
      <c r="B4312" s="2" t="s">
        <v>186</v>
      </c>
      <c r="D4312" s="5" t="s">
        <v>3519</v>
      </c>
      <c r="E4312" s="9">
        <v>115372</v>
      </c>
      <c r="F4312" s="9">
        <v>19624</v>
      </c>
      <c r="G4312" s="57">
        <v>-0.82990673646985402</v>
      </c>
      <c r="J4312" s="5" t="s">
        <v>3520</v>
      </c>
    </row>
    <row r="4313" spans="1:12" ht="25.5" x14ac:dyDescent="0.2">
      <c r="A4313" s="13" t="s">
        <v>25</v>
      </c>
      <c r="B4313" s="12" t="s">
        <v>37</v>
      </c>
      <c r="C4313" s="13"/>
      <c r="D4313" s="7" t="s">
        <v>3701</v>
      </c>
      <c r="E4313" s="36">
        <v>105315</v>
      </c>
      <c r="F4313" s="36">
        <v>18202</v>
      </c>
      <c r="G4313" s="57">
        <v>-0.82716612068556239</v>
      </c>
      <c r="H4313" s="21"/>
      <c r="I4313" s="21"/>
      <c r="J4313" s="7" t="s">
        <v>3702</v>
      </c>
      <c r="K4313" s="13"/>
      <c r="L4313" s="13"/>
    </row>
    <row r="4314" spans="1:12" x14ac:dyDescent="0.2">
      <c r="A4314" s="1" t="s">
        <v>6</v>
      </c>
      <c r="B4314" s="2" t="s">
        <v>368</v>
      </c>
      <c r="C4314" s="5" t="s">
        <v>2568</v>
      </c>
      <c r="D4314" s="5" t="s">
        <v>450</v>
      </c>
      <c r="E4314" s="3">
        <v>192000</v>
      </c>
      <c r="F4314" s="3">
        <v>18000</v>
      </c>
      <c r="G4314" s="57">
        <v>-0.90625</v>
      </c>
      <c r="J4314" s="5" t="s">
        <v>2569</v>
      </c>
    </row>
    <row r="4315" spans="1:12" ht="38.25" x14ac:dyDescent="0.2">
      <c r="A4315" s="1" t="s">
        <v>34</v>
      </c>
      <c r="B4315" s="2" t="s">
        <v>338</v>
      </c>
      <c r="D4315" s="7" t="s">
        <v>2720</v>
      </c>
      <c r="E4315" s="6">
        <v>150754.35</v>
      </c>
      <c r="F4315" s="6">
        <v>17746.169999999998</v>
      </c>
      <c r="G4315" s="57">
        <v>-0.88228419279443671</v>
      </c>
      <c r="J4315" s="5" t="s">
        <v>2722</v>
      </c>
    </row>
    <row r="4316" spans="1:12" ht="25.5" x14ac:dyDescent="0.2">
      <c r="A4316" s="1" t="s">
        <v>20</v>
      </c>
      <c r="B4316" s="2" t="s">
        <v>232</v>
      </c>
      <c r="D4316" s="15" t="s">
        <v>3209</v>
      </c>
      <c r="E4316" s="9">
        <v>142570</v>
      </c>
      <c r="F4316" s="9">
        <v>15330</v>
      </c>
      <c r="G4316" s="57">
        <v>-0.89247387248369225</v>
      </c>
      <c r="J4316" s="5" t="s">
        <v>3210</v>
      </c>
    </row>
    <row r="4317" spans="1:12" ht="25.5" x14ac:dyDescent="0.2">
      <c r="A4317" s="1" t="s">
        <v>39</v>
      </c>
      <c r="B4317" s="2" t="s">
        <v>364</v>
      </c>
      <c r="D4317" s="5" t="s">
        <v>2598</v>
      </c>
      <c r="E4317" s="9">
        <v>160586</v>
      </c>
      <c r="F4317" s="9">
        <v>12730</v>
      </c>
      <c r="G4317" s="57">
        <v>-0.92072783430685112</v>
      </c>
      <c r="J4317" s="5" t="s">
        <v>2605</v>
      </c>
    </row>
    <row r="4318" spans="1:12" ht="25.5" x14ac:dyDescent="0.2">
      <c r="A4318" s="1" t="s">
        <v>8</v>
      </c>
      <c r="B4318" s="2" t="s">
        <v>115</v>
      </c>
      <c r="C4318" s="1"/>
      <c r="D4318" s="5" t="s">
        <v>2159</v>
      </c>
      <c r="E4318" s="3">
        <v>141903</v>
      </c>
      <c r="F4318" s="3">
        <v>12055</v>
      </c>
      <c r="G4318" s="57">
        <v>-0.91504760294003651</v>
      </c>
      <c r="J4318" s="5" t="s">
        <v>4277</v>
      </c>
    </row>
    <row r="4319" spans="1:12" ht="25.5" x14ac:dyDescent="0.2">
      <c r="A4319" s="1" t="s">
        <v>8</v>
      </c>
      <c r="B4319" s="2" t="s">
        <v>115</v>
      </c>
      <c r="C4319" s="1"/>
      <c r="D4319" s="5" t="s">
        <v>3896</v>
      </c>
      <c r="E4319" s="3">
        <v>141538</v>
      </c>
      <c r="F4319" s="3">
        <v>11872</v>
      </c>
      <c r="G4319" s="57">
        <v>-0.91612146561347485</v>
      </c>
      <c r="J4319" s="5" t="s">
        <v>4273</v>
      </c>
    </row>
    <row r="4320" spans="1:12" ht="25.5" x14ac:dyDescent="0.2">
      <c r="A4320" s="13" t="s">
        <v>4</v>
      </c>
      <c r="B4320" s="12" t="s">
        <v>63</v>
      </c>
      <c r="C4320" s="13"/>
      <c r="D4320" s="7" t="s">
        <v>3777</v>
      </c>
      <c r="E4320" s="6">
        <v>120055</v>
      </c>
      <c r="F4320" s="6">
        <v>10895</v>
      </c>
      <c r="G4320" s="57">
        <v>-0.90924992711673813</v>
      </c>
      <c r="H4320" s="21"/>
      <c r="I4320" s="21"/>
      <c r="J4320" s="7" t="s">
        <v>4198</v>
      </c>
      <c r="K4320" s="13"/>
      <c r="L4320" s="13"/>
    </row>
    <row r="4321" spans="1:12" ht="25.5" x14ac:dyDescent="0.2">
      <c r="A4321" s="1" t="s">
        <v>20</v>
      </c>
      <c r="B4321" s="2" t="s">
        <v>131</v>
      </c>
      <c r="C4321" s="1"/>
      <c r="D4321" s="5" t="s">
        <v>529</v>
      </c>
      <c r="E4321" s="3">
        <v>115459</v>
      </c>
      <c r="F4321" s="3">
        <v>10372</v>
      </c>
      <c r="G4321" s="57">
        <v>-0.91016724551572414</v>
      </c>
      <c r="J4321" s="5" t="s">
        <v>4297</v>
      </c>
    </row>
    <row r="4322" spans="1:12" ht="38.25" x14ac:dyDescent="0.2">
      <c r="A4322" s="1" t="s">
        <v>44</v>
      </c>
      <c r="B4322" s="12" t="s">
        <v>43</v>
      </c>
      <c r="C4322" s="13"/>
      <c r="D4322" s="7" t="s">
        <v>1790</v>
      </c>
      <c r="E4322" s="6">
        <v>123707</v>
      </c>
      <c r="F4322" s="6">
        <v>6523</v>
      </c>
      <c r="G4322" s="57">
        <v>-0.94727056674238319</v>
      </c>
      <c r="H4322" s="21"/>
      <c r="I4322" s="21"/>
      <c r="J4322" s="7" t="s">
        <v>4152</v>
      </c>
      <c r="K4322" s="13"/>
      <c r="L4322" s="13"/>
    </row>
    <row r="4323" spans="1:12" ht="25.5" x14ac:dyDescent="0.2">
      <c r="A4323" s="13" t="s">
        <v>4</v>
      </c>
      <c r="B4323" s="12" t="s">
        <v>63</v>
      </c>
      <c r="C4323" s="13"/>
      <c r="D4323" s="7" t="s">
        <v>1879</v>
      </c>
      <c r="E4323" s="6">
        <v>174621</v>
      </c>
      <c r="F4323" s="6">
        <v>5332</v>
      </c>
      <c r="G4323" s="57">
        <v>-0.96946529913355206</v>
      </c>
      <c r="H4323" s="21"/>
      <c r="I4323" s="21"/>
      <c r="J4323" s="7" t="s">
        <v>4200</v>
      </c>
      <c r="K4323" s="13"/>
      <c r="L4323" s="13"/>
    </row>
    <row r="4324" spans="1:12" ht="25.5" x14ac:dyDescent="0.2">
      <c r="A4324" s="1" t="s">
        <v>39</v>
      </c>
      <c r="B4324" s="2" t="s">
        <v>404</v>
      </c>
      <c r="D4324" s="5" t="s">
        <v>4512</v>
      </c>
      <c r="E4324" s="3">
        <v>114371</v>
      </c>
      <c r="F4324" s="3">
        <v>4330</v>
      </c>
      <c r="G4324" s="57">
        <v>-0.96214075246347408</v>
      </c>
      <c r="J4324" s="5" t="s">
        <v>4514</v>
      </c>
    </row>
    <row r="4325" spans="1:12" x14ac:dyDescent="0.2">
      <c r="A4325" s="1" t="s">
        <v>111</v>
      </c>
      <c r="B4325" s="12" t="s">
        <v>257</v>
      </c>
      <c r="C4325" s="7"/>
      <c r="D4325" s="7" t="s">
        <v>3099</v>
      </c>
      <c r="E4325" s="6">
        <v>110694</v>
      </c>
      <c r="F4325" s="6">
        <v>3442</v>
      </c>
      <c r="G4325" s="57">
        <v>-0.96890527038502539</v>
      </c>
      <c r="H4325" s="21"/>
      <c r="I4325" s="21"/>
      <c r="J4325" s="7" t="s">
        <v>4370</v>
      </c>
      <c r="K4325" s="34"/>
      <c r="L4325" s="34"/>
    </row>
    <row r="4326" spans="1:12" x14ac:dyDescent="0.2">
      <c r="B4326" s="26" t="s">
        <v>4451</v>
      </c>
      <c r="C4326" s="24"/>
      <c r="D4326" s="24"/>
      <c r="E4326" s="39">
        <v>2696</v>
      </c>
      <c r="F4326" s="39">
        <v>3097</v>
      </c>
      <c r="G4326" s="25"/>
      <c r="H4326" s="28">
        <v>885</v>
      </c>
      <c r="I4326" s="28">
        <v>1146</v>
      </c>
    </row>
    <row r="4327" spans="1:12" x14ac:dyDescent="0.2">
      <c r="A4327" s="1" t="s">
        <v>20</v>
      </c>
      <c r="B4327" s="12" t="s">
        <v>109</v>
      </c>
      <c r="C4327" s="13"/>
      <c r="D4327" s="7" t="s">
        <v>3881</v>
      </c>
      <c r="E4327" s="6">
        <v>315142</v>
      </c>
      <c r="F4327" s="6">
        <v>1318</v>
      </c>
      <c r="G4327" s="57">
        <v>-0.99581775834385766</v>
      </c>
      <c r="H4327" s="21"/>
      <c r="I4327" s="21"/>
      <c r="J4327" s="7" t="s">
        <v>3882</v>
      </c>
      <c r="K4327" s="13"/>
      <c r="L4327" s="13"/>
    </row>
    <row r="4328" spans="1:12" x14ac:dyDescent="0.2">
      <c r="A4328" s="1" t="s">
        <v>1</v>
      </c>
      <c r="B4328" s="2" t="s">
        <v>0</v>
      </c>
      <c r="C4328" s="1"/>
      <c r="D4328" s="5" t="s">
        <v>464</v>
      </c>
      <c r="G4328" s="57" t="s">
        <v>465</v>
      </c>
      <c r="H4328" s="19">
        <v>92500</v>
      </c>
      <c r="I4328" s="19" t="s">
        <v>465</v>
      </c>
    </row>
    <row r="4329" spans="1:12" x14ac:dyDescent="0.2">
      <c r="A4329" s="1" t="s">
        <v>1</v>
      </c>
      <c r="B4329" s="2" t="s">
        <v>0</v>
      </c>
      <c r="C4329" s="1"/>
      <c r="D4329" s="5" t="s">
        <v>464</v>
      </c>
      <c r="G4329" s="57" t="s">
        <v>465</v>
      </c>
      <c r="H4329" s="19" t="s">
        <v>465</v>
      </c>
      <c r="I4329" s="19">
        <v>92500</v>
      </c>
    </row>
    <row r="4330" spans="1:12" x14ac:dyDescent="0.2">
      <c r="A4330" s="1" t="s">
        <v>1</v>
      </c>
      <c r="B4330" s="2" t="s">
        <v>0</v>
      </c>
      <c r="C4330" s="1"/>
      <c r="D4330" s="5" t="s">
        <v>464</v>
      </c>
      <c r="G4330" s="57" t="s">
        <v>465</v>
      </c>
      <c r="H4330" s="19" t="s">
        <v>465</v>
      </c>
      <c r="I4330" s="19">
        <v>92500</v>
      </c>
    </row>
    <row r="4331" spans="1:12" x14ac:dyDescent="0.2">
      <c r="A4331" s="13" t="s">
        <v>1</v>
      </c>
      <c r="B4331" s="2" t="s">
        <v>9</v>
      </c>
      <c r="C4331" s="1"/>
      <c r="D4331" s="5" t="s">
        <v>464</v>
      </c>
      <c r="G4331" s="57" t="s">
        <v>465</v>
      </c>
      <c r="H4331" s="19" t="s">
        <v>465</v>
      </c>
      <c r="I4331" s="19">
        <v>92500</v>
      </c>
    </row>
    <row r="4332" spans="1:12" ht="25.5" x14ac:dyDescent="0.2">
      <c r="A4332" s="1" t="s">
        <v>11</v>
      </c>
      <c r="B4332" s="2" t="s">
        <v>10</v>
      </c>
      <c r="C4332" s="29" t="s">
        <v>2697</v>
      </c>
      <c r="G4332" s="57" t="s">
        <v>465</v>
      </c>
    </row>
    <row r="4333" spans="1:12" x14ac:dyDescent="0.2">
      <c r="A4333" s="1" t="s">
        <v>11</v>
      </c>
      <c r="B4333" s="2" t="s">
        <v>12</v>
      </c>
      <c r="C4333" s="1"/>
      <c r="D4333" s="5" t="s">
        <v>464</v>
      </c>
      <c r="G4333" s="57" t="s">
        <v>465</v>
      </c>
      <c r="H4333" s="19">
        <v>95000</v>
      </c>
      <c r="I4333" s="19" t="s">
        <v>465</v>
      </c>
    </row>
    <row r="4334" spans="1:12" x14ac:dyDescent="0.2">
      <c r="A4334" s="1" t="s">
        <v>11</v>
      </c>
      <c r="B4334" s="2" t="s">
        <v>12</v>
      </c>
      <c r="C4334" s="1"/>
      <c r="D4334" s="5" t="s">
        <v>464</v>
      </c>
      <c r="G4334" s="57" t="s">
        <v>465</v>
      </c>
      <c r="H4334" s="19" t="s">
        <v>465</v>
      </c>
      <c r="I4334" s="19">
        <v>95000</v>
      </c>
    </row>
    <row r="4335" spans="1:12" ht="25.5" x14ac:dyDescent="0.2">
      <c r="A4335" s="1" t="s">
        <v>11</v>
      </c>
      <c r="B4335" s="2" t="s">
        <v>14</v>
      </c>
      <c r="C4335" s="29" t="s">
        <v>2697</v>
      </c>
      <c r="G4335" s="57" t="s">
        <v>465</v>
      </c>
    </row>
    <row r="4336" spans="1:12" x14ac:dyDescent="0.2">
      <c r="A4336" s="1" t="s">
        <v>4</v>
      </c>
      <c r="B4336" s="2" t="s">
        <v>15</v>
      </c>
      <c r="C4336" s="1"/>
      <c r="D4336" s="5" t="s">
        <v>464</v>
      </c>
      <c r="G4336" s="57" t="s">
        <v>465</v>
      </c>
      <c r="H4336" s="19" t="s">
        <v>465</v>
      </c>
      <c r="I4336" s="19">
        <v>97500</v>
      </c>
      <c r="J4336" s="5" t="s">
        <v>1241</v>
      </c>
    </row>
    <row r="4337" spans="1:12" ht="25.5" x14ac:dyDescent="0.2">
      <c r="A4337" s="1" t="s">
        <v>11</v>
      </c>
      <c r="B4337" s="2" t="s">
        <v>21</v>
      </c>
      <c r="C4337" s="29" t="s">
        <v>2697</v>
      </c>
      <c r="G4337" s="57" t="s">
        <v>465</v>
      </c>
    </row>
    <row r="4338" spans="1:12" ht="25.5" x14ac:dyDescent="0.2">
      <c r="A4338" s="1" t="s">
        <v>11</v>
      </c>
      <c r="B4338" s="2" t="s">
        <v>22</v>
      </c>
      <c r="C4338" s="29" t="s">
        <v>2697</v>
      </c>
      <c r="G4338" s="57" t="s">
        <v>465</v>
      </c>
    </row>
    <row r="4339" spans="1:12" ht="25.5" x14ac:dyDescent="0.2">
      <c r="A4339" s="1" t="s">
        <v>11</v>
      </c>
      <c r="B4339" s="2" t="s">
        <v>23</v>
      </c>
      <c r="C4339" s="29" t="s">
        <v>2697</v>
      </c>
      <c r="G4339" s="57" t="s">
        <v>465</v>
      </c>
    </row>
    <row r="4340" spans="1:12" x14ac:dyDescent="0.2">
      <c r="A4340" s="1" t="s">
        <v>25</v>
      </c>
      <c r="B4340" s="12" t="s">
        <v>24</v>
      </c>
      <c r="C4340" s="13"/>
      <c r="D4340" s="7" t="s">
        <v>464</v>
      </c>
      <c r="E4340" s="6"/>
      <c r="F4340" s="6"/>
      <c r="G4340" s="57" t="s">
        <v>465</v>
      </c>
      <c r="H4340" s="21">
        <v>92500</v>
      </c>
      <c r="I4340" s="21" t="s">
        <v>465</v>
      </c>
      <c r="J4340" s="7"/>
      <c r="K4340" s="13"/>
      <c r="L4340" s="13"/>
    </row>
    <row r="4341" spans="1:12" x14ac:dyDescent="0.2">
      <c r="A4341" s="1" t="s">
        <v>25</v>
      </c>
      <c r="B4341" s="12" t="s">
        <v>24</v>
      </c>
      <c r="C4341" s="13"/>
      <c r="D4341" s="7" t="s">
        <v>464</v>
      </c>
      <c r="E4341" s="6"/>
      <c r="F4341" s="6"/>
      <c r="G4341" s="57" t="s">
        <v>465</v>
      </c>
      <c r="H4341" s="21">
        <v>92500</v>
      </c>
      <c r="I4341" s="21" t="s">
        <v>465</v>
      </c>
      <c r="J4341" s="7"/>
      <c r="K4341" s="13"/>
      <c r="L4341" s="13"/>
    </row>
    <row r="4342" spans="1:12" x14ac:dyDescent="0.2">
      <c r="A4342" s="1" t="s">
        <v>25</v>
      </c>
      <c r="B4342" s="12" t="s">
        <v>24</v>
      </c>
      <c r="C4342" s="13"/>
      <c r="D4342" s="7" t="s">
        <v>464</v>
      </c>
      <c r="E4342" s="6"/>
      <c r="F4342" s="6"/>
      <c r="G4342" s="57" t="s">
        <v>465</v>
      </c>
      <c r="H4342" s="21" t="s">
        <v>465</v>
      </c>
      <c r="I4342" s="21">
        <v>92500</v>
      </c>
      <c r="J4342" s="7"/>
      <c r="K4342" s="13"/>
      <c r="L4342" s="13"/>
    </row>
    <row r="4343" spans="1:12" x14ac:dyDescent="0.2">
      <c r="A4343" s="1" t="s">
        <v>25</v>
      </c>
      <c r="B4343" s="12" t="s">
        <v>24</v>
      </c>
      <c r="C4343" s="13"/>
      <c r="D4343" s="7" t="s">
        <v>464</v>
      </c>
      <c r="E4343" s="6"/>
      <c r="F4343" s="6"/>
      <c r="G4343" s="57" t="s">
        <v>465</v>
      </c>
      <c r="H4343" s="21" t="s">
        <v>465</v>
      </c>
      <c r="I4343" s="21">
        <v>92500</v>
      </c>
      <c r="J4343" s="7"/>
      <c r="K4343" s="13"/>
      <c r="L4343" s="13"/>
    </row>
    <row r="4344" spans="1:12" x14ac:dyDescent="0.2">
      <c r="A4344" s="1" t="s">
        <v>25</v>
      </c>
      <c r="B4344" s="12" t="s">
        <v>24</v>
      </c>
      <c r="C4344" s="13"/>
      <c r="D4344" s="7" t="s">
        <v>464</v>
      </c>
      <c r="E4344" s="6"/>
      <c r="F4344" s="6"/>
      <c r="G4344" s="57" t="s">
        <v>465</v>
      </c>
      <c r="H4344" s="21" t="s">
        <v>465</v>
      </c>
      <c r="I4344" s="21">
        <v>92500</v>
      </c>
      <c r="J4344" s="7"/>
      <c r="K4344" s="13"/>
      <c r="L4344" s="13"/>
    </row>
    <row r="4345" spans="1:12" x14ac:dyDescent="0.2">
      <c r="A4345" s="1" t="s">
        <v>25</v>
      </c>
      <c r="B4345" s="12" t="s">
        <v>24</v>
      </c>
      <c r="C4345" s="13"/>
      <c r="D4345" s="7" t="s">
        <v>464</v>
      </c>
      <c r="E4345" s="6"/>
      <c r="F4345" s="6"/>
      <c r="G4345" s="57" t="s">
        <v>465</v>
      </c>
      <c r="H4345" s="21" t="s">
        <v>465</v>
      </c>
      <c r="I4345" s="21">
        <v>97500</v>
      </c>
      <c r="J4345" s="7"/>
      <c r="K4345" s="13"/>
      <c r="L4345" s="13"/>
    </row>
    <row r="4346" spans="1:12" x14ac:dyDescent="0.2">
      <c r="A4346" s="1" t="s">
        <v>25</v>
      </c>
      <c r="B4346" s="2" t="s">
        <v>26</v>
      </c>
      <c r="C4346" s="1"/>
      <c r="D4346" s="5" t="s">
        <v>464</v>
      </c>
      <c r="G4346" s="57" t="s">
        <v>465</v>
      </c>
      <c r="H4346" s="19" t="s">
        <v>465</v>
      </c>
      <c r="I4346" s="19">
        <v>92500</v>
      </c>
    </row>
    <row r="4347" spans="1:12" x14ac:dyDescent="0.2">
      <c r="A4347" s="1" t="s">
        <v>25</v>
      </c>
      <c r="B4347" s="2" t="s">
        <v>26</v>
      </c>
      <c r="C4347" s="1"/>
      <c r="D4347" s="5" t="s">
        <v>464</v>
      </c>
      <c r="G4347" s="57" t="s">
        <v>465</v>
      </c>
      <c r="H4347" s="19" t="s">
        <v>465</v>
      </c>
      <c r="I4347" s="19">
        <v>92500</v>
      </c>
    </row>
    <row r="4348" spans="1:12" x14ac:dyDescent="0.2">
      <c r="A4348" s="1" t="s">
        <v>25</v>
      </c>
      <c r="B4348" s="2" t="s">
        <v>26</v>
      </c>
      <c r="C4348" s="1"/>
      <c r="D4348" s="5" t="s">
        <v>464</v>
      </c>
      <c r="G4348" s="57" t="s">
        <v>465</v>
      </c>
      <c r="H4348" s="19" t="s">
        <v>465</v>
      </c>
      <c r="I4348" s="19">
        <v>92500</v>
      </c>
    </row>
    <row r="4349" spans="1:12" x14ac:dyDescent="0.2">
      <c r="A4349" s="1" t="s">
        <v>25</v>
      </c>
      <c r="B4349" s="2" t="s">
        <v>26</v>
      </c>
      <c r="C4349" s="1"/>
      <c r="D4349" s="5" t="s">
        <v>464</v>
      </c>
      <c r="G4349" s="57" t="s">
        <v>465</v>
      </c>
      <c r="H4349" s="19" t="s">
        <v>465</v>
      </c>
      <c r="I4349" s="19">
        <v>92500</v>
      </c>
    </row>
    <row r="4350" spans="1:12" x14ac:dyDescent="0.2">
      <c r="A4350" s="1" t="s">
        <v>25</v>
      </c>
      <c r="B4350" s="2" t="s">
        <v>26</v>
      </c>
      <c r="C4350" s="1"/>
      <c r="D4350" s="5" t="s">
        <v>464</v>
      </c>
      <c r="G4350" s="57" t="s">
        <v>465</v>
      </c>
      <c r="H4350" s="19" t="s">
        <v>465</v>
      </c>
      <c r="I4350" s="19">
        <v>92500</v>
      </c>
      <c r="J4350" s="1"/>
    </row>
    <row r="4351" spans="1:12" x14ac:dyDescent="0.2">
      <c r="A4351" s="1" t="s">
        <v>25</v>
      </c>
      <c r="B4351" s="2" t="s">
        <v>26</v>
      </c>
      <c r="C4351" s="1"/>
      <c r="D4351" s="5" t="s">
        <v>464</v>
      </c>
      <c r="G4351" s="57" t="s">
        <v>465</v>
      </c>
      <c r="H4351" s="19" t="s">
        <v>465</v>
      </c>
      <c r="I4351" s="19">
        <v>92500</v>
      </c>
      <c r="J4351" s="1"/>
    </row>
    <row r="4352" spans="1:12" x14ac:dyDescent="0.2">
      <c r="A4352" s="1" t="s">
        <v>25</v>
      </c>
      <c r="B4352" s="2" t="s">
        <v>26</v>
      </c>
      <c r="C4352" s="1"/>
      <c r="D4352" s="5" t="s">
        <v>464</v>
      </c>
      <c r="G4352" s="57" t="s">
        <v>465</v>
      </c>
      <c r="H4352" s="19" t="s">
        <v>465</v>
      </c>
      <c r="I4352" s="19">
        <v>92500</v>
      </c>
      <c r="J4352" s="1"/>
    </row>
    <row r="4353" spans="1:10" x14ac:dyDescent="0.2">
      <c r="A4353" s="1" t="s">
        <v>25</v>
      </c>
      <c r="B4353" s="2" t="s">
        <v>26</v>
      </c>
      <c r="C4353" s="1"/>
      <c r="D4353" s="5" t="s">
        <v>464</v>
      </c>
      <c r="G4353" s="57" t="s">
        <v>465</v>
      </c>
      <c r="H4353" s="19" t="s">
        <v>465</v>
      </c>
      <c r="I4353" s="19">
        <v>92500</v>
      </c>
      <c r="J4353" s="1"/>
    </row>
    <row r="4354" spans="1:10" x14ac:dyDescent="0.2">
      <c r="A4354" s="1" t="s">
        <v>25</v>
      </c>
      <c r="B4354" s="2" t="s">
        <v>26</v>
      </c>
      <c r="C4354" s="1"/>
      <c r="D4354" s="5" t="s">
        <v>464</v>
      </c>
      <c r="G4354" s="57" t="s">
        <v>465</v>
      </c>
      <c r="H4354" s="19" t="s">
        <v>465</v>
      </c>
      <c r="I4354" s="19">
        <v>92500</v>
      </c>
      <c r="J4354" s="1"/>
    </row>
    <row r="4355" spans="1:10" x14ac:dyDescent="0.2">
      <c r="A4355" s="1" t="s">
        <v>25</v>
      </c>
      <c r="B4355" s="2" t="s">
        <v>26</v>
      </c>
      <c r="C4355" s="1"/>
      <c r="D4355" s="5" t="s">
        <v>464</v>
      </c>
      <c r="G4355" s="57" t="s">
        <v>465</v>
      </c>
      <c r="H4355" s="19">
        <v>92500</v>
      </c>
      <c r="I4355" s="19" t="s">
        <v>465</v>
      </c>
      <c r="J4355" s="1"/>
    </row>
    <row r="4356" spans="1:10" x14ac:dyDescent="0.2">
      <c r="A4356" s="1" t="s">
        <v>25</v>
      </c>
      <c r="B4356" s="2" t="s">
        <v>26</v>
      </c>
      <c r="C4356" s="1"/>
      <c r="D4356" s="5" t="s">
        <v>464</v>
      </c>
      <c r="G4356" s="57" t="s">
        <v>465</v>
      </c>
      <c r="H4356" s="19">
        <v>92500</v>
      </c>
      <c r="I4356" s="19" t="s">
        <v>465</v>
      </c>
      <c r="J4356" s="1"/>
    </row>
    <row r="4357" spans="1:10" x14ac:dyDescent="0.2">
      <c r="A4357" s="1" t="s">
        <v>25</v>
      </c>
      <c r="B4357" s="2" t="s">
        <v>26</v>
      </c>
      <c r="C4357" s="1"/>
      <c r="D4357" s="5" t="s">
        <v>464</v>
      </c>
      <c r="G4357" s="57" t="s">
        <v>465</v>
      </c>
      <c r="H4357" s="19">
        <v>92500</v>
      </c>
      <c r="I4357" s="19" t="s">
        <v>465</v>
      </c>
      <c r="J4357" s="1"/>
    </row>
    <row r="4358" spans="1:10" x14ac:dyDescent="0.2">
      <c r="A4358" s="1" t="s">
        <v>25</v>
      </c>
      <c r="B4358" s="2" t="s">
        <v>26</v>
      </c>
      <c r="C4358" s="1"/>
      <c r="D4358" s="5" t="s">
        <v>464</v>
      </c>
      <c r="G4358" s="57" t="s">
        <v>465</v>
      </c>
      <c r="H4358" s="19">
        <v>92500</v>
      </c>
      <c r="I4358" s="19" t="s">
        <v>465</v>
      </c>
      <c r="J4358" s="1"/>
    </row>
    <row r="4359" spans="1:10" x14ac:dyDescent="0.2">
      <c r="A4359" s="1" t="s">
        <v>25</v>
      </c>
      <c r="B4359" s="2" t="s">
        <v>26</v>
      </c>
      <c r="C4359" s="1"/>
      <c r="D4359" s="5" t="s">
        <v>464</v>
      </c>
      <c r="G4359" s="57" t="s">
        <v>465</v>
      </c>
      <c r="H4359" s="19">
        <v>92500</v>
      </c>
      <c r="I4359" s="19" t="s">
        <v>465</v>
      </c>
      <c r="J4359" s="1"/>
    </row>
    <row r="4360" spans="1:10" x14ac:dyDescent="0.2">
      <c r="A4360" s="1" t="s">
        <v>25</v>
      </c>
      <c r="B4360" s="2" t="s">
        <v>26</v>
      </c>
      <c r="C4360" s="1"/>
      <c r="D4360" s="5" t="s">
        <v>464</v>
      </c>
      <c r="G4360" s="57" t="s">
        <v>465</v>
      </c>
      <c r="H4360" s="19" t="s">
        <v>465</v>
      </c>
      <c r="I4360" s="19">
        <v>97500</v>
      </c>
      <c r="J4360" s="1"/>
    </row>
    <row r="4361" spans="1:10" x14ac:dyDescent="0.2">
      <c r="A4361" s="1" t="s">
        <v>25</v>
      </c>
      <c r="B4361" s="2" t="s">
        <v>26</v>
      </c>
      <c r="C4361" s="1"/>
      <c r="D4361" s="5" t="s">
        <v>464</v>
      </c>
      <c r="G4361" s="57" t="s">
        <v>465</v>
      </c>
      <c r="H4361" s="19" t="s">
        <v>465</v>
      </c>
      <c r="I4361" s="19">
        <v>97500</v>
      </c>
      <c r="J4361" s="1"/>
    </row>
    <row r="4362" spans="1:10" x14ac:dyDescent="0.2">
      <c r="A4362" s="1" t="s">
        <v>25</v>
      </c>
      <c r="B4362" s="2" t="s">
        <v>26</v>
      </c>
      <c r="C4362" s="1"/>
      <c r="D4362" s="5" t="s">
        <v>464</v>
      </c>
      <c r="G4362" s="57" t="s">
        <v>465</v>
      </c>
      <c r="H4362" s="19" t="s">
        <v>465</v>
      </c>
      <c r="I4362" s="19">
        <v>97500</v>
      </c>
      <c r="J4362" s="1"/>
    </row>
    <row r="4363" spans="1:10" x14ac:dyDescent="0.2">
      <c r="A4363" s="1" t="s">
        <v>25</v>
      </c>
      <c r="B4363" s="2" t="s">
        <v>26</v>
      </c>
      <c r="C4363" s="1"/>
      <c r="D4363" s="5" t="s">
        <v>464</v>
      </c>
      <c r="G4363" s="57" t="s">
        <v>465</v>
      </c>
      <c r="H4363" s="19" t="s">
        <v>465</v>
      </c>
      <c r="I4363" s="19">
        <v>97500</v>
      </c>
      <c r="J4363" s="1"/>
    </row>
    <row r="4364" spans="1:10" x14ac:dyDescent="0.2">
      <c r="A4364" s="1" t="s">
        <v>25</v>
      </c>
      <c r="B4364" s="2" t="s">
        <v>26</v>
      </c>
      <c r="C4364" s="1"/>
      <c r="D4364" s="5" t="s">
        <v>464</v>
      </c>
      <c r="G4364" s="57" t="s">
        <v>465</v>
      </c>
      <c r="H4364" s="19" t="s">
        <v>465</v>
      </c>
      <c r="I4364" s="19">
        <v>97500</v>
      </c>
      <c r="J4364" s="1"/>
    </row>
    <row r="4365" spans="1:10" x14ac:dyDescent="0.2">
      <c r="A4365" s="1" t="s">
        <v>25</v>
      </c>
      <c r="B4365" s="2" t="s">
        <v>26</v>
      </c>
      <c r="C4365" s="1"/>
      <c r="D4365" s="5" t="s">
        <v>464</v>
      </c>
      <c r="G4365" s="57" t="s">
        <v>465</v>
      </c>
      <c r="H4365" s="19" t="s">
        <v>465</v>
      </c>
      <c r="I4365" s="19">
        <v>97500</v>
      </c>
      <c r="J4365" s="1"/>
    </row>
    <row r="4366" spans="1:10" x14ac:dyDescent="0.2">
      <c r="A4366" s="1" t="s">
        <v>25</v>
      </c>
      <c r="B4366" s="2" t="s">
        <v>26</v>
      </c>
      <c r="C4366" s="1"/>
      <c r="D4366" s="5" t="s">
        <v>464</v>
      </c>
      <c r="G4366" s="57" t="s">
        <v>465</v>
      </c>
      <c r="H4366" s="19" t="s">
        <v>465</v>
      </c>
      <c r="I4366" s="19">
        <v>97500</v>
      </c>
      <c r="J4366" s="1"/>
    </row>
    <row r="4367" spans="1:10" x14ac:dyDescent="0.2">
      <c r="A4367" s="1" t="s">
        <v>25</v>
      </c>
      <c r="B4367" s="2" t="s">
        <v>26</v>
      </c>
      <c r="C4367" s="1"/>
      <c r="D4367" s="5" t="s">
        <v>464</v>
      </c>
      <c r="G4367" s="57" t="s">
        <v>465</v>
      </c>
      <c r="H4367" s="19">
        <v>97500</v>
      </c>
      <c r="I4367" s="19" t="s">
        <v>465</v>
      </c>
      <c r="J4367" s="1"/>
    </row>
    <row r="4368" spans="1:10" x14ac:dyDescent="0.2">
      <c r="A4368" s="13" t="s">
        <v>34</v>
      </c>
      <c r="B4368" s="2" t="s">
        <v>33</v>
      </c>
      <c r="C4368" s="1"/>
      <c r="D4368" s="5" t="s">
        <v>464</v>
      </c>
      <c r="G4368" s="57" t="s">
        <v>465</v>
      </c>
      <c r="H4368" s="19" t="s">
        <v>465</v>
      </c>
      <c r="I4368" s="19">
        <v>92500</v>
      </c>
    </row>
    <row r="4369" spans="1:9" x14ac:dyDescent="0.2">
      <c r="A4369" s="13" t="s">
        <v>34</v>
      </c>
      <c r="B4369" s="2" t="s">
        <v>33</v>
      </c>
      <c r="C4369" s="1"/>
      <c r="D4369" s="5" t="s">
        <v>464</v>
      </c>
      <c r="G4369" s="57" t="s">
        <v>465</v>
      </c>
      <c r="H4369" s="19" t="s">
        <v>465</v>
      </c>
      <c r="I4369" s="19">
        <v>97500</v>
      </c>
    </row>
    <row r="4370" spans="1:9" x14ac:dyDescent="0.2">
      <c r="A4370" s="13" t="s">
        <v>34</v>
      </c>
      <c r="B4370" s="2" t="s">
        <v>33</v>
      </c>
      <c r="C4370" s="1"/>
      <c r="D4370" s="5" t="s">
        <v>464</v>
      </c>
      <c r="G4370" s="57" t="s">
        <v>465</v>
      </c>
      <c r="H4370" s="19" t="s">
        <v>465</v>
      </c>
      <c r="I4370" s="19">
        <v>97500</v>
      </c>
    </row>
    <row r="4371" spans="1:9" x14ac:dyDescent="0.2">
      <c r="A4371" s="13" t="s">
        <v>34</v>
      </c>
      <c r="B4371" s="2" t="s">
        <v>33</v>
      </c>
      <c r="C4371" s="1"/>
      <c r="D4371" s="5" t="s">
        <v>464</v>
      </c>
      <c r="G4371" s="57" t="s">
        <v>465</v>
      </c>
      <c r="H4371" s="19" t="s">
        <v>465</v>
      </c>
      <c r="I4371" s="19">
        <v>97500</v>
      </c>
    </row>
    <row r="4372" spans="1:9" x14ac:dyDescent="0.2">
      <c r="A4372" s="13" t="s">
        <v>34</v>
      </c>
      <c r="B4372" s="2" t="s">
        <v>33</v>
      </c>
      <c r="C4372" s="1"/>
      <c r="D4372" s="5" t="s">
        <v>464</v>
      </c>
      <c r="G4372" s="57" t="s">
        <v>465</v>
      </c>
      <c r="H4372" s="19" t="s">
        <v>465</v>
      </c>
      <c r="I4372" s="19">
        <v>97500</v>
      </c>
    </row>
    <row r="4373" spans="1:9" x14ac:dyDescent="0.2">
      <c r="A4373" s="13" t="s">
        <v>34</v>
      </c>
      <c r="B4373" s="2" t="s">
        <v>33</v>
      </c>
      <c r="C4373" s="1"/>
      <c r="D4373" s="5" t="s">
        <v>464</v>
      </c>
      <c r="G4373" s="57" t="s">
        <v>465</v>
      </c>
      <c r="H4373" s="19" t="s">
        <v>465</v>
      </c>
      <c r="I4373" s="19">
        <v>97500</v>
      </c>
    </row>
    <row r="4374" spans="1:9" x14ac:dyDescent="0.2">
      <c r="A4374" s="13" t="s">
        <v>34</v>
      </c>
      <c r="B4374" s="2" t="s">
        <v>33</v>
      </c>
      <c r="C4374" s="1"/>
      <c r="D4374" s="5" t="s">
        <v>464</v>
      </c>
      <c r="G4374" s="57" t="s">
        <v>465</v>
      </c>
      <c r="H4374" s="19">
        <v>97500</v>
      </c>
      <c r="I4374" s="19" t="s">
        <v>465</v>
      </c>
    </row>
    <row r="4375" spans="1:9" x14ac:dyDescent="0.2">
      <c r="A4375" s="13" t="s">
        <v>34</v>
      </c>
      <c r="B4375" s="2" t="s">
        <v>33</v>
      </c>
      <c r="C4375" s="1"/>
      <c r="D4375" s="5" t="s">
        <v>464</v>
      </c>
      <c r="G4375" s="57" t="s">
        <v>465</v>
      </c>
      <c r="H4375" s="19">
        <v>97500</v>
      </c>
      <c r="I4375" s="19" t="s">
        <v>465</v>
      </c>
    </row>
    <row r="4376" spans="1:9" x14ac:dyDescent="0.2">
      <c r="A4376" s="13" t="s">
        <v>34</v>
      </c>
      <c r="B4376" s="2" t="s">
        <v>33</v>
      </c>
      <c r="C4376" s="1"/>
      <c r="D4376" s="5" t="s">
        <v>464</v>
      </c>
      <c r="G4376" s="57" t="s">
        <v>465</v>
      </c>
      <c r="H4376" s="19">
        <v>97500</v>
      </c>
      <c r="I4376" s="19" t="s">
        <v>465</v>
      </c>
    </row>
    <row r="4377" spans="1:9" x14ac:dyDescent="0.2">
      <c r="A4377" s="1" t="s">
        <v>20</v>
      </c>
      <c r="B4377" s="2" t="s">
        <v>35</v>
      </c>
      <c r="C4377" s="1"/>
      <c r="D4377" s="5" t="s">
        <v>464</v>
      </c>
      <c r="G4377" s="57" t="s">
        <v>465</v>
      </c>
      <c r="H4377" s="19">
        <v>92500</v>
      </c>
      <c r="I4377" s="19" t="s">
        <v>465</v>
      </c>
    </row>
    <row r="4378" spans="1:9" x14ac:dyDescent="0.2">
      <c r="A4378" s="1" t="s">
        <v>20</v>
      </c>
      <c r="B4378" s="2" t="s">
        <v>35</v>
      </c>
      <c r="C4378" s="1"/>
      <c r="D4378" s="5" t="s">
        <v>464</v>
      </c>
      <c r="G4378" s="57" t="s">
        <v>465</v>
      </c>
      <c r="H4378" s="19">
        <v>92500</v>
      </c>
      <c r="I4378" s="19" t="s">
        <v>465</v>
      </c>
    </row>
    <row r="4379" spans="1:9" x14ac:dyDescent="0.2">
      <c r="A4379" s="1" t="s">
        <v>20</v>
      </c>
      <c r="B4379" s="2" t="s">
        <v>35</v>
      </c>
      <c r="C4379" s="1"/>
      <c r="D4379" s="5" t="s">
        <v>464</v>
      </c>
      <c r="G4379" s="57" t="s">
        <v>465</v>
      </c>
      <c r="H4379" s="19">
        <v>92500</v>
      </c>
      <c r="I4379" s="19" t="s">
        <v>465</v>
      </c>
    </row>
    <row r="4380" spans="1:9" x14ac:dyDescent="0.2">
      <c r="A4380" s="1" t="s">
        <v>20</v>
      </c>
      <c r="B4380" s="2" t="s">
        <v>35</v>
      </c>
      <c r="C4380" s="1"/>
      <c r="D4380" s="5" t="s">
        <v>464</v>
      </c>
      <c r="G4380" s="57" t="s">
        <v>465</v>
      </c>
      <c r="H4380" s="19">
        <v>92500</v>
      </c>
      <c r="I4380" s="19" t="s">
        <v>465</v>
      </c>
    </row>
    <row r="4381" spans="1:9" x14ac:dyDescent="0.2">
      <c r="A4381" s="1" t="s">
        <v>20</v>
      </c>
      <c r="B4381" s="2" t="s">
        <v>35</v>
      </c>
      <c r="C4381" s="1"/>
      <c r="D4381" s="5" t="s">
        <v>464</v>
      </c>
      <c r="G4381" s="57" t="s">
        <v>465</v>
      </c>
      <c r="H4381" s="19">
        <v>92500</v>
      </c>
      <c r="I4381" s="19" t="s">
        <v>465</v>
      </c>
    </row>
    <row r="4382" spans="1:9" x14ac:dyDescent="0.2">
      <c r="A4382" s="1" t="s">
        <v>20</v>
      </c>
      <c r="B4382" s="2" t="s">
        <v>35</v>
      </c>
      <c r="C4382" s="1"/>
      <c r="D4382" s="5" t="s">
        <v>464</v>
      </c>
      <c r="G4382" s="57" t="s">
        <v>465</v>
      </c>
      <c r="H4382" s="19" t="s">
        <v>465</v>
      </c>
      <c r="I4382" s="19">
        <v>92500</v>
      </c>
    </row>
    <row r="4383" spans="1:9" x14ac:dyDescent="0.2">
      <c r="A4383" s="1" t="s">
        <v>20</v>
      </c>
      <c r="B4383" s="2" t="s">
        <v>35</v>
      </c>
      <c r="C4383" s="1"/>
      <c r="D4383" s="5" t="s">
        <v>464</v>
      </c>
      <c r="G4383" s="57" t="s">
        <v>465</v>
      </c>
      <c r="H4383" s="19">
        <v>97500</v>
      </c>
      <c r="I4383" s="19" t="s">
        <v>465</v>
      </c>
    </row>
    <row r="4384" spans="1:9" x14ac:dyDescent="0.2">
      <c r="A4384" s="1" t="s">
        <v>20</v>
      </c>
      <c r="B4384" s="2" t="s">
        <v>35</v>
      </c>
      <c r="C4384" s="1"/>
      <c r="D4384" s="5" t="s">
        <v>464</v>
      </c>
      <c r="G4384" s="57" t="s">
        <v>465</v>
      </c>
      <c r="H4384" s="19" t="s">
        <v>465</v>
      </c>
      <c r="I4384" s="19">
        <v>97500</v>
      </c>
    </row>
    <row r="4385" spans="1:12" x14ac:dyDescent="0.2">
      <c r="A4385" s="1" t="s">
        <v>20</v>
      </c>
      <c r="B4385" s="2" t="s">
        <v>35</v>
      </c>
      <c r="C4385" s="1"/>
      <c r="D4385" s="5" t="s">
        <v>464</v>
      </c>
      <c r="G4385" s="57" t="s">
        <v>465</v>
      </c>
      <c r="H4385" s="19" t="s">
        <v>465</v>
      </c>
      <c r="I4385" s="19">
        <v>97500</v>
      </c>
    </row>
    <row r="4386" spans="1:12" x14ac:dyDescent="0.2">
      <c r="A4386" s="1" t="s">
        <v>11</v>
      </c>
      <c r="B4386" s="12" t="s">
        <v>36</v>
      </c>
      <c r="C4386" s="1"/>
      <c r="D4386" s="5" t="s">
        <v>464</v>
      </c>
      <c r="G4386" s="57" t="s">
        <v>465</v>
      </c>
      <c r="H4386" s="19">
        <v>95000</v>
      </c>
      <c r="I4386" s="19" t="s">
        <v>465</v>
      </c>
      <c r="J4386" s="1"/>
    </row>
    <row r="4387" spans="1:12" x14ac:dyDescent="0.2">
      <c r="A4387" s="1" t="s">
        <v>11</v>
      </c>
      <c r="B4387" s="12" t="s">
        <v>36</v>
      </c>
      <c r="C4387" s="1"/>
      <c r="D4387" s="5" t="s">
        <v>464</v>
      </c>
      <c r="G4387" s="57" t="s">
        <v>465</v>
      </c>
      <c r="H4387" s="19">
        <v>95000</v>
      </c>
      <c r="I4387" s="19" t="s">
        <v>465</v>
      </c>
      <c r="J4387" s="1"/>
    </row>
    <row r="4388" spans="1:12" x14ac:dyDescent="0.2">
      <c r="A4388" s="1" t="s">
        <v>11</v>
      </c>
      <c r="B4388" s="12" t="s">
        <v>36</v>
      </c>
      <c r="C4388" s="1"/>
      <c r="D4388" s="5" t="s">
        <v>464</v>
      </c>
      <c r="G4388" s="57" t="s">
        <v>465</v>
      </c>
      <c r="H4388" s="19">
        <v>95000</v>
      </c>
      <c r="I4388" s="19" t="s">
        <v>465</v>
      </c>
      <c r="J4388" s="1"/>
    </row>
    <row r="4389" spans="1:12" x14ac:dyDescent="0.2">
      <c r="A4389" s="1" t="s">
        <v>11</v>
      </c>
      <c r="B4389" s="12" t="s">
        <v>36</v>
      </c>
      <c r="C4389" s="1"/>
      <c r="D4389" s="5" t="s">
        <v>464</v>
      </c>
      <c r="G4389" s="57" t="s">
        <v>465</v>
      </c>
      <c r="H4389" s="19">
        <v>95000</v>
      </c>
      <c r="I4389" s="19" t="s">
        <v>465</v>
      </c>
      <c r="J4389" s="1"/>
    </row>
    <row r="4390" spans="1:12" x14ac:dyDescent="0.2">
      <c r="A4390" s="1" t="s">
        <v>11</v>
      </c>
      <c r="B4390" s="12" t="s">
        <v>36</v>
      </c>
      <c r="C4390" s="1"/>
      <c r="D4390" s="5" t="s">
        <v>464</v>
      </c>
      <c r="G4390" s="57" t="s">
        <v>465</v>
      </c>
      <c r="H4390" s="19">
        <v>95000</v>
      </c>
      <c r="I4390" s="19" t="s">
        <v>465</v>
      </c>
      <c r="J4390" s="1"/>
    </row>
    <row r="4391" spans="1:12" x14ac:dyDescent="0.2">
      <c r="A4391" s="1" t="s">
        <v>11</v>
      </c>
      <c r="B4391" s="12" t="s">
        <v>36</v>
      </c>
      <c r="C4391" s="1"/>
      <c r="D4391" s="5" t="s">
        <v>464</v>
      </c>
      <c r="G4391" s="57" t="s">
        <v>465</v>
      </c>
      <c r="H4391" s="19" t="s">
        <v>465</v>
      </c>
      <c r="I4391" s="19">
        <v>95000</v>
      </c>
      <c r="J4391" s="1"/>
    </row>
    <row r="4392" spans="1:12" x14ac:dyDescent="0.2">
      <c r="A4392" s="1" t="s">
        <v>11</v>
      </c>
      <c r="B4392" s="12" t="s">
        <v>36</v>
      </c>
      <c r="C4392" s="1"/>
      <c r="D4392" s="5" t="s">
        <v>464</v>
      </c>
      <c r="G4392" s="57" t="s">
        <v>465</v>
      </c>
      <c r="H4392" s="19" t="s">
        <v>465</v>
      </c>
      <c r="I4392" s="19">
        <v>95000</v>
      </c>
    </row>
    <row r="4393" spans="1:12" x14ac:dyDescent="0.2">
      <c r="A4393" s="1" t="s">
        <v>11</v>
      </c>
      <c r="B4393" s="12" t="s">
        <v>36</v>
      </c>
      <c r="C4393" s="1"/>
      <c r="D4393" s="5" t="s">
        <v>464</v>
      </c>
      <c r="G4393" s="57" t="s">
        <v>465</v>
      </c>
      <c r="H4393" s="19" t="s">
        <v>465</v>
      </c>
      <c r="I4393" s="19">
        <v>95000</v>
      </c>
    </row>
    <row r="4394" spans="1:12" x14ac:dyDescent="0.2">
      <c r="A4394" s="1" t="s">
        <v>11</v>
      </c>
      <c r="B4394" s="12" t="s">
        <v>36</v>
      </c>
      <c r="C4394" s="1"/>
      <c r="D4394" s="5" t="s">
        <v>464</v>
      </c>
      <c r="G4394" s="57" t="s">
        <v>465</v>
      </c>
      <c r="H4394" s="19" t="s">
        <v>465</v>
      </c>
      <c r="I4394" s="19">
        <v>95000</v>
      </c>
    </row>
    <row r="4395" spans="1:12" ht="89.25" x14ac:dyDescent="0.2">
      <c r="A4395" s="13" t="s">
        <v>25</v>
      </c>
      <c r="B4395" s="12" t="s">
        <v>37</v>
      </c>
      <c r="C4395" s="13"/>
      <c r="D4395" s="7"/>
      <c r="E4395" s="6"/>
      <c r="F4395" s="6"/>
      <c r="G4395" s="57" t="s">
        <v>465</v>
      </c>
      <c r="H4395" s="21"/>
      <c r="I4395" s="21"/>
      <c r="J4395" s="7" t="s">
        <v>4603</v>
      </c>
      <c r="K4395" s="13"/>
      <c r="L4395" s="13"/>
    </row>
    <row r="4396" spans="1:12" x14ac:dyDescent="0.2">
      <c r="A4396" s="1" t="s">
        <v>39</v>
      </c>
      <c r="B4396" s="2" t="s">
        <v>38</v>
      </c>
      <c r="C4396" s="1"/>
      <c r="D4396" s="5" t="s">
        <v>464</v>
      </c>
      <c r="G4396" s="57" t="s">
        <v>465</v>
      </c>
      <c r="H4396" s="19" t="s">
        <v>465</v>
      </c>
      <c r="I4396" s="19">
        <v>92500</v>
      </c>
    </row>
    <row r="4397" spans="1:12" x14ac:dyDescent="0.2">
      <c r="A4397" s="1" t="s">
        <v>39</v>
      </c>
      <c r="B4397" s="2" t="s">
        <v>38</v>
      </c>
      <c r="C4397" s="1"/>
      <c r="D4397" s="5" t="s">
        <v>464</v>
      </c>
      <c r="G4397" s="57" t="s">
        <v>465</v>
      </c>
      <c r="H4397" s="19" t="s">
        <v>465</v>
      </c>
      <c r="I4397" s="19">
        <v>92500</v>
      </c>
    </row>
    <row r="4398" spans="1:12" x14ac:dyDescent="0.2">
      <c r="A4398" s="1" t="s">
        <v>39</v>
      </c>
      <c r="B4398" s="2" t="s">
        <v>38</v>
      </c>
      <c r="C4398" s="1"/>
      <c r="D4398" s="5" t="s">
        <v>464</v>
      </c>
      <c r="G4398" s="57" t="s">
        <v>465</v>
      </c>
      <c r="H4398" s="19" t="s">
        <v>465</v>
      </c>
      <c r="I4398" s="19">
        <v>92500</v>
      </c>
    </row>
    <row r="4399" spans="1:12" x14ac:dyDescent="0.2">
      <c r="A4399" s="1" t="s">
        <v>39</v>
      </c>
      <c r="B4399" s="2" t="s">
        <v>38</v>
      </c>
      <c r="C4399" s="1"/>
      <c r="D4399" s="5" t="s">
        <v>464</v>
      </c>
      <c r="G4399" s="57" t="s">
        <v>465</v>
      </c>
      <c r="H4399" s="19" t="s">
        <v>465</v>
      </c>
      <c r="I4399" s="19">
        <v>92500</v>
      </c>
    </row>
    <row r="4400" spans="1:12" x14ac:dyDescent="0.2">
      <c r="A4400" s="1" t="s">
        <v>39</v>
      </c>
      <c r="B4400" s="2" t="s">
        <v>38</v>
      </c>
      <c r="C4400" s="1"/>
      <c r="D4400" s="5" t="s">
        <v>464</v>
      </c>
      <c r="G4400" s="57" t="s">
        <v>465</v>
      </c>
      <c r="H4400" s="19" t="s">
        <v>465</v>
      </c>
      <c r="I4400" s="19">
        <v>92500</v>
      </c>
    </row>
    <row r="4401" spans="1:10" x14ac:dyDescent="0.2">
      <c r="A4401" s="1" t="s">
        <v>39</v>
      </c>
      <c r="B4401" s="2" t="s">
        <v>38</v>
      </c>
      <c r="C4401" s="1"/>
      <c r="D4401" s="5" t="s">
        <v>464</v>
      </c>
      <c r="G4401" s="57" t="s">
        <v>465</v>
      </c>
      <c r="H4401" s="19" t="s">
        <v>465</v>
      </c>
      <c r="I4401" s="19">
        <v>92500</v>
      </c>
    </row>
    <row r="4402" spans="1:10" x14ac:dyDescent="0.2">
      <c r="A4402" s="1" t="s">
        <v>39</v>
      </c>
      <c r="B4402" s="2" t="s">
        <v>38</v>
      </c>
      <c r="C4402" s="1"/>
      <c r="D4402" s="5" t="s">
        <v>464</v>
      </c>
      <c r="G4402" s="57" t="s">
        <v>465</v>
      </c>
      <c r="H4402" s="19" t="s">
        <v>465</v>
      </c>
      <c r="I4402" s="19">
        <v>92500</v>
      </c>
    </row>
    <row r="4403" spans="1:10" x14ac:dyDescent="0.2">
      <c r="A4403" s="1" t="s">
        <v>39</v>
      </c>
      <c r="B4403" s="2" t="s">
        <v>38</v>
      </c>
      <c r="C4403" s="1"/>
      <c r="D4403" s="5" t="s">
        <v>464</v>
      </c>
      <c r="G4403" s="57" t="s">
        <v>465</v>
      </c>
      <c r="H4403" s="19" t="s">
        <v>465</v>
      </c>
      <c r="I4403" s="19">
        <v>92500</v>
      </c>
    </row>
    <row r="4404" spans="1:10" x14ac:dyDescent="0.2">
      <c r="A4404" s="1" t="s">
        <v>39</v>
      </c>
      <c r="B4404" s="2" t="s">
        <v>38</v>
      </c>
      <c r="C4404" s="1"/>
      <c r="D4404" s="5" t="s">
        <v>464</v>
      </c>
      <c r="G4404" s="57" t="s">
        <v>465</v>
      </c>
      <c r="H4404" s="19" t="s">
        <v>465</v>
      </c>
      <c r="I4404" s="19">
        <v>92500</v>
      </c>
    </row>
    <row r="4405" spans="1:10" x14ac:dyDescent="0.2">
      <c r="A4405" s="1" t="s">
        <v>39</v>
      </c>
      <c r="B4405" s="2" t="s">
        <v>38</v>
      </c>
      <c r="C4405" s="1"/>
      <c r="D4405" s="5" t="s">
        <v>464</v>
      </c>
      <c r="G4405" s="57" t="s">
        <v>465</v>
      </c>
      <c r="H4405" s="19" t="s">
        <v>465</v>
      </c>
      <c r="I4405" s="19">
        <v>92500</v>
      </c>
    </row>
    <row r="4406" spans="1:10" x14ac:dyDescent="0.2">
      <c r="A4406" s="1" t="s">
        <v>39</v>
      </c>
      <c r="B4406" s="2" t="s">
        <v>38</v>
      </c>
      <c r="C4406" s="1"/>
      <c r="D4406" s="5" t="s">
        <v>464</v>
      </c>
      <c r="G4406" s="57" t="s">
        <v>465</v>
      </c>
      <c r="H4406" s="19" t="s">
        <v>465</v>
      </c>
      <c r="I4406" s="19">
        <v>92500</v>
      </c>
    </row>
    <row r="4407" spans="1:10" x14ac:dyDescent="0.2">
      <c r="A4407" s="1" t="s">
        <v>39</v>
      </c>
      <c r="B4407" s="2" t="s">
        <v>38</v>
      </c>
      <c r="C4407" s="1"/>
      <c r="D4407" s="5" t="s">
        <v>464</v>
      </c>
      <c r="G4407" s="57" t="s">
        <v>465</v>
      </c>
      <c r="H4407" s="19" t="s">
        <v>465</v>
      </c>
      <c r="I4407" s="19">
        <v>92500</v>
      </c>
    </row>
    <row r="4408" spans="1:10" x14ac:dyDescent="0.2">
      <c r="A4408" s="1" t="s">
        <v>39</v>
      </c>
      <c r="B4408" s="2" t="s">
        <v>38</v>
      </c>
      <c r="C4408" s="1"/>
      <c r="D4408" s="5" t="s">
        <v>464</v>
      </c>
      <c r="G4408" s="57" t="s">
        <v>465</v>
      </c>
      <c r="H4408" s="19" t="s">
        <v>465</v>
      </c>
      <c r="I4408" s="19">
        <v>92500</v>
      </c>
      <c r="J4408" s="1"/>
    </row>
    <row r="4409" spans="1:10" x14ac:dyDescent="0.2">
      <c r="A4409" s="1" t="s">
        <v>39</v>
      </c>
      <c r="B4409" s="2" t="s">
        <v>38</v>
      </c>
      <c r="C4409" s="1"/>
      <c r="D4409" s="5" t="s">
        <v>464</v>
      </c>
      <c r="G4409" s="57" t="s">
        <v>465</v>
      </c>
      <c r="H4409" s="19" t="s">
        <v>465</v>
      </c>
      <c r="I4409" s="19">
        <v>92500</v>
      </c>
      <c r="J4409" s="1"/>
    </row>
    <row r="4410" spans="1:10" x14ac:dyDescent="0.2">
      <c r="A4410" s="1" t="s">
        <v>39</v>
      </c>
      <c r="B4410" s="2" t="s">
        <v>38</v>
      </c>
      <c r="C4410" s="1"/>
      <c r="D4410" s="5" t="s">
        <v>464</v>
      </c>
      <c r="G4410" s="57" t="s">
        <v>465</v>
      </c>
      <c r="H4410" s="19" t="s">
        <v>465</v>
      </c>
      <c r="I4410" s="19">
        <v>92500</v>
      </c>
      <c r="J4410" s="1"/>
    </row>
    <row r="4411" spans="1:10" x14ac:dyDescent="0.2">
      <c r="A4411" s="1" t="s">
        <v>39</v>
      </c>
      <c r="B4411" s="2" t="s">
        <v>38</v>
      </c>
      <c r="C4411" s="1"/>
      <c r="D4411" s="5" t="s">
        <v>464</v>
      </c>
      <c r="G4411" s="57" t="s">
        <v>465</v>
      </c>
      <c r="H4411" s="19" t="s">
        <v>465</v>
      </c>
      <c r="I4411" s="19">
        <v>92500</v>
      </c>
      <c r="J4411" s="1"/>
    </row>
    <row r="4412" spans="1:10" x14ac:dyDescent="0.2">
      <c r="A4412" s="1" t="s">
        <v>39</v>
      </c>
      <c r="B4412" s="2" t="s">
        <v>38</v>
      </c>
      <c r="C4412" s="1"/>
      <c r="D4412" s="5" t="s">
        <v>464</v>
      </c>
      <c r="G4412" s="57" t="s">
        <v>465</v>
      </c>
      <c r="H4412" s="19" t="s">
        <v>465</v>
      </c>
      <c r="I4412" s="19">
        <v>92500</v>
      </c>
      <c r="J4412" s="1"/>
    </row>
    <row r="4413" spans="1:10" x14ac:dyDescent="0.2">
      <c r="A4413" s="1" t="s">
        <v>39</v>
      </c>
      <c r="B4413" s="2" t="s">
        <v>38</v>
      </c>
      <c r="C4413" s="1"/>
      <c r="D4413" s="5" t="s">
        <v>464</v>
      </c>
      <c r="G4413" s="57" t="s">
        <v>465</v>
      </c>
      <c r="H4413" s="19" t="s">
        <v>465</v>
      </c>
      <c r="I4413" s="19">
        <v>92500</v>
      </c>
      <c r="J4413" s="1"/>
    </row>
    <row r="4414" spans="1:10" x14ac:dyDescent="0.2">
      <c r="A4414" s="1" t="s">
        <v>39</v>
      </c>
      <c r="B4414" s="2" t="s">
        <v>38</v>
      </c>
      <c r="C4414" s="1"/>
      <c r="D4414" s="5" t="s">
        <v>464</v>
      </c>
      <c r="G4414" s="57" t="s">
        <v>465</v>
      </c>
      <c r="H4414" s="19" t="s">
        <v>465</v>
      </c>
      <c r="I4414" s="19">
        <v>92500</v>
      </c>
      <c r="J4414" s="1"/>
    </row>
    <row r="4415" spans="1:10" x14ac:dyDescent="0.2">
      <c r="A4415" s="1" t="s">
        <v>39</v>
      </c>
      <c r="B4415" s="2" t="s">
        <v>38</v>
      </c>
      <c r="C4415" s="1"/>
      <c r="D4415" s="5" t="s">
        <v>464</v>
      </c>
      <c r="G4415" s="57" t="s">
        <v>465</v>
      </c>
      <c r="H4415" s="19" t="s">
        <v>465</v>
      </c>
      <c r="I4415" s="19">
        <v>92500</v>
      </c>
      <c r="J4415" s="1"/>
    </row>
    <row r="4416" spans="1:10" x14ac:dyDescent="0.2">
      <c r="A4416" s="1" t="s">
        <v>39</v>
      </c>
      <c r="B4416" s="2" t="s">
        <v>38</v>
      </c>
      <c r="C4416" s="1"/>
      <c r="D4416" s="5" t="s">
        <v>464</v>
      </c>
      <c r="G4416" s="57" t="s">
        <v>465</v>
      </c>
      <c r="H4416" s="19">
        <v>92500</v>
      </c>
      <c r="I4416" s="19" t="s">
        <v>465</v>
      </c>
      <c r="J4416" s="1"/>
    </row>
    <row r="4417" spans="1:10" x14ac:dyDescent="0.2">
      <c r="A4417" s="1" t="s">
        <v>39</v>
      </c>
      <c r="B4417" s="2" t="s">
        <v>38</v>
      </c>
      <c r="C4417" s="1"/>
      <c r="D4417" s="5" t="s">
        <v>464</v>
      </c>
      <c r="G4417" s="57" t="s">
        <v>465</v>
      </c>
      <c r="H4417" s="19">
        <v>92500</v>
      </c>
      <c r="I4417" s="19" t="s">
        <v>465</v>
      </c>
      <c r="J4417" s="1"/>
    </row>
    <row r="4418" spans="1:10" x14ac:dyDescent="0.2">
      <c r="A4418" s="1" t="s">
        <v>39</v>
      </c>
      <c r="B4418" s="2" t="s">
        <v>38</v>
      </c>
      <c r="C4418" s="1"/>
      <c r="D4418" s="5" t="s">
        <v>464</v>
      </c>
      <c r="G4418" s="57" t="s">
        <v>465</v>
      </c>
      <c r="H4418" s="19">
        <v>92500</v>
      </c>
      <c r="I4418" s="19" t="s">
        <v>465</v>
      </c>
      <c r="J4418" s="1"/>
    </row>
    <row r="4419" spans="1:10" x14ac:dyDescent="0.2">
      <c r="A4419" s="1" t="s">
        <v>39</v>
      </c>
      <c r="B4419" s="2" t="s">
        <v>38</v>
      </c>
      <c r="C4419" s="1"/>
      <c r="D4419" s="5" t="s">
        <v>464</v>
      </c>
      <c r="G4419" s="57" t="s">
        <v>465</v>
      </c>
      <c r="H4419" s="19">
        <v>92500</v>
      </c>
      <c r="I4419" s="19" t="s">
        <v>465</v>
      </c>
      <c r="J4419" s="1"/>
    </row>
    <row r="4420" spans="1:10" x14ac:dyDescent="0.2">
      <c r="A4420" s="1" t="s">
        <v>39</v>
      </c>
      <c r="B4420" s="2" t="s">
        <v>38</v>
      </c>
      <c r="C4420" s="1"/>
      <c r="D4420" s="5" t="s">
        <v>464</v>
      </c>
      <c r="G4420" s="57" t="s">
        <v>465</v>
      </c>
      <c r="H4420" s="19">
        <v>92500</v>
      </c>
      <c r="I4420" s="19" t="s">
        <v>465</v>
      </c>
      <c r="J4420" s="1"/>
    </row>
    <row r="4421" spans="1:10" x14ac:dyDescent="0.2">
      <c r="A4421" s="1" t="s">
        <v>39</v>
      </c>
      <c r="B4421" s="2" t="s">
        <v>38</v>
      </c>
      <c r="C4421" s="1"/>
      <c r="D4421" s="5" t="s">
        <v>464</v>
      </c>
      <c r="G4421" s="57" t="s">
        <v>465</v>
      </c>
      <c r="H4421" s="19">
        <v>92500</v>
      </c>
      <c r="I4421" s="19" t="s">
        <v>465</v>
      </c>
      <c r="J4421" s="1"/>
    </row>
    <row r="4422" spans="1:10" x14ac:dyDescent="0.2">
      <c r="A4422" s="1" t="s">
        <v>39</v>
      </c>
      <c r="B4422" s="2" t="s">
        <v>38</v>
      </c>
      <c r="C4422" s="1"/>
      <c r="D4422" s="5" t="s">
        <v>464</v>
      </c>
      <c r="G4422" s="57" t="s">
        <v>465</v>
      </c>
      <c r="H4422" s="19">
        <v>92500</v>
      </c>
      <c r="I4422" s="19" t="s">
        <v>465</v>
      </c>
      <c r="J4422" s="1"/>
    </row>
    <row r="4423" spans="1:10" x14ac:dyDescent="0.2">
      <c r="A4423" s="1" t="s">
        <v>39</v>
      </c>
      <c r="B4423" s="2" t="s">
        <v>38</v>
      </c>
      <c r="C4423" s="1"/>
      <c r="D4423" s="5" t="s">
        <v>464</v>
      </c>
      <c r="G4423" s="57" t="s">
        <v>465</v>
      </c>
      <c r="H4423" s="19">
        <v>92500</v>
      </c>
      <c r="I4423" s="19" t="s">
        <v>465</v>
      </c>
      <c r="J4423" s="1"/>
    </row>
    <row r="4424" spans="1:10" x14ac:dyDescent="0.2">
      <c r="A4424" s="1" t="s">
        <v>39</v>
      </c>
      <c r="B4424" s="2" t="s">
        <v>38</v>
      </c>
      <c r="C4424" s="1"/>
      <c r="D4424" s="5" t="s">
        <v>464</v>
      </c>
      <c r="G4424" s="57" t="s">
        <v>465</v>
      </c>
      <c r="H4424" s="19">
        <v>92500</v>
      </c>
      <c r="I4424" s="19" t="s">
        <v>465</v>
      </c>
      <c r="J4424" s="1"/>
    </row>
    <row r="4425" spans="1:10" x14ac:dyDescent="0.2">
      <c r="A4425" s="1" t="s">
        <v>39</v>
      </c>
      <c r="B4425" s="2" t="s">
        <v>38</v>
      </c>
      <c r="C4425" s="1"/>
      <c r="D4425" s="5" t="s">
        <v>464</v>
      </c>
      <c r="G4425" s="57" t="s">
        <v>465</v>
      </c>
      <c r="H4425" s="19">
        <v>92500</v>
      </c>
      <c r="I4425" s="19" t="s">
        <v>465</v>
      </c>
      <c r="J4425" s="1"/>
    </row>
    <row r="4426" spans="1:10" x14ac:dyDescent="0.2">
      <c r="A4426" s="1" t="s">
        <v>39</v>
      </c>
      <c r="B4426" s="2" t="s">
        <v>38</v>
      </c>
      <c r="C4426" s="1"/>
      <c r="D4426" s="5" t="s">
        <v>464</v>
      </c>
      <c r="G4426" s="57" t="s">
        <v>465</v>
      </c>
      <c r="H4426" s="19">
        <v>92500</v>
      </c>
      <c r="I4426" s="19" t="s">
        <v>465</v>
      </c>
      <c r="J4426" s="1"/>
    </row>
    <row r="4427" spans="1:10" x14ac:dyDescent="0.2">
      <c r="A4427" s="1" t="s">
        <v>39</v>
      </c>
      <c r="B4427" s="2" t="s">
        <v>38</v>
      </c>
      <c r="C4427" s="1"/>
      <c r="D4427" s="5" t="s">
        <v>464</v>
      </c>
      <c r="G4427" s="57" t="s">
        <v>465</v>
      </c>
      <c r="H4427" s="19">
        <v>92500</v>
      </c>
      <c r="I4427" s="19" t="s">
        <v>465</v>
      </c>
      <c r="J4427" s="1"/>
    </row>
    <row r="4428" spans="1:10" x14ac:dyDescent="0.2">
      <c r="A4428" s="1" t="s">
        <v>39</v>
      </c>
      <c r="B4428" s="2" t="s">
        <v>38</v>
      </c>
      <c r="C4428" s="1"/>
      <c r="D4428" s="5" t="s">
        <v>464</v>
      </c>
      <c r="G4428" s="57" t="s">
        <v>465</v>
      </c>
      <c r="H4428" s="19">
        <v>92500</v>
      </c>
      <c r="I4428" s="19" t="s">
        <v>465</v>
      </c>
      <c r="J4428" s="1"/>
    </row>
    <row r="4429" spans="1:10" x14ac:dyDescent="0.2">
      <c r="A4429" s="1" t="s">
        <v>39</v>
      </c>
      <c r="B4429" s="2" t="s">
        <v>38</v>
      </c>
      <c r="C4429" s="1"/>
      <c r="D4429" s="5" t="s">
        <v>464</v>
      </c>
      <c r="G4429" s="57" t="s">
        <v>465</v>
      </c>
      <c r="H4429" s="19">
        <v>92500</v>
      </c>
      <c r="I4429" s="19" t="s">
        <v>465</v>
      </c>
      <c r="J4429" s="1"/>
    </row>
    <row r="4430" spans="1:10" x14ac:dyDescent="0.2">
      <c r="A4430" s="1" t="s">
        <v>39</v>
      </c>
      <c r="B4430" s="2" t="s">
        <v>38</v>
      </c>
      <c r="C4430" s="1"/>
      <c r="D4430" s="5" t="s">
        <v>464</v>
      </c>
      <c r="G4430" s="57" t="s">
        <v>465</v>
      </c>
      <c r="H4430" s="19" t="s">
        <v>465</v>
      </c>
      <c r="I4430" s="19">
        <v>97500</v>
      </c>
      <c r="J4430" s="1"/>
    </row>
    <row r="4431" spans="1:10" x14ac:dyDescent="0.2">
      <c r="A4431" s="1" t="s">
        <v>39</v>
      </c>
      <c r="B4431" s="2" t="s">
        <v>38</v>
      </c>
      <c r="C4431" s="1"/>
      <c r="D4431" s="5" t="s">
        <v>464</v>
      </c>
      <c r="G4431" s="57" t="s">
        <v>465</v>
      </c>
      <c r="H4431" s="19" t="s">
        <v>465</v>
      </c>
      <c r="I4431" s="19">
        <v>97500</v>
      </c>
      <c r="J4431" s="1"/>
    </row>
    <row r="4432" spans="1:10" x14ac:dyDescent="0.2">
      <c r="A4432" s="1" t="s">
        <v>39</v>
      </c>
      <c r="B4432" s="2" t="s">
        <v>38</v>
      </c>
      <c r="C4432" s="1"/>
      <c r="D4432" s="5" t="s">
        <v>464</v>
      </c>
      <c r="G4432" s="57" t="s">
        <v>465</v>
      </c>
      <c r="H4432" s="19" t="s">
        <v>465</v>
      </c>
      <c r="I4432" s="19">
        <v>97500</v>
      </c>
      <c r="J4432" s="1"/>
    </row>
    <row r="4433" spans="1:10" x14ac:dyDescent="0.2">
      <c r="A4433" s="1" t="s">
        <v>39</v>
      </c>
      <c r="B4433" s="2" t="s">
        <v>38</v>
      </c>
      <c r="C4433" s="1"/>
      <c r="D4433" s="5" t="s">
        <v>464</v>
      </c>
      <c r="G4433" s="57" t="s">
        <v>465</v>
      </c>
      <c r="H4433" s="19" t="s">
        <v>465</v>
      </c>
      <c r="I4433" s="19">
        <v>97500</v>
      </c>
      <c r="J4433" s="1"/>
    </row>
    <row r="4434" spans="1:10" x14ac:dyDescent="0.2">
      <c r="A4434" s="1" t="s">
        <v>39</v>
      </c>
      <c r="B4434" s="2" t="s">
        <v>38</v>
      </c>
      <c r="C4434" s="1"/>
      <c r="D4434" s="5" t="s">
        <v>464</v>
      </c>
      <c r="G4434" s="57" t="s">
        <v>465</v>
      </c>
      <c r="H4434" s="19" t="s">
        <v>465</v>
      </c>
      <c r="I4434" s="19">
        <v>97500</v>
      </c>
      <c r="J4434" s="1"/>
    </row>
    <row r="4435" spans="1:10" x14ac:dyDescent="0.2">
      <c r="A4435" s="1" t="s">
        <v>39</v>
      </c>
      <c r="B4435" s="2" t="s">
        <v>38</v>
      </c>
      <c r="C4435" s="1"/>
      <c r="D4435" s="5" t="s">
        <v>464</v>
      </c>
      <c r="G4435" s="57" t="s">
        <v>465</v>
      </c>
      <c r="H4435" s="19" t="s">
        <v>465</v>
      </c>
      <c r="I4435" s="19">
        <v>97500</v>
      </c>
      <c r="J4435" s="1"/>
    </row>
    <row r="4436" spans="1:10" x14ac:dyDescent="0.2">
      <c r="A4436" s="1" t="s">
        <v>39</v>
      </c>
      <c r="B4436" s="2" t="s">
        <v>38</v>
      </c>
      <c r="C4436" s="1"/>
      <c r="D4436" s="5" t="s">
        <v>464</v>
      </c>
      <c r="G4436" s="57" t="s">
        <v>465</v>
      </c>
      <c r="H4436" s="19">
        <v>97500</v>
      </c>
      <c r="I4436" s="19" t="s">
        <v>465</v>
      </c>
      <c r="J4436" s="1"/>
    </row>
    <row r="4437" spans="1:10" x14ac:dyDescent="0.2">
      <c r="A4437" s="1" t="s">
        <v>39</v>
      </c>
      <c r="B4437" s="2" t="s">
        <v>38</v>
      </c>
      <c r="C4437" s="1"/>
      <c r="D4437" s="5" t="s">
        <v>464</v>
      </c>
      <c r="G4437" s="57" t="s">
        <v>465</v>
      </c>
      <c r="H4437" s="19">
        <v>97500</v>
      </c>
      <c r="I4437" s="19" t="s">
        <v>465</v>
      </c>
      <c r="J4437" s="1"/>
    </row>
    <row r="4438" spans="1:10" x14ac:dyDescent="0.2">
      <c r="A4438" s="1" t="s">
        <v>6</v>
      </c>
      <c r="B4438" s="2" t="s">
        <v>41</v>
      </c>
      <c r="C4438" s="1"/>
      <c r="D4438" s="5" t="s">
        <v>464</v>
      </c>
      <c r="G4438" s="57" t="s">
        <v>465</v>
      </c>
      <c r="H4438" s="19" t="s">
        <v>465</v>
      </c>
      <c r="I4438" s="19">
        <v>92500</v>
      </c>
      <c r="J4438" s="5" t="s">
        <v>3718</v>
      </c>
    </row>
    <row r="4439" spans="1:10" x14ac:dyDescent="0.2">
      <c r="A4439" s="1" t="s">
        <v>6</v>
      </c>
      <c r="B4439" s="2" t="s">
        <v>41</v>
      </c>
      <c r="C4439" s="1"/>
      <c r="D4439" s="5" t="s">
        <v>464</v>
      </c>
      <c r="G4439" s="57" t="s">
        <v>465</v>
      </c>
      <c r="H4439" s="19" t="s">
        <v>465</v>
      </c>
      <c r="I4439" s="19">
        <v>92500</v>
      </c>
      <c r="J4439" s="5" t="s">
        <v>3718</v>
      </c>
    </row>
    <row r="4440" spans="1:10" x14ac:dyDescent="0.2">
      <c r="A4440" s="1" t="s">
        <v>6</v>
      </c>
      <c r="B4440" s="2" t="s">
        <v>41</v>
      </c>
      <c r="C4440" s="1"/>
      <c r="D4440" s="5" t="s">
        <v>464</v>
      </c>
      <c r="G4440" s="57" t="s">
        <v>465</v>
      </c>
      <c r="H4440" s="19">
        <v>97500</v>
      </c>
      <c r="I4440" s="19" t="s">
        <v>465</v>
      </c>
      <c r="J4440" s="5" t="s">
        <v>3718</v>
      </c>
    </row>
    <row r="4441" spans="1:10" x14ac:dyDescent="0.2">
      <c r="A4441" s="1" t="s">
        <v>6</v>
      </c>
      <c r="B4441" s="2" t="s">
        <v>42</v>
      </c>
      <c r="C4441" s="1"/>
      <c r="D4441" s="5" t="s">
        <v>464</v>
      </c>
      <c r="G4441" s="57" t="s">
        <v>465</v>
      </c>
      <c r="H4441" s="19">
        <v>92500</v>
      </c>
      <c r="I4441" s="19" t="s">
        <v>465</v>
      </c>
      <c r="J4441" s="5" t="s">
        <v>3718</v>
      </c>
    </row>
    <row r="4442" spans="1:10" x14ac:dyDescent="0.2">
      <c r="A4442" s="1" t="s">
        <v>6</v>
      </c>
      <c r="B4442" s="2" t="s">
        <v>42</v>
      </c>
      <c r="C4442" s="1"/>
      <c r="D4442" s="5" t="s">
        <v>464</v>
      </c>
      <c r="G4442" s="57" t="s">
        <v>465</v>
      </c>
      <c r="H4442" s="19">
        <v>92500</v>
      </c>
      <c r="I4442" s="19" t="s">
        <v>465</v>
      </c>
      <c r="J4442" s="5" t="s">
        <v>3718</v>
      </c>
    </row>
    <row r="4443" spans="1:10" x14ac:dyDescent="0.2">
      <c r="A4443" s="1" t="s">
        <v>6</v>
      </c>
      <c r="B4443" s="2" t="s">
        <v>42</v>
      </c>
      <c r="C4443" s="1"/>
      <c r="D4443" s="5" t="s">
        <v>464</v>
      </c>
      <c r="G4443" s="57" t="s">
        <v>465</v>
      </c>
      <c r="H4443" s="19">
        <v>92500</v>
      </c>
      <c r="I4443" s="19" t="s">
        <v>465</v>
      </c>
      <c r="J4443" s="5" t="s">
        <v>3718</v>
      </c>
    </row>
    <row r="4444" spans="1:10" x14ac:dyDescent="0.2">
      <c r="A4444" s="1" t="s">
        <v>6</v>
      </c>
      <c r="B4444" s="2" t="s">
        <v>42</v>
      </c>
      <c r="C4444" s="1"/>
      <c r="D4444" s="5" t="s">
        <v>464</v>
      </c>
      <c r="G4444" s="57" t="s">
        <v>465</v>
      </c>
      <c r="H4444" s="19" t="s">
        <v>465</v>
      </c>
      <c r="I4444" s="19">
        <v>92500</v>
      </c>
      <c r="J4444" s="5" t="s">
        <v>3718</v>
      </c>
    </row>
    <row r="4445" spans="1:10" x14ac:dyDescent="0.2">
      <c r="A4445" s="1" t="s">
        <v>6</v>
      </c>
      <c r="B4445" s="2" t="s">
        <v>42</v>
      </c>
      <c r="C4445" s="1"/>
      <c r="D4445" s="5" t="s">
        <v>464</v>
      </c>
      <c r="G4445" s="57" t="s">
        <v>465</v>
      </c>
      <c r="H4445" s="19" t="s">
        <v>465</v>
      </c>
      <c r="I4445" s="19">
        <v>92500</v>
      </c>
      <c r="J4445" s="5" t="s">
        <v>3718</v>
      </c>
    </row>
    <row r="4446" spans="1:10" x14ac:dyDescent="0.2">
      <c r="A4446" s="1" t="s">
        <v>6</v>
      </c>
      <c r="B4446" s="2" t="s">
        <v>42</v>
      </c>
      <c r="C4446" s="1"/>
      <c r="D4446" s="5" t="s">
        <v>464</v>
      </c>
      <c r="G4446" s="57" t="s">
        <v>465</v>
      </c>
      <c r="H4446" s="19">
        <v>97500</v>
      </c>
      <c r="I4446" s="19" t="s">
        <v>465</v>
      </c>
      <c r="J4446" s="5" t="s">
        <v>3718</v>
      </c>
    </row>
    <row r="4447" spans="1:10" x14ac:dyDescent="0.2">
      <c r="A4447" s="1" t="s">
        <v>6</v>
      </c>
      <c r="B4447" s="2" t="s">
        <v>42</v>
      </c>
      <c r="C4447" s="1"/>
      <c r="D4447" s="5" t="s">
        <v>464</v>
      </c>
      <c r="G4447" s="57" t="s">
        <v>465</v>
      </c>
      <c r="H4447" s="19" t="s">
        <v>465</v>
      </c>
      <c r="I4447" s="19">
        <v>97500</v>
      </c>
      <c r="J4447" s="5" t="s">
        <v>3718</v>
      </c>
    </row>
    <row r="4448" spans="1:10" x14ac:dyDescent="0.2">
      <c r="A4448" s="1" t="s">
        <v>6</v>
      </c>
      <c r="B4448" s="2" t="s">
        <v>46</v>
      </c>
      <c r="C4448" s="1"/>
      <c r="D4448" s="5" t="s">
        <v>464</v>
      </c>
      <c r="G4448" s="57" t="s">
        <v>465</v>
      </c>
      <c r="H4448" s="19" t="s">
        <v>465</v>
      </c>
      <c r="I4448" s="19">
        <v>92500</v>
      </c>
    </row>
    <row r="4449" spans="1:12" x14ac:dyDescent="0.2">
      <c r="A4449" s="13" t="s">
        <v>34</v>
      </c>
      <c r="B4449" s="12" t="s">
        <v>48</v>
      </c>
      <c r="C4449" s="13"/>
      <c r="D4449" s="7" t="s">
        <v>464</v>
      </c>
      <c r="E4449" s="6"/>
      <c r="F4449" s="6"/>
      <c r="G4449" s="57" t="s">
        <v>465</v>
      </c>
      <c r="H4449" s="21" t="s">
        <v>465</v>
      </c>
      <c r="I4449" s="21">
        <v>92500</v>
      </c>
      <c r="J4449" s="7"/>
      <c r="K4449" s="13"/>
      <c r="L4449" s="13"/>
    </row>
    <row r="4450" spans="1:12" x14ac:dyDescent="0.2">
      <c r="A4450" s="13" t="s">
        <v>34</v>
      </c>
      <c r="B4450" s="12" t="s">
        <v>48</v>
      </c>
      <c r="C4450" s="13"/>
      <c r="D4450" s="7" t="s">
        <v>464</v>
      </c>
      <c r="E4450" s="6"/>
      <c r="F4450" s="6"/>
      <c r="G4450" s="57" t="s">
        <v>465</v>
      </c>
      <c r="H4450" s="21" t="s">
        <v>465</v>
      </c>
      <c r="I4450" s="21">
        <v>92500</v>
      </c>
      <c r="J4450" s="7"/>
      <c r="K4450" s="13"/>
      <c r="L4450" s="13"/>
    </row>
    <row r="4451" spans="1:12" x14ac:dyDescent="0.2">
      <c r="A4451" s="13" t="s">
        <v>34</v>
      </c>
      <c r="B4451" s="12" t="s">
        <v>48</v>
      </c>
      <c r="C4451" s="13"/>
      <c r="D4451" s="7" t="s">
        <v>464</v>
      </c>
      <c r="E4451" s="6"/>
      <c r="F4451" s="6"/>
      <c r="G4451" s="57" t="s">
        <v>465</v>
      </c>
      <c r="H4451" s="21">
        <v>97500</v>
      </c>
      <c r="I4451" s="21" t="s">
        <v>465</v>
      </c>
      <c r="J4451" s="7"/>
      <c r="K4451" s="13"/>
      <c r="L4451" s="13"/>
    </row>
    <row r="4452" spans="1:12" x14ac:dyDescent="0.2">
      <c r="A4452" s="13" t="s">
        <v>34</v>
      </c>
      <c r="B4452" s="12" t="s">
        <v>48</v>
      </c>
      <c r="C4452" s="13"/>
      <c r="D4452" s="7" t="s">
        <v>464</v>
      </c>
      <c r="E4452" s="6"/>
      <c r="F4452" s="6"/>
      <c r="G4452" s="57" t="s">
        <v>465</v>
      </c>
      <c r="H4452" s="21">
        <v>97500</v>
      </c>
      <c r="I4452" s="21" t="s">
        <v>465</v>
      </c>
      <c r="J4452" s="7"/>
      <c r="K4452" s="13"/>
      <c r="L4452" s="13"/>
    </row>
    <row r="4453" spans="1:12" x14ac:dyDescent="0.2">
      <c r="A4453" s="13" t="s">
        <v>34</v>
      </c>
      <c r="B4453" s="12" t="s">
        <v>48</v>
      </c>
      <c r="C4453" s="13"/>
      <c r="D4453" s="7" t="s">
        <v>464</v>
      </c>
      <c r="E4453" s="6"/>
      <c r="F4453" s="6"/>
      <c r="G4453" s="57" t="s">
        <v>465</v>
      </c>
      <c r="H4453" s="21" t="s">
        <v>465</v>
      </c>
      <c r="I4453" s="21">
        <v>97500</v>
      </c>
      <c r="J4453" s="7"/>
      <c r="K4453" s="13"/>
      <c r="L4453" s="13"/>
    </row>
    <row r="4454" spans="1:12" x14ac:dyDescent="0.2">
      <c r="A4454" s="13" t="s">
        <v>34</v>
      </c>
      <c r="B4454" s="12" t="s">
        <v>48</v>
      </c>
      <c r="C4454" s="13"/>
      <c r="D4454" s="7" t="s">
        <v>464</v>
      </c>
      <c r="E4454" s="6"/>
      <c r="F4454" s="6"/>
      <c r="G4454" s="57" t="s">
        <v>465</v>
      </c>
      <c r="H4454" s="21" t="s">
        <v>465</v>
      </c>
      <c r="I4454" s="21">
        <v>97500</v>
      </c>
      <c r="J4454" s="7"/>
      <c r="K4454" s="13"/>
      <c r="L4454" s="13"/>
    </row>
    <row r="4455" spans="1:12" x14ac:dyDescent="0.2">
      <c r="A4455" s="1" t="s">
        <v>4</v>
      </c>
      <c r="B4455" s="2" t="s">
        <v>49</v>
      </c>
      <c r="C4455" s="1"/>
      <c r="D4455" s="5" t="s">
        <v>464</v>
      </c>
      <c r="G4455" s="57" t="s">
        <v>465</v>
      </c>
      <c r="H4455" s="19">
        <v>92500</v>
      </c>
      <c r="I4455" s="19" t="s">
        <v>465</v>
      </c>
    </row>
    <row r="4456" spans="1:12" x14ac:dyDescent="0.2">
      <c r="A4456" s="1" t="s">
        <v>4</v>
      </c>
      <c r="B4456" s="2" t="s">
        <v>49</v>
      </c>
      <c r="C4456" s="1"/>
      <c r="D4456" s="5" t="s">
        <v>464</v>
      </c>
      <c r="G4456" s="57" t="s">
        <v>465</v>
      </c>
      <c r="H4456" s="19">
        <v>92500</v>
      </c>
      <c r="I4456" s="19" t="s">
        <v>465</v>
      </c>
    </row>
    <row r="4457" spans="1:12" x14ac:dyDescent="0.2">
      <c r="A4457" s="1" t="s">
        <v>4</v>
      </c>
      <c r="B4457" s="2" t="s">
        <v>49</v>
      </c>
      <c r="C4457" s="1"/>
      <c r="D4457" s="5" t="s">
        <v>464</v>
      </c>
      <c r="G4457" s="57" t="s">
        <v>465</v>
      </c>
      <c r="H4457" s="19" t="s">
        <v>465</v>
      </c>
      <c r="I4457" s="19">
        <v>92500</v>
      </c>
    </row>
    <row r="4458" spans="1:12" x14ac:dyDescent="0.2">
      <c r="A4458" s="1" t="s">
        <v>4</v>
      </c>
      <c r="B4458" s="2" t="s">
        <v>49</v>
      </c>
      <c r="C4458" s="1"/>
      <c r="D4458" s="5" t="s">
        <v>464</v>
      </c>
      <c r="G4458" s="57" t="s">
        <v>465</v>
      </c>
      <c r="H4458" s="19" t="s">
        <v>465</v>
      </c>
      <c r="I4458" s="19">
        <v>97500</v>
      </c>
    </row>
    <row r="4459" spans="1:12" x14ac:dyDescent="0.2">
      <c r="A4459" s="1" t="s">
        <v>4</v>
      </c>
      <c r="B4459" s="2" t="s">
        <v>49</v>
      </c>
      <c r="C4459" s="1"/>
      <c r="D4459" s="5" t="s">
        <v>464</v>
      </c>
      <c r="G4459" s="57" t="s">
        <v>465</v>
      </c>
      <c r="H4459" s="19" t="s">
        <v>465</v>
      </c>
      <c r="I4459" s="19">
        <v>97500</v>
      </c>
    </row>
    <row r="4460" spans="1:12" x14ac:dyDescent="0.2">
      <c r="A4460" s="1" t="s">
        <v>28</v>
      </c>
      <c r="B4460" s="2" t="s">
        <v>50</v>
      </c>
      <c r="C4460" s="1"/>
      <c r="D4460" s="5" t="s">
        <v>464</v>
      </c>
      <c r="G4460" s="57" t="s">
        <v>465</v>
      </c>
      <c r="H4460" s="19">
        <v>92500</v>
      </c>
      <c r="I4460" s="19" t="s">
        <v>465</v>
      </c>
    </row>
    <row r="4461" spans="1:12" x14ac:dyDescent="0.2">
      <c r="A4461" s="1" t="s">
        <v>28</v>
      </c>
      <c r="B4461" s="2" t="s">
        <v>50</v>
      </c>
      <c r="C4461" s="1"/>
      <c r="D4461" s="5" t="s">
        <v>464</v>
      </c>
      <c r="G4461" s="57" t="s">
        <v>465</v>
      </c>
      <c r="H4461" s="19">
        <v>92500</v>
      </c>
      <c r="I4461" s="19" t="s">
        <v>465</v>
      </c>
    </row>
    <row r="4462" spans="1:12" x14ac:dyDescent="0.2">
      <c r="A4462" s="1" t="s">
        <v>28</v>
      </c>
      <c r="B4462" s="2" t="s">
        <v>50</v>
      </c>
      <c r="C4462" s="1"/>
      <c r="D4462" s="5" t="s">
        <v>464</v>
      </c>
      <c r="G4462" s="57" t="s">
        <v>465</v>
      </c>
      <c r="H4462" s="19">
        <v>92500</v>
      </c>
      <c r="I4462" s="19" t="s">
        <v>465</v>
      </c>
    </row>
    <row r="4463" spans="1:12" x14ac:dyDescent="0.2">
      <c r="A4463" s="1" t="s">
        <v>28</v>
      </c>
      <c r="B4463" s="2" t="s">
        <v>50</v>
      </c>
      <c r="C4463" s="1"/>
      <c r="D4463" s="5" t="s">
        <v>464</v>
      </c>
      <c r="G4463" s="57" t="s">
        <v>465</v>
      </c>
      <c r="H4463" s="19">
        <v>92500</v>
      </c>
      <c r="I4463" s="19" t="s">
        <v>465</v>
      </c>
    </row>
    <row r="4464" spans="1:12" x14ac:dyDescent="0.2">
      <c r="A4464" s="1" t="s">
        <v>28</v>
      </c>
      <c r="B4464" s="2" t="s">
        <v>50</v>
      </c>
      <c r="C4464" s="1"/>
      <c r="D4464" s="5" t="s">
        <v>464</v>
      </c>
      <c r="G4464" s="57" t="s">
        <v>465</v>
      </c>
      <c r="H4464" s="19">
        <v>92500</v>
      </c>
      <c r="I4464" s="19" t="s">
        <v>465</v>
      </c>
    </row>
    <row r="4465" spans="1:10" x14ac:dyDescent="0.2">
      <c r="A4465" s="1" t="s">
        <v>28</v>
      </c>
      <c r="B4465" s="2" t="s">
        <v>50</v>
      </c>
      <c r="C4465" s="1"/>
      <c r="D4465" s="5" t="s">
        <v>464</v>
      </c>
      <c r="G4465" s="57" t="s">
        <v>465</v>
      </c>
      <c r="H4465" s="19">
        <v>92500</v>
      </c>
      <c r="I4465" s="19" t="s">
        <v>465</v>
      </c>
    </row>
    <row r="4466" spans="1:10" x14ac:dyDescent="0.2">
      <c r="A4466" s="1" t="s">
        <v>28</v>
      </c>
      <c r="B4466" s="2" t="s">
        <v>50</v>
      </c>
      <c r="C4466" s="1"/>
      <c r="D4466" s="5" t="s">
        <v>464</v>
      </c>
      <c r="G4466" s="57" t="s">
        <v>465</v>
      </c>
      <c r="H4466" s="19">
        <v>92500</v>
      </c>
      <c r="I4466" s="19" t="s">
        <v>465</v>
      </c>
    </row>
    <row r="4467" spans="1:10" x14ac:dyDescent="0.2">
      <c r="A4467" s="1" t="s">
        <v>28</v>
      </c>
      <c r="B4467" s="2" t="s">
        <v>50</v>
      </c>
      <c r="C4467" s="1"/>
      <c r="D4467" s="5" t="s">
        <v>464</v>
      </c>
      <c r="G4467" s="57" t="s">
        <v>465</v>
      </c>
      <c r="H4467" s="19">
        <v>92500</v>
      </c>
      <c r="I4467" s="19" t="s">
        <v>465</v>
      </c>
    </row>
    <row r="4468" spans="1:10" x14ac:dyDescent="0.2">
      <c r="A4468" s="1" t="s">
        <v>28</v>
      </c>
      <c r="B4468" s="2" t="s">
        <v>50</v>
      </c>
      <c r="C4468" s="1"/>
      <c r="D4468" s="5" t="s">
        <v>464</v>
      </c>
      <c r="G4468" s="57" t="s">
        <v>465</v>
      </c>
      <c r="H4468" s="19">
        <v>92500</v>
      </c>
      <c r="I4468" s="19" t="s">
        <v>465</v>
      </c>
    </row>
    <row r="4469" spans="1:10" x14ac:dyDescent="0.2">
      <c r="A4469" s="1" t="s">
        <v>28</v>
      </c>
      <c r="B4469" s="2" t="s">
        <v>50</v>
      </c>
      <c r="C4469" s="1"/>
      <c r="D4469" s="5" t="s">
        <v>464</v>
      </c>
      <c r="G4469" s="57" t="s">
        <v>465</v>
      </c>
      <c r="H4469" s="19" t="s">
        <v>465</v>
      </c>
      <c r="I4469" s="19">
        <v>92500</v>
      </c>
    </row>
    <row r="4470" spans="1:10" x14ac:dyDescent="0.2">
      <c r="A4470" s="1" t="s">
        <v>28</v>
      </c>
      <c r="B4470" s="2" t="s">
        <v>50</v>
      </c>
      <c r="C4470" s="1"/>
      <c r="D4470" s="5" t="s">
        <v>464</v>
      </c>
      <c r="G4470" s="57" t="s">
        <v>465</v>
      </c>
      <c r="H4470" s="19" t="s">
        <v>465</v>
      </c>
      <c r="I4470" s="19">
        <v>92500</v>
      </c>
    </row>
    <row r="4471" spans="1:10" x14ac:dyDescent="0.2">
      <c r="A4471" s="1" t="s">
        <v>28</v>
      </c>
      <c r="B4471" s="2" t="s">
        <v>50</v>
      </c>
      <c r="C4471" s="1"/>
      <c r="D4471" s="5" t="s">
        <v>464</v>
      </c>
      <c r="G4471" s="57" t="s">
        <v>465</v>
      </c>
      <c r="H4471" s="19" t="s">
        <v>465</v>
      </c>
      <c r="I4471" s="19">
        <v>92500</v>
      </c>
    </row>
    <row r="4472" spans="1:10" x14ac:dyDescent="0.2">
      <c r="A4472" s="1" t="s">
        <v>28</v>
      </c>
      <c r="B4472" s="2" t="s">
        <v>50</v>
      </c>
      <c r="C4472" s="1"/>
      <c r="D4472" s="5" t="s">
        <v>464</v>
      </c>
      <c r="G4472" s="57" t="s">
        <v>465</v>
      </c>
      <c r="H4472" s="19" t="s">
        <v>465</v>
      </c>
      <c r="I4472" s="19">
        <v>92500</v>
      </c>
    </row>
    <row r="4473" spans="1:10" x14ac:dyDescent="0.2">
      <c r="A4473" s="1" t="s">
        <v>28</v>
      </c>
      <c r="B4473" s="2" t="s">
        <v>50</v>
      </c>
      <c r="C4473" s="1"/>
      <c r="D4473" s="5" t="s">
        <v>464</v>
      </c>
      <c r="G4473" s="57" t="s">
        <v>465</v>
      </c>
      <c r="H4473" s="19" t="s">
        <v>465</v>
      </c>
      <c r="I4473" s="19">
        <v>92500</v>
      </c>
      <c r="J4473" s="1"/>
    </row>
    <row r="4474" spans="1:10" x14ac:dyDescent="0.2">
      <c r="A4474" s="1" t="s">
        <v>28</v>
      </c>
      <c r="B4474" s="2" t="s">
        <v>50</v>
      </c>
      <c r="C4474" s="1"/>
      <c r="D4474" s="5" t="s">
        <v>464</v>
      </c>
      <c r="G4474" s="57" t="s">
        <v>465</v>
      </c>
      <c r="H4474" s="19" t="s">
        <v>465</v>
      </c>
      <c r="I4474" s="19">
        <v>92500</v>
      </c>
      <c r="J4474" s="1"/>
    </row>
    <row r="4475" spans="1:10" x14ac:dyDescent="0.2">
      <c r="A4475" s="1" t="s">
        <v>28</v>
      </c>
      <c r="B4475" s="2" t="s">
        <v>50</v>
      </c>
      <c r="C4475" s="1"/>
      <c r="D4475" s="5" t="s">
        <v>464</v>
      </c>
      <c r="G4475" s="57" t="s">
        <v>465</v>
      </c>
      <c r="H4475" s="19" t="s">
        <v>465</v>
      </c>
      <c r="I4475" s="19">
        <v>92500</v>
      </c>
      <c r="J4475" s="1"/>
    </row>
    <row r="4476" spans="1:10" x14ac:dyDescent="0.2">
      <c r="A4476" s="1" t="s">
        <v>28</v>
      </c>
      <c r="B4476" s="2" t="s">
        <v>50</v>
      </c>
      <c r="C4476" s="1"/>
      <c r="D4476" s="5" t="s">
        <v>464</v>
      </c>
      <c r="G4476" s="57" t="s">
        <v>465</v>
      </c>
      <c r="H4476" s="19">
        <v>97500</v>
      </c>
      <c r="I4476" s="19" t="s">
        <v>465</v>
      </c>
      <c r="J4476" s="1"/>
    </row>
    <row r="4477" spans="1:10" x14ac:dyDescent="0.2">
      <c r="A4477" s="1" t="s">
        <v>28</v>
      </c>
      <c r="B4477" s="2" t="s">
        <v>50</v>
      </c>
      <c r="C4477" s="1"/>
      <c r="D4477" s="5" t="s">
        <v>464</v>
      </c>
      <c r="G4477" s="57" t="s">
        <v>465</v>
      </c>
      <c r="H4477" s="19">
        <v>97500</v>
      </c>
      <c r="I4477" s="19" t="s">
        <v>465</v>
      </c>
      <c r="J4477" s="1"/>
    </row>
    <row r="4478" spans="1:10" x14ac:dyDescent="0.2">
      <c r="A4478" s="1" t="s">
        <v>28</v>
      </c>
      <c r="B4478" s="2" t="s">
        <v>50</v>
      </c>
      <c r="C4478" s="1"/>
      <c r="D4478" s="5" t="s">
        <v>464</v>
      </c>
      <c r="G4478" s="57" t="s">
        <v>465</v>
      </c>
      <c r="H4478" s="19">
        <v>97500</v>
      </c>
      <c r="I4478" s="19" t="s">
        <v>465</v>
      </c>
      <c r="J4478" s="1"/>
    </row>
    <row r="4479" spans="1:10" x14ac:dyDescent="0.2">
      <c r="A4479" s="1" t="s">
        <v>28</v>
      </c>
      <c r="B4479" s="2" t="s">
        <v>50</v>
      </c>
      <c r="C4479" s="1"/>
      <c r="D4479" s="5" t="s">
        <v>464</v>
      </c>
      <c r="G4479" s="57" t="s">
        <v>465</v>
      </c>
      <c r="H4479" s="19">
        <v>97500</v>
      </c>
      <c r="I4479" s="19" t="s">
        <v>465</v>
      </c>
      <c r="J4479" s="1"/>
    </row>
    <row r="4480" spans="1:10" x14ac:dyDescent="0.2">
      <c r="A4480" s="1" t="s">
        <v>28</v>
      </c>
      <c r="B4480" s="2" t="s">
        <v>50</v>
      </c>
      <c r="C4480" s="1"/>
      <c r="D4480" s="5" t="s">
        <v>464</v>
      </c>
      <c r="G4480" s="57" t="s">
        <v>465</v>
      </c>
      <c r="H4480" s="19">
        <v>97500</v>
      </c>
      <c r="I4480" s="19" t="s">
        <v>465</v>
      </c>
      <c r="J4480" s="1"/>
    </row>
    <row r="4481" spans="1:10" x14ac:dyDescent="0.2">
      <c r="A4481" s="1" t="s">
        <v>28</v>
      </c>
      <c r="B4481" s="2" t="s">
        <v>50</v>
      </c>
      <c r="C4481" s="1"/>
      <c r="D4481" s="5" t="s">
        <v>464</v>
      </c>
      <c r="G4481" s="57" t="s">
        <v>465</v>
      </c>
      <c r="H4481" s="19" t="s">
        <v>465</v>
      </c>
      <c r="I4481" s="19">
        <v>97500</v>
      </c>
      <c r="J4481" s="1"/>
    </row>
    <row r="4482" spans="1:10" x14ac:dyDescent="0.2">
      <c r="A4482" s="1" t="s">
        <v>28</v>
      </c>
      <c r="B4482" s="2" t="s">
        <v>50</v>
      </c>
      <c r="C4482" s="1"/>
      <c r="D4482" s="5" t="s">
        <v>464</v>
      </c>
      <c r="G4482" s="57" t="s">
        <v>465</v>
      </c>
      <c r="H4482" s="19" t="s">
        <v>465</v>
      </c>
      <c r="I4482" s="19">
        <v>97500</v>
      </c>
      <c r="J4482" s="1"/>
    </row>
    <row r="4483" spans="1:10" x14ac:dyDescent="0.2">
      <c r="A4483" s="1" t="s">
        <v>28</v>
      </c>
      <c r="B4483" s="2" t="s">
        <v>50</v>
      </c>
      <c r="C4483" s="1"/>
      <c r="D4483" s="5" t="s">
        <v>464</v>
      </c>
      <c r="G4483" s="57" t="s">
        <v>465</v>
      </c>
      <c r="H4483" s="19" t="s">
        <v>465</v>
      </c>
      <c r="I4483" s="19">
        <v>97500</v>
      </c>
      <c r="J4483" s="1"/>
    </row>
    <row r="4484" spans="1:10" x14ac:dyDescent="0.2">
      <c r="A4484" s="1" t="s">
        <v>28</v>
      </c>
      <c r="B4484" s="2" t="s">
        <v>50</v>
      </c>
      <c r="C4484" s="1"/>
      <c r="D4484" s="5" t="s">
        <v>464</v>
      </c>
      <c r="G4484" s="57" t="s">
        <v>465</v>
      </c>
      <c r="H4484" s="19" t="s">
        <v>465</v>
      </c>
      <c r="I4484" s="19">
        <v>97500</v>
      </c>
      <c r="J4484" s="1"/>
    </row>
    <row r="4485" spans="1:10" x14ac:dyDescent="0.2">
      <c r="A4485" s="1" t="s">
        <v>28</v>
      </c>
      <c r="B4485" s="2" t="s">
        <v>50</v>
      </c>
      <c r="C4485" s="1"/>
      <c r="D4485" s="5" t="s">
        <v>464</v>
      </c>
      <c r="G4485" s="57" t="s">
        <v>465</v>
      </c>
      <c r="H4485" s="19" t="s">
        <v>465</v>
      </c>
      <c r="I4485" s="19">
        <v>97500</v>
      </c>
      <c r="J4485" s="1"/>
    </row>
    <row r="4486" spans="1:10" x14ac:dyDescent="0.2">
      <c r="A4486" s="1" t="s">
        <v>28</v>
      </c>
      <c r="B4486" s="2" t="s">
        <v>50</v>
      </c>
      <c r="C4486" s="1"/>
      <c r="D4486" s="5" t="s">
        <v>464</v>
      </c>
      <c r="G4486" s="57" t="s">
        <v>465</v>
      </c>
      <c r="H4486" s="19" t="s">
        <v>465</v>
      </c>
      <c r="I4486" s="19">
        <v>97500</v>
      </c>
      <c r="J4486" s="1"/>
    </row>
    <row r="4487" spans="1:10" x14ac:dyDescent="0.2">
      <c r="A4487" s="1" t="s">
        <v>28</v>
      </c>
      <c r="B4487" s="2" t="s">
        <v>50</v>
      </c>
      <c r="C4487" s="1"/>
      <c r="D4487" s="5" t="s">
        <v>464</v>
      </c>
      <c r="G4487" s="57" t="s">
        <v>465</v>
      </c>
      <c r="H4487" s="19" t="s">
        <v>465</v>
      </c>
      <c r="I4487" s="19">
        <v>97500</v>
      </c>
      <c r="J4487" s="1"/>
    </row>
    <row r="4488" spans="1:10" x14ac:dyDescent="0.2">
      <c r="A4488" s="1" t="s">
        <v>20</v>
      </c>
      <c r="B4488" s="2" t="s">
        <v>51</v>
      </c>
      <c r="C4488" s="1"/>
      <c r="D4488" s="5" t="s">
        <v>464</v>
      </c>
      <c r="G4488" s="57" t="s">
        <v>465</v>
      </c>
      <c r="H4488" s="19">
        <v>97500</v>
      </c>
      <c r="I4488" s="19" t="s">
        <v>465</v>
      </c>
      <c r="J4488" s="5" t="s">
        <v>539</v>
      </c>
    </row>
    <row r="4489" spans="1:10" x14ac:dyDescent="0.2">
      <c r="A4489" s="1" t="s">
        <v>25</v>
      </c>
      <c r="B4489" s="2" t="s">
        <v>53</v>
      </c>
      <c r="C4489" s="1"/>
      <c r="D4489" s="5" t="s">
        <v>464</v>
      </c>
      <c r="G4489" s="57" t="s">
        <v>465</v>
      </c>
      <c r="H4489" s="19">
        <v>92500</v>
      </c>
      <c r="I4489" s="19" t="s">
        <v>465</v>
      </c>
    </row>
    <row r="4490" spans="1:10" x14ac:dyDescent="0.2">
      <c r="A4490" s="1" t="s">
        <v>25</v>
      </c>
      <c r="B4490" s="2" t="s">
        <v>53</v>
      </c>
      <c r="C4490" s="1"/>
      <c r="D4490" s="5" t="s">
        <v>464</v>
      </c>
      <c r="G4490" s="57" t="s">
        <v>465</v>
      </c>
      <c r="H4490" s="19" t="s">
        <v>465</v>
      </c>
      <c r="I4490" s="19">
        <v>92500</v>
      </c>
    </row>
    <row r="4491" spans="1:10" x14ac:dyDescent="0.2">
      <c r="A4491" s="1" t="s">
        <v>25</v>
      </c>
      <c r="B4491" s="2" t="s">
        <v>53</v>
      </c>
      <c r="C4491" s="1"/>
      <c r="D4491" s="5" t="s">
        <v>464</v>
      </c>
      <c r="G4491" s="57" t="s">
        <v>465</v>
      </c>
      <c r="H4491" s="19" t="s">
        <v>465</v>
      </c>
      <c r="I4491" s="19">
        <v>92500</v>
      </c>
    </row>
    <row r="4492" spans="1:10" x14ac:dyDescent="0.2">
      <c r="A4492" s="1" t="s">
        <v>25</v>
      </c>
      <c r="B4492" s="2" t="s">
        <v>53</v>
      </c>
      <c r="C4492" s="1"/>
      <c r="D4492" s="5" t="s">
        <v>464</v>
      </c>
      <c r="G4492" s="57" t="s">
        <v>465</v>
      </c>
      <c r="H4492" s="19" t="s">
        <v>465</v>
      </c>
      <c r="I4492" s="19">
        <v>92500</v>
      </c>
    </row>
    <row r="4493" spans="1:10" x14ac:dyDescent="0.2">
      <c r="A4493" s="1" t="s">
        <v>25</v>
      </c>
      <c r="B4493" s="2" t="s">
        <v>53</v>
      </c>
      <c r="C4493" s="1"/>
      <c r="D4493" s="5" t="s">
        <v>464</v>
      </c>
      <c r="G4493" s="57" t="s">
        <v>465</v>
      </c>
      <c r="H4493" s="19">
        <v>97500</v>
      </c>
      <c r="I4493" s="19" t="s">
        <v>465</v>
      </c>
    </row>
    <row r="4494" spans="1:10" x14ac:dyDescent="0.2">
      <c r="A4494" s="1" t="s">
        <v>25</v>
      </c>
      <c r="B4494" s="2" t="s">
        <v>53</v>
      </c>
      <c r="C4494" s="1"/>
      <c r="D4494" s="5" t="s">
        <v>464</v>
      </c>
      <c r="G4494" s="57" t="s">
        <v>465</v>
      </c>
      <c r="H4494" s="19">
        <v>97500</v>
      </c>
      <c r="I4494" s="19" t="s">
        <v>465</v>
      </c>
    </row>
    <row r="4495" spans="1:10" x14ac:dyDescent="0.2">
      <c r="A4495" s="1" t="s">
        <v>25</v>
      </c>
      <c r="B4495" s="2" t="s">
        <v>53</v>
      </c>
      <c r="C4495" s="1"/>
      <c r="D4495" s="5" t="s">
        <v>464</v>
      </c>
      <c r="G4495" s="57" t="s">
        <v>465</v>
      </c>
      <c r="H4495" s="19" t="s">
        <v>465</v>
      </c>
      <c r="I4495" s="19">
        <v>97500</v>
      </c>
    </row>
    <row r="4496" spans="1:10" x14ac:dyDescent="0.2">
      <c r="A4496" s="1" t="s">
        <v>25</v>
      </c>
      <c r="B4496" s="2" t="s">
        <v>53</v>
      </c>
      <c r="C4496" s="1"/>
      <c r="D4496" s="5" t="s">
        <v>464</v>
      </c>
      <c r="G4496" s="57" t="s">
        <v>465</v>
      </c>
      <c r="H4496" s="19" t="s">
        <v>465</v>
      </c>
      <c r="I4496" s="19">
        <v>97500</v>
      </c>
    </row>
    <row r="4497" spans="1:10" x14ac:dyDescent="0.2">
      <c r="A4497" s="1" t="s">
        <v>20</v>
      </c>
      <c r="B4497" s="2" t="s">
        <v>54</v>
      </c>
      <c r="C4497" s="1"/>
      <c r="D4497" s="5" t="s">
        <v>464</v>
      </c>
      <c r="G4497" s="57" t="s">
        <v>465</v>
      </c>
      <c r="H4497" s="19" t="s">
        <v>465</v>
      </c>
      <c r="I4497" s="19">
        <v>92500</v>
      </c>
      <c r="J4497" s="5" t="s">
        <v>539</v>
      </c>
    </row>
    <row r="4498" spans="1:10" x14ac:dyDescent="0.2">
      <c r="A4498" s="1" t="s">
        <v>44</v>
      </c>
      <c r="B4498" s="2" t="s">
        <v>55</v>
      </c>
      <c r="C4498" s="1"/>
      <c r="D4498" s="5" t="s">
        <v>464</v>
      </c>
      <c r="G4498" s="57" t="s">
        <v>465</v>
      </c>
      <c r="H4498" s="19">
        <v>92500</v>
      </c>
      <c r="I4498" s="19" t="s">
        <v>465</v>
      </c>
    </row>
    <row r="4499" spans="1:10" x14ac:dyDescent="0.2">
      <c r="A4499" s="1" t="s">
        <v>44</v>
      </c>
      <c r="B4499" s="2" t="s">
        <v>55</v>
      </c>
      <c r="C4499" s="1"/>
      <c r="D4499" s="5" t="s">
        <v>464</v>
      </c>
      <c r="G4499" s="57" t="s">
        <v>465</v>
      </c>
      <c r="H4499" s="19">
        <v>92500</v>
      </c>
      <c r="I4499" s="19" t="s">
        <v>465</v>
      </c>
    </row>
    <row r="4500" spans="1:10" x14ac:dyDescent="0.2">
      <c r="A4500" s="1" t="s">
        <v>44</v>
      </c>
      <c r="B4500" s="2" t="s">
        <v>55</v>
      </c>
      <c r="C4500" s="1"/>
      <c r="D4500" s="5" t="s">
        <v>464</v>
      </c>
      <c r="G4500" s="57" t="s">
        <v>465</v>
      </c>
      <c r="H4500" s="19">
        <v>97500</v>
      </c>
      <c r="I4500" s="19" t="s">
        <v>465</v>
      </c>
    </row>
    <row r="4501" spans="1:10" x14ac:dyDescent="0.2">
      <c r="A4501" s="1" t="s">
        <v>4</v>
      </c>
      <c r="B4501" s="2" t="s">
        <v>56</v>
      </c>
      <c r="C4501" s="1"/>
      <c r="D4501" s="5" t="s">
        <v>464</v>
      </c>
      <c r="G4501" s="57" t="s">
        <v>465</v>
      </c>
      <c r="H4501" s="19">
        <v>92500</v>
      </c>
      <c r="I4501" s="19" t="s">
        <v>465</v>
      </c>
    </row>
    <row r="4502" spans="1:10" x14ac:dyDescent="0.2">
      <c r="A4502" s="1" t="s">
        <v>4</v>
      </c>
      <c r="B4502" s="2" t="s">
        <v>56</v>
      </c>
      <c r="C4502" s="1"/>
      <c r="D4502" s="5" t="s">
        <v>464</v>
      </c>
      <c r="G4502" s="57" t="s">
        <v>465</v>
      </c>
      <c r="H4502" s="19" t="s">
        <v>465</v>
      </c>
      <c r="I4502" s="19">
        <v>92500</v>
      </c>
    </row>
    <row r="4503" spans="1:10" x14ac:dyDescent="0.2">
      <c r="A4503" s="1" t="s">
        <v>4</v>
      </c>
      <c r="B4503" s="2" t="s">
        <v>56</v>
      </c>
      <c r="C4503" s="1"/>
      <c r="D4503" s="5" t="s">
        <v>464</v>
      </c>
      <c r="G4503" s="57" t="s">
        <v>465</v>
      </c>
      <c r="H4503" s="19">
        <v>97500</v>
      </c>
      <c r="I4503" s="19" t="s">
        <v>465</v>
      </c>
    </row>
    <row r="4504" spans="1:10" x14ac:dyDescent="0.2">
      <c r="A4504" s="1" t="s">
        <v>4</v>
      </c>
      <c r="B4504" s="2" t="s">
        <v>56</v>
      </c>
      <c r="C4504" s="1"/>
      <c r="D4504" s="5" t="s">
        <v>464</v>
      </c>
      <c r="G4504" s="57" t="s">
        <v>465</v>
      </c>
      <c r="H4504" s="19" t="s">
        <v>465</v>
      </c>
      <c r="I4504" s="19">
        <v>97500</v>
      </c>
    </row>
    <row r="4505" spans="1:10" x14ac:dyDescent="0.2">
      <c r="A4505" s="1" t="s">
        <v>4</v>
      </c>
      <c r="B4505" s="2" t="s">
        <v>56</v>
      </c>
      <c r="C4505" s="1"/>
      <c r="D4505" s="5" t="s">
        <v>464</v>
      </c>
      <c r="G4505" s="57" t="s">
        <v>465</v>
      </c>
      <c r="H4505" s="19" t="s">
        <v>465</v>
      </c>
      <c r="I4505" s="19">
        <v>97500</v>
      </c>
    </row>
    <row r="4506" spans="1:10" x14ac:dyDescent="0.2">
      <c r="A4506" s="1" t="s">
        <v>34</v>
      </c>
      <c r="B4506" s="2" t="s">
        <v>57</v>
      </c>
      <c r="C4506" s="1"/>
      <c r="D4506" s="5" t="s">
        <v>464</v>
      </c>
      <c r="G4506" s="57" t="s">
        <v>465</v>
      </c>
      <c r="H4506" s="19">
        <v>92500</v>
      </c>
      <c r="I4506" s="19" t="s">
        <v>465</v>
      </c>
    </row>
    <row r="4507" spans="1:10" x14ac:dyDescent="0.2">
      <c r="A4507" s="1" t="s">
        <v>34</v>
      </c>
      <c r="B4507" s="2" t="s">
        <v>57</v>
      </c>
      <c r="C4507" s="1"/>
      <c r="D4507" s="5" t="s">
        <v>464</v>
      </c>
      <c r="G4507" s="57" t="s">
        <v>465</v>
      </c>
      <c r="H4507" s="19" t="s">
        <v>465</v>
      </c>
      <c r="I4507" s="19">
        <v>92500</v>
      </c>
    </row>
    <row r="4508" spans="1:10" x14ac:dyDescent="0.2">
      <c r="A4508" s="1" t="s">
        <v>34</v>
      </c>
      <c r="B4508" s="2" t="s">
        <v>57</v>
      </c>
      <c r="C4508" s="1"/>
      <c r="D4508" s="5" t="s">
        <v>464</v>
      </c>
      <c r="G4508" s="57" t="s">
        <v>465</v>
      </c>
      <c r="H4508" s="19" t="s">
        <v>465</v>
      </c>
      <c r="I4508" s="19">
        <v>92500</v>
      </c>
    </row>
    <row r="4509" spans="1:10" x14ac:dyDescent="0.2">
      <c r="A4509" s="1" t="s">
        <v>34</v>
      </c>
      <c r="B4509" s="2" t="s">
        <v>57</v>
      </c>
      <c r="C4509" s="1"/>
      <c r="D4509" s="5" t="s">
        <v>464</v>
      </c>
      <c r="G4509" s="57" t="s">
        <v>465</v>
      </c>
      <c r="H4509" s="19">
        <v>97500</v>
      </c>
      <c r="I4509" s="19" t="s">
        <v>465</v>
      </c>
    </row>
    <row r="4510" spans="1:10" x14ac:dyDescent="0.2">
      <c r="A4510" s="1" t="s">
        <v>34</v>
      </c>
      <c r="B4510" s="2" t="s">
        <v>57</v>
      </c>
      <c r="C4510" s="1"/>
      <c r="D4510" s="5" t="s">
        <v>464</v>
      </c>
      <c r="G4510" s="57" t="s">
        <v>465</v>
      </c>
      <c r="H4510" s="19">
        <v>97500</v>
      </c>
      <c r="I4510" s="19" t="s">
        <v>465</v>
      </c>
    </row>
    <row r="4511" spans="1:10" x14ac:dyDescent="0.2">
      <c r="A4511" s="1" t="s">
        <v>34</v>
      </c>
      <c r="B4511" s="2" t="s">
        <v>57</v>
      </c>
      <c r="C4511" s="1"/>
      <c r="D4511" s="5" t="s">
        <v>464</v>
      </c>
      <c r="G4511" s="57" t="s">
        <v>465</v>
      </c>
      <c r="H4511" s="19">
        <v>97500</v>
      </c>
      <c r="I4511" s="19" t="s">
        <v>465</v>
      </c>
    </row>
    <row r="4512" spans="1:10" x14ac:dyDescent="0.2">
      <c r="A4512" s="1" t="s">
        <v>34</v>
      </c>
      <c r="B4512" s="2" t="s">
        <v>57</v>
      </c>
      <c r="C4512" s="1"/>
      <c r="D4512" s="5" t="s">
        <v>464</v>
      </c>
      <c r="G4512" s="57" t="s">
        <v>465</v>
      </c>
      <c r="H4512" s="19">
        <v>97500</v>
      </c>
      <c r="I4512" s="19" t="s">
        <v>465</v>
      </c>
    </row>
    <row r="4513" spans="1:9" x14ac:dyDescent="0.2">
      <c r="A4513" s="1" t="s">
        <v>34</v>
      </c>
      <c r="B4513" s="2" t="s">
        <v>57</v>
      </c>
      <c r="C4513" s="1"/>
      <c r="D4513" s="5" t="s">
        <v>464</v>
      </c>
      <c r="G4513" s="57" t="s">
        <v>465</v>
      </c>
      <c r="H4513" s="19">
        <v>97500</v>
      </c>
      <c r="I4513" s="19" t="s">
        <v>465</v>
      </c>
    </row>
    <row r="4514" spans="1:9" x14ac:dyDescent="0.2">
      <c r="A4514" s="1" t="s">
        <v>34</v>
      </c>
      <c r="B4514" s="2" t="s">
        <v>57</v>
      </c>
      <c r="C4514" s="1"/>
      <c r="D4514" s="5" t="s">
        <v>464</v>
      </c>
      <c r="G4514" s="57" t="s">
        <v>465</v>
      </c>
      <c r="H4514" s="19">
        <v>97500</v>
      </c>
      <c r="I4514" s="19" t="s">
        <v>465</v>
      </c>
    </row>
    <row r="4515" spans="1:9" x14ac:dyDescent="0.2">
      <c r="A4515" s="1" t="s">
        <v>34</v>
      </c>
      <c r="B4515" s="2" t="s">
        <v>57</v>
      </c>
      <c r="C4515" s="1"/>
      <c r="D4515" s="5" t="s">
        <v>464</v>
      </c>
      <c r="G4515" s="57" t="s">
        <v>465</v>
      </c>
      <c r="H4515" s="19" t="s">
        <v>465</v>
      </c>
      <c r="I4515" s="19">
        <v>97500</v>
      </c>
    </row>
    <row r="4516" spans="1:9" x14ac:dyDescent="0.2">
      <c r="A4516" s="1" t="s">
        <v>25</v>
      </c>
      <c r="B4516" s="2" t="s">
        <v>59</v>
      </c>
      <c r="C4516" s="1"/>
      <c r="D4516" s="5" t="s">
        <v>464</v>
      </c>
      <c r="G4516" s="57" t="s">
        <v>465</v>
      </c>
      <c r="H4516" s="19">
        <v>92500</v>
      </c>
      <c r="I4516" s="19" t="s">
        <v>465</v>
      </c>
    </row>
    <row r="4517" spans="1:9" x14ac:dyDescent="0.2">
      <c r="A4517" s="1" t="s">
        <v>25</v>
      </c>
      <c r="B4517" s="2" t="s">
        <v>59</v>
      </c>
      <c r="C4517" s="1"/>
      <c r="D4517" s="5" t="s">
        <v>464</v>
      </c>
      <c r="G4517" s="57" t="s">
        <v>465</v>
      </c>
      <c r="H4517" s="19" t="s">
        <v>465</v>
      </c>
      <c r="I4517" s="19">
        <v>92500</v>
      </c>
    </row>
    <row r="4518" spans="1:9" x14ac:dyDescent="0.2">
      <c r="A4518" s="1" t="s">
        <v>25</v>
      </c>
      <c r="B4518" s="2" t="s">
        <v>59</v>
      </c>
      <c r="C4518" s="1"/>
      <c r="D4518" s="5" t="s">
        <v>464</v>
      </c>
      <c r="G4518" s="57" t="s">
        <v>465</v>
      </c>
      <c r="H4518" s="19" t="s">
        <v>465</v>
      </c>
      <c r="I4518" s="19">
        <v>92500</v>
      </c>
    </row>
    <row r="4519" spans="1:9" x14ac:dyDescent="0.2">
      <c r="A4519" s="1" t="s">
        <v>25</v>
      </c>
      <c r="B4519" s="2" t="s">
        <v>59</v>
      </c>
      <c r="C4519" s="1"/>
      <c r="D4519" s="5" t="s">
        <v>464</v>
      </c>
      <c r="G4519" s="57" t="s">
        <v>465</v>
      </c>
      <c r="H4519" s="19">
        <v>97500</v>
      </c>
      <c r="I4519" s="19" t="s">
        <v>465</v>
      </c>
    </row>
    <row r="4520" spans="1:9" x14ac:dyDescent="0.2">
      <c r="A4520" s="1" t="s">
        <v>25</v>
      </c>
      <c r="B4520" s="2" t="s">
        <v>59</v>
      </c>
      <c r="C4520" s="1"/>
      <c r="D4520" s="5" t="s">
        <v>464</v>
      </c>
      <c r="G4520" s="57" t="s">
        <v>465</v>
      </c>
      <c r="H4520" s="19" t="s">
        <v>465</v>
      </c>
      <c r="I4520" s="19">
        <v>97500</v>
      </c>
    </row>
    <row r="4521" spans="1:9" x14ac:dyDescent="0.2">
      <c r="A4521" s="13" t="s">
        <v>4</v>
      </c>
      <c r="B4521" s="2" t="s">
        <v>63</v>
      </c>
      <c r="C4521" s="1"/>
      <c r="D4521" s="5" t="s">
        <v>464</v>
      </c>
      <c r="G4521" s="57" t="s">
        <v>465</v>
      </c>
      <c r="H4521" s="19">
        <v>92500</v>
      </c>
      <c r="I4521" s="19" t="s">
        <v>465</v>
      </c>
    </row>
    <row r="4522" spans="1:9" x14ac:dyDescent="0.2">
      <c r="A4522" s="13" t="s">
        <v>4</v>
      </c>
      <c r="B4522" s="2" t="s">
        <v>63</v>
      </c>
      <c r="C4522" s="1"/>
      <c r="D4522" s="5" t="s">
        <v>464</v>
      </c>
      <c r="G4522" s="57" t="s">
        <v>465</v>
      </c>
      <c r="H4522" s="19">
        <v>92500</v>
      </c>
      <c r="I4522" s="19" t="s">
        <v>465</v>
      </c>
    </row>
    <row r="4523" spans="1:9" x14ac:dyDescent="0.2">
      <c r="A4523" s="13" t="s">
        <v>4</v>
      </c>
      <c r="B4523" s="2" t="s">
        <v>63</v>
      </c>
      <c r="C4523" s="1"/>
      <c r="D4523" s="5" t="s">
        <v>464</v>
      </c>
      <c r="G4523" s="57" t="s">
        <v>465</v>
      </c>
      <c r="H4523" s="19">
        <v>92500</v>
      </c>
      <c r="I4523" s="19" t="s">
        <v>465</v>
      </c>
    </row>
    <row r="4524" spans="1:9" x14ac:dyDescent="0.2">
      <c r="A4524" s="13" t="s">
        <v>4</v>
      </c>
      <c r="B4524" s="2" t="s">
        <v>63</v>
      </c>
      <c r="C4524" s="1"/>
      <c r="D4524" s="5" t="s">
        <v>464</v>
      </c>
      <c r="G4524" s="57" t="s">
        <v>465</v>
      </c>
      <c r="H4524" s="19">
        <v>92500</v>
      </c>
      <c r="I4524" s="19" t="s">
        <v>465</v>
      </c>
    </row>
    <row r="4525" spans="1:9" x14ac:dyDescent="0.2">
      <c r="A4525" s="13" t="s">
        <v>4</v>
      </c>
      <c r="B4525" s="2" t="s">
        <v>63</v>
      </c>
      <c r="C4525" s="1"/>
      <c r="D4525" s="5" t="s">
        <v>464</v>
      </c>
      <c r="G4525" s="57" t="s">
        <v>465</v>
      </c>
      <c r="H4525" s="19">
        <v>92500</v>
      </c>
      <c r="I4525" s="19" t="s">
        <v>465</v>
      </c>
    </row>
    <row r="4526" spans="1:9" x14ac:dyDescent="0.2">
      <c r="A4526" s="13" t="s">
        <v>4</v>
      </c>
      <c r="B4526" s="2" t="s">
        <v>63</v>
      </c>
      <c r="C4526" s="1"/>
      <c r="D4526" s="5" t="s">
        <v>464</v>
      </c>
      <c r="G4526" s="57" t="s">
        <v>465</v>
      </c>
      <c r="H4526" s="19">
        <v>92500</v>
      </c>
      <c r="I4526" s="19" t="s">
        <v>465</v>
      </c>
    </row>
    <row r="4527" spans="1:9" x14ac:dyDescent="0.2">
      <c r="A4527" s="13" t="s">
        <v>4</v>
      </c>
      <c r="B4527" s="2" t="s">
        <v>63</v>
      </c>
      <c r="C4527" s="1"/>
      <c r="D4527" s="5" t="s">
        <v>464</v>
      </c>
      <c r="G4527" s="57" t="s">
        <v>465</v>
      </c>
      <c r="H4527" s="19" t="s">
        <v>465</v>
      </c>
      <c r="I4527" s="19">
        <v>92500</v>
      </c>
    </row>
    <row r="4528" spans="1:9" x14ac:dyDescent="0.2">
      <c r="A4528" s="13" t="s">
        <v>4</v>
      </c>
      <c r="B4528" s="2" t="s">
        <v>63</v>
      </c>
      <c r="C4528" s="1"/>
      <c r="D4528" s="5" t="s">
        <v>464</v>
      </c>
      <c r="G4528" s="57" t="s">
        <v>465</v>
      </c>
      <c r="H4528" s="19" t="s">
        <v>465</v>
      </c>
      <c r="I4528" s="19">
        <v>92500</v>
      </c>
    </row>
    <row r="4529" spans="1:10" x14ac:dyDescent="0.2">
      <c r="A4529" s="13" t="s">
        <v>4</v>
      </c>
      <c r="B4529" s="2" t="s">
        <v>63</v>
      </c>
      <c r="C4529" s="1"/>
      <c r="D4529" s="5" t="s">
        <v>464</v>
      </c>
      <c r="G4529" s="57" t="s">
        <v>465</v>
      </c>
      <c r="H4529" s="19" t="s">
        <v>465</v>
      </c>
      <c r="I4529" s="19">
        <v>92500</v>
      </c>
    </row>
    <row r="4530" spans="1:10" x14ac:dyDescent="0.2">
      <c r="A4530" s="13" t="s">
        <v>4</v>
      </c>
      <c r="B4530" s="2" t="s">
        <v>63</v>
      </c>
      <c r="C4530" s="1"/>
      <c r="D4530" s="5" t="s">
        <v>464</v>
      </c>
      <c r="G4530" s="57" t="s">
        <v>465</v>
      </c>
      <c r="H4530" s="19" t="s">
        <v>465</v>
      </c>
      <c r="I4530" s="19">
        <v>92500</v>
      </c>
    </row>
    <row r="4531" spans="1:10" x14ac:dyDescent="0.2">
      <c r="A4531" s="13" t="s">
        <v>4</v>
      </c>
      <c r="B4531" s="2" t="s">
        <v>63</v>
      </c>
      <c r="C4531" s="1"/>
      <c r="D4531" s="5" t="s">
        <v>464</v>
      </c>
      <c r="G4531" s="57" t="s">
        <v>465</v>
      </c>
      <c r="H4531" s="19">
        <v>97500</v>
      </c>
      <c r="I4531" s="19" t="s">
        <v>465</v>
      </c>
    </row>
    <row r="4532" spans="1:10" x14ac:dyDescent="0.2">
      <c r="A4532" s="13" t="s">
        <v>4</v>
      </c>
      <c r="B4532" s="2" t="s">
        <v>63</v>
      </c>
      <c r="C4532" s="1"/>
      <c r="D4532" s="5" t="s">
        <v>464</v>
      </c>
      <c r="G4532" s="57" t="s">
        <v>465</v>
      </c>
      <c r="H4532" s="19">
        <v>97500</v>
      </c>
      <c r="I4532" s="19" t="s">
        <v>465</v>
      </c>
    </row>
    <row r="4533" spans="1:10" x14ac:dyDescent="0.2">
      <c r="A4533" s="13" t="s">
        <v>4</v>
      </c>
      <c r="B4533" s="2" t="s">
        <v>63</v>
      </c>
      <c r="C4533" s="1"/>
      <c r="D4533" s="5" t="s">
        <v>464</v>
      </c>
      <c r="G4533" s="57" t="s">
        <v>465</v>
      </c>
      <c r="H4533" s="19">
        <v>97500</v>
      </c>
      <c r="I4533" s="19" t="s">
        <v>465</v>
      </c>
    </row>
    <row r="4534" spans="1:10" x14ac:dyDescent="0.2">
      <c r="A4534" s="13" t="s">
        <v>4</v>
      </c>
      <c r="B4534" s="2" t="s">
        <v>63</v>
      </c>
      <c r="C4534" s="1"/>
      <c r="D4534" s="5" t="s">
        <v>464</v>
      </c>
      <c r="G4534" s="57" t="s">
        <v>465</v>
      </c>
      <c r="H4534" s="19" t="s">
        <v>465</v>
      </c>
      <c r="I4534" s="19">
        <v>97500</v>
      </c>
    </row>
    <row r="4535" spans="1:10" x14ac:dyDescent="0.2">
      <c r="A4535" s="13" t="s">
        <v>4</v>
      </c>
      <c r="B4535" s="2" t="s">
        <v>63</v>
      </c>
      <c r="C4535" s="1"/>
      <c r="D4535" s="5" t="s">
        <v>464</v>
      </c>
      <c r="G4535" s="57" t="s">
        <v>465</v>
      </c>
      <c r="H4535" s="19" t="s">
        <v>465</v>
      </c>
      <c r="I4535" s="19">
        <v>97500</v>
      </c>
    </row>
    <row r="4536" spans="1:10" x14ac:dyDescent="0.2">
      <c r="A4536" s="1" t="s">
        <v>6</v>
      </c>
      <c r="B4536" s="2" t="s">
        <v>64</v>
      </c>
      <c r="C4536" s="1"/>
      <c r="D4536" s="5" t="s">
        <v>464</v>
      </c>
      <c r="G4536" s="57" t="s">
        <v>465</v>
      </c>
      <c r="H4536" s="19" t="s">
        <v>465</v>
      </c>
      <c r="I4536" s="19">
        <v>97500</v>
      </c>
    </row>
    <row r="4537" spans="1:10" x14ac:dyDescent="0.2">
      <c r="A4537" s="1" t="s">
        <v>6</v>
      </c>
      <c r="B4537" s="2" t="s">
        <v>65</v>
      </c>
      <c r="C4537" s="1"/>
      <c r="D4537" s="5" t="s">
        <v>464</v>
      </c>
      <c r="G4537" s="57" t="s">
        <v>465</v>
      </c>
      <c r="H4537" s="19">
        <v>92500</v>
      </c>
      <c r="I4537" s="19" t="s">
        <v>465</v>
      </c>
    </row>
    <row r="4538" spans="1:10" x14ac:dyDescent="0.2">
      <c r="A4538" s="1" t="s">
        <v>6</v>
      </c>
      <c r="B4538" s="2" t="s">
        <v>65</v>
      </c>
      <c r="C4538" s="1"/>
      <c r="D4538" s="5" t="s">
        <v>464</v>
      </c>
      <c r="G4538" s="57" t="s">
        <v>465</v>
      </c>
      <c r="H4538" s="19" t="s">
        <v>465</v>
      </c>
      <c r="I4538" s="19">
        <v>97500</v>
      </c>
    </row>
    <row r="4539" spans="1:10" x14ac:dyDescent="0.2">
      <c r="A4539" s="1" t="s">
        <v>28</v>
      </c>
      <c r="B4539" s="2" t="s">
        <v>67</v>
      </c>
      <c r="C4539" s="1"/>
      <c r="D4539" s="5" t="s">
        <v>464</v>
      </c>
      <c r="G4539" s="57" t="s">
        <v>465</v>
      </c>
      <c r="H4539" s="19">
        <v>92500</v>
      </c>
      <c r="I4539" s="19" t="s">
        <v>465</v>
      </c>
    </row>
    <row r="4540" spans="1:10" x14ac:dyDescent="0.2">
      <c r="A4540" s="1" t="s">
        <v>20</v>
      </c>
      <c r="B4540" s="2" t="s">
        <v>69</v>
      </c>
      <c r="C4540" s="1"/>
      <c r="D4540" s="5" t="s">
        <v>464</v>
      </c>
      <c r="G4540" s="57" t="s">
        <v>465</v>
      </c>
      <c r="H4540" s="19">
        <v>92500</v>
      </c>
      <c r="I4540" s="19" t="s">
        <v>465</v>
      </c>
      <c r="J4540" s="5" t="s">
        <v>3718</v>
      </c>
    </row>
    <row r="4541" spans="1:10" x14ac:dyDescent="0.2">
      <c r="A4541" s="1" t="s">
        <v>20</v>
      </c>
      <c r="B4541" s="2" t="s">
        <v>69</v>
      </c>
      <c r="C4541" s="1"/>
      <c r="D4541" s="5" t="s">
        <v>464</v>
      </c>
      <c r="G4541" s="57" t="s">
        <v>465</v>
      </c>
      <c r="H4541" s="19">
        <v>92500</v>
      </c>
      <c r="I4541" s="19" t="s">
        <v>465</v>
      </c>
      <c r="J4541" s="5" t="s">
        <v>3718</v>
      </c>
    </row>
    <row r="4542" spans="1:10" x14ac:dyDescent="0.2">
      <c r="A4542" s="1" t="s">
        <v>20</v>
      </c>
      <c r="B4542" s="2" t="s">
        <v>69</v>
      </c>
      <c r="C4542" s="1"/>
      <c r="D4542" s="5" t="s">
        <v>464</v>
      </c>
      <c r="G4542" s="57" t="s">
        <v>465</v>
      </c>
      <c r="H4542" s="19">
        <v>92500</v>
      </c>
      <c r="I4542" s="19" t="s">
        <v>465</v>
      </c>
      <c r="J4542" s="5" t="s">
        <v>3718</v>
      </c>
    </row>
    <row r="4543" spans="1:10" x14ac:dyDescent="0.2">
      <c r="A4543" s="1" t="s">
        <v>20</v>
      </c>
      <c r="B4543" s="2" t="s">
        <v>69</v>
      </c>
      <c r="C4543" s="1"/>
      <c r="D4543" s="5" t="s">
        <v>464</v>
      </c>
      <c r="G4543" s="57" t="s">
        <v>465</v>
      </c>
      <c r="H4543" s="19" t="s">
        <v>465</v>
      </c>
      <c r="I4543" s="19">
        <v>92500</v>
      </c>
      <c r="J4543" s="5" t="s">
        <v>3718</v>
      </c>
    </row>
    <row r="4544" spans="1:10" x14ac:dyDescent="0.2">
      <c r="A4544" s="1" t="s">
        <v>20</v>
      </c>
      <c r="B4544" s="2" t="s">
        <v>69</v>
      </c>
      <c r="C4544" s="1"/>
      <c r="D4544" s="5" t="s">
        <v>464</v>
      </c>
      <c r="G4544" s="57" t="s">
        <v>465</v>
      </c>
      <c r="H4544" s="19" t="s">
        <v>465</v>
      </c>
      <c r="I4544" s="19">
        <v>92500</v>
      </c>
      <c r="J4544" s="5" t="s">
        <v>3718</v>
      </c>
    </row>
    <row r="4545" spans="1:12" x14ac:dyDescent="0.2">
      <c r="A4545" s="1" t="s">
        <v>20</v>
      </c>
      <c r="B4545" s="2" t="s">
        <v>69</v>
      </c>
      <c r="C4545" s="1"/>
      <c r="D4545" s="5" t="s">
        <v>464</v>
      </c>
      <c r="G4545" s="57" t="s">
        <v>465</v>
      </c>
      <c r="H4545" s="19" t="s">
        <v>465</v>
      </c>
      <c r="I4545" s="19">
        <v>92500</v>
      </c>
      <c r="J4545" s="5" t="s">
        <v>3718</v>
      </c>
    </row>
    <row r="4546" spans="1:12" x14ac:dyDescent="0.2">
      <c r="A4546" s="1" t="s">
        <v>20</v>
      </c>
      <c r="B4546" s="2" t="s">
        <v>69</v>
      </c>
      <c r="C4546" s="1"/>
      <c r="D4546" s="5" t="s">
        <v>464</v>
      </c>
      <c r="G4546" s="57" t="s">
        <v>465</v>
      </c>
      <c r="H4546" s="19" t="s">
        <v>465</v>
      </c>
      <c r="I4546" s="19">
        <v>92500</v>
      </c>
      <c r="J4546" s="5" t="s">
        <v>3718</v>
      </c>
    </row>
    <row r="4547" spans="1:12" x14ac:dyDescent="0.2">
      <c r="A4547" s="1" t="s">
        <v>20</v>
      </c>
      <c r="B4547" s="2" t="s">
        <v>69</v>
      </c>
      <c r="C4547" s="1"/>
      <c r="D4547" s="5" t="s">
        <v>464</v>
      </c>
      <c r="G4547" s="57" t="s">
        <v>465</v>
      </c>
      <c r="H4547" s="19">
        <v>97500</v>
      </c>
      <c r="I4547" s="19" t="s">
        <v>465</v>
      </c>
      <c r="J4547" s="5" t="s">
        <v>3718</v>
      </c>
    </row>
    <row r="4548" spans="1:12" x14ac:dyDescent="0.2">
      <c r="A4548" s="1" t="s">
        <v>20</v>
      </c>
      <c r="B4548" s="2" t="s">
        <v>69</v>
      </c>
      <c r="C4548" s="1"/>
      <c r="D4548" s="5" t="s">
        <v>464</v>
      </c>
      <c r="G4548" s="57" t="s">
        <v>465</v>
      </c>
      <c r="H4548" s="19">
        <v>97500</v>
      </c>
      <c r="I4548" s="19" t="s">
        <v>465</v>
      </c>
      <c r="J4548" s="5" t="s">
        <v>3718</v>
      </c>
    </row>
    <row r="4549" spans="1:12" x14ac:dyDescent="0.2">
      <c r="A4549" s="1" t="s">
        <v>25</v>
      </c>
      <c r="B4549" s="12" t="s">
        <v>70</v>
      </c>
      <c r="C4549" s="13"/>
      <c r="D4549" s="7" t="s">
        <v>464</v>
      </c>
      <c r="E4549" s="21"/>
      <c r="F4549" s="21"/>
      <c r="G4549" s="57" t="s">
        <v>465</v>
      </c>
      <c r="H4549" s="21" t="s">
        <v>465</v>
      </c>
      <c r="I4549" s="21">
        <v>92500</v>
      </c>
      <c r="J4549" s="7"/>
      <c r="K4549" s="13"/>
      <c r="L4549" s="13"/>
    </row>
    <row r="4550" spans="1:12" x14ac:dyDescent="0.2">
      <c r="A4550" s="1" t="s">
        <v>25</v>
      </c>
      <c r="B4550" s="2" t="s">
        <v>70</v>
      </c>
      <c r="C4550" s="1"/>
      <c r="D4550" s="5" t="s">
        <v>464</v>
      </c>
      <c r="E4550" s="19"/>
      <c r="F4550" s="19"/>
      <c r="G4550" s="57" t="s">
        <v>465</v>
      </c>
      <c r="H4550" s="19" t="s">
        <v>465</v>
      </c>
      <c r="I4550" s="19">
        <v>92500</v>
      </c>
    </row>
    <row r="4551" spans="1:12" x14ac:dyDescent="0.2">
      <c r="A4551" s="1" t="s">
        <v>25</v>
      </c>
      <c r="B4551" s="2" t="s">
        <v>70</v>
      </c>
      <c r="C4551" s="1"/>
      <c r="D4551" s="5" t="s">
        <v>464</v>
      </c>
      <c r="E4551" s="19"/>
      <c r="F4551" s="19"/>
      <c r="G4551" s="57" t="s">
        <v>465</v>
      </c>
      <c r="H4551" s="19" t="s">
        <v>465</v>
      </c>
      <c r="I4551" s="19">
        <v>92500</v>
      </c>
    </row>
    <row r="4552" spans="1:12" x14ac:dyDescent="0.2">
      <c r="A4552" s="1" t="s">
        <v>44</v>
      </c>
      <c r="B4552" s="2" t="s">
        <v>73</v>
      </c>
      <c r="C4552" s="1"/>
      <c r="D4552" s="5" t="s">
        <v>464</v>
      </c>
      <c r="G4552" s="57" t="s">
        <v>465</v>
      </c>
      <c r="H4552" s="19">
        <v>92500</v>
      </c>
      <c r="I4552" s="19" t="s">
        <v>465</v>
      </c>
      <c r="J4552" s="1"/>
    </row>
    <row r="4553" spans="1:12" x14ac:dyDescent="0.2">
      <c r="A4553" s="1" t="s">
        <v>44</v>
      </c>
      <c r="B4553" s="2" t="s">
        <v>73</v>
      </c>
      <c r="C4553" s="1"/>
      <c r="D4553" s="5" t="s">
        <v>464</v>
      </c>
      <c r="G4553" s="57" t="s">
        <v>465</v>
      </c>
      <c r="H4553" s="19">
        <v>92500</v>
      </c>
      <c r="I4553" s="19" t="s">
        <v>465</v>
      </c>
      <c r="J4553" s="1"/>
    </row>
    <row r="4554" spans="1:12" x14ac:dyDescent="0.2">
      <c r="A4554" s="1" t="s">
        <v>44</v>
      </c>
      <c r="B4554" s="2" t="s">
        <v>73</v>
      </c>
      <c r="C4554" s="1"/>
      <c r="D4554" s="5" t="s">
        <v>464</v>
      </c>
      <c r="G4554" s="57" t="s">
        <v>465</v>
      </c>
      <c r="H4554" s="19">
        <v>92500</v>
      </c>
      <c r="I4554" s="19" t="s">
        <v>465</v>
      </c>
      <c r="J4554" s="1"/>
    </row>
    <row r="4555" spans="1:12" x14ac:dyDescent="0.2">
      <c r="A4555" s="1" t="s">
        <v>44</v>
      </c>
      <c r="B4555" s="2" t="s">
        <v>73</v>
      </c>
      <c r="C4555" s="1"/>
      <c r="D4555" s="5" t="s">
        <v>464</v>
      </c>
      <c r="G4555" s="57" t="s">
        <v>465</v>
      </c>
      <c r="H4555" s="19">
        <v>92500</v>
      </c>
      <c r="I4555" s="19" t="s">
        <v>465</v>
      </c>
      <c r="J4555" s="1"/>
    </row>
    <row r="4556" spans="1:12" x14ac:dyDescent="0.2">
      <c r="A4556" s="1" t="s">
        <v>44</v>
      </c>
      <c r="B4556" s="2" t="s">
        <v>73</v>
      </c>
      <c r="C4556" s="1"/>
      <c r="D4556" s="5" t="s">
        <v>464</v>
      </c>
      <c r="G4556" s="57" t="s">
        <v>465</v>
      </c>
      <c r="H4556" s="19" t="s">
        <v>465</v>
      </c>
      <c r="I4556" s="19">
        <v>92500</v>
      </c>
      <c r="J4556" s="1"/>
    </row>
    <row r="4557" spans="1:12" x14ac:dyDescent="0.2">
      <c r="A4557" s="1" t="s">
        <v>44</v>
      </c>
      <c r="B4557" s="2" t="s">
        <v>73</v>
      </c>
      <c r="C4557" s="1"/>
      <c r="D4557" s="5" t="s">
        <v>464</v>
      </c>
      <c r="G4557" s="57" t="s">
        <v>465</v>
      </c>
      <c r="H4557" s="19" t="s">
        <v>465</v>
      </c>
      <c r="I4557" s="19">
        <v>92500</v>
      </c>
      <c r="J4557" s="1"/>
    </row>
    <row r="4558" spans="1:12" x14ac:dyDescent="0.2">
      <c r="A4558" s="1" t="s">
        <v>44</v>
      </c>
      <c r="B4558" s="2" t="s">
        <v>73</v>
      </c>
      <c r="C4558" s="1"/>
      <c r="D4558" s="5" t="s">
        <v>464</v>
      </c>
      <c r="G4558" s="57" t="s">
        <v>465</v>
      </c>
      <c r="H4558" s="19" t="s">
        <v>465</v>
      </c>
      <c r="I4558" s="19">
        <v>92500</v>
      </c>
      <c r="J4558" s="1"/>
    </row>
    <row r="4559" spans="1:12" x14ac:dyDescent="0.2">
      <c r="A4559" s="1" t="s">
        <v>44</v>
      </c>
      <c r="B4559" s="2" t="s">
        <v>73</v>
      </c>
      <c r="C4559" s="1"/>
      <c r="D4559" s="5" t="s">
        <v>464</v>
      </c>
      <c r="G4559" s="57" t="s">
        <v>465</v>
      </c>
      <c r="H4559" s="19" t="s">
        <v>465</v>
      </c>
      <c r="I4559" s="19">
        <v>92500</v>
      </c>
      <c r="J4559" s="1"/>
    </row>
    <row r="4560" spans="1:12" x14ac:dyDescent="0.2">
      <c r="A4560" s="1" t="s">
        <v>44</v>
      </c>
      <c r="B4560" s="2" t="s">
        <v>73</v>
      </c>
      <c r="C4560" s="1"/>
      <c r="D4560" s="5" t="s">
        <v>464</v>
      </c>
      <c r="G4560" s="57" t="s">
        <v>465</v>
      </c>
      <c r="H4560" s="19" t="s">
        <v>465</v>
      </c>
      <c r="I4560" s="19">
        <v>92500</v>
      </c>
      <c r="J4560" s="1"/>
    </row>
    <row r="4561" spans="1:10" x14ac:dyDescent="0.2">
      <c r="A4561" s="1" t="s">
        <v>44</v>
      </c>
      <c r="B4561" s="2" t="s">
        <v>73</v>
      </c>
      <c r="C4561" s="1"/>
      <c r="D4561" s="5" t="s">
        <v>464</v>
      </c>
      <c r="G4561" s="57" t="s">
        <v>465</v>
      </c>
      <c r="H4561" s="19" t="s">
        <v>465</v>
      </c>
      <c r="I4561" s="19">
        <v>92500</v>
      </c>
      <c r="J4561" s="1"/>
    </row>
    <row r="4562" spans="1:10" x14ac:dyDescent="0.2">
      <c r="A4562" s="1" t="s">
        <v>44</v>
      </c>
      <c r="B4562" s="2" t="s">
        <v>73</v>
      </c>
      <c r="C4562" s="1"/>
      <c r="D4562" s="5" t="s">
        <v>464</v>
      </c>
      <c r="G4562" s="57" t="s">
        <v>465</v>
      </c>
      <c r="H4562" s="19" t="s">
        <v>465</v>
      </c>
      <c r="I4562" s="19">
        <v>92500</v>
      </c>
      <c r="J4562" s="1"/>
    </row>
    <row r="4563" spans="1:10" x14ac:dyDescent="0.2">
      <c r="A4563" s="1" t="s">
        <v>44</v>
      </c>
      <c r="B4563" s="2" t="s">
        <v>73</v>
      </c>
      <c r="C4563" s="1"/>
      <c r="D4563" s="5" t="s">
        <v>464</v>
      </c>
      <c r="G4563" s="57" t="s">
        <v>465</v>
      </c>
      <c r="H4563" s="19" t="s">
        <v>465</v>
      </c>
      <c r="I4563" s="19">
        <v>92500</v>
      </c>
      <c r="J4563" s="1"/>
    </row>
    <row r="4564" spans="1:10" x14ac:dyDescent="0.2">
      <c r="A4564" s="1" t="s">
        <v>44</v>
      </c>
      <c r="B4564" s="2" t="s">
        <v>73</v>
      </c>
      <c r="C4564" s="1"/>
      <c r="D4564" s="5" t="s">
        <v>464</v>
      </c>
      <c r="G4564" s="57" t="s">
        <v>465</v>
      </c>
      <c r="H4564" s="19">
        <v>97500</v>
      </c>
      <c r="I4564" s="19" t="s">
        <v>465</v>
      </c>
      <c r="J4564" s="1"/>
    </row>
    <row r="4565" spans="1:10" x14ac:dyDescent="0.2">
      <c r="A4565" s="1" t="s">
        <v>44</v>
      </c>
      <c r="B4565" s="2" t="s">
        <v>73</v>
      </c>
      <c r="C4565" s="1"/>
      <c r="D4565" s="5" t="s">
        <v>464</v>
      </c>
      <c r="G4565" s="57" t="s">
        <v>465</v>
      </c>
      <c r="H4565" s="19">
        <v>97500</v>
      </c>
      <c r="I4565" s="19" t="s">
        <v>465</v>
      </c>
      <c r="J4565" s="1"/>
    </row>
    <row r="4566" spans="1:10" x14ac:dyDescent="0.2">
      <c r="A4566" s="1" t="s">
        <v>44</v>
      </c>
      <c r="B4566" s="2" t="s">
        <v>73</v>
      </c>
      <c r="C4566" s="1"/>
      <c r="D4566" s="5" t="s">
        <v>464</v>
      </c>
      <c r="G4566" s="57" t="s">
        <v>465</v>
      </c>
      <c r="H4566" s="19">
        <v>97500</v>
      </c>
      <c r="I4566" s="19" t="s">
        <v>465</v>
      </c>
    </row>
    <row r="4567" spans="1:10" x14ac:dyDescent="0.2">
      <c r="A4567" s="1" t="s">
        <v>44</v>
      </c>
      <c r="B4567" s="2" t="s">
        <v>73</v>
      </c>
      <c r="C4567" s="1"/>
      <c r="D4567" s="5" t="s">
        <v>464</v>
      </c>
      <c r="G4567" s="57" t="s">
        <v>465</v>
      </c>
      <c r="H4567" s="19">
        <v>97500</v>
      </c>
      <c r="I4567" s="19" t="s">
        <v>465</v>
      </c>
    </row>
    <row r="4568" spans="1:10" x14ac:dyDescent="0.2">
      <c r="A4568" s="1" t="s">
        <v>44</v>
      </c>
      <c r="B4568" s="2" t="s">
        <v>73</v>
      </c>
      <c r="C4568" s="1"/>
      <c r="D4568" s="5" t="s">
        <v>464</v>
      </c>
      <c r="G4568" s="57" t="s">
        <v>465</v>
      </c>
      <c r="H4568" s="19" t="s">
        <v>465</v>
      </c>
      <c r="I4568" s="19">
        <v>97500</v>
      </c>
    </row>
    <row r="4569" spans="1:10" x14ac:dyDescent="0.2">
      <c r="A4569" s="1" t="s">
        <v>44</v>
      </c>
      <c r="B4569" s="2" t="s">
        <v>73</v>
      </c>
      <c r="C4569" s="1"/>
      <c r="D4569" s="5" t="s">
        <v>464</v>
      </c>
      <c r="G4569" s="57" t="s">
        <v>465</v>
      </c>
      <c r="H4569" s="19" t="s">
        <v>465</v>
      </c>
      <c r="I4569" s="19">
        <v>97500</v>
      </c>
    </row>
    <row r="4570" spans="1:10" x14ac:dyDescent="0.2">
      <c r="A4570" s="1" t="s">
        <v>6</v>
      </c>
      <c r="B4570" s="2" t="s">
        <v>74</v>
      </c>
      <c r="C4570" s="1"/>
      <c r="D4570" s="5" t="s">
        <v>855</v>
      </c>
      <c r="E4570" s="3">
        <v>264000</v>
      </c>
      <c r="G4570" s="57">
        <v>-1</v>
      </c>
      <c r="J4570" s="5" t="s">
        <v>3809</v>
      </c>
    </row>
    <row r="4571" spans="1:10" x14ac:dyDescent="0.2">
      <c r="A4571" s="1" t="s">
        <v>6</v>
      </c>
      <c r="B4571" s="2" t="s">
        <v>74</v>
      </c>
      <c r="C4571" s="1"/>
      <c r="D4571" s="5" t="s">
        <v>1866</v>
      </c>
      <c r="E4571" s="3">
        <v>220000</v>
      </c>
      <c r="G4571" s="57">
        <v>-1</v>
      </c>
      <c r="J4571" s="5" t="s">
        <v>3809</v>
      </c>
    </row>
    <row r="4572" spans="1:10" x14ac:dyDescent="0.2">
      <c r="A4572" s="1" t="s">
        <v>6</v>
      </c>
      <c r="B4572" s="2" t="s">
        <v>74</v>
      </c>
      <c r="C4572" s="1"/>
      <c r="D4572" s="5" t="s">
        <v>452</v>
      </c>
      <c r="E4572" s="3">
        <v>140000</v>
      </c>
      <c r="G4572" s="57">
        <v>-1</v>
      </c>
      <c r="J4572" s="5" t="s">
        <v>3810</v>
      </c>
    </row>
    <row r="4573" spans="1:10" x14ac:dyDescent="0.2">
      <c r="A4573" s="1" t="s">
        <v>44</v>
      </c>
      <c r="B4573" s="2" t="s">
        <v>75</v>
      </c>
      <c r="C4573" s="1"/>
      <c r="D4573" s="5" t="s">
        <v>464</v>
      </c>
      <c r="G4573" s="57" t="s">
        <v>465</v>
      </c>
      <c r="H4573" s="19">
        <v>92500</v>
      </c>
      <c r="I4573" s="19" t="s">
        <v>465</v>
      </c>
    </row>
    <row r="4574" spans="1:10" x14ac:dyDescent="0.2">
      <c r="A4574" s="1" t="s">
        <v>44</v>
      </c>
      <c r="B4574" s="2" t="s">
        <v>75</v>
      </c>
      <c r="C4574" s="1"/>
      <c r="D4574" s="5" t="s">
        <v>464</v>
      </c>
      <c r="G4574" s="57" t="s">
        <v>465</v>
      </c>
      <c r="H4574" s="19">
        <v>92500</v>
      </c>
      <c r="I4574" s="19" t="s">
        <v>465</v>
      </c>
    </row>
    <row r="4575" spans="1:10" x14ac:dyDescent="0.2">
      <c r="A4575" s="1" t="s">
        <v>44</v>
      </c>
      <c r="B4575" s="2" t="s">
        <v>75</v>
      </c>
      <c r="C4575" s="1"/>
      <c r="D4575" s="5" t="s">
        <v>464</v>
      </c>
      <c r="G4575" s="57" t="s">
        <v>465</v>
      </c>
      <c r="H4575" s="19">
        <v>97500</v>
      </c>
      <c r="I4575" s="19" t="s">
        <v>465</v>
      </c>
    </row>
    <row r="4576" spans="1:10" x14ac:dyDescent="0.2">
      <c r="A4576" s="1" t="s">
        <v>44</v>
      </c>
      <c r="B4576" s="2" t="s">
        <v>75</v>
      </c>
      <c r="C4576" s="1"/>
      <c r="D4576" s="5" t="s">
        <v>464</v>
      </c>
      <c r="G4576" s="57" t="s">
        <v>465</v>
      </c>
      <c r="H4576" s="19">
        <v>97500</v>
      </c>
      <c r="I4576" s="19" t="s">
        <v>465</v>
      </c>
    </row>
    <row r="4577" spans="1:9" x14ac:dyDescent="0.2">
      <c r="A4577" s="1" t="s">
        <v>44</v>
      </c>
      <c r="B4577" s="2" t="s">
        <v>75</v>
      </c>
      <c r="C4577" s="1"/>
      <c r="D4577" s="5" t="s">
        <v>464</v>
      </c>
      <c r="G4577" s="57" t="s">
        <v>465</v>
      </c>
      <c r="H4577" s="19" t="s">
        <v>465</v>
      </c>
      <c r="I4577" s="19">
        <v>97500</v>
      </c>
    </row>
    <row r="4578" spans="1:9" x14ac:dyDescent="0.2">
      <c r="A4578" s="1" t="s">
        <v>44</v>
      </c>
      <c r="B4578" s="2" t="s">
        <v>75</v>
      </c>
      <c r="C4578" s="1"/>
      <c r="D4578" s="5" t="s">
        <v>464</v>
      </c>
      <c r="G4578" s="57" t="s">
        <v>465</v>
      </c>
      <c r="H4578" s="19" t="s">
        <v>465</v>
      </c>
      <c r="I4578" s="19">
        <v>97500</v>
      </c>
    </row>
    <row r="4579" spans="1:9" x14ac:dyDescent="0.2">
      <c r="A4579" s="1" t="s">
        <v>44</v>
      </c>
      <c r="B4579" s="2" t="s">
        <v>75</v>
      </c>
      <c r="C4579" s="1"/>
      <c r="D4579" s="5" t="s">
        <v>464</v>
      </c>
      <c r="G4579" s="57" t="s">
        <v>465</v>
      </c>
      <c r="H4579" s="19" t="s">
        <v>465</v>
      </c>
      <c r="I4579" s="19">
        <v>97500</v>
      </c>
    </row>
    <row r="4580" spans="1:9" x14ac:dyDescent="0.2">
      <c r="A4580" s="1" t="s">
        <v>44</v>
      </c>
      <c r="B4580" s="2" t="s">
        <v>75</v>
      </c>
      <c r="C4580" s="1"/>
      <c r="D4580" s="5" t="s">
        <v>464</v>
      </c>
      <c r="G4580" s="57" t="s">
        <v>465</v>
      </c>
      <c r="H4580" s="19" t="s">
        <v>465</v>
      </c>
      <c r="I4580" s="19">
        <v>97500</v>
      </c>
    </row>
    <row r="4581" spans="1:9" x14ac:dyDescent="0.2">
      <c r="A4581" s="1" t="s">
        <v>44</v>
      </c>
      <c r="B4581" s="2" t="s">
        <v>75</v>
      </c>
      <c r="C4581" s="1"/>
      <c r="D4581" s="5" t="s">
        <v>464</v>
      </c>
      <c r="G4581" s="57" t="s">
        <v>465</v>
      </c>
      <c r="H4581" s="19" t="s">
        <v>465</v>
      </c>
      <c r="I4581" s="19">
        <v>97500</v>
      </c>
    </row>
    <row r="4582" spans="1:9" ht="25.5" x14ac:dyDescent="0.2">
      <c r="A4582" s="1" t="s">
        <v>11</v>
      </c>
      <c r="B4582" s="2" t="s">
        <v>76</v>
      </c>
      <c r="C4582" s="29" t="s">
        <v>2697</v>
      </c>
      <c r="G4582" s="57" t="s">
        <v>465</v>
      </c>
    </row>
    <row r="4583" spans="1:9" ht="25.5" x14ac:dyDescent="0.2">
      <c r="A4583" s="1" t="s">
        <v>11</v>
      </c>
      <c r="B4583" s="2" t="s">
        <v>78</v>
      </c>
      <c r="C4583" s="29" t="s">
        <v>2697</v>
      </c>
      <c r="G4583" s="57" t="s">
        <v>465</v>
      </c>
    </row>
    <row r="4584" spans="1:9" x14ac:dyDescent="0.2">
      <c r="A4584" s="1" t="s">
        <v>20</v>
      </c>
      <c r="B4584" s="2" t="s">
        <v>79</v>
      </c>
      <c r="C4584" s="1"/>
      <c r="D4584" s="5" t="s">
        <v>464</v>
      </c>
      <c r="G4584" s="57" t="s">
        <v>465</v>
      </c>
      <c r="H4584" s="19">
        <v>92500</v>
      </c>
      <c r="I4584" s="19" t="s">
        <v>465</v>
      </c>
    </row>
    <row r="4585" spans="1:9" x14ac:dyDescent="0.2">
      <c r="A4585" s="1" t="s">
        <v>20</v>
      </c>
      <c r="B4585" s="2" t="s">
        <v>79</v>
      </c>
      <c r="C4585" s="1"/>
      <c r="D4585" s="5" t="s">
        <v>464</v>
      </c>
      <c r="G4585" s="57" t="s">
        <v>465</v>
      </c>
      <c r="H4585" s="19">
        <v>92500</v>
      </c>
      <c r="I4585" s="19" t="s">
        <v>465</v>
      </c>
    </row>
    <row r="4586" spans="1:9" x14ac:dyDescent="0.2">
      <c r="A4586" s="1" t="s">
        <v>20</v>
      </c>
      <c r="B4586" s="2" t="s">
        <v>79</v>
      </c>
      <c r="C4586" s="1"/>
      <c r="D4586" s="5" t="s">
        <v>464</v>
      </c>
      <c r="G4586" s="57" t="s">
        <v>465</v>
      </c>
      <c r="H4586" s="19">
        <v>92500</v>
      </c>
      <c r="I4586" s="19" t="s">
        <v>465</v>
      </c>
    </row>
    <row r="4587" spans="1:9" x14ac:dyDescent="0.2">
      <c r="A4587" s="1" t="s">
        <v>20</v>
      </c>
      <c r="B4587" s="2" t="s">
        <v>79</v>
      </c>
      <c r="C4587" s="1"/>
      <c r="D4587" s="5" t="s">
        <v>464</v>
      </c>
      <c r="G4587" s="57" t="s">
        <v>465</v>
      </c>
      <c r="H4587" s="19" t="s">
        <v>465</v>
      </c>
      <c r="I4587" s="19">
        <v>92500</v>
      </c>
    </row>
    <row r="4588" spans="1:9" x14ac:dyDescent="0.2">
      <c r="A4588" s="1" t="s">
        <v>20</v>
      </c>
      <c r="B4588" s="2" t="s">
        <v>79</v>
      </c>
      <c r="C4588" s="1"/>
      <c r="D4588" s="5" t="s">
        <v>464</v>
      </c>
      <c r="G4588" s="57" t="s">
        <v>465</v>
      </c>
      <c r="H4588" s="19" t="s">
        <v>465</v>
      </c>
      <c r="I4588" s="19">
        <v>92500</v>
      </c>
    </row>
    <row r="4589" spans="1:9" x14ac:dyDescent="0.2">
      <c r="A4589" s="1" t="s">
        <v>20</v>
      </c>
      <c r="B4589" s="2" t="s">
        <v>79</v>
      </c>
      <c r="C4589" s="1"/>
      <c r="D4589" s="5" t="s">
        <v>464</v>
      </c>
      <c r="G4589" s="57" t="s">
        <v>465</v>
      </c>
      <c r="H4589" s="19" t="s">
        <v>465</v>
      </c>
      <c r="I4589" s="19">
        <v>92500</v>
      </c>
    </row>
    <row r="4590" spans="1:9" x14ac:dyDescent="0.2">
      <c r="A4590" s="1" t="s">
        <v>20</v>
      </c>
      <c r="B4590" s="2" t="s">
        <v>79</v>
      </c>
      <c r="C4590" s="1"/>
      <c r="D4590" s="5" t="s">
        <v>464</v>
      </c>
      <c r="G4590" s="57" t="s">
        <v>465</v>
      </c>
      <c r="H4590" s="19" t="s">
        <v>465</v>
      </c>
      <c r="I4590" s="19">
        <v>92500</v>
      </c>
    </row>
    <row r="4591" spans="1:9" x14ac:dyDescent="0.2">
      <c r="A4591" s="1" t="s">
        <v>20</v>
      </c>
      <c r="B4591" s="2" t="s">
        <v>79</v>
      </c>
      <c r="C4591" s="1"/>
      <c r="D4591" s="5" t="s">
        <v>464</v>
      </c>
      <c r="G4591" s="57" t="s">
        <v>465</v>
      </c>
      <c r="H4591" s="19" t="s">
        <v>465</v>
      </c>
      <c r="I4591" s="19">
        <v>92500</v>
      </c>
    </row>
    <row r="4592" spans="1:9" x14ac:dyDescent="0.2">
      <c r="A4592" s="1" t="s">
        <v>20</v>
      </c>
      <c r="B4592" s="2" t="s">
        <v>79</v>
      </c>
      <c r="C4592" s="1"/>
      <c r="D4592" s="5" t="s">
        <v>464</v>
      </c>
      <c r="G4592" s="57" t="s">
        <v>465</v>
      </c>
      <c r="H4592" s="19" t="s">
        <v>465</v>
      </c>
      <c r="I4592" s="19">
        <v>92500</v>
      </c>
    </row>
    <row r="4593" spans="1:10" x14ac:dyDescent="0.2">
      <c r="A4593" s="1" t="s">
        <v>20</v>
      </c>
      <c r="B4593" s="2" t="s">
        <v>79</v>
      </c>
      <c r="C4593" s="1"/>
      <c r="D4593" s="5" t="s">
        <v>464</v>
      </c>
      <c r="G4593" s="57" t="s">
        <v>465</v>
      </c>
      <c r="H4593" s="19" t="s">
        <v>465</v>
      </c>
      <c r="I4593" s="19">
        <v>92500</v>
      </c>
    </row>
    <row r="4594" spans="1:10" x14ac:dyDescent="0.2">
      <c r="A4594" s="1" t="s">
        <v>20</v>
      </c>
      <c r="B4594" s="2" t="s">
        <v>79</v>
      </c>
      <c r="C4594" s="1"/>
      <c r="D4594" s="5" t="s">
        <v>464</v>
      </c>
      <c r="G4594" s="57" t="s">
        <v>465</v>
      </c>
      <c r="H4594" s="19">
        <v>97500</v>
      </c>
      <c r="I4594" s="19" t="s">
        <v>465</v>
      </c>
    </row>
    <row r="4595" spans="1:10" x14ac:dyDescent="0.2">
      <c r="A4595" s="1" t="s">
        <v>20</v>
      </c>
      <c r="B4595" s="2" t="s">
        <v>79</v>
      </c>
      <c r="C4595" s="1"/>
      <c r="D4595" s="5" t="s">
        <v>464</v>
      </c>
      <c r="G4595" s="57" t="s">
        <v>465</v>
      </c>
      <c r="H4595" s="19">
        <v>97500</v>
      </c>
      <c r="I4595" s="19" t="s">
        <v>465</v>
      </c>
    </row>
    <row r="4596" spans="1:10" x14ac:dyDescent="0.2">
      <c r="A4596" s="1" t="s">
        <v>20</v>
      </c>
      <c r="B4596" s="2" t="s">
        <v>79</v>
      </c>
      <c r="C4596" s="1"/>
      <c r="D4596" s="5" t="s">
        <v>464</v>
      </c>
      <c r="G4596" s="57" t="s">
        <v>465</v>
      </c>
      <c r="H4596" s="19" t="s">
        <v>465</v>
      </c>
      <c r="I4596" s="19">
        <v>97500</v>
      </c>
    </row>
    <row r="4597" spans="1:10" x14ac:dyDescent="0.2">
      <c r="A4597" s="1" t="s">
        <v>20</v>
      </c>
      <c r="B4597" s="2" t="s">
        <v>79</v>
      </c>
      <c r="C4597" s="1"/>
      <c r="D4597" s="5" t="s">
        <v>464</v>
      </c>
      <c r="E4597" s="3">
        <v>112500</v>
      </c>
      <c r="G4597" s="57">
        <v>-1</v>
      </c>
    </row>
    <row r="4598" spans="1:10" x14ac:dyDescent="0.2">
      <c r="A4598" s="1" t="s">
        <v>8</v>
      </c>
      <c r="B4598" s="2" t="s">
        <v>81</v>
      </c>
      <c r="C4598" s="1"/>
      <c r="D4598" s="5" t="s">
        <v>464</v>
      </c>
      <c r="G4598" s="57" t="s">
        <v>465</v>
      </c>
      <c r="H4598" s="19" t="s">
        <v>465</v>
      </c>
      <c r="I4598" s="19">
        <v>97500</v>
      </c>
    </row>
    <row r="4599" spans="1:10" x14ac:dyDescent="0.2">
      <c r="A4599" s="1" t="s">
        <v>8</v>
      </c>
      <c r="B4599" s="2" t="s">
        <v>81</v>
      </c>
      <c r="C4599" s="1"/>
      <c r="D4599" s="5" t="s">
        <v>464</v>
      </c>
      <c r="E4599" s="3">
        <v>137500</v>
      </c>
      <c r="G4599" s="57">
        <v>-1</v>
      </c>
    </row>
    <row r="4600" spans="1:10" x14ac:dyDescent="0.2">
      <c r="A4600" s="13" t="s">
        <v>20</v>
      </c>
      <c r="B4600" s="12" t="s">
        <v>82</v>
      </c>
      <c r="C4600" s="1"/>
      <c r="D4600" s="5" t="s">
        <v>464</v>
      </c>
      <c r="G4600" s="57" t="s">
        <v>465</v>
      </c>
      <c r="H4600" s="19">
        <v>92500</v>
      </c>
      <c r="I4600" s="19" t="s">
        <v>465</v>
      </c>
      <c r="J4600" s="5" t="s">
        <v>539</v>
      </c>
    </row>
    <row r="4601" spans="1:10" x14ac:dyDescent="0.2">
      <c r="A4601" s="1" t="s">
        <v>6</v>
      </c>
      <c r="B4601" s="2" t="s">
        <v>85</v>
      </c>
      <c r="C4601" s="1"/>
      <c r="D4601" s="5" t="s">
        <v>464</v>
      </c>
      <c r="G4601" s="57" t="s">
        <v>465</v>
      </c>
      <c r="H4601" s="19">
        <v>92500</v>
      </c>
      <c r="I4601" s="19" t="s">
        <v>465</v>
      </c>
    </row>
    <row r="4602" spans="1:10" x14ac:dyDescent="0.2">
      <c r="A4602" s="1" t="s">
        <v>6</v>
      </c>
      <c r="B4602" s="2" t="s">
        <v>85</v>
      </c>
      <c r="C4602" s="1"/>
      <c r="D4602" s="5" t="s">
        <v>464</v>
      </c>
      <c r="G4602" s="57" t="s">
        <v>465</v>
      </c>
      <c r="H4602" s="19">
        <v>92500</v>
      </c>
      <c r="I4602" s="19" t="s">
        <v>465</v>
      </c>
    </row>
    <row r="4603" spans="1:10" x14ac:dyDescent="0.2">
      <c r="A4603" s="1" t="s">
        <v>6</v>
      </c>
      <c r="B4603" s="2" t="s">
        <v>85</v>
      </c>
      <c r="C4603" s="1"/>
      <c r="D4603" s="5" t="s">
        <v>464</v>
      </c>
      <c r="G4603" s="57" t="s">
        <v>465</v>
      </c>
      <c r="H4603" s="19">
        <v>92500</v>
      </c>
      <c r="I4603" s="19" t="s">
        <v>465</v>
      </c>
    </row>
    <row r="4604" spans="1:10" x14ac:dyDescent="0.2">
      <c r="A4604" s="1" t="s">
        <v>6</v>
      </c>
      <c r="B4604" s="2" t="s">
        <v>85</v>
      </c>
      <c r="C4604" s="1"/>
      <c r="D4604" s="5" t="s">
        <v>464</v>
      </c>
      <c r="G4604" s="57" t="s">
        <v>465</v>
      </c>
      <c r="H4604" s="19">
        <v>92500</v>
      </c>
      <c r="I4604" s="19" t="s">
        <v>465</v>
      </c>
    </row>
    <row r="4605" spans="1:10" x14ac:dyDescent="0.2">
      <c r="A4605" s="1" t="s">
        <v>6</v>
      </c>
      <c r="B4605" s="2" t="s">
        <v>85</v>
      </c>
      <c r="C4605" s="1"/>
      <c r="D4605" s="5" t="s">
        <v>464</v>
      </c>
      <c r="G4605" s="57" t="s">
        <v>465</v>
      </c>
      <c r="H4605" s="19">
        <v>92500</v>
      </c>
      <c r="I4605" s="19" t="s">
        <v>465</v>
      </c>
    </row>
    <row r="4606" spans="1:10" x14ac:dyDescent="0.2">
      <c r="A4606" s="1" t="s">
        <v>6</v>
      </c>
      <c r="B4606" s="2" t="s">
        <v>85</v>
      </c>
      <c r="C4606" s="1"/>
      <c r="D4606" s="5" t="s">
        <v>464</v>
      </c>
      <c r="G4606" s="57" t="s">
        <v>465</v>
      </c>
      <c r="H4606" s="19">
        <v>92500</v>
      </c>
      <c r="I4606" s="19" t="s">
        <v>465</v>
      </c>
    </row>
    <row r="4607" spans="1:10" x14ac:dyDescent="0.2">
      <c r="A4607" s="1" t="s">
        <v>6</v>
      </c>
      <c r="B4607" s="2" t="s">
        <v>85</v>
      </c>
      <c r="C4607" s="1"/>
      <c r="D4607" s="5" t="s">
        <v>464</v>
      </c>
      <c r="G4607" s="57" t="s">
        <v>465</v>
      </c>
      <c r="H4607" s="19">
        <v>92500</v>
      </c>
      <c r="I4607" s="19" t="s">
        <v>465</v>
      </c>
    </row>
    <row r="4608" spans="1:10" x14ac:dyDescent="0.2">
      <c r="A4608" s="1" t="s">
        <v>6</v>
      </c>
      <c r="B4608" s="2" t="s">
        <v>85</v>
      </c>
      <c r="C4608" s="1"/>
      <c r="D4608" s="5" t="s">
        <v>464</v>
      </c>
      <c r="G4608" s="57" t="s">
        <v>465</v>
      </c>
      <c r="H4608" s="19">
        <v>92500</v>
      </c>
      <c r="I4608" s="19" t="s">
        <v>465</v>
      </c>
    </row>
    <row r="4609" spans="1:10" x14ac:dyDescent="0.2">
      <c r="A4609" s="1" t="s">
        <v>6</v>
      </c>
      <c r="B4609" s="2" t="s">
        <v>85</v>
      </c>
      <c r="C4609" s="1"/>
      <c r="D4609" s="5" t="s">
        <v>464</v>
      </c>
      <c r="G4609" s="57" t="s">
        <v>465</v>
      </c>
      <c r="H4609" s="19">
        <v>92500</v>
      </c>
      <c r="I4609" s="19" t="s">
        <v>465</v>
      </c>
    </row>
    <row r="4610" spans="1:10" x14ac:dyDescent="0.2">
      <c r="A4610" s="1" t="s">
        <v>6</v>
      </c>
      <c r="B4610" s="2" t="s">
        <v>85</v>
      </c>
      <c r="C4610" s="1"/>
      <c r="D4610" s="5" t="s">
        <v>464</v>
      </c>
      <c r="G4610" s="57" t="s">
        <v>465</v>
      </c>
      <c r="H4610" s="19" t="s">
        <v>465</v>
      </c>
      <c r="I4610" s="19">
        <v>92500</v>
      </c>
      <c r="J4610" s="1"/>
    </row>
    <row r="4611" spans="1:10" x14ac:dyDescent="0.2">
      <c r="A4611" s="1" t="s">
        <v>6</v>
      </c>
      <c r="B4611" s="2" t="s">
        <v>85</v>
      </c>
      <c r="C4611" s="1"/>
      <c r="D4611" s="5" t="s">
        <v>464</v>
      </c>
      <c r="G4611" s="57" t="s">
        <v>465</v>
      </c>
      <c r="H4611" s="19" t="s">
        <v>465</v>
      </c>
      <c r="I4611" s="19">
        <v>92500</v>
      </c>
      <c r="J4611" s="1"/>
    </row>
    <row r="4612" spans="1:10" x14ac:dyDescent="0.2">
      <c r="A4612" s="1" t="s">
        <v>6</v>
      </c>
      <c r="B4612" s="2" t="s">
        <v>85</v>
      </c>
      <c r="C4612" s="1"/>
      <c r="D4612" s="5" t="s">
        <v>464</v>
      </c>
      <c r="G4612" s="57" t="s">
        <v>465</v>
      </c>
      <c r="H4612" s="19" t="s">
        <v>465</v>
      </c>
      <c r="I4612" s="19">
        <v>92500</v>
      </c>
      <c r="J4612" s="1"/>
    </row>
    <row r="4613" spans="1:10" x14ac:dyDescent="0.2">
      <c r="A4613" s="1" t="s">
        <v>6</v>
      </c>
      <c r="B4613" s="2" t="s">
        <v>85</v>
      </c>
      <c r="C4613" s="1"/>
      <c r="D4613" s="5" t="s">
        <v>464</v>
      </c>
      <c r="G4613" s="57" t="s">
        <v>465</v>
      </c>
      <c r="H4613" s="19">
        <v>97500</v>
      </c>
      <c r="I4613" s="19" t="s">
        <v>465</v>
      </c>
      <c r="J4613" s="1"/>
    </row>
    <row r="4614" spans="1:10" x14ac:dyDescent="0.2">
      <c r="A4614" s="1" t="s">
        <v>6</v>
      </c>
      <c r="B4614" s="2" t="s">
        <v>85</v>
      </c>
      <c r="C4614" s="1"/>
      <c r="D4614" s="5" t="s">
        <v>464</v>
      </c>
      <c r="G4614" s="57" t="s">
        <v>465</v>
      </c>
      <c r="H4614" s="19">
        <v>97500</v>
      </c>
      <c r="I4614" s="19" t="s">
        <v>465</v>
      </c>
      <c r="J4614" s="1"/>
    </row>
    <row r="4615" spans="1:10" x14ac:dyDescent="0.2">
      <c r="A4615" s="1" t="s">
        <v>6</v>
      </c>
      <c r="B4615" s="2" t="s">
        <v>85</v>
      </c>
      <c r="C4615" s="1"/>
      <c r="D4615" s="5" t="s">
        <v>464</v>
      </c>
      <c r="G4615" s="57" t="s">
        <v>465</v>
      </c>
      <c r="H4615" s="19">
        <v>97500</v>
      </c>
      <c r="I4615" s="19" t="s">
        <v>465</v>
      </c>
      <c r="J4615" s="1"/>
    </row>
    <row r="4616" spans="1:10" x14ac:dyDescent="0.2">
      <c r="A4616" s="1" t="s">
        <v>6</v>
      </c>
      <c r="B4616" s="2" t="s">
        <v>85</v>
      </c>
      <c r="C4616" s="1"/>
      <c r="D4616" s="5" t="s">
        <v>464</v>
      </c>
      <c r="G4616" s="57" t="s">
        <v>465</v>
      </c>
      <c r="H4616" s="19">
        <v>97500</v>
      </c>
      <c r="I4616" s="19" t="s">
        <v>465</v>
      </c>
      <c r="J4616" s="1"/>
    </row>
    <row r="4617" spans="1:10" x14ac:dyDescent="0.2">
      <c r="A4617" s="1" t="s">
        <v>6</v>
      </c>
      <c r="B4617" s="2" t="s">
        <v>85</v>
      </c>
      <c r="C4617" s="1"/>
      <c r="D4617" s="5" t="s">
        <v>464</v>
      </c>
      <c r="G4617" s="57" t="s">
        <v>465</v>
      </c>
      <c r="H4617" s="19" t="s">
        <v>465</v>
      </c>
      <c r="I4617" s="19">
        <v>97500</v>
      </c>
      <c r="J4617" s="1"/>
    </row>
    <row r="4618" spans="1:10" x14ac:dyDescent="0.2">
      <c r="A4618" s="1" t="s">
        <v>6</v>
      </c>
      <c r="B4618" s="2" t="s">
        <v>85</v>
      </c>
      <c r="C4618" s="1"/>
      <c r="D4618" s="5" t="s">
        <v>464</v>
      </c>
      <c r="G4618" s="57" t="s">
        <v>465</v>
      </c>
      <c r="H4618" s="19" t="s">
        <v>465</v>
      </c>
      <c r="I4618" s="19">
        <v>97500</v>
      </c>
      <c r="J4618" s="1"/>
    </row>
    <row r="4619" spans="1:10" x14ac:dyDescent="0.2">
      <c r="A4619" s="1" t="s">
        <v>6</v>
      </c>
      <c r="B4619" s="2" t="s">
        <v>85</v>
      </c>
      <c r="C4619" s="1"/>
      <c r="D4619" s="5" t="s">
        <v>464</v>
      </c>
      <c r="G4619" s="57" t="s">
        <v>465</v>
      </c>
      <c r="H4619" s="19" t="s">
        <v>465</v>
      </c>
      <c r="I4619" s="19">
        <v>97500</v>
      </c>
      <c r="J4619" s="1"/>
    </row>
    <row r="4620" spans="1:10" x14ac:dyDescent="0.2">
      <c r="A4620" s="1" t="s">
        <v>6</v>
      </c>
      <c r="B4620" s="2" t="s">
        <v>85</v>
      </c>
      <c r="C4620" s="1"/>
      <c r="D4620" s="5" t="s">
        <v>464</v>
      </c>
      <c r="G4620" s="57" t="s">
        <v>465</v>
      </c>
      <c r="H4620" s="19" t="s">
        <v>465</v>
      </c>
      <c r="I4620" s="19">
        <v>97500</v>
      </c>
      <c r="J4620" s="1"/>
    </row>
    <row r="4621" spans="1:10" x14ac:dyDescent="0.2">
      <c r="A4621" s="1" t="s">
        <v>6</v>
      </c>
      <c r="B4621" s="2" t="s">
        <v>86</v>
      </c>
      <c r="C4621" s="1"/>
      <c r="D4621" s="5" t="s">
        <v>464</v>
      </c>
      <c r="G4621" s="57" t="s">
        <v>465</v>
      </c>
      <c r="H4621" s="19" t="s">
        <v>465</v>
      </c>
      <c r="I4621" s="19">
        <v>92500</v>
      </c>
    </row>
    <row r="4622" spans="1:10" x14ac:dyDescent="0.2">
      <c r="A4622" s="1" t="s">
        <v>6</v>
      </c>
      <c r="B4622" s="2" t="s">
        <v>86</v>
      </c>
      <c r="C4622" s="1"/>
      <c r="D4622" s="5" t="s">
        <v>464</v>
      </c>
      <c r="G4622" s="57" t="s">
        <v>465</v>
      </c>
      <c r="H4622" s="19">
        <v>92500</v>
      </c>
      <c r="I4622" s="19" t="s">
        <v>465</v>
      </c>
      <c r="J4622" s="1"/>
    </row>
    <row r="4623" spans="1:10" x14ac:dyDescent="0.2">
      <c r="A4623" s="1" t="s">
        <v>6</v>
      </c>
      <c r="B4623" s="2" t="s">
        <v>86</v>
      </c>
      <c r="C4623" s="1"/>
      <c r="D4623" s="5" t="s">
        <v>464</v>
      </c>
      <c r="G4623" s="57" t="s">
        <v>465</v>
      </c>
      <c r="H4623" s="19">
        <v>92500</v>
      </c>
      <c r="I4623" s="19" t="s">
        <v>465</v>
      </c>
      <c r="J4623" s="1"/>
    </row>
    <row r="4624" spans="1:10" x14ac:dyDescent="0.2">
      <c r="A4624" s="1" t="s">
        <v>6</v>
      </c>
      <c r="B4624" s="2" t="s">
        <v>86</v>
      </c>
      <c r="C4624" s="1"/>
      <c r="D4624" s="5" t="s">
        <v>464</v>
      </c>
      <c r="G4624" s="57" t="s">
        <v>465</v>
      </c>
      <c r="H4624" s="19">
        <v>92500</v>
      </c>
      <c r="I4624" s="19" t="s">
        <v>465</v>
      </c>
      <c r="J4624" s="1"/>
    </row>
    <row r="4625" spans="1:10" x14ac:dyDescent="0.2">
      <c r="A4625" s="1" t="s">
        <v>6</v>
      </c>
      <c r="B4625" s="2" t="s">
        <v>86</v>
      </c>
      <c r="C4625" s="1"/>
      <c r="D4625" s="5" t="s">
        <v>464</v>
      </c>
      <c r="G4625" s="57" t="s">
        <v>465</v>
      </c>
      <c r="H4625" s="19">
        <v>92500</v>
      </c>
      <c r="I4625" s="19" t="s">
        <v>465</v>
      </c>
      <c r="J4625" s="1"/>
    </row>
    <row r="4626" spans="1:10" x14ac:dyDescent="0.2">
      <c r="A4626" s="1" t="s">
        <v>6</v>
      </c>
      <c r="B4626" s="2" t="s">
        <v>86</v>
      </c>
      <c r="C4626" s="1"/>
      <c r="D4626" s="5" t="s">
        <v>464</v>
      </c>
      <c r="G4626" s="57" t="s">
        <v>465</v>
      </c>
      <c r="H4626" s="19">
        <v>92500</v>
      </c>
      <c r="I4626" s="19" t="s">
        <v>465</v>
      </c>
      <c r="J4626" s="1"/>
    </row>
    <row r="4627" spans="1:10" x14ac:dyDescent="0.2">
      <c r="A4627" s="1" t="s">
        <v>6</v>
      </c>
      <c r="B4627" s="2" t="s">
        <v>86</v>
      </c>
      <c r="C4627" s="1"/>
      <c r="D4627" s="5" t="s">
        <v>464</v>
      </c>
      <c r="G4627" s="57" t="s">
        <v>465</v>
      </c>
      <c r="H4627" s="19" t="s">
        <v>465</v>
      </c>
      <c r="I4627" s="19">
        <v>97500</v>
      </c>
      <c r="J4627" s="1"/>
    </row>
    <row r="4628" spans="1:10" x14ac:dyDescent="0.2">
      <c r="A4628" s="1" t="s">
        <v>6</v>
      </c>
      <c r="B4628" s="2" t="s">
        <v>86</v>
      </c>
      <c r="C4628" s="1"/>
      <c r="D4628" s="5" t="s">
        <v>464</v>
      </c>
      <c r="G4628" s="57" t="s">
        <v>465</v>
      </c>
      <c r="H4628" s="19" t="s">
        <v>465</v>
      </c>
      <c r="I4628" s="19">
        <v>97500</v>
      </c>
      <c r="J4628" s="1"/>
    </row>
    <row r="4629" spans="1:10" x14ac:dyDescent="0.2">
      <c r="A4629" s="1" t="s">
        <v>6</v>
      </c>
      <c r="B4629" s="2" t="s">
        <v>86</v>
      </c>
      <c r="C4629" s="1"/>
      <c r="D4629" s="5" t="s">
        <v>464</v>
      </c>
      <c r="G4629" s="57" t="s">
        <v>465</v>
      </c>
      <c r="H4629" s="19">
        <v>97500</v>
      </c>
      <c r="I4629" s="19" t="s">
        <v>465</v>
      </c>
      <c r="J4629" s="1"/>
    </row>
    <row r="4630" spans="1:10" x14ac:dyDescent="0.2">
      <c r="A4630" s="1" t="s">
        <v>6</v>
      </c>
      <c r="B4630" s="2" t="s">
        <v>86</v>
      </c>
      <c r="C4630" s="1"/>
      <c r="D4630" s="5" t="s">
        <v>464</v>
      </c>
      <c r="G4630" s="57" t="s">
        <v>465</v>
      </c>
      <c r="H4630" s="19">
        <v>97500</v>
      </c>
      <c r="I4630" s="19" t="s">
        <v>465</v>
      </c>
      <c r="J4630" s="1"/>
    </row>
    <row r="4631" spans="1:10" x14ac:dyDescent="0.2">
      <c r="A4631" s="1" t="s">
        <v>6</v>
      </c>
      <c r="B4631" s="2" t="s">
        <v>86</v>
      </c>
      <c r="C4631" s="1"/>
      <c r="D4631" s="5" t="s">
        <v>464</v>
      </c>
      <c r="G4631" s="57" t="s">
        <v>465</v>
      </c>
      <c r="H4631" s="19">
        <v>97500</v>
      </c>
      <c r="I4631" s="19" t="s">
        <v>465</v>
      </c>
      <c r="J4631" s="1"/>
    </row>
    <row r="4632" spans="1:10" x14ac:dyDescent="0.2">
      <c r="A4632" s="13" t="s">
        <v>1</v>
      </c>
      <c r="B4632" s="12" t="s">
        <v>92</v>
      </c>
      <c r="C4632" s="1"/>
      <c r="D4632" s="5" t="s">
        <v>464</v>
      </c>
      <c r="G4632" s="57" t="s">
        <v>465</v>
      </c>
      <c r="H4632" s="19">
        <v>92500</v>
      </c>
      <c r="I4632" s="19" t="s">
        <v>465</v>
      </c>
      <c r="J4632" s="30"/>
    </row>
    <row r="4633" spans="1:10" x14ac:dyDescent="0.2">
      <c r="A4633" s="13" t="s">
        <v>1</v>
      </c>
      <c r="B4633" s="12" t="s">
        <v>92</v>
      </c>
      <c r="C4633" s="1"/>
      <c r="D4633" s="5" t="s">
        <v>464</v>
      </c>
      <c r="G4633" s="57" t="s">
        <v>465</v>
      </c>
      <c r="H4633" s="19">
        <v>92500</v>
      </c>
      <c r="I4633" s="19" t="s">
        <v>465</v>
      </c>
      <c r="J4633" s="16"/>
    </row>
    <row r="4634" spans="1:10" x14ac:dyDescent="0.2">
      <c r="A4634" s="13" t="s">
        <v>1</v>
      </c>
      <c r="B4634" s="12" t="s">
        <v>92</v>
      </c>
      <c r="C4634" s="1"/>
      <c r="D4634" s="5" t="s">
        <v>464</v>
      </c>
      <c r="G4634" s="57" t="s">
        <v>465</v>
      </c>
      <c r="H4634" s="19">
        <v>92500</v>
      </c>
      <c r="I4634" s="19" t="s">
        <v>465</v>
      </c>
      <c r="J4634" s="16"/>
    </row>
    <row r="4635" spans="1:10" x14ac:dyDescent="0.2">
      <c r="A4635" s="13" t="s">
        <v>1</v>
      </c>
      <c r="B4635" s="12" t="s">
        <v>92</v>
      </c>
      <c r="C4635" s="1"/>
      <c r="D4635" s="5" t="s">
        <v>464</v>
      </c>
      <c r="G4635" s="57" t="s">
        <v>465</v>
      </c>
      <c r="H4635" s="19">
        <v>92500</v>
      </c>
      <c r="I4635" s="19" t="s">
        <v>465</v>
      </c>
      <c r="J4635" s="16"/>
    </row>
    <row r="4636" spans="1:10" x14ac:dyDescent="0.2">
      <c r="A4636" s="13" t="s">
        <v>1</v>
      </c>
      <c r="B4636" s="12" t="s">
        <v>92</v>
      </c>
      <c r="C4636" s="1"/>
      <c r="D4636" s="5" t="s">
        <v>464</v>
      </c>
      <c r="G4636" s="57" t="s">
        <v>465</v>
      </c>
      <c r="H4636" s="19">
        <v>92500</v>
      </c>
      <c r="I4636" s="19" t="s">
        <v>465</v>
      </c>
      <c r="J4636" s="16"/>
    </row>
    <row r="4637" spans="1:10" x14ac:dyDescent="0.2">
      <c r="A4637" s="13" t="s">
        <v>1</v>
      </c>
      <c r="B4637" s="12" t="s">
        <v>92</v>
      </c>
      <c r="C4637" s="1"/>
      <c r="D4637" s="5" t="s">
        <v>464</v>
      </c>
      <c r="G4637" s="57" t="s">
        <v>465</v>
      </c>
      <c r="H4637" s="19" t="s">
        <v>465</v>
      </c>
      <c r="I4637" s="19">
        <v>92500</v>
      </c>
      <c r="J4637" s="16"/>
    </row>
    <row r="4638" spans="1:10" x14ac:dyDescent="0.2">
      <c r="A4638" s="13" t="s">
        <v>1</v>
      </c>
      <c r="B4638" s="12" t="s">
        <v>92</v>
      </c>
      <c r="C4638" s="1"/>
      <c r="D4638" s="5" t="s">
        <v>464</v>
      </c>
      <c r="G4638" s="57" t="s">
        <v>465</v>
      </c>
      <c r="H4638" s="19" t="s">
        <v>465</v>
      </c>
      <c r="I4638" s="19">
        <v>92500</v>
      </c>
      <c r="J4638" s="16"/>
    </row>
    <row r="4639" spans="1:10" x14ac:dyDescent="0.2">
      <c r="A4639" s="13" t="s">
        <v>1</v>
      </c>
      <c r="B4639" s="12" t="s">
        <v>92</v>
      </c>
      <c r="C4639" s="1"/>
      <c r="D4639" s="5" t="s">
        <v>464</v>
      </c>
      <c r="G4639" s="57" t="s">
        <v>465</v>
      </c>
      <c r="H4639" s="19" t="s">
        <v>465</v>
      </c>
      <c r="I4639" s="19">
        <v>92500</v>
      </c>
      <c r="J4639" s="16"/>
    </row>
    <row r="4640" spans="1:10" x14ac:dyDescent="0.2">
      <c r="A4640" s="13" t="s">
        <v>1</v>
      </c>
      <c r="B4640" s="12" t="s">
        <v>92</v>
      </c>
      <c r="C4640" s="1"/>
      <c r="D4640" s="5" t="s">
        <v>464</v>
      </c>
      <c r="G4640" s="57" t="s">
        <v>465</v>
      </c>
      <c r="H4640" s="19" t="s">
        <v>465</v>
      </c>
      <c r="I4640" s="19">
        <v>92500</v>
      </c>
      <c r="J4640" s="16"/>
    </row>
    <row r="4641" spans="1:10" x14ac:dyDescent="0.2">
      <c r="A4641" s="13" t="s">
        <v>1</v>
      </c>
      <c r="B4641" s="12" t="s">
        <v>92</v>
      </c>
      <c r="C4641" s="1"/>
      <c r="D4641" s="5" t="s">
        <v>464</v>
      </c>
      <c r="G4641" s="57" t="s">
        <v>465</v>
      </c>
      <c r="H4641" s="19" t="s">
        <v>465</v>
      </c>
      <c r="I4641" s="19">
        <v>92500</v>
      </c>
      <c r="J4641" s="16"/>
    </row>
    <row r="4642" spans="1:10" x14ac:dyDescent="0.2">
      <c r="A4642" s="13" t="s">
        <v>1</v>
      </c>
      <c r="B4642" s="12" t="s">
        <v>92</v>
      </c>
      <c r="C4642" s="1"/>
      <c r="D4642" s="5" t="s">
        <v>464</v>
      </c>
      <c r="G4642" s="57" t="s">
        <v>465</v>
      </c>
      <c r="H4642" s="19">
        <v>97500</v>
      </c>
      <c r="I4642" s="19" t="s">
        <v>465</v>
      </c>
      <c r="J4642" s="16"/>
    </row>
    <row r="4643" spans="1:10" x14ac:dyDescent="0.2">
      <c r="A4643" s="13" t="s">
        <v>1</v>
      </c>
      <c r="B4643" s="12" t="s">
        <v>92</v>
      </c>
      <c r="C4643" s="1"/>
      <c r="D4643" s="5" t="s">
        <v>464</v>
      </c>
      <c r="G4643" s="57" t="s">
        <v>465</v>
      </c>
      <c r="H4643" s="19">
        <v>97500</v>
      </c>
      <c r="I4643" s="19" t="s">
        <v>465</v>
      </c>
      <c r="J4643" s="16"/>
    </row>
    <row r="4644" spans="1:10" x14ac:dyDescent="0.2">
      <c r="A4644" s="13" t="s">
        <v>1</v>
      </c>
      <c r="B4644" s="12" t="s">
        <v>92</v>
      </c>
      <c r="C4644" s="1"/>
      <c r="D4644" s="5" t="s">
        <v>464</v>
      </c>
      <c r="G4644" s="57" t="s">
        <v>465</v>
      </c>
      <c r="H4644" s="19">
        <v>97500</v>
      </c>
      <c r="I4644" s="19" t="s">
        <v>465</v>
      </c>
      <c r="J4644" s="16"/>
    </row>
    <row r="4645" spans="1:10" x14ac:dyDescent="0.2">
      <c r="A4645" s="13" t="s">
        <v>1</v>
      </c>
      <c r="B4645" s="12" t="s">
        <v>92</v>
      </c>
      <c r="C4645" s="1"/>
      <c r="D4645" s="5" t="s">
        <v>464</v>
      </c>
      <c r="G4645" s="57" t="s">
        <v>465</v>
      </c>
      <c r="H4645" s="19">
        <v>97500</v>
      </c>
      <c r="I4645" s="19" t="s">
        <v>465</v>
      </c>
      <c r="J4645" s="16"/>
    </row>
    <row r="4646" spans="1:10" x14ac:dyDescent="0.2">
      <c r="A4646" s="13" t="s">
        <v>1</v>
      </c>
      <c r="B4646" s="12" t="s">
        <v>92</v>
      </c>
      <c r="C4646" s="1"/>
      <c r="D4646" s="5" t="s">
        <v>464</v>
      </c>
      <c r="G4646" s="57" t="s">
        <v>465</v>
      </c>
      <c r="H4646" s="19">
        <v>97500</v>
      </c>
      <c r="I4646" s="19" t="s">
        <v>465</v>
      </c>
      <c r="J4646" s="16"/>
    </row>
    <row r="4647" spans="1:10" x14ac:dyDescent="0.2">
      <c r="A4647" s="13" t="s">
        <v>1</v>
      </c>
      <c r="B4647" s="12" t="s">
        <v>92</v>
      </c>
      <c r="C4647" s="1"/>
      <c r="D4647" s="5" t="s">
        <v>464</v>
      </c>
      <c r="G4647" s="57" t="s">
        <v>465</v>
      </c>
      <c r="H4647" s="19">
        <v>97500</v>
      </c>
      <c r="I4647" s="19" t="s">
        <v>465</v>
      </c>
      <c r="J4647" s="16"/>
    </row>
    <row r="4648" spans="1:10" x14ac:dyDescent="0.2">
      <c r="A4648" s="13" t="s">
        <v>1</v>
      </c>
      <c r="B4648" s="12" t="s">
        <v>92</v>
      </c>
      <c r="C4648" s="1"/>
      <c r="D4648" s="5" t="s">
        <v>464</v>
      </c>
      <c r="G4648" s="57" t="s">
        <v>465</v>
      </c>
      <c r="H4648" s="19">
        <v>97500</v>
      </c>
      <c r="I4648" s="19" t="s">
        <v>465</v>
      </c>
      <c r="J4648" s="16"/>
    </row>
    <row r="4649" spans="1:10" x14ac:dyDescent="0.2">
      <c r="A4649" s="13" t="s">
        <v>1</v>
      </c>
      <c r="B4649" s="12" t="s">
        <v>92</v>
      </c>
      <c r="C4649" s="1"/>
      <c r="D4649" s="5" t="s">
        <v>464</v>
      </c>
      <c r="G4649" s="57" t="s">
        <v>465</v>
      </c>
      <c r="H4649" s="19">
        <v>97500</v>
      </c>
      <c r="I4649" s="19" t="s">
        <v>465</v>
      </c>
      <c r="J4649" s="16"/>
    </row>
    <row r="4650" spans="1:10" x14ac:dyDescent="0.2">
      <c r="A4650" s="13" t="s">
        <v>1</v>
      </c>
      <c r="B4650" s="12" t="s">
        <v>92</v>
      </c>
      <c r="C4650" s="1"/>
      <c r="D4650" s="5" t="s">
        <v>464</v>
      </c>
      <c r="G4650" s="57" t="s">
        <v>465</v>
      </c>
      <c r="H4650" s="19">
        <v>97500</v>
      </c>
      <c r="I4650" s="19" t="s">
        <v>465</v>
      </c>
      <c r="J4650" s="16"/>
    </row>
    <row r="4651" spans="1:10" x14ac:dyDescent="0.2">
      <c r="A4651" s="13" t="s">
        <v>1</v>
      </c>
      <c r="B4651" s="12" t="s">
        <v>92</v>
      </c>
      <c r="C4651" s="1"/>
      <c r="D4651" s="5" t="s">
        <v>464</v>
      </c>
      <c r="G4651" s="57" t="s">
        <v>465</v>
      </c>
      <c r="H4651" s="19">
        <v>97500</v>
      </c>
      <c r="I4651" s="19" t="s">
        <v>465</v>
      </c>
      <c r="J4651" s="16"/>
    </row>
    <row r="4652" spans="1:10" x14ac:dyDescent="0.2">
      <c r="A4652" s="13" t="s">
        <v>1</v>
      </c>
      <c r="B4652" s="12" t="s">
        <v>92</v>
      </c>
      <c r="C4652" s="1"/>
      <c r="D4652" s="5" t="s">
        <v>464</v>
      </c>
      <c r="G4652" s="57" t="s">
        <v>465</v>
      </c>
      <c r="H4652" s="19" t="s">
        <v>465</v>
      </c>
      <c r="I4652" s="19">
        <v>97500</v>
      </c>
      <c r="J4652" s="16"/>
    </row>
    <row r="4653" spans="1:10" x14ac:dyDescent="0.2">
      <c r="A4653" s="13" t="s">
        <v>1</v>
      </c>
      <c r="B4653" s="12" t="s">
        <v>92</v>
      </c>
      <c r="C4653" s="1"/>
      <c r="D4653" s="5" t="s">
        <v>464</v>
      </c>
      <c r="G4653" s="57" t="s">
        <v>465</v>
      </c>
      <c r="H4653" s="19" t="s">
        <v>465</v>
      </c>
      <c r="I4653" s="19">
        <v>97500</v>
      </c>
      <c r="J4653" s="16"/>
    </row>
    <row r="4654" spans="1:10" x14ac:dyDescent="0.2">
      <c r="A4654" s="13" t="s">
        <v>1</v>
      </c>
      <c r="B4654" s="12" t="s">
        <v>92</v>
      </c>
      <c r="C4654" s="1"/>
      <c r="D4654" s="5" t="s">
        <v>464</v>
      </c>
      <c r="G4654" s="57" t="s">
        <v>465</v>
      </c>
      <c r="H4654" s="19" t="s">
        <v>465</v>
      </c>
      <c r="I4654" s="19">
        <v>97500</v>
      </c>
      <c r="J4654" s="16"/>
    </row>
    <row r="4655" spans="1:10" x14ac:dyDescent="0.2">
      <c r="A4655" s="13" t="s">
        <v>1</v>
      </c>
      <c r="B4655" s="12" t="s">
        <v>92</v>
      </c>
      <c r="C4655" s="1"/>
      <c r="D4655" s="5" t="s">
        <v>464</v>
      </c>
      <c r="G4655" s="57" t="s">
        <v>465</v>
      </c>
      <c r="H4655" s="19" t="s">
        <v>465</v>
      </c>
      <c r="I4655" s="19">
        <v>97500</v>
      </c>
      <c r="J4655" s="16"/>
    </row>
    <row r="4656" spans="1:10" x14ac:dyDescent="0.2">
      <c r="A4656" s="13" t="s">
        <v>1</v>
      </c>
      <c r="B4656" s="12" t="s">
        <v>92</v>
      </c>
      <c r="C4656" s="1"/>
      <c r="D4656" s="5" t="s">
        <v>464</v>
      </c>
      <c r="G4656" s="57" t="s">
        <v>465</v>
      </c>
      <c r="H4656" s="19" t="s">
        <v>465</v>
      </c>
      <c r="I4656" s="19">
        <v>97500</v>
      </c>
      <c r="J4656" s="16"/>
    </row>
    <row r="4657" spans="1:10" x14ac:dyDescent="0.2">
      <c r="A4657" s="13" t="s">
        <v>1</v>
      </c>
      <c r="B4657" s="12" t="s">
        <v>92</v>
      </c>
      <c r="C4657" s="1"/>
      <c r="D4657" s="5" t="s">
        <v>464</v>
      </c>
      <c r="G4657" s="57" t="s">
        <v>465</v>
      </c>
      <c r="H4657" s="19" t="s">
        <v>465</v>
      </c>
      <c r="I4657" s="19">
        <v>97500</v>
      </c>
      <c r="J4657" s="16"/>
    </row>
    <row r="4658" spans="1:10" x14ac:dyDescent="0.2">
      <c r="A4658" s="13" t="s">
        <v>1</v>
      </c>
      <c r="B4658" s="12" t="s">
        <v>92</v>
      </c>
      <c r="C4658" s="1"/>
      <c r="D4658" s="5" t="s">
        <v>464</v>
      </c>
      <c r="G4658" s="57" t="s">
        <v>465</v>
      </c>
      <c r="H4658" s="19" t="s">
        <v>465</v>
      </c>
      <c r="I4658" s="19">
        <v>97500</v>
      </c>
      <c r="J4658" s="16"/>
    </row>
    <row r="4659" spans="1:10" x14ac:dyDescent="0.2">
      <c r="A4659" s="13" t="s">
        <v>1</v>
      </c>
      <c r="B4659" s="12" t="s">
        <v>92</v>
      </c>
      <c r="C4659" s="1"/>
      <c r="D4659" s="5" t="s">
        <v>464</v>
      </c>
      <c r="G4659" s="57" t="s">
        <v>465</v>
      </c>
      <c r="H4659" s="19" t="s">
        <v>465</v>
      </c>
      <c r="I4659" s="19">
        <v>97500</v>
      </c>
      <c r="J4659" s="16"/>
    </row>
    <row r="4660" spans="1:10" x14ac:dyDescent="0.2">
      <c r="A4660" s="13" t="s">
        <v>1</v>
      </c>
      <c r="B4660" s="12" t="s">
        <v>92</v>
      </c>
      <c r="C4660" s="1"/>
      <c r="D4660" s="5" t="s">
        <v>464</v>
      </c>
      <c r="G4660" s="57" t="s">
        <v>465</v>
      </c>
      <c r="H4660" s="19" t="s">
        <v>465</v>
      </c>
      <c r="I4660" s="19">
        <v>97500</v>
      </c>
      <c r="J4660" s="16"/>
    </row>
    <row r="4661" spans="1:10" x14ac:dyDescent="0.2">
      <c r="A4661" s="13" t="s">
        <v>1</v>
      </c>
      <c r="B4661" s="12" t="s">
        <v>92</v>
      </c>
      <c r="C4661" s="1"/>
      <c r="D4661" s="5" t="s">
        <v>464</v>
      </c>
      <c r="G4661" s="57" t="s">
        <v>465</v>
      </c>
      <c r="H4661" s="19" t="s">
        <v>465</v>
      </c>
      <c r="I4661" s="19">
        <v>97500</v>
      </c>
      <c r="J4661" s="16"/>
    </row>
    <row r="4662" spans="1:10" x14ac:dyDescent="0.2">
      <c r="A4662" s="13" t="s">
        <v>1</v>
      </c>
      <c r="B4662" s="12" t="s">
        <v>92</v>
      </c>
      <c r="C4662" s="1"/>
      <c r="D4662" s="5" t="s">
        <v>464</v>
      </c>
      <c r="G4662" s="57" t="s">
        <v>465</v>
      </c>
      <c r="H4662" s="19" t="s">
        <v>465</v>
      </c>
      <c r="I4662" s="19">
        <v>97500</v>
      </c>
      <c r="J4662" s="16"/>
    </row>
    <row r="4663" spans="1:10" x14ac:dyDescent="0.2">
      <c r="A4663" s="13" t="s">
        <v>1</v>
      </c>
      <c r="B4663" s="12" t="s">
        <v>92</v>
      </c>
      <c r="C4663" s="1"/>
      <c r="D4663" s="5" t="s">
        <v>464</v>
      </c>
      <c r="G4663" s="57" t="s">
        <v>465</v>
      </c>
      <c r="H4663" s="19" t="s">
        <v>465</v>
      </c>
      <c r="I4663" s="19">
        <v>97500</v>
      </c>
      <c r="J4663" s="16"/>
    </row>
    <row r="4664" spans="1:10" x14ac:dyDescent="0.2">
      <c r="A4664" s="13" t="s">
        <v>1</v>
      </c>
      <c r="B4664" s="12" t="s">
        <v>92</v>
      </c>
      <c r="C4664" s="1"/>
      <c r="D4664" s="5" t="s">
        <v>464</v>
      </c>
      <c r="G4664" s="57" t="s">
        <v>465</v>
      </c>
      <c r="H4664" s="19" t="s">
        <v>465</v>
      </c>
      <c r="I4664" s="19">
        <v>97500</v>
      </c>
      <c r="J4664" s="16"/>
    </row>
    <row r="4665" spans="1:10" x14ac:dyDescent="0.2">
      <c r="A4665" s="13" t="s">
        <v>1</v>
      </c>
      <c r="B4665" s="12" t="s">
        <v>92</v>
      </c>
      <c r="C4665" s="1"/>
      <c r="D4665" s="5" t="s">
        <v>464</v>
      </c>
      <c r="G4665" s="57" t="s">
        <v>465</v>
      </c>
      <c r="H4665" s="19" t="s">
        <v>465</v>
      </c>
      <c r="I4665" s="19">
        <v>97500</v>
      </c>
      <c r="J4665" s="16"/>
    </row>
    <row r="4666" spans="1:10" x14ac:dyDescent="0.2">
      <c r="A4666" s="1" t="s">
        <v>25</v>
      </c>
      <c r="B4666" s="2" t="s">
        <v>93</v>
      </c>
      <c r="C4666" s="1"/>
      <c r="D4666" s="5" t="s">
        <v>464</v>
      </c>
      <c r="G4666" s="57" t="s">
        <v>465</v>
      </c>
      <c r="H4666" s="19" t="s">
        <v>465</v>
      </c>
      <c r="I4666" s="19">
        <v>92500</v>
      </c>
    </row>
    <row r="4667" spans="1:10" x14ac:dyDescent="0.2">
      <c r="A4667" s="1" t="s">
        <v>25</v>
      </c>
      <c r="B4667" s="2" t="s">
        <v>93</v>
      </c>
      <c r="C4667" s="1"/>
      <c r="D4667" s="5" t="s">
        <v>464</v>
      </c>
      <c r="G4667" s="57" t="s">
        <v>465</v>
      </c>
      <c r="H4667" s="19" t="s">
        <v>465</v>
      </c>
      <c r="I4667" s="19">
        <v>92500</v>
      </c>
    </row>
    <row r="4668" spans="1:10" x14ac:dyDescent="0.2">
      <c r="A4668" s="1" t="s">
        <v>25</v>
      </c>
      <c r="B4668" s="2" t="s">
        <v>93</v>
      </c>
      <c r="C4668" s="1"/>
      <c r="D4668" s="5" t="s">
        <v>464</v>
      </c>
      <c r="G4668" s="57" t="s">
        <v>465</v>
      </c>
      <c r="H4668" s="19" t="s">
        <v>465</v>
      </c>
      <c r="I4668" s="19">
        <v>92500</v>
      </c>
    </row>
    <row r="4669" spans="1:10" x14ac:dyDescent="0.2">
      <c r="A4669" s="1" t="s">
        <v>25</v>
      </c>
      <c r="B4669" s="2" t="s">
        <v>93</v>
      </c>
      <c r="C4669" s="1"/>
      <c r="D4669" s="5" t="s">
        <v>464</v>
      </c>
      <c r="G4669" s="57" t="s">
        <v>465</v>
      </c>
      <c r="H4669" s="19">
        <v>92500</v>
      </c>
      <c r="I4669" s="19" t="s">
        <v>465</v>
      </c>
    </row>
    <row r="4670" spans="1:10" x14ac:dyDescent="0.2">
      <c r="A4670" s="1" t="s">
        <v>25</v>
      </c>
      <c r="B4670" s="2" t="s">
        <v>93</v>
      </c>
      <c r="C4670" s="1"/>
      <c r="D4670" s="5" t="s">
        <v>464</v>
      </c>
      <c r="G4670" s="57" t="s">
        <v>465</v>
      </c>
      <c r="H4670" s="19">
        <v>92500</v>
      </c>
      <c r="I4670" s="19" t="s">
        <v>465</v>
      </c>
    </row>
    <row r="4671" spans="1:10" x14ac:dyDescent="0.2">
      <c r="A4671" s="1" t="s">
        <v>25</v>
      </c>
      <c r="B4671" s="2" t="s">
        <v>93</v>
      </c>
      <c r="C4671" s="1"/>
      <c r="D4671" s="5" t="s">
        <v>464</v>
      </c>
      <c r="G4671" s="57" t="s">
        <v>465</v>
      </c>
      <c r="H4671" s="19" t="s">
        <v>465</v>
      </c>
      <c r="I4671" s="19">
        <v>97500</v>
      </c>
    </row>
    <row r="4672" spans="1:10" x14ac:dyDescent="0.2">
      <c r="A4672" s="1" t="s">
        <v>25</v>
      </c>
      <c r="B4672" s="2" t="s">
        <v>93</v>
      </c>
      <c r="C4672" s="1"/>
      <c r="D4672" s="5" t="s">
        <v>464</v>
      </c>
      <c r="G4672" s="57" t="s">
        <v>465</v>
      </c>
      <c r="H4672" s="19" t="s">
        <v>465</v>
      </c>
      <c r="I4672" s="19">
        <v>97500</v>
      </c>
    </row>
    <row r="4673" spans="1:12" x14ac:dyDescent="0.2">
      <c r="A4673" s="1" t="s">
        <v>25</v>
      </c>
      <c r="B4673" s="2" t="s">
        <v>93</v>
      </c>
      <c r="C4673" s="1"/>
      <c r="D4673" s="5" t="s">
        <v>464</v>
      </c>
      <c r="G4673" s="57" t="s">
        <v>465</v>
      </c>
      <c r="H4673" s="19" t="s">
        <v>465</v>
      </c>
      <c r="I4673" s="19">
        <v>97500</v>
      </c>
    </row>
    <row r="4674" spans="1:12" x14ac:dyDescent="0.2">
      <c r="A4674" s="1" t="s">
        <v>25</v>
      </c>
      <c r="B4674" s="2" t="s">
        <v>93</v>
      </c>
      <c r="C4674" s="1"/>
      <c r="D4674" s="5" t="s">
        <v>464</v>
      </c>
      <c r="G4674" s="57" t="s">
        <v>465</v>
      </c>
      <c r="H4674" s="19">
        <v>97500</v>
      </c>
      <c r="I4674" s="19" t="s">
        <v>465</v>
      </c>
    </row>
    <row r="4675" spans="1:12" x14ac:dyDescent="0.2">
      <c r="A4675" s="1" t="s">
        <v>25</v>
      </c>
      <c r="B4675" s="2" t="s">
        <v>93</v>
      </c>
      <c r="C4675" s="1"/>
      <c r="D4675" s="5" t="s">
        <v>464</v>
      </c>
      <c r="G4675" s="57" t="s">
        <v>465</v>
      </c>
      <c r="H4675" s="19">
        <v>97500</v>
      </c>
      <c r="I4675" s="19" t="s">
        <v>465</v>
      </c>
    </row>
    <row r="4676" spans="1:12" x14ac:dyDescent="0.2">
      <c r="A4676" s="1" t="s">
        <v>25</v>
      </c>
      <c r="B4676" s="2" t="s">
        <v>93</v>
      </c>
      <c r="C4676" s="1"/>
      <c r="D4676" s="5" t="s">
        <v>464</v>
      </c>
      <c r="G4676" s="57" t="s">
        <v>465</v>
      </c>
      <c r="H4676" s="19">
        <v>97500</v>
      </c>
      <c r="I4676" s="19" t="s">
        <v>465</v>
      </c>
    </row>
    <row r="4677" spans="1:12" x14ac:dyDescent="0.2">
      <c r="A4677" s="13" t="s">
        <v>1</v>
      </c>
      <c r="B4677" s="2" t="s">
        <v>94</v>
      </c>
      <c r="C4677" s="1"/>
      <c r="D4677" s="5" t="s">
        <v>464</v>
      </c>
      <c r="G4677" s="57" t="s">
        <v>465</v>
      </c>
      <c r="H4677" s="19" t="s">
        <v>465</v>
      </c>
      <c r="I4677" s="19">
        <v>92500</v>
      </c>
      <c r="J4677" s="5" t="s">
        <v>1241</v>
      </c>
    </row>
    <row r="4678" spans="1:12" ht="25.5" x14ac:dyDescent="0.2">
      <c r="A4678" s="1" t="s">
        <v>11</v>
      </c>
      <c r="B4678" s="2" t="s">
        <v>96</v>
      </c>
      <c r="C4678" s="29" t="s">
        <v>2697</v>
      </c>
      <c r="G4678" s="57" t="s">
        <v>465</v>
      </c>
    </row>
    <row r="4679" spans="1:12" ht="25.5" x14ac:dyDescent="0.2">
      <c r="A4679" s="1" t="s">
        <v>11</v>
      </c>
      <c r="B4679" s="2" t="s">
        <v>98</v>
      </c>
      <c r="C4679" s="29" t="s">
        <v>2697</v>
      </c>
      <c r="G4679" s="57" t="s">
        <v>465</v>
      </c>
    </row>
    <row r="4680" spans="1:12" ht="25.5" x14ac:dyDescent="0.2">
      <c r="A4680" s="1" t="s">
        <v>6</v>
      </c>
      <c r="B4680" s="2" t="s">
        <v>99</v>
      </c>
      <c r="C4680" s="29" t="s">
        <v>2697</v>
      </c>
      <c r="G4680" s="57" t="s">
        <v>465</v>
      </c>
    </row>
    <row r="4681" spans="1:12" x14ac:dyDescent="0.2">
      <c r="A4681" s="1" t="s">
        <v>34</v>
      </c>
      <c r="B4681" s="12" t="s">
        <v>101</v>
      </c>
      <c r="C4681" s="13"/>
      <c r="D4681" s="7" t="s">
        <v>464</v>
      </c>
      <c r="E4681" s="6"/>
      <c r="F4681" s="6"/>
      <c r="G4681" s="57" t="s">
        <v>465</v>
      </c>
      <c r="H4681" s="21" t="s">
        <v>465</v>
      </c>
      <c r="I4681" s="21">
        <v>92500</v>
      </c>
      <c r="J4681" s="7"/>
      <c r="K4681" s="13"/>
      <c r="L4681" s="13"/>
    </row>
    <row r="4682" spans="1:12" x14ac:dyDescent="0.2">
      <c r="A4682" s="1" t="s">
        <v>34</v>
      </c>
      <c r="B4682" s="12" t="s">
        <v>101</v>
      </c>
      <c r="C4682" s="13"/>
      <c r="D4682" s="7" t="s">
        <v>464</v>
      </c>
      <c r="E4682" s="6"/>
      <c r="F4682" s="6"/>
      <c r="G4682" s="57" t="s">
        <v>465</v>
      </c>
      <c r="H4682" s="21" t="s">
        <v>465</v>
      </c>
      <c r="I4682" s="21">
        <v>92500</v>
      </c>
      <c r="J4682" s="7"/>
      <c r="K4682" s="13"/>
      <c r="L4682" s="13"/>
    </row>
    <row r="4683" spans="1:12" x14ac:dyDescent="0.2">
      <c r="A4683" s="1" t="s">
        <v>34</v>
      </c>
      <c r="B4683" s="12" t="s">
        <v>101</v>
      </c>
      <c r="C4683" s="13"/>
      <c r="D4683" s="7" t="s">
        <v>464</v>
      </c>
      <c r="E4683" s="6"/>
      <c r="F4683" s="6"/>
      <c r="G4683" s="57" t="s">
        <v>465</v>
      </c>
      <c r="H4683" s="21" t="s">
        <v>465</v>
      </c>
      <c r="I4683" s="21">
        <v>92500</v>
      </c>
      <c r="J4683" s="7"/>
      <c r="K4683" s="13"/>
      <c r="L4683" s="13"/>
    </row>
    <row r="4684" spans="1:12" x14ac:dyDescent="0.2">
      <c r="A4684" s="1" t="s">
        <v>34</v>
      </c>
      <c r="B4684" s="12" t="s">
        <v>101</v>
      </c>
      <c r="C4684" s="13"/>
      <c r="D4684" s="7" t="s">
        <v>464</v>
      </c>
      <c r="E4684" s="6"/>
      <c r="F4684" s="6"/>
      <c r="G4684" s="57" t="s">
        <v>465</v>
      </c>
      <c r="H4684" s="21" t="s">
        <v>465</v>
      </c>
      <c r="I4684" s="21">
        <v>92500</v>
      </c>
      <c r="J4684" s="7"/>
      <c r="K4684" s="13"/>
      <c r="L4684" s="13"/>
    </row>
    <row r="4685" spans="1:12" x14ac:dyDescent="0.2">
      <c r="A4685" s="1" t="s">
        <v>34</v>
      </c>
      <c r="B4685" s="12" t="s">
        <v>101</v>
      </c>
      <c r="C4685" s="13"/>
      <c r="D4685" s="7" t="s">
        <v>464</v>
      </c>
      <c r="E4685" s="6"/>
      <c r="F4685" s="6"/>
      <c r="G4685" s="57" t="s">
        <v>465</v>
      </c>
      <c r="H4685" s="21">
        <v>92500</v>
      </c>
      <c r="I4685" s="21" t="s">
        <v>465</v>
      </c>
      <c r="J4685" s="7"/>
      <c r="K4685" s="13"/>
      <c r="L4685" s="13"/>
    </row>
    <row r="4686" spans="1:12" x14ac:dyDescent="0.2">
      <c r="A4686" s="1" t="s">
        <v>34</v>
      </c>
      <c r="B4686" s="12" t="s">
        <v>101</v>
      </c>
      <c r="C4686" s="13"/>
      <c r="D4686" s="7" t="s">
        <v>464</v>
      </c>
      <c r="E4686" s="6"/>
      <c r="F4686" s="6"/>
      <c r="G4686" s="57" t="s">
        <v>465</v>
      </c>
      <c r="H4686" s="21">
        <v>92500</v>
      </c>
      <c r="I4686" s="21" t="s">
        <v>465</v>
      </c>
      <c r="J4686" s="7"/>
      <c r="K4686" s="13"/>
      <c r="L4686" s="13"/>
    </row>
    <row r="4687" spans="1:12" x14ac:dyDescent="0.2">
      <c r="A4687" s="1" t="s">
        <v>34</v>
      </c>
      <c r="B4687" s="12" t="s">
        <v>101</v>
      </c>
      <c r="C4687" s="13"/>
      <c r="D4687" s="7" t="s">
        <v>464</v>
      </c>
      <c r="E4687" s="6"/>
      <c r="F4687" s="6"/>
      <c r="G4687" s="57" t="s">
        <v>465</v>
      </c>
      <c r="H4687" s="21">
        <v>92500</v>
      </c>
      <c r="I4687" s="21" t="s">
        <v>465</v>
      </c>
      <c r="J4687" s="7"/>
      <c r="K4687" s="13"/>
      <c r="L4687" s="13"/>
    </row>
    <row r="4688" spans="1:12" x14ac:dyDescent="0.2">
      <c r="A4688" s="1" t="s">
        <v>34</v>
      </c>
      <c r="B4688" s="12" t="s">
        <v>101</v>
      </c>
      <c r="C4688" s="13"/>
      <c r="D4688" s="7" t="s">
        <v>464</v>
      </c>
      <c r="E4688" s="6"/>
      <c r="F4688" s="6"/>
      <c r="G4688" s="57" t="s">
        <v>465</v>
      </c>
      <c r="H4688" s="21">
        <v>92500</v>
      </c>
      <c r="I4688" s="21" t="s">
        <v>465</v>
      </c>
      <c r="J4688" s="7"/>
      <c r="K4688" s="13"/>
      <c r="L4688" s="13"/>
    </row>
    <row r="4689" spans="1:12" x14ac:dyDescent="0.2">
      <c r="A4689" s="1" t="s">
        <v>34</v>
      </c>
      <c r="B4689" s="12" t="s">
        <v>101</v>
      </c>
      <c r="C4689" s="13"/>
      <c r="D4689" s="7" t="s">
        <v>464</v>
      </c>
      <c r="E4689" s="6"/>
      <c r="F4689" s="6"/>
      <c r="G4689" s="57" t="s">
        <v>465</v>
      </c>
      <c r="H4689" s="21" t="s">
        <v>465</v>
      </c>
      <c r="I4689" s="21">
        <v>97500</v>
      </c>
      <c r="J4689" s="7"/>
      <c r="K4689" s="13"/>
      <c r="L4689" s="13"/>
    </row>
    <row r="4690" spans="1:12" x14ac:dyDescent="0.2">
      <c r="A4690" s="1" t="s">
        <v>34</v>
      </c>
      <c r="B4690" s="12" t="s">
        <v>101</v>
      </c>
      <c r="C4690" s="13"/>
      <c r="D4690" s="7" t="s">
        <v>464</v>
      </c>
      <c r="E4690" s="6"/>
      <c r="F4690" s="6"/>
      <c r="G4690" s="57" t="s">
        <v>465</v>
      </c>
      <c r="H4690" s="21" t="s">
        <v>465</v>
      </c>
      <c r="I4690" s="21">
        <v>97500</v>
      </c>
      <c r="J4690" s="7"/>
      <c r="K4690" s="13"/>
      <c r="L4690" s="13"/>
    </row>
    <row r="4691" spans="1:12" x14ac:dyDescent="0.2">
      <c r="A4691" s="1" t="s">
        <v>34</v>
      </c>
      <c r="B4691" s="12" t="s">
        <v>101</v>
      </c>
      <c r="C4691" s="13"/>
      <c r="D4691" s="7" t="s">
        <v>464</v>
      </c>
      <c r="E4691" s="6"/>
      <c r="F4691" s="6"/>
      <c r="G4691" s="57" t="s">
        <v>465</v>
      </c>
      <c r="H4691" s="21" t="s">
        <v>465</v>
      </c>
      <c r="I4691" s="21">
        <v>97500</v>
      </c>
      <c r="J4691" s="7"/>
      <c r="K4691" s="13"/>
      <c r="L4691" s="13"/>
    </row>
    <row r="4692" spans="1:12" x14ac:dyDescent="0.2">
      <c r="A4692" s="1" t="s">
        <v>34</v>
      </c>
      <c r="B4692" s="12" t="s">
        <v>101</v>
      </c>
      <c r="C4692" s="13"/>
      <c r="D4692" s="7" t="s">
        <v>464</v>
      </c>
      <c r="E4692" s="6"/>
      <c r="F4692" s="6"/>
      <c r="G4692" s="57" t="s">
        <v>465</v>
      </c>
      <c r="H4692" s="21">
        <v>97500</v>
      </c>
      <c r="I4692" s="21" t="s">
        <v>465</v>
      </c>
      <c r="J4692" s="7"/>
      <c r="K4692" s="13"/>
      <c r="L4692" s="13"/>
    </row>
    <row r="4693" spans="1:12" x14ac:dyDescent="0.2">
      <c r="A4693" s="1" t="s">
        <v>34</v>
      </c>
      <c r="B4693" s="12" t="s">
        <v>101</v>
      </c>
      <c r="C4693" s="13"/>
      <c r="D4693" s="7" t="s">
        <v>464</v>
      </c>
      <c r="E4693" s="6"/>
      <c r="F4693" s="6"/>
      <c r="G4693" s="57" t="s">
        <v>465</v>
      </c>
      <c r="H4693" s="21">
        <v>97500</v>
      </c>
      <c r="I4693" s="21" t="s">
        <v>465</v>
      </c>
      <c r="J4693" s="7"/>
      <c r="K4693" s="13"/>
      <c r="L4693" s="13"/>
    </row>
    <row r="4694" spans="1:12" x14ac:dyDescent="0.2">
      <c r="A4694" s="1" t="s">
        <v>34</v>
      </c>
      <c r="B4694" s="12" t="s">
        <v>101</v>
      </c>
      <c r="C4694" s="13"/>
      <c r="D4694" s="7" t="s">
        <v>464</v>
      </c>
      <c r="E4694" s="6"/>
      <c r="F4694" s="6"/>
      <c r="G4694" s="57" t="s">
        <v>465</v>
      </c>
      <c r="H4694" s="21">
        <v>97500</v>
      </c>
      <c r="I4694" s="21" t="s">
        <v>465</v>
      </c>
      <c r="J4694" s="7"/>
      <c r="K4694" s="13"/>
      <c r="L4694" s="13"/>
    </row>
    <row r="4695" spans="1:12" x14ac:dyDescent="0.2">
      <c r="A4695" s="1" t="s">
        <v>34</v>
      </c>
      <c r="B4695" s="12" t="s">
        <v>101</v>
      </c>
      <c r="C4695" s="13"/>
      <c r="D4695" s="7" t="s">
        <v>464</v>
      </c>
      <c r="E4695" s="6"/>
      <c r="F4695" s="6"/>
      <c r="G4695" s="57" t="s">
        <v>465</v>
      </c>
      <c r="H4695" s="21">
        <v>97500</v>
      </c>
      <c r="I4695" s="21" t="s">
        <v>465</v>
      </c>
      <c r="J4695" s="7"/>
      <c r="K4695" s="13"/>
      <c r="L4695" s="13"/>
    </row>
    <row r="4696" spans="1:12" ht="63.75" x14ac:dyDescent="0.2">
      <c r="A4696" s="1" t="s">
        <v>34</v>
      </c>
      <c r="B4696" s="2" t="s">
        <v>102</v>
      </c>
      <c r="C4696" s="29" t="s">
        <v>4243</v>
      </c>
      <c r="G4696" s="57" t="s">
        <v>465</v>
      </c>
    </row>
    <row r="4697" spans="1:12" x14ac:dyDescent="0.2">
      <c r="A4697" s="1" t="s">
        <v>39</v>
      </c>
      <c r="B4697" s="2" t="s">
        <v>103</v>
      </c>
      <c r="C4697" s="1"/>
      <c r="D4697" s="5" t="s">
        <v>464</v>
      </c>
      <c r="G4697" s="57" t="s">
        <v>465</v>
      </c>
      <c r="H4697" s="19" t="s">
        <v>465</v>
      </c>
      <c r="I4697" s="19">
        <v>92500</v>
      </c>
    </row>
    <row r="4698" spans="1:12" x14ac:dyDescent="0.2">
      <c r="A4698" s="1" t="s">
        <v>39</v>
      </c>
      <c r="B4698" s="2" t="s">
        <v>103</v>
      </c>
      <c r="C4698" s="1"/>
      <c r="D4698" s="5" t="s">
        <v>464</v>
      </c>
      <c r="G4698" s="57" t="s">
        <v>465</v>
      </c>
      <c r="H4698" s="19">
        <v>97500</v>
      </c>
      <c r="I4698" s="19" t="s">
        <v>465</v>
      </c>
    </row>
    <row r="4699" spans="1:12" x14ac:dyDescent="0.2">
      <c r="A4699" s="1" t="s">
        <v>39</v>
      </c>
      <c r="B4699" s="2" t="s">
        <v>103</v>
      </c>
      <c r="C4699" s="1"/>
      <c r="D4699" s="5" t="s">
        <v>464</v>
      </c>
      <c r="G4699" s="57" t="s">
        <v>465</v>
      </c>
      <c r="H4699" s="19">
        <v>97500</v>
      </c>
      <c r="I4699" s="19" t="s">
        <v>465</v>
      </c>
    </row>
    <row r="4700" spans="1:12" x14ac:dyDescent="0.2">
      <c r="A4700" s="1" t="s">
        <v>39</v>
      </c>
      <c r="B4700" s="2" t="s">
        <v>103</v>
      </c>
      <c r="C4700" s="1"/>
      <c r="D4700" s="5" t="s">
        <v>464</v>
      </c>
      <c r="G4700" s="57" t="s">
        <v>465</v>
      </c>
      <c r="H4700" s="19" t="s">
        <v>465</v>
      </c>
      <c r="I4700" s="19">
        <v>97500</v>
      </c>
    </row>
    <row r="4701" spans="1:12" x14ac:dyDescent="0.2">
      <c r="A4701" s="1" t="s">
        <v>39</v>
      </c>
      <c r="B4701" s="2" t="s">
        <v>103</v>
      </c>
      <c r="C4701" s="1"/>
      <c r="D4701" s="5" t="s">
        <v>464</v>
      </c>
      <c r="G4701" s="57" t="s">
        <v>465</v>
      </c>
      <c r="H4701" s="19" t="s">
        <v>465</v>
      </c>
      <c r="I4701" s="19">
        <v>97500</v>
      </c>
    </row>
    <row r="4702" spans="1:12" x14ac:dyDescent="0.2">
      <c r="A4702" s="1" t="s">
        <v>39</v>
      </c>
      <c r="B4702" s="2" t="s">
        <v>103</v>
      </c>
      <c r="C4702" s="1"/>
      <c r="D4702" s="5" t="s">
        <v>464</v>
      </c>
      <c r="G4702" s="57" t="s">
        <v>465</v>
      </c>
      <c r="H4702" s="19" t="s">
        <v>465</v>
      </c>
      <c r="I4702" s="19">
        <v>97500</v>
      </c>
    </row>
    <row r="4703" spans="1:12" ht="25.5" x14ac:dyDescent="0.2">
      <c r="A4703" s="1" t="s">
        <v>11</v>
      </c>
      <c r="B4703" s="2" t="s">
        <v>104</v>
      </c>
      <c r="C4703" s="29" t="s">
        <v>2697</v>
      </c>
      <c r="G4703" s="57" t="s">
        <v>465</v>
      </c>
    </row>
    <row r="4704" spans="1:12" x14ac:dyDescent="0.2">
      <c r="A4704" s="1" t="s">
        <v>25</v>
      </c>
      <c r="B4704" s="2" t="s">
        <v>107</v>
      </c>
      <c r="C4704" s="1"/>
      <c r="D4704" s="5" t="s">
        <v>464</v>
      </c>
      <c r="G4704" s="57" t="s">
        <v>465</v>
      </c>
      <c r="H4704" s="19" t="s">
        <v>465</v>
      </c>
      <c r="I4704" s="19">
        <v>92500</v>
      </c>
    </row>
    <row r="4705" spans="1:10" x14ac:dyDescent="0.2">
      <c r="A4705" s="1" t="s">
        <v>25</v>
      </c>
      <c r="B4705" s="2" t="s">
        <v>107</v>
      </c>
      <c r="C4705" s="1"/>
      <c r="D4705" s="5" t="s">
        <v>464</v>
      </c>
      <c r="G4705" s="57" t="s">
        <v>465</v>
      </c>
      <c r="H4705" s="19" t="s">
        <v>465</v>
      </c>
      <c r="I4705" s="19">
        <v>92500</v>
      </c>
    </row>
    <row r="4706" spans="1:10" x14ac:dyDescent="0.2">
      <c r="A4706" s="1" t="s">
        <v>25</v>
      </c>
      <c r="B4706" s="2" t="s">
        <v>107</v>
      </c>
      <c r="C4706" s="1"/>
      <c r="D4706" s="5" t="s">
        <v>464</v>
      </c>
      <c r="G4706" s="57" t="s">
        <v>465</v>
      </c>
      <c r="H4706" s="19" t="s">
        <v>465</v>
      </c>
      <c r="I4706" s="19">
        <v>92500</v>
      </c>
    </row>
    <row r="4707" spans="1:10" x14ac:dyDescent="0.2">
      <c r="A4707" s="1" t="s">
        <v>25</v>
      </c>
      <c r="B4707" s="2" t="s">
        <v>107</v>
      </c>
      <c r="C4707" s="1"/>
      <c r="D4707" s="5" t="s">
        <v>464</v>
      </c>
      <c r="G4707" s="57" t="s">
        <v>465</v>
      </c>
      <c r="H4707" s="19" t="s">
        <v>465</v>
      </c>
      <c r="I4707" s="19">
        <v>92500</v>
      </c>
    </row>
    <row r="4708" spans="1:10" x14ac:dyDescent="0.2">
      <c r="A4708" s="1" t="s">
        <v>25</v>
      </c>
      <c r="B4708" s="2" t="s">
        <v>107</v>
      </c>
      <c r="C4708" s="1"/>
      <c r="D4708" s="5" t="s">
        <v>464</v>
      </c>
      <c r="G4708" s="57" t="s">
        <v>465</v>
      </c>
      <c r="H4708" s="19" t="s">
        <v>465</v>
      </c>
      <c r="I4708" s="19">
        <v>92500</v>
      </c>
    </row>
    <row r="4709" spans="1:10" x14ac:dyDescent="0.2">
      <c r="A4709" s="1" t="s">
        <v>25</v>
      </c>
      <c r="B4709" s="2" t="s">
        <v>107</v>
      </c>
      <c r="C4709" s="1"/>
      <c r="D4709" s="5" t="s">
        <v>464</v>
      </c>
      <c r="G4709" s="57" t="s">
        <v>465</v>
      </c>
      <c r="H4709" s="19">
        <v>92500</v>
      </c>
      <c r="I4709" s="19" t="s">
        <v>465</v>
      </c>
    </row>
    <row r="4710" spans="1:10" x14ac:dyDescent="0.2">
      <c r="A4710" s="1" t="s">
        <v>25</v>
      </c>
      <c r="B4710" s="2" t="s">
        <v>107</v>
      </c>
      <c r="C4710" s="1"/>
      <c r="D4710" s="5" t="s">
        <v>464</v>
      </c>
      <c r="G4710" s="57" t="s">
        <v>465</v>
      </c>
      <c r="H4710" s="19">
        <v>92500</v>
      </c>
      <c r="I4710" s="19" t="s">
        <v>465</v>
      </c>
      <c r="J4710" s="1"/>
    </row>
    <row r="4711" spans="1:10" x14ac:dyDescent="0.2">
      <c r="A4711" s="1" t="s">
        <v>25</v>
      </c>
      <c r="B4711" s="2" t="s">
        <v>107</v>
      </c>
      <c r="C4711" s="1"/>
      <c r="D4711" s="5" t="s">
        <v>464</v>
      </c>
      <c r="G4711" s="57" t="s">
        <v>465</v>
      </c>
      <c r="H4711" s="19">
        <v>92500</v>
      </c>
      <c r="I4711" s="19" t="s">
        <v>465</v>
      </c>
      <c r="J4711" s="1"/>
    </row>
    <row r="4712" spans="1:10" x14ac:dyDescent="0.2">
      <c r="A4712" s="1" t="s">
        <v>25</v>
      </c>
      <c r="B4712" s="2" t="s">
        <v>107</v>
      </c>
      <c r="C4712" s="1"/>
      <c r="D4712" s="5" t="s">
        <v>464</v>
      </c>
      <c r="G4712" s="57" t="s">
        <v>465</v>
      </c>
      <c r="H4712" s="19">
        <v>92500</v>
      </c>
      <c r="I4712" s="19" t="s">
        <v>465</v>
      </c>
      <c r="J4712" s="1"/>
    </row>
    <row r="4713" spans="1:10" x14ac:dyDescent="0.2">
      <c r="A4713" s="1" t="s">
        <v>25</v>
      </c>
      <c r="B4713" s="2" t="s">
        <v>107</v>
      </c>
      <c r="C4713" s="1"/>
      <c r="D4713" s="5" t="s">
        <v>464</v>
      </c>
      <c r="G4713" s="57" t="s">
        <v>465</v>
      </c>
      <c r="H4713" s="19">
        <v>92500</v>
      </c>
      <c r="I4713" s="19" t="s">
        <v>465</v>
      </c>
      <c r="J4713" s="1"/>
    </row>
    <row r="4714" spans="1:10" x14ac:dyDescent="0.2">
      <c r="A4714" s="1" t="s">
        <v>25</v>
      </c>
      <c r="B4714" s="2" t="s">
        <v>107</v>
      </c>
      <c r="C4714" s="1"/>
      <c r="D4714" s="5" t="s">
        <v>464</v>
      </c>
      <c r="G4714" s="57" t="s">
        <v>465</v>
      </c>
      <c r="H4714" s="19">
        <v>92500</v>
      </c>
      <c r="I4714" s="19" t="s">
        <v>465</v>
      </c>
      <c r="J4714" s="1"/>
    </row>
    <row r="4715" spans="1:10" x14ac:dyDescent="0.2">
      <c r="A4715" s="1" t="s">
        <v>25</v>
      </c>
      <c r="B4715" s="2" t="s">
        <v>107</v>
      </c>
      <c r="C4715" s="1"/>
      <c r="D4715" s="5" t="s">
        <v>464</v>
      </c>
      <c r="G4715" s="57" t="s">
        <v>465</v>
      </c>
      <c r="H4715" s="19" t="s">
        <v>465</v>
      </c>
      <c r="I4715" s="19">
        <v>97500</v>
      </c>
      <c r="J4715" s="1"/>
    </row>
    <row r="4716" spans="1:10" x14ac:dyDescent="0.2">
      <c r="A4716" s="1" t="s">
        <v>25</v>
      </c>
      <c r="B4716" s="2" t="s">
        <v>107</v>
      </c>
      <c r="C4716" s="1"/>
      <c r="D4716" s="5" t="s">
        <v>464</v>
      </c>
      <c r="G4716" s="57" t="s">
        <v>465</v>
      </c>
      <c r="H4716" s="19" t="s">
        <v>465</v>
      </c>
      <c r="I4716" s="19">
        <v>97500</v>
      </c>
      <c r="J4716" s="1"/>
    </row>
    <row r="4717" spans="1:10" x14ac:dyDescent="0.2">
      <c r="A4717" s="1" t="s">
        <v>25</v>
      </c>
      <c r="B4717" s="2" t="s">
        <v>107</v>
      </c>
      <c r="C4717" s="1"/>
      <c r="D4717" s="5" t="s">
        <v>464</v>
      </c>
      <c r="G4717" s="57" t="s">
        <v>465</v>
      </c>
      <c r="H4717" s="19" t="s">
        <v>465</v>
      </c>
      <c r="I4717" s="19">
        <v>97500</v>
      </c>
      <c r="J4717" s="1"/>
    </row>
    <row r="4718" spans="1:10" x14ac:dyDescent="0.2">
      <c r="A4718" s="1" t="s">
        <v>25</v>
      </c>
      <c r="B4718" s="2" t="s">
        <v>107</v>
      </c>
      <c r="C4718" s="1"/>
      <c r="D4718" s="5" t="s">
        <v>464</v>
      </c>
      <c r="G4718" s="57" t="s">
        <v>465</v>
      </c>
      <c r="H4718" s="19" t="s">
        <v>465</v>
      </c>
      <c r="I4718" s="19">
        <v>97500</v>
      </c>
      <c r="J4718" s="1"/>
    </row>
    <row r="4719" spans="1:10" x14ac:dyDescent="0.2">
      <c r="A4719" s="1" t="s">
        <v>25</v>
      </c>
      <c r="B4719" s="2" t="s">
        <v>107</v>
      </c>
      <c r="C4719" s="1"/>
      <c r="D4719" s="5" t="s">
        <v>464</v>
      </c>
      <c r="G4719" s="57" t="s">
        <v>465</v>
      </c>
      <c r="H4719" s="19" t="s">
        <v>465</v>
      </c>
      <c r="I4719" s="19">
        <v>97500</v>
      </c>
      <c r="J4719" s="1"/>
    </row>
    <row r="4720" spans="1:10" x14ac:dyDescent="0.2">
      <c r="A4720" s="1" t="s">
        <v>25</v>
      </c>
      <c r="B4720" s="2" t="s">
        <v>107</v>
      </c>
      <c r="C4720" s="1"/>
      <c r="D4720" s="5" t="s">
        <v>464</v>
      </c>
      <c r="G4720" s="57" t="s">
        <v>465</v>
      </c>
      <c r="H4720" s="19" t="s">
        <v>465</v>
      </c>
      <c r="I4720" s="19">
        <v>97500</v>
      </c>
      <c r="J4720" s="1"/>
    </row>
    <row r="4721" spans="1:10" x14ac:dyDescent="0.2">
      <c r="A4721" s="1" t="s">
        <v>25</v>
      </c>
      <c r="B4721" s="2" t="s">
        <v>107</v>
      </c>
      <c r="C4721" s="1"/>
      <c r="D4721" s="5" t="s">
        <v>464</v>
      </c>
      <c r="G4721" s="57" t="s">
        <v>465</v>
      </c>
      <c r="H4721" s="19" t="s">
        <v>465</v>
      </c>
      <c r="I4721" s="19">
        <v>97500</v>
      </c>
      <c r="J4721" s="1"/>
    </row>
    <row r="4722" spans="1:10" x14ac:dyDescent="0.2">
      <c r="A4722" s="1" t="s">
        <v>25</v>
      </c>
      <c r="B4722" s="2" t="s">
        <v>107</v>
      </c>
      <c r="C4722" s="1"/>
      <c r="D4722" s="5" t="s">
        <v>464</v>
      </c>
      <c r="G4722" s="57" t="s">
        <v>465</v>
      </c>
      <c r="H4722" s="19">
        <v>97500</v>
      </c>
      <c r="I4722" s="19" t="s">
        <v>465</v>
      </c>
      <c r="J4722" s="1"/>
    </row>
    <row r="4723" spans="1:10" x14ac:dyDescent="0.2">
      <c r="A4723" s="1" t="s">
        <v>25</v>
      </c>
      <c r="B4723" s="2" t="s">
        <v>107</v>
      </c>
      <c r="C4723" s="1"/>
      <c r="D4723" s="5" t="s">
        <v>464</v>
      </c>
      <c r="G4723" s="57" t="s">
        <v>465</v>
      </c>
      <c r="H4723" s="19">
        <v>97500</v>
      </c>
      <c r="I4723" s="19" t="s">
        <v>465</v>
      </c>
      <c r="J4723" s="1"/>
    </row>
    <row r="4724" spans="1:10" x14ac:dyDescent="0.2">
      <c r="A4724" s="1" t="s">
        <v>25</v>
      </c>
      <c r="B4724" s="2" t="s">
        <v>107</v>
      </c>
      <c r="C4724" s="1"/>
      <c r="D4724" s="5" t="s">
        <v>464</v>
      </c>
      <c r="G4724" s="57" t="s">
        <v>465</v>
      </c>
      <c r="H4724" s="19">
        <v>97500</v>
      </c>
      <c r="I4724" s="19" t="s">
        <v>465</v>
      </c>
      <c r="J4724" s="1"/>
    </row>
    <row r="4725" spans="1:10" x14ac:dyDescent="0.2">
      <c r="A4725" s="1" t="s">
        <v>25</v>
      </c>
      <c r="B4725" s="2" t="s">
        <v>107</v>
      </c>
      <c r="C4725" s="1"/>
      <c r="D4725" s="5" t="s">
        <v>464</v>
      </c>
      <c r="G4725" s="57" t="s">
        <v>465</v>
      </c>
      <c r="H4725" s="19">
        <v>97500</v>
      </c>
      <c r="I4725" s="19" t="s">
        <v>465</v>
      </c>
      <c r="J4725" s="1"/>
    </row>
    <row r="4726" spans="1:10" x14ac:dyDescent="0.2">
      <c r="A4726" s="1" t="s">
        <v>25</v>
      </c>
      <c r="B4726" s="2" t="s">
        <v>107</v>
      </c>
      <c r="C4726" s="1"/>
      <c r="D4726" s="5" t="s">
        <v>464</v>
      </c>
      <c r="G4726" s="57" t="s">
        <v>465</v>
      </c>
      <c r="H4726" s="19">
        <v>97500</v>
      </c>
      <c r="I4726" s="19" t="s">
        <v>465</v>
      </c>
      <c r="J4726" s="1"/>
    </row>
    <row r="4727" spans="1:10" x14ac:dyDescent="0.2">
      <c r="A4727" s="1" t="s">
        <v>25</v>
      </c>
      <c r="B4727" s="2" t="s">
        <v>107</v>
      </c>
      <c r="C4727" s="1"/>
      <c r="D4727" s="5" t="s">
        <v>464</v>
      </c>
      <c r="G4727" s="57" t="s">
        <v>465</v>
      </c>
      <c r="H4727" s="19">
        <v>97500</v>
      </c>
      <c r="I4727" s="19" t="s">
        <v>465</v>
      </c>
      <c r="J4727" s="1"/>
    </row>
    <row r="4728" spans="1:10" x14ac:dyDescent="0.2">
      <c r="A4728" s="1" t="s">
        <v>25</v>
      </c>
      <c r="B4728" s="2" t="s">
        <v>107</v>
      </c>
      <c r="C4728" s="1"/>
      <c r="D4728" s="5" t="s">
        <v>464</v>
      </c>
      <c r="G4728" s="57" t="s">
        <v>465</v>
      </c>
      <c r="H4728" s="19">
        <v>97500</v>
      </c>
      <c r="I4728" s="19" t="s">
        <v>465</v>
      </c>
      <c r="J4728" s="1"/>
    </row>
    <row r="4729" spans="1:10" x14ac:dyDescent="0.2">
      <c r="A4729" s="1" t="s">
        <v>6</v>
      </c>
      <c r="B4729" s="2" t="s">
        <v>108</v>
      </c>
      <c r="C4729" s="1"/>
      <c r="D4729" s="5" t="s">
        <v>464</v>
      </c>
      <c r="G4729" s="57" t="s">
        <v>465</v>
      </c>
      <c r="H4729" s="19" t="s">
        <v>465</v>
      </c>
      <c r="I4729" s="19">
        <v>92500</v>
      </c>
    </row>
    <row r="4730" spans="1:10" x14ac:dyDescent="0.2">
      <c r="A4730" s="1" t="s">
        <v>6</v>
      </c>
      <c r="B4730" s="2" t="s">
        <v>108</v>
      </c>
      <c r="C4730" s="1"/>
      <c r="D4730" s="5" t="s">
        <v>464</v>
      </c>
      <c r="G4730" s="57" t="s">
        <v>465</v>
      </c>
      <c r="H4730" s="19" t="s">
        <v>465</v>
      </c>
      <c r="I4730" s="19">
        <v>92500</v>
      </c>
    </row>
    <row r="4731" spans="1:10" x14ac:dyDescent="0.2">
      <c r="A4731" s="1" t="s">
        <v>6</v>
      </c>
      <c r="B4731" s="2" t="s">
        <v>108</v>
      </c>
      <c r="C4731" s="1"/>
      <c r="D4731" s="5" t="s">
        <v>464</v>
      </c>
      <c r="G4731" s="57" t="s">
        <v>465</v>
      </c>
      <c r="H4731" s="19" t="s">
        <v>465</v>
      </c>
      <c r="I4731" s="19">
        <v>92500</v>
      </c>
    </row>
    <row r="4732" spans="1:10" x14ac:dyDescent="0.2">
      <c r="A4732" s="1" t="s">
        <v>6</v>
      </c>
      <c r="B4732" s="2" t="s">
        <v>108</v>
      </c>
      <c r="C4732" s="1"/>
      <c r="D4732" s="5" t="s">
        <v>464</v>
      </c>
      <c r="G4732" s="57" t="s">
        <v>465</v>
      </c>
      <c r="H4732" s="19" t="s">
        <v>465</v>
      </c>
      <c r="I4732" s="19">
        <v>92500</v>
      </c>
    </row>
    <row r="4733" spans="1:10" x14ac:dyDescent="0.2">
      <c r="A4733" s="1" t="s">
        <v>6</v>
      </c>
      <c r="B4733" s="2" t="s">
        <v>108</v>
      </c>
      <c r="C4733" s="1"/>
      <c r="D4733" s="5" t="s">
        <v>464</v>
      </c>
      <c r="G4733" s="57" t="s">
        <v>465</v>
      </c>
      <c r="H4733" s="19" t="s">
        <v>465</v>
      </c>
      <c r="I4733" s="19">
        <v>92500</v>
      </c>
    </row>
    <row r="4734" spans="1:10" x14ac:dyDescent="0.2">
      <c r="A4734" s="1" t="s">
        <v>6</v>
      </c>
      <c r="B4734" s="2" t="s">
        <v>108</v>
      </c>
      <c r="C4734" s="1"/>
      <c r="D4734" s="5" t="s">
        <v>464</v>
      </c>
      <c r="G4734" s="57" t="s">
        <v>465</v>
      </c>
      <c r="H4734" s="19" t="s">
        <v>465</v>
      </c>
      <c r="I4734" s="19">
        <v>92500</v>
      </c>
    </row>
    <row r="4735" spans="1:10" x14ac:dyDescent="0.2">
      <c r="A4735" s="1" t="s">
        <v>6</v>
      </c>
      <c r="B4735" s="2" t="s">
        <v>108</v>
      </c>
      <c r="C4735" s="1"/>
      <c r="D4735" s="5" t="s">
        <v>464</v>
      </c>
      <c r="G4735" s="57" t="s">
        <v>465</v>
      </c>
      <c r="H4735" s="19" t="s">
        <v>465</v>
      </c>
      <c r="I4735" s="19">
        <v>97500</v>
      </c>
    </row>
    <row r="4736" spans="1:10" x14ac:dyDescent="0.2">
      <c r="A4736" s="1" t="s">
        <v>6</v>
      </c>
      <c r="B4736" s="2" t="s">
        <v>108</v>
      </c>
      <c r="C4736" s="1"/>
      <c r="D4736" s="5" t="s">
        <v>464</v>
      </c>
      <c r="G4736" s="57" t="s">
        <v>465</v>
      </c>
      <c r="H4736" s="19">
        <v>97500</v>
      </c>
      <c r="I4736" s="19" t="s">
        <v>465</v>
      </c>
    </row>
    <row r="4737" spans="1:12" x14ac:dyDescent="0.2">
      <c r="A4737" s="13" t="s">
        <v>111</v>
      </c>
      <c r="B4737" s="12" t="s">
        <v>110</v>
      </c>
      <c r="C4737" s="13"/>
      <c r="D4737" s="7" t="s">
        <v>464</v>
      </c>
      <c r="E4737" s="6"/>
      <c r="F4737" s="6"/>
      <c r="G4737" s="57" t="s">
        <v>465</v>
      </c>
      <c r="H4737" s="21" t="s">
        <v>465</v>
      </c>
      <c r="I4737" s="21">
        <v>92500</v>
      </c>
      <c r="J4737" s="7"/>
      <c r="K4737" s="13"/>
      <c r="L4737" s="13"/>
    </row>
    <row r="4738" spans="1:12" x14ac:dyDescent="0.2">
      <c r="A4738" s="13" t="s">
        <v>111</v>
      </c>
      <c r="B4738" s="12" t="s">
        <v>110</v>
      </c>
      <c r="C4738" s="13"/>
      <c r="D4738" s="7" t="s">
        <v>464</v>
      </c>
      <c r="E4738" s="6"/>
      <c r="F4738" s="6"/>
      <c r="G4738" s="57" t="s">
        <v>465</v>
      </c>
      <c r="H4738" s="21" t="s">
        <v>465</v>
      </c>
      <c r="I4738" s="21">
        <v>92500</v>
      </c>
      <c r="J4738" s="7"/>
      <c r="K4738" s="13"/>
      <c r="L4738" s="13"/>
    </row>
    <row r="4739" spans="1:12" x14ac:dyDescent="0.2">
      <c r="A4739" s="13" t="s">
        <v>111</v>
      </c>
      <c r="B4739" s="12" t="s">
        <v>110</v>
      </c>
      <c r="C4739" s="13"/>
      <c r="D4739" s="7" t="s">
        <v>464</v>
      </c>
      <c r="E4739" s="6"/>
      <c r="F4739" s="6"/>
      <c r="G4739" s="57" t="s">
        <v>465</v>
      </c>
      <c r="H4739" s="21" t="s">
        <v>465</v>
      </c>
      <c r="I4739" s="21">
        <v>92500</v>
      </c>
      <c r="J4739" s="7"/>
      <c r="K4739" s="13"/>
      <c r="L4739" s="13"/>
    </row>
    <row r="4740" spans="1:12" x14ac:dyDescent="0.2">
      <c r="A4740" s="13" t="s">
        <v>111</v>
      </c>
      <c r="B4740" s="12" t="s">
        <v>110</v>
      </c>
      <c r="C4740" s="13"/>
      <c r="D4740" s="7" t="s">
        <v>464</v>
      </c>
      <c r="E4740" s="6"/>
      <c r="F4740" s="6"/>
      <c r="G4740" s="57" t="s">
        <v>465</v>
      </c>
      <c r="H4740" s="21" t="s">
        <v>465</v>
      </c>
      <c r="I4740" s="21">
        <v>97500</v>
      </c>
      <c r="J4740" s="7"/>
      <c r="K4740" s="13"/>
      <c r="L4740" s="13"/>
    </row>
    <row r="4741" spans="1:12" x14ac:dyDescent="0.2">
      <c r="A4741" s="13" t="s">
        <v>111</v>
      </c>
      <c r="B4741" s="12" t="s">
        <v>110</v>
      </c>
      <c r="C4741" s="13"/>
      <c r="D4741" s="7" t="s">
        <v>464</v>
      </c>
      <c r="E4741" s="6"/>
      <c r="F4741" s="6"/>
      <c r="G4741" s="57" t="s">
        <v>465</v>
      </c>
      <c r="H4741" s="21" t="s">
        <v>465</v>
      </c>
      <c r="I4741" s="21">
        <v>97500</v>
      </c>
      <c r="J4741" s="7"/>
      <c r="K4741" s="13"/>
      <c r="L4741" s="13"/>
    </row>
    <row r="4742" spans="1:12" x14ac:dyDescent="0.2">
      <c r="A4742" s="1" t="s">
        <v>4</v>
      </c>
      <c r="B4742" s="2" t="s">
        <v>112</v>
      </c>
      <c r="C4742" s="1"/>
      <c r="D4742" s="5" t="s">
        <v>464</v>
      </c>
      <c r="G4742" s="57" t="s">
        <v>465</v>
      </c>
      <c r="H4742" s="19">
        <v>97500</v>
      </c>
      <c r="I4742" s="19" t="s">
        <v>465</v>
      </c>
    </row>
    <row r="4743" spans="1:12" x14ac:dyDescent="0.2">
      <c r="A4743" s="1" t="s">
        <v>4</v>
      </c>
      <c r="B4743" s="2" t="s">
        <v>112</v>
      </c>
      <c r="C4743" s="1"/>
      <c r="D4743" s="5" t="s">
        <v>464</v>
      </c>
      <c r="G4743" s="57" t="s">
        <v>465</v>
      </c>
      <c r="H4743" s="19">
        <v>97500</v>
      </c>
      <c r="I4743" s="19" t="s">
        <v>465</v>
      </c>
    </row>
    <row r="4744" spans="1:12" x14ac:dyDescent="0.2">
      <c r="A4744" s="1" t="s">
        <v>4</v>
      </c>
      <c r="B4744" s="2" t="s">
        <v>112</v>
      </c>
      <c r="C4744" s="1"/>
      <c r="D4744" s="5" t="s">
        <v>464</v>
      </c>
      <c r="G4744" s="57" t="s">
        <v>465</v>
      </c>
      <c r="H4744" s="19">
        <v>97500</v>
      </c>
      <c r="I4744" s="19" t="s">
        <v>465</v>
      </c>
    </row>
    <row r="4745" spans="1:12" x14ac:dyDescent="0.2">
      <c r="A4745" s="1" t="s">
        <v>4</v>
      </c>
      <c r="B4745" s="2" t="s">
        <v>112</v>
      </c>
      <c r="C4745" s="1"/>
      <c r="D4745" s="5" t="s">
        <v>464</v>
      </c>
      <c r="G4745" s="57" t="s">
        <v>465</v>
      </c>
      <c r="H4745" s="19" t="s">
        <v>465</v>
      </c>
      <c r="I4745" s="19">
        <v>97500</v>
      </c>
    </row>
    <row r="4746" spans="1:12" x14ac:dyDescent="0.2">
      <c r="A4746" s="1" t="s">
        <v>4</v>
      </c>
      <c r="B4746" s="2" t="s">
        <v>112</v>
      </c>
      <c r="C4746" s="1"/>
      <c r="D4746" s="5" t="s">
        <v>464</v>
      </c>
      <c r="G4746" s="57" t="s">
        <v>465</v>
      </c>
      <c r="H4746" s="19" t="s">
        <v>465</v>
      </c>
      <c r="I4746" s="19">
        <v>97500</v>
      </c>
    </row>
    <row r="4747" spans="1:12" x14ac:dyDescent="0.2">
      <c r="A4747" s="1" t="s">
        <v>4</v>
      </c>
      <c r="B4747" s="2" t="s">
        <v>112</v>
      </c>
      <c r="C4747" s="1"/>
      <c r="D4747" s="5" t="s">
        <v>464</v>
      </c>
      <c r="G4747" s="57" t="s">
        <v>465</v>
      </c>
      <c r="H4747" s="19" t="s">
        <v>465</v>
      </c>
      <c r="I4747" s="19">
        <v>97500</v>
      </c>
    </row>
    <row r="4748" spans="1:12" x14ac:dyDescent="0.2">
      <c r="A4748" s="1" t="s">
        <v>8</v>
      </c>
      <c r="B4748" s="2" t="s">
        <v>115</v>
      </c>
      <c r="C4748" s="1"/>
      <c r="D4748" s="5" t="s">
        <v>464</v>
      </c>
      <c r="G4748" s="57" t="s">
        <v>465</v>
      </c>
      <c r="H4748" s="19" t="s">
        <v>465</v>
      </c>
      <c r="I4748" s="19">
        <v>92500</v>
      </c>
      <c r="J4748" s="1"/>
    </row>
    <row r="4749" spans="1:12" x14ac:dyDescent="0.2">
      <c r="A4749" s="1" t="s">
        <v>8</v>
      </c>
      <c r="B4749" s="2" t="s">
        <v>115</v>
      </c>
      <c r="C4749" s="1"/>
      <c r="D4749" s="5" t="s">
        <v>464</v>
      </c>
      <c r="G4749" s="57" t="s">
        <v>465</v>
      </c>
      <c r="H4749" s="19" t="s">
        <v>465</v>
      </c>
      <c r="I4749" s="19">
        <v>92500</v>
      </c>
      <c r="J4749" s="1"/>
    </row>
    <row r="4750" spans="1:12" x14ac:dyDescent="0.2">
      <c r="A4750" s="1" t="s">
        <v>8</v>
      </c>
      <c r="B4750" s="2" t="s">
        <v>115</v>
      </c>
      <c r="C4750" s="1"/>
      <c r="D4750" s="5" t="s">
        <v>464</v>
      </c>
      <c r="G4750" s="57" t="s">
        <v>465</v>
      </c>
      <c r="H4750" s="19" t="s">
        <v>465</v>
      </c>
      <c r="I4750" s="19">
        <v>92500</v>
      </c>
      <c r="J4750" s="1"/>
    </row>
    <row r="4751" spans="1:12" x14ac:dyDescent="0.2">
      <c r="A4751" s="1" t="s">
        <v>8</v>
      </c>
      <c r="B4751" s="2" t="s">
        <v>115</v>
      </c>
      <c r="C4751" s="1"/>
      <c r="D4751" s="5" t="s">
        <v>464</v>
      </c>
      <c r="G4751" s="57" t="s">
        <v>465</v>
      </c>
      <c r="H4751" s="19">
        <v>97500</v>
      </c>
      <c r="I4751" s="19" t="s">
        <v>465</v>
      </c>
      <c r="J4751" s="1"/>
    </row>
    <row r="4752" spans="1:12" x14ac:dyDescent="0.2">
      <c r="A4752" s="1" t="s">
        <v>8</v>
      </c>
      <c r="B4752" s="2" t="s">
        <v>115</v>
      </c>
      <c r="C4752" s="1"/>
      <c r="D4752" s="5" t="s">
        <v>464</v>
      </c>
      <c r="G4752" s="57" t="s">
        <v>465</v>
      </c>
      <c r="H4752" s="19" t="s">
        <v>465</v>
      </c>
      <c r="I4752" s="19">
        <v>97500</v>
      </c>
      <c r="J4752" s="1"/>
    </row>
    <row r="4753" spans="1:9" x14ac:dyDescent="0.2">
      <c r="A4753" s="1" t="s">
        <v>8</v>
      </c>
      <c r="B4753" s="2" t="s">
        <v>115</v>
      </c>
      <c r="C4753" s="1"/>
      <c r="D4753" s="5" t="s">
        <v>464</v>
      </c>
      <c r="G4753" s="57" t="s">
        <v>465</v>
      </c>
      <c r="H4753" s="19" t="s">
        <v>465</v>
      </c>
      <c r="I4753" s="19">
        <v>97500</v>
      </c>
    </row>
    <row r="4754" spans="1:9" x14ac:dyDescent="0.2">
      <c r="A4754" s="1" t="s">
        <v>8</v>
      </c>
      <c r="B4754" s="2" t="s">
        <v>115</v>
      </c>
      <c r="C4754" s="1"/>
      <c r="D4754" s="5" t="s">
        <v>464</v>
      </c>
      <c r="G4754" s="57" t="s">
        <v>465</v>
      </c>
      <c r="H4754" s="19" t="s">
        <v>465</v>
      </c>
      <c r="I4754" s="19">
        <v>97500</v>
      </c>
    </row>
    <row r="4755" spans="1:9" x14ac:dyDescent="0.2">
      <c r="A4755" s="1" t="s">
        <v>8</v>
      </c>
      <c r="B4755" s="2" t="s">
        <v>115</v>
      </c>
      <c r="C4755" s="1"/>
      <c r="D4755" s="5" t="s">
        <v>464</v>
      </c>
      <c r="G4755" s="57" t="s">
        <v>465</v>
      </c>
      <c r="H4755" s="19" t="s">
        <v>465</v>
      </c>
      <c r="I4755" s="19">
        <v>97500</v>
      </c>
    </row>
    <row r="4756" spans="1:9" x14ac:dyDescent="0.2">
      <c r="A4756" s="1" t="s">
        <v>28</v>
      </c>
      <c r="B4756" s="2" t="s">
        <v>120</v>
      </c>
      <c r="C4756" s="1"/>
      <c r="D4756" s="5" t="s">
        <v>464</v>
      </c>
      <c r="G4756" s="57" t="s">
        <v>465</v>
      </c>
      <c r="H4756" s="19">
        <v>97500</v>
      </c>
      <c r="I4756" s="19" t="s">
        <v>465</v>
      </c>
    </row>
    <row r="4757" spans="1:9" x14ac:dyDescent="0.2">
      <c r="A4757" s="1" t="s">
        <v>28</v>
      </c>
      <c r="B4757" s="2" t="s">
        <v>120</v>
      </c>
      <c r="C4757" s="1"/>
      <c r="D4757" s="5" t="s">
        <v>464</v>
      </c>
      <c r="G4757" s="57" t="s">
        <v>465</v>
      </c>
      <c r="H4757" s="19">
        <v>97500</v>
      </c>
      <c r="I4757" s="19" t="s">
        <v>465</v>
      </c>
    </row>
    <row r="4758" spans="1:9" x14ac:dyDescent="0.2">
      <c r="A4758" s="1" t="s">
        <v>28</v>
      </c>
      <c r="B4758" s="2" t="s">
        <v>120</v>
      </c>
      <c r="C4758" s="1"/>
      <c r="D4758" s="5" t="s">
        <v>464</v>
      </c>
      <c r="G4758" s="57" t="s">
        <v>465</v>
      </c>
      <c r="H4758" s="19">
        <v>97500</v>
      </c>
      <c r="I4758" s="19" t="s">
        <v>465</v>
      </c>
    </row>
    <row r="4759" spans="1:9" x14ac:dyDescent="0.2">
      <c r="A4759" s="1" t="s">
        <v>28</v>
      </c>
      <c r="B4759" s="2" t="s">
        <v>120</v>
      </c>
      <c r="C4759" s="1"/>
      <c r="D4759" s="5" t="s">
        <v>464</v>
      </c>
      <c r="G4759" s="57" t="s">
        <v>465</v>
      </c>
      <c r="H4759" s="19">
        <v>97500</v>
      </c>
      <c r="I4759" s="19" t="s">
        <v>465</v>
      </c>
    </row>
    <row r="4760" spans="1:9" x14ac:dyDescent="0.2">
      <c r="A4760" s="1" t="s">
        <v>28</v>
      </c>
      <c r="B4760" s="2" t="s">
        <v>120</v>
      </c>
      <c r="C4760" s="1"/>
      <c r="D4760" s="5" t="s">
        <v>464</v>
      </c>
      <c r="G4760" s="57" t="s">
        <v>465</v>
      </c>
      <c r="H4760" s="19" t="s">
        <v>465</v>
      </c>
      <c r="I4760" s="19">
        <v>92500</v>
      </c>
    </row>
    <row r="4761" spans="1:9" x14ac:dyDescent="0.2">
      <c r="A4761" s="1" t="s">
        <v>28</v>
      </c>
      <c r="B4761" s="2" t="s">
        <v>120</v>
      </c>
      <c r="C4761" s="1"/>
      <c r="D4761" s="5" t="s">
        <v>464</v>
      </c>
      <c r="G4761" s="57" t="s">
        <v>465</v>
      </c>
      <c r="H4761" s="19" t="s">
        <v>465</v>
      </c>
      <c r="I4761" s="19">
        <v>92500</v>
      </c>
    </row>
    <row r="4762" spans="1:9" x14ac:dyDescent="0.2">
      <c r="A4762" s="1" t="s">
        <v>28</v>
      </c>
      <c r="B4762" s="2" t="s">
        <v>120</v>
      </c>
      <c r="C4762" s="1"/>
      <c r="D4762" s="5" t="s">
        <v>464</v>
      </c>
      <c r="G4762" s="57" t="s">
        <v>465</v>
      </c>
      <c r="H4762" s="19" t="s">
        <v>465</v>
      </c>
      <c r="I4762" s="19">
        <v>92500</v>
      </c>
    </row>
    <row r="4763" spans="1:9" x14ac:dyDescent="0.2">
      <c r="A4763" s="1" t="s">
        <v>28</v>
      </c>
      <c r="B4763" s="2" t="s">
        <v>120</v>
      </c>
      <c r="C4763" s="1"/>
      <c r="D4763" s="5" t="s">
        <v>464</v>
      </c>
      <c r="G4763" s="57" t="s">
        <v>465</v>
      </c>
      <c r="H4763" s="19" t="s">
        <v>465</v>
      </c>
      <c r="I4763" s="19">
        <v>92500</v>
      </c>
    </row>
    <row r="4764" spans="1:9" x14ac:dyDescent="0.2">
      <c r="A4764" s="1" t="s">
        <v>28</v>
      </c>
      <c r="B4764" s="2" t="s">
        <v>120</v>
      </c>
      <c r="C4764" s="1"/>
      <c r="D4764" s="5" t="s">
        <v>464</v>
      </c>
      <c r="G4764" s="57" t="s">
        <v>465</v>
      </c>
      <c r="H4764" s="19" t="s">
        <v>465</v>
      </c>
      <c r="I4764" s="19">
        <v>92500</v>
      </c>
    </row>
    <row r="4765" spans="1:9" x14ac:dyDescent="0.2">
      <c r="A4765" s="1" t="s">
        <v>28</v>
      </c>
      <c r="B4765" s="2" t="s">
        <v>120</v>
      </c>
      <c r="C4765" s="1"/>
      <c r="D4765" s="5" t="s">
        <v>464</v>
      </c>
      <c r="G4765" s="57" t="s">
        <v>465</v>
      </c>
      <c r="H4765" s="19" t="s">
        <v>465</v>
      </c>
      <c r="I4765" s="19">
        <v>92500</v>
      </c>
    </row>
    <row r="4766" spans="1:9" x14ac:dyDescent="0.2">
      <c r="A4766" s="1" t="s">
        <v>28</v>
      </c>
      <c r="B4766" s="2" t="s">
        <v>120</v>
      </c>
      <c r="C4766" s="1"/>
      <c r="D4766" s="5" t="s">
        <v>464</v>
      </c>
      <c r="G4766" s="57" t="s">
        <v>465</v>
      </c>
      <c r="H4766" s="19" t="s">
        <v>465</v>
      </c>
      <c r="I4766" s="19">
        <v>97500</v>
      </c>
    </row>
    <row r="4767" spans="1:9" x14ac:dyDescent="0.2">
      <c r="A4767" s="1" t="s">
        <v>28</v>
      </c>
      <c r="B4767" s="2" t="s">
        <v>120</v>
      </c>
      <c r="C4767" s="1"/>
      <c r="D4767" s="5" t="s">
        <v>464</v>
      </c>
      <c r="G4767" s="57" t="s">
        <v>465</v>
      </c>
      <c r="H4767" s="19" t="s">
        <v>465</v>
      </c>
      <c r="I4767" s="19">
        <v>97500</v>
      </c>
    </row>
    <row r="4768" spans="1:9" x14ac:dyDescent="0.2">
      <c r="A4768" s="1" t="s">
        <v>28</v>
      </c>
      <c r="B4768" s="2" t="s">
        <v>120</v>
      </c>
      <c r="C4768" s="1"/>
      <c r="D4768" s="5" t="s">
        <v>464</v>
      </c>
      <c r="G4768" s="57" t="s">
        <v>465</v>
      </c>
      <c r="H4768" s="19" t="s">
        <v>465</v>
      </c>
      <c r="I4768" s="19">
        <v>97500</v>
      </c>
    </row>
    <row r="4769" spans="1:9" x14ac:dyDescent="0.2">
      <c r="A4769" s="1" t="s">
        <v>34</v>
      </c>
      <c r="B4769" s="2" t="s">
        <v>121</v>
      </c>
      <c r="C4769" s="1"/>
      <c r="D4769" s="5" t="s">
        <v>464</v>
      </c>
      <c r="G4769" s="57" t="s">
        <v>465</v>
      </c>
      <c r="H4769" s="19">
        <v>92500</v>
      </c>
      <c r="I4769" s="19" t="s">
        <v>465</v>
      </c>
    </row>
    <row r="4770" spans="1:9" x14ac:dyDescent="0.2">
      <c r="A4770" s="1" t="s">
        <v>34</v>
      </c>
      <c r="B4770" s="2" t="s">
        <v>121</v>
      </c>
      <c r="C4770" s="1"/>
      <c r="D4770" s="5" t="s">
        <v>464</v>
      </c>
      <c r="G4770" s="57" t="s">
        <v>465</v>
      </c>
      <c r="H4770" s="19">
        <v>92500</v>
      </c>
      <c r="I4770" s="19" t="s">
        <v>465</v>
      </c>
    </row>
    <row r="4771" spans="1:9" x14ac:dyDescent="0.2">
      <c r="A4771" s="1" t="s">
        <v>34</v>
      </c>
      <c r="B4771" s="2" t="s">
        <v>121</v>
      </c>
      <c r="C4771" s="1"/>
      <c r="D4771" s="5" t="s">
        <v>464</v>
      </c>
      <c r="G4771" s="57" t="s">
        <v>465</v>
      </c>
      <c r="H4771" s="19">
        <v>92500</v>
      </c>
      <c r="I4771" s="19" t="s">
        <v>465</v>
      </c>
    </row>
    <row r="4772" spans="1:9" x14ac:dyDescent="0.2">
      <c r="A4772" s="1" t="s">
        <v>34</v>
      </c>
      <c r="B4772" s="2" t="s">
        <v>121</v>
      </c>
      <c r="C4772" s="1"/>
      <c r="D4772" s="5" t="s">
        <v>464</v>
      </c>
      <c r="G4772" s="57" t="s">
        <v>465</v>
      </c>
      <c r="H4772" s="19">
        <v>92500</v>
      </c>
      <c r="I4772" s="19" t="s">
        <v>465</v>
      </c>
    </row>
    <row r="4773" spans="1:9" x14ac:dyDescent="0.2">
      <c r="A4773" s="1" t="s">
        <v>34</v>
      </c>
      <c r="B4773" s="2" t="s">
        <v>121</v>
      </c>
      <c r="C4773" s="1"/>
      <c r="D4773" s="5" t="s">
        <v>464</v>
      </c>
      <c r="G4773" s="57" t="s">
        <v>465</v>
      </c>
      <c r="H4773" s="19">
        <v>92500</v>
      </c>
      <c r="I4773" s="19" t="s">
        <v>465</v>
      </c>
    </row>
    <row r="4774" spans="1:9" x14ac:dyDescent="0.2">
      <c r="A4774" s="1" t="s">
        <v>34</v>
      </c>
      <c r="B4774" s="2" t="s">
        <v>121</v>
      </c>
      <c r="C4774" s="1"/>
      <c r="D4774" s="5" t="s">
        <v>464</v>
      </c>
      <c r="G4774" s="57" t="s">
        <v>465</v>
      </c>
      <c r="H4774" s="19">
        <v>92500</v>
      </c>
      <c r="I4774" s="19" t="s">
        <v>465</v>
      </c>
    </row>
    <row r="4775" spans="1:9" x14ac:dyDescent="0.2">
      <c r="A4775" s="1" t="s">
        <v>34</v>
      </c>
      <c r="B4775" s="2" t="s">
        <v>121</v>
      </c>
      <c r="C4775" s="1"/>
      <c r="D4775" s="5" t="s">
        <v>464</v>
      </c>
      <c r="G4775" s="57" t="s">
        <v>465</v>
      </c>
      <c r="H4775" s="19">
        <v>97500</v>
      </c>
      <c r="I4775" s="19" t="s">
        <v>465</v>
      </c>
    </row>
    <row r="4776" spans="1:9" x14ac:dyDescent="0.2">
      <c r="A4776" s="1" t="s">
        <v>34</v>
      </c>
      <c r="B4776" s="2" t="s">
        <v>121</v>
      </c>
      <c r="C4776" s="1"/>
      <c r="D4776" s="5" t="s">
        <v>464</v>
      </c>
      <c r="G4776" s="57" t="s">
        <v>465</v>
      </c>
      <c r="H4776" s="19" t="s">
        <v>465</v>
      </c>
      <c r="I4776" s="19">
        <v>92500</v>
      </c>
    </row>
    <row r="4777" spans="1:9" x14ac:dyDescent="0.2">
      <c r="A4777" s="1" t="s">
        <v>34</v>
      </c>
      <c r="B4777" s="2" t="s">
        <v>121</v>
      </c>
      <c r="C4777" s="1"/>
      <c r="D4777" s="5" t="s">
        <v>464</v>
      </c>
      <c r="G4777" s="57" t="s">
        <v>465</v>
      </c>
      <c r="H4777" s="19" t="s">
        <v>465</v>
      </c>
      <c r="I4777" s="19">
        <v>92500</v>
      </c>
    </row>
    <row r="4778" spans="1:9" x14ac:dyDescent="0.2">
      <c r="A4778" s="1" t="s">
        <v>34</v>
      </c>
      <c r="B4778" s="2" t="s">
        <v>121</v>
      </c>
      <c r="C4778" s="1"/>
      <c r="D4778" s="5" t="s">
        <v>464</v>
      </c>
      <c r="G4778" s="57" t="s">
        <v>465</v>
      </c>
      <c r="H4778" s="19" t="s">
        <v>465</v>
      </c>
      <c r="I4778" s="19">
        <v>92500</v>
      </c>
    </row>
    <row r="4779" spans="1:9" x14ac:dyDescent="0.2">
      <c r="A4779" s="1" t="s">
        <v>34</v>
      </c>
      <c r="B4779" s="2" t="s">
        <v>121</v>
      </c>
      <c r="C4779" s="1"/>
      <c r="D4779" s="5" t="s">
        <v>464</v>
      </c>
      <c r="G4779" s="57" t="s">
        <v>465</v>
      </c>
      <c r="H4779" s="19" t="s">
        <v>465</v>
      </c>
      <c r="I4779" s="19">
        <v>92500</v>
      </c>
    </row>
    <row r="4780" spans="1:9" x14ac:dyDescent="0.2">
      <c r="A4780" s="1" t="s">
        <v>34</v>
      </c>
      <c r="B4780" s="2" t="s">
        <v>121</v>
      </c>
      <c r="C4780" s="1"/>
      <c r="D4780" s="5" t="s">
        <v>464</v>
      </c>
      <c r="G4780" s="57" t="s">
        <v>465</v>
      </c>
      <c r="H4780" s="19" t="s">
        <v>465</v>
      </c>
      <c r="I4780" s="19">
        <v>92500</v>
      </c>
    </row>
    <row r="4781" spans="1:9" x14ac:dyDescent="0.2">
      <c r="A4781" s="1" t="s">
        <v>34</v>
      </c>
      <c r="B4781" s="2" t="s">
        <v>121</v>
      </c>
      <c r="C4781" s="1"/>
      <c r="D4781" s="5" t="s">
        <v>464</v>
      </c>
      <c r="G4781" s="57" t="s">
        <v>465</v>
      </c>
      <c r="H4781" s="19" t="s">
        <v>465</v>
      </c>
      <c r="I4781" s="19">
        <v>92500</v>
      </c>
    </row>
    <row r="4782" spans="1:9" x14ac:dyDescent="0.2">
      <c r="A4782" s="1" t="s">
        <v>34</v>
      </c>
      <c r="B4782" s="2" t="s">
        <v>121</v>
      </c>
      <c r="C4782" s="1"/>
      <c r="D4782" s="5" t="s">
        <v>464</v>
      </c>
      <c r="G4782" s="57" t="s">
        <v>465</v>
      </c>
      <c r="H4782" s="19" t="s">
        <v>465</v>
      </c>
      <c r="I4782" s="19">
        <v>92500</v>
      </c>
    </row>
    <row r="4783" spans="1:9" x14ac:dyDescent="0.2">
      <c r="A4783" s="1" t="s">
        <v>34</v>
      </c>
      <c r="B4783" s="2" t="s">
        <v>121</v>
      </c>
      <c r="C4783" s="1"/>
      <c r="D4783" s="5" t="s">
        <v>464</v>
      </c>
      <c r="G4783" s="57" t="s">
        <v>465</v>
      </c>
      <c r="H4783" s="19" t="s">
        <v>465</v>
      </c>
      <c r="I4783" s="19">
        <v>92500</v>
      </c>
    </row>
    <row r="4784" spans="1:9" x14ac:dyDescent="0.2">
      <c r="A4784" s="1" t="s">
        <v>34</v>
      </c>
      <c r="B4784" s="2" t="s">
        <v>121</v>
      </c>
      <c r="C4784" s="1"/>
      <c r="D4784" s="5" t="s">
        <v>464</v>
      </c>
      <c r="G4784" s="57" t="s">
        <v>465</v>
      </c>
      <c r="H4784" s="19" t="s">
        <v>465</v>
      </c>
      <c r="I4784" s="19">
        <v>92500</v>
      </c>
    </row>
    <row r="4785" spans="1:11" x14ac:dyDescent="0.2">
      <c r="A4785" s="1" t="s">
        <v>34</v>
      </c>
      <c r="B4785" s="2" t="s">
        <v>121</v>
      </c>
      <c r="C4785" s="1"/>
      <c r="D4785" s="5" t="s">
        <v>464</v>
      </c>
      <c r="G4785" s="57" t="s">
        <v>465</v>
      </c>
      <c r="H4785" s="19" t="s">
        <v>465</v>
      </c>
      <c r="I4785" s="19">
        <v>92500</v>
      </c>
    </row>
    <row r="4786" spans="1:11" x14ac:dyDescent="0.2">
      <c r="A4786" s="1" t="s">
        <v>34</v>
      </c>
      <c r="B4786" s="2" t="s">
        <v>121</v>
      </c>
      <c r="C4786" s="1"/>
      <c r="D4786" s="5" t="s">
        <v>464</v>
      </c>
      <c r="G4786" s="57" t="s">
        <v>465</v>
      </c>
      <c r="H4786" s="19" t="s">
        <v>465</v>
      </c>
      <c r="I4786" s="19">
        <v>92500</v>
      </c>
    </row>
    <row r="4787" spans="1:11" x14ac:dyDescent="0.2">
      <c r="A4787" s="1" t="s">
        <v>34</v>
      </c>
      <c r="B4787" s="2" t="s">
        <v>121</v>
      </c>
      <c r="C4787" s="1"/>
      <c r="D4787" s="5" t="s">
        <v>464</v>
      </c>
      <c r="G4787" s="57" t="s">
        <v>465</v>
      </c>
      <c r="H4787" s="19" t="s">
        <v>465</v>
      </c>
      <c r="I4787" s="19">
        <v>97500</v>
      </c>
    </row>
    <row r="4788" spans="1:11" x14ac:dyDescent="0.2">
      <c r="A4788" s="1" t="s">
        <v>34</v>
      </c>
      <c r="B4788" s="2" t="s">
        <v>121</v>
      </c>
      <c r="C4788" s="1"/>
      <c r="D4788" s="5" t="s">
        <v>464</v>
      </c>
      <c r="G4788" s="57" t="s">
        <v>465</v>
      </c>
      <c r="H4788" s="19" t="s">
        <v>465</v>
      </c>
      <c r="I4788" s="19">
        <v>97500</v>
      </c>
    </row>
    <row r="4789" spans="1:11" x14ac:dyDescent="0.2">
      <c r="A4789" s="1" t="s">
        <v>34</v>
      </c>
      <c r="B4789" s="2" t="s">
        <v>121</v>
      </c>
      <c r="C4789" s="1"/>
      <c r="D4789" s="5" t="s">
        <v>464</v>
      </c>
      <c r="G4789" s="57" t="s">
        <v>465</v>
      </c>
      <c r="H4789" s="19" t="s">
        <v>465</v>
      </c>
      <c r="I4789" s="19">
        <v>97500</v>
      </c>
    </row>
    <row r="4790" spans="1:11" x14ac:dyDescent="0.2">
      <c r="A4790" s="1" t="s">
        <v>34</v>
      </c>
      <c r="B4790" s="2" t="s">
        <v>121</v>
      </c>
      <c r="C4790" s="1"/>
      <c r="D4790" s="5" t="s">
        <v>464</v>
      </c>
      <c r="G4790" s="57" t="s">
        <v>465</v>
      </c>
      <c r="H4790" s="19" t="s">
        <v>465</v>
      </c>
      <c r="I4790" s="19">
        <v>97500</v>
      </c>
    </row>
    <row r="4791" spans="1:11" x14ac:dyDescent="0.2">
      <c r="A4791" s="1" t="s">
        <v>34</v>
      </c>
      <c r="B4791" s="2" t="s">
        <v>121</v>
      </c>
      <c r="C4791" s="1"/>
      <c r="D4791" s="5" t="s">
        <v>464</v>
      </c>
      <c r="E4791" s="4"/>
      <c r="G4791" s="57" t="s">
        <v>465</v>
      </c>
      <c r="H4791" s="19" t="s">
        <v>465</v>
      </c>
      <c r="I4791" s="19">
        <v>97500</v>
      </c>
    </row>
    <row r="4792" spans="1:11" ht="25.5" x14ac:dyDescent="0.2">
      <c r="A4792" s="1" t="s">
        <v>11</v>
      </c>
      <c r="B4792" s="2" t="s">
        <v>123</v>
      </c>
      <c r="C4792" s="29" t="s">
        <v>2697</v>
      </c>
      <c r="D4792" s="31"/>
      <c r="G4792" s="57" t="s">
        <v>465</v>
      </c>
      <c r="K4792" s="1" t="s">
        <v>465</v>
      </c>
    </row>
    <row r="4793" spans="1:11" x14ac:dyDescent="0.2">
      <c r="A4793" s="1" t="s">
        <v>39</v>
      </c>
      <c r="B4793" s="2" t="s">
        <v>124</v>
      </c>
      <c r="C4793" s="1"/>
      <c r="D4793" s="5" t="s">
        <v>464</v>
      </c>
      <c r="G4793" s="57" t="s">
        <v>465</v>
      </c>
      <c r="H4793" s="19">
        <v>92500</v>
      </c>
      <c r="I4793" s="19" t="s">
        <v>465</v>
      </c>
    </row>
    <row r="4794" spans="1:11" x14ac:dyDescent="0.2">
      <c r="A4794" s="1" t="s">
        <v>39</v>
      </c>
      <c r="B4794" s="2" t="s">
        <v>124</v>
      </c>
      <c r="C4794" s="1"/>
      <c r="D4794" s="5" t="s">
        <v>464</v>
      </c>
      <c r="G4794" s="57" t="s">
        <v>465</v>
      </c>
      <c r="H4794" s="19">
        <v>92500</v>
      </c>
      <c r="I4794" s="19" t="s">
        <v>465</v>
      </c>
    </row>
    <row r="4795" spans="1:11" x14ac:dyDescent="0.2">
      <c r="A4795" s="1" t="s">
        <v>39</v>
      </c>
      <c r="B4795" s="2" t="s">
        <v>124</v>
      </c>
      <c r="C4795" s="1"/>
      <c r="D4795" s="5" t="s">
        <v>464</v>
      </c>
      <c r="G4795" s="57" t="s">
        <v>465</v>
      </c>
      <c r="H4795" s="19">
        <v>92500</v>
      </c>
      <c r="I4795" s="19" t="s">
        <v>465</v>
      </c>
    </row>
    <row r="4796" spans="1:11" x14ac:dyDescent="0.2">
      <c r="A4796" s="1" t="s">
        <v>39</v>
      </c>
      <c r="B4796" s="2" t="s">
        <v>124</v>
      </c>
      <c r="C4796" s="1"/>
      <c r="D4796" s="5" t="s">
        <v>464</v>
      </c>
      <c r="G4796" s="57" t="s">
        <v>465</v>
      </c>
      <c r="H4796" s="19">
        <v>92500</v>
      </c>
      <c r="I4796" s="19" t="s">
        <v>465</v>
      </c>
    </row>
    <row r="4797" spans="1:11" x14ac:dyDescent="0.2">
      <c r="A4797" s="1" t="s">
        <v>39</v>
      </c>
      <c r="B4797" s="2" t="s">
        <v>124</v>
      </c>
      <c r="C4797" s="1"/>
      <c r="D4797" s="5" t="s">
        <v>464</v>
      </c>
      <c r="G4797" s="57" t="s">
        <v>465</v>
      </c>
      <c r="H4797" s="19">
        <v>92500</v>
      </c>
      <c r="I4797" s="19" t="s">
        <v>465</v>
      </c>
    </row>
    <row r="4798" spans="1:11" x14ac:dyDescent="0.2">
      <c r="A4798" s="1" t="s">
        <v>39</v>
      </c>
      <c r="B4798" s="2" t="s">
        <v>124</v>
      </c>
      <c r="C4798" s="1"/>
      <c r="D4798" s="5" t="s">
        <v>464</v>
      </c>
      <c r="G4798" s="57" t="s">
        <v>465</v>
      </c>
      <c r="H4798" s="19">
        <v>97500</v>
      </c>
      <c r="I4798" s="19" t="s">
        <v>465</v>
      </c>
    </row>
    <row r="4799" spans="1:11" x14ac:dyDescent="0.2">
      <c r="A4799" s="1" t="s">
        <v>39</v>
      </c>
      <c r="B4799" s="2" t="s">
        <v>124</v>
      </c>
      <c r="C4799" s="1"/>
      <c r="D4799" s="5" t="s">
        <v>464</v>
      </c>
      <c r="G4799" s="57" t="s">
        <v>465</v>
      </c>
      <c r="H4799" s="19">
        <v>97500</v>
      </c>
      <c r="I4799" s="19" t="s">
        <v>465</v>
      </c>
    </row>
    <row r="4800" spans="1:11" x14ac:dyDescent="0.2">
      <c r="A4800" s="1" t="s">
        <v>39</v>
      </c>
      <c r="B4800" s="2" t="s">
        <v>124</v>
      </c>
      <c r="C4800" s="1"/>
      <c r="D4800" s="5" t="s">
        <v>464</v>
      </c>
      <c r="G4800" s="57" t="s">
        <v>465</v>
      </c>
      <c r="H4800" s="19" t="s">
        <v>465</v>
      </c>
      <c r="I4800" s="19">
        <v>92500</v>
      </c>
    </row>
    <row r="4801" spans="1:9" x14ac:dyDescent="0.2">
      <c r="A4801" s="1" t="s">
        <v>39</v>
      </c>
      <c r="B4801" s="2" t="s">
        <v>124</v>
      </c>
      <c r="C4801" s="1"/>
      <c r="D4801" s="5" t="s">
        <v>464</v>
      </c>
      <c r="G4801" s="57" t="s">
        <v>465</v>
      </c>
      <c r="H4801" s="19" t="s">
        <v>465</v>
      </c>
      <c r="I4801" s="19">
        <v>92500</v>
      </c>
    </row>
    <row r="4802" spans="1:9" x14ac:dyDescent="0.2">
      <c r="A4802" s="1" t="s">
        <v>39</v>
      </c>
      <c r="B4802" s="2" t="s">
        <v>124</v>
      </c>
      <c r="C4802" s="1"/>
      <c r="D4802" s="5" t="s">
        <v>464</v>
      </c>
      <c r="G4802" s="57" t="s">
        <v>465</v>
      </c>
      <c r="H4802" s="19" t="s">
        <v>465</v>
      </c>
      <c r="I4802" s="19">
        <v>92500</v>
      </c>
    </row>
    <row r="4803" spans="1:9" x14ac:dyDescent="0.2">
      <c r="A4803" s="1" t="s">
        <v>39</v>
      </c>
      <c r="B4803" s="2" t="s">
        <v>124</v>
      </c>
      <c r="C4803" s="1"/>
      <c r="D4803" s="5" t="s">
        <v>464</v>
      </c>
      <c r="G4803" s="57" t="s">
        <v>465</v>
      </c>
      <c r="H4803" s="19" t="s">
        <v>465</v>
      </c>
      <c r="I4803" s="19">
        <v>92500</v>
      </c>
    </row>
    <row r="4804" spans="1:9" x14ac:dyDescent="0.2">
      <c r="A4804" s="1" t="s">
        <v>39</v>
      </c>
      <c r="B4804" s="2" t="s">
        <v>124</v>
      </c>
      <c r="C4804" s="1"/>
      <c r="D4804" s="5" t="s">
        <v>464</v>
      </c>
      <c r="G4804" s="57" t="s">
        <v>465</v>
      </c>
      <c r="H4804" s="19" t="s">
        <v>465</v>
      </c>
      <c r="I4804" s="19">
        <v>92500</v>
      </c>
    </row>
    <row r="4805" spans="1:9" x14ac:dyDescent="0.2">
      <c r="A4805" s="1" t="s">
        <v>39</v>
      </c>
      <c r="B4805" s="2" t="s">
        <v>124</v>
      </c>
      <c r="C4805" s="1"/>
      <c r="D4805" s="5" t="s">
        <v>464</v>
      </c>
      <c r="G4805" s="57" t="s">
        <v>465</v>
      </c>
      <c r="H4805" s="19" t="s">
        <v>465</v>
      </c>
      <c r="I4805" s="19">
        <v>97500</v>
      </c>
    </row>
    <row r="4806" spans="1:9" x14ac:dyDescent="0.2">
      <c r="A4806" s="1" t="s">
        <v>39</v>
      </c>
      <c r="B4806" s="2" t="s">
        <v>124</v>
      </c>
      <c r="C4806" s="1"/>
      <c r="D4806" s="5" t="s">
        <v>464</v>
      </c>
      <c r="G4806" s="57" t="s">
        <v>465</v>
      </c>
      <c r="H4806" s="19" t="s">
        <v>465</v>
      </c>
      <c r="I4806" s="19">
        <v>97500</v>
      </c>
    </row>
    <row r="4807" spans="1:9" x14ac:dyDescent="0.2">
      <c r="A4807" s="1" t="s">
        <v>1</v>
      </c>
      <c r="B4807" s="2" t="s">
        <v>125</v>
      </c>
      <c r="C4807" s="1"/>
      <c r="D4807" s="5" t="s">
        <v>464</v>
      </c>
      <c r="G4807" s="57" t="s">
        <v>465</v>
      </c>
      <c r="H4807" s="19" t="s">
        <v>465</v>
      </c>
      <c r="I4807" s="19">
        <v>92500</v>
      </c>
    </row>
    <row r="4808" spans="1:9" x14ac:dyDescent="0.2">
      <c r="A4808" s="1" t="s">
        <v>1</v>
      </c>
      <c r="B4808" s="2" t="s">
        <v>125</v>
      </c>
      <c r="C4808" s="1"/>
      <c r="D4808" s="5" t="s">
        <v>464</v>
      </c>
      <c r="G4808" s="57" t="s">
        <v>465</v>
      </c>
      <c r="H4808" s="19" t="s">
        <v>465</v>
      </c>
      <c r="I4808" s="19">
        <v>92500</v>
      </c>
    </row>
    <row r="4809" spans="1:9" x14ac:dyDescent="0.2">
      <c r="A4809" s="1" t="s">
        <v>1</v>
      </c>
      <c r="B4809" s="2" t="s">
        <v>125</v>
      </c>
      <c r="C4809" s="1"/>
      <c r="D4809" s="5" t="s">
        <v>464</v>
      </c>
      <c r="G4809" s="57" t="s">
        <v>465</v>
      </c>
      <c r="H4809" s="19" t="s">
        <v>465</v>
      </c>
      <c r="I4809" s="19">
        <v>92500</v>
      </c>
    </row>
    <row r="4810" spans="1:9" x14ac:dyDescent="0.2">
      <c r="A4810" s="1" t="s">
        <v>1</v>
      </c>
      <c r="B4810" s="2" t="s">
        <v>125</v>
      </c>
      <c r="C4810" s="1"/>
      <c r="D4810" s="5" t="s">
        <v>464</v>
      </c>
      <c r="G4810" s="57" t="s">
        <v>465</v>
      </c>
      <c r="H4810" s="19" t="s">
        <v>465</v>
      </c>
      <c r="I4810" s="19">
        <v>92500</v>
      </c>
    </row>
    <row r="4811" spans="1:9" x14ac:dyDescent="0.2">
      <c r="A4811" s="1" t="s">
        <v>1</v>
      </c>
      <c r="B4811" s="2" t="s">
        <v>125</v>
      </c>
      <c r="C4811" s="1"/>
      <c r="D4811" s="5" t="s">
        <v>464</v>
      </c>
      <c r="G4811" s="57" t="s">
        <v>465</v>
      </c>
      <c r="H4811" s="19" t="s">
        <v>465</v>
      </c>
      <c r="I4811" s="19">
        <v>97500</v>
      </c>
    </row>
    <row r="4812" spans="1:9" x14ac:dyDescent="0.2">
      <c r="A4812" s="1" t="s">
        <v>1</v>
      </c>
      <c r="B4812" s="2" t="s">
        <v>125</v>
      </c>
      <c r="C4812" s="1"/>
      <c r="D4812" s="5" t="s">
        <v>464</v>
      </c>
      <c r="G4812" s="57" t="s">
        <v>465</v>
      </c>
      <c r="H4812" s="19" t="s">
        <v>465</v>
      </c>
      <c r="I4812" s="19">
        <v>97500</v>
      </c>
    </row>
    <row r="4813" spans="1:9" x14ac:dyDescent="0.2">
      <c r="A4813" s="1" t="s">
        <v>1</v>
      </c>
      <c r="B4813" s="2" t="s">
        <v>125</v>
      </c>
      <c r="C4813" s="1"/>
      <c r="D4813" s="5" t="s">
        <v>464</v>
      </c>
      <c r="E4813" s="4"/>
      <c r="F4813" s="4"/>
      <c r="G4813" s="57" t="s">
        <v>465</v>
      </c>
      <c r="H4813" s="19">
        <v>97500</v>
      </c>
      <c r="I4813" s="19" t="s">
        <v>465</v>
      </c>
    </row>
    <row r="4814" spans="1:9" x14ac:dyDescent="0.2">
      <c r="A4814" s="1" t="s">
        <v>1</v>
      </c>
      <c r="B4814" s="2" t="s">
        <v>125</v>
      </c>
      <c r="C4814" s="1"/>
      <c r="D4814" s="5" t="s">
        <v>464</v>
      </c>
      <c r="G4814" s="57" t="s">
        <v>465</v>
      </c>
    </row>
    <row r="4815" spans="1:9" x14ac:dyDescent="0.2">
      <c r="A4815" s="1" t="s">
        <v>1</v>
      </c>
      <c r="B4815" s="2" t="s">
        <v>126</v>
      </c>
      <c r="C4815" s="1"/>
      <c r="D4815" s="5" t="s">
        <v>464</v>
      </c>
      <c r="G4815" s="57" t="s">
        <v>465</v>
      </c>
      <c r="H4815" s="19" t="s">
        <v>465</v>
      </c>
      <c r="I4815" s="19">
        <v>97500</v>
      </c>
    </row>
    <row r="4816" spans="1:9" x14ac:dyDescent="0.2">
      <c r="A4816" s="1" t="s">
        <v>1</v>
      </c>
      <c r="B4816" s="2" t="s">
        <v>126</v>
      </c>
      <c r="C4816" s="1"/>
      <c r="D4816" s="5" t="s">
        <v>464</v>
      </c>
      <c r="G4816" s="57" t="s">
        <v>465</v>
      </c>
      <c r="H4816" s="19" t="s">
        <v>465</v>
      </c>
      <c r="I4816" s="19">
        <v>97500</v>
      </c>
    </row>
    <row r="4817" spans="1:9" x14ac:dyDescent="0.2">
      <c r="A4817" s="1" t="s">
        <v>1</v>
      </c>
      <c r="B4817" s="2" t="s">
        <v>126</v>
      </c>
      <c r="C4817" s="1"/>
      <c r="D4817" s="5" t="s">
        <v>464</v>
      </c>
      <c r="G4817" s="57" t="s">
        <v>465</v>
      </c>
      <c r="H4817" s="19">
        <v>97500</v>
      </c>
      <c r="I4817" s="19" t="s">
        <v>465</v>
      </c>
    </row>
    <row r="4818" spans="1:9" ht="25.5" x14ac:dyDescent="0.2">
      <c r="A4818" s="1" t="s">
        <v>11</v>
      </c>
      <c r="B4818" s="2" t="s">
        <v>127</v>
      </c>
      <c r="C4818" s="29" t="s">
        <v>2697</v>
      </c>
      <c r="G4818" s="57" t="s">
        <v>465</v>
      </c>
    </row>
    <row r="4819" spans="1:9" x14ac:dyDescent="0.2">
      <c r="A4819" s="1" t="s">
        <v>111</v>
      </c>
      <c r="B4819" s="2" t="s">
        <v>128</v>
      </c>
      <c r="C4819" s="1"/>
      <c r="D4819" s="5" t="s">
        <v>464</v>
      </c>
      <c r="G4819" s="57" t="s">
        <v>465</v>
      </c>
      <c r="H4819" s="19">
        <v>92500</v>
      </c>
      <c r="I4819" s="19" t="s">
        <v>465</v>
      </c>
    </row>
    <row r="4820" spans="1:9" x14ac:dyDescent="0.2">
      <c r="A4820" s="1" t="s">
        <v>111</v>
      </c>
      <c r="B4820" s="2" t="s">
        <v>128</v>
      </c>
      <c r="C4820" s="1"/>
      <c r="D4820" s="5" t="s">
        <v>464</v>
      </c>
      <c r="G4820" s="57" t="s">
        <v>465</v>
      </c>
      <c r="H4820" s="19">
        <v>92500</v>
      </c>
      <c r="I4820" s="19" t="s">
        <v>465</v>
      </c>
    </row>
    <row r="4821" spans="1:9" x14ac:dyDescent="0.2">
      <c r="A4821" s="1" t="s">
        <v>111</v>
      </c>
      <c r="B4821" s="2" t="s">
        <v>128</v>
      </c>
      <c r="C4821" s="1"/>
      <c r="D4821" s="5" t="s">
        <v>464</v>
      </c>
      <c r="G4821" s="57" t="s">
        <v>465</v>
      </c>
      <c r="H4821" s="19">
        <v>92500</v>
      </c>
      <c r="I4821" s="19" t="s">
        <v>465</v>
      </c>
    </row>
    <row r="4822" spans="1:9" x14ac:dyDescent="0.2">
      <c r="A4822" s="1" t="s">
        <v>111</v>
      </c>
      <c r="B4822" s="2" t="s">
        <v>128</v>
      </c>
      <c r="C4822" s="1"/>
      <c r="D4822" s="5" t="s">
        <v>464</v>
      </c>
      <c r="G4822" s="57" t="s">
        <v>465</v>
      </c>
      <c r="H4822" s="19">
        <v>92500</v>
      </c>
      <c r="I4822" s="19" t="s">
        <v>465</v>
      </c>
    </row>
    <row r="4823" spans="1:9" x14ac:dyDescent="0.2">
      <c r="A4823" s="1" t="s">
        <v>111</v>
      </c>
      <c r="B4823" s="2" t="s">
        <v>128</v>
      </c>
      <c r="C4823" s="1"/>
      <c r="D4823" s="5" t="s">
        <v>464</v>
      </c>
      <c r="G4823" s="57" t="s">
        <v>465</v>
      </c>
      <c r="H4823" s="19">
        <v>92500</v>
      </c>
      <c r="I4823" s="19" t="s">
        <v>465</v>
      </c>
    </row>
    <row r="4824" spans="1:9" x14ac:dyDescent="0.2">
      <c r="A4824" s="1" t="s">
        <v>111</v>
      </c>
      <c r="B4824" s="2" t="s">
        <v>128</v>
      </c>
      <c r="C4824" s="1"/>
      <c r="D4824" s="5" t="s">
        <v>464</v>
      </c>
      <c r="G4824" s="57" t="s">
        <v>465</v>
      </c>
      <c r="H4824" s="19">
        <v>97500</v>
      </c>
      <c r="I4824" s="19" t="s">
        <v>465</v>
      </c>
    </row>
    <row r="4825" spans="1:9" x14ac:dyDescent="0.2">
      <c r="A4825" s="1" t="s">
        <v>111</v>
      </c>
      <c r="B4825" s="2" t="s">
        <v>128</v>
      </c>
      <c r="C4825" s="1"/>
      <c r="D4825" s="5" t="s">
        <v>464</v>
      </c>
      <c r="G4825" s="57" t="s">
        <v>465</v>
      </c>
      <c r="H4825" s="19">
        <v>97500</v>
      </c>
      <c r="I4825" s="19" t="s">
        <v>465</v>
      </c>
    </row>
    <row r="4826" spans="1:9" x14ac:dyDescent="0.2">
      <c r="A4826" s="1" t="s">
        <v>111</v>
      </c>
      <c r="B4826" s="2" t="s">
        <v>128</v>
      </c>
      <c r="C4826" s="1"/>
      <c r="D4826" s="5" t="s">
        <v>464</v>
      </c>
      <c r="G4826" s="57" t="s">
        <v>465</v>
      </c>
      <c r="H4826" s="19">
        <v>97500</v>
      </c>
      <c r="I4826" s="19" t="s">
        <v>465</v>
      </c>
    </row>
    <row r="4827" spans="1:9" x14ac:dyDescent="0.2">
      <c r="A4827" s="1" t="s">
        <v>111</v>
      </c>
      <c r="B4827" s="2" t="s">
        <v>128</v>
      </c>
      <c r="C4827" s="1"/>
      <c r="D4827" s="5" t="s">
        <v>464</v>
      </c>
      <c r="G4827" s="57" t="s">
        <v>465</v>
      </c>
      <c r="H4827" s="19">
        <v>97500</v>
      </c>
      <c r="I4827" s="19" t="s">
        <v>465</v>
      </c>
    </row>
    <row r="4828" spans="1:9" x14ac:dyDescent="0.2">
      <c r="A4828" s="1" t="s">
        <v>111</v>
      </c>
      <c r="B4828" s="2" t="s">
        <v>128</v>
      </c>
      <c r="C4828" s="1"/>
      <c r="D4828" s="5" t="s">
        <v>464</v>
      </c>
      <c r="G4828" s="57" t="s">
        <v>465</v>
      </c>
      <c r="H4828" s="19">
        <v>97500</v>
      </c>
      <c r="I4828" s="19" t="s">
        <v>465</v>
      </c>
    </row>
    <row r="4829" spans="1:9" x14ac:dyDescent="0.2">
      <c r="A4829" s="1" t="s">
        <v>111</v>
      </c>
      <c r="B4829" s="2" t="s">
        <v>128</v>
      </c>
      <c r="C4829" s="1"/>
      <c r="D4829" s="5" t="s">
        <v>464</v>
      </c>
      <c r="G4829" s="57" t="s">
        <v>465</v>
      </c>
      <c r="H4829" s="19">
        <v>97500</v>
      </c>
      <c r="I4829" s="19" t="s">
        <v>465</v>
      </c>
    </row>
    <row r="4830" spans="1:9" x14ac:dyDescent="0.2">
      <c r="A4830" s="1" t="s">
        <v>111</v>
      </c>
      <c r="B4830" s="2" t="s">
        <v>128</v>
      </c>
      <c r="C4830" s="1"/>
      <c r="D4830" s="5" t="s">
        <v>464</v>
      </c>
      <c r="G4830" s="57" t="s">
        <v>465</v>
      </c>
      <c r="H4830" s="19">
        <v>97500</v>
      </c>
      <c r="I4830" s="19" t="s">
        <v>465</v>
      </c>
    </row>
    <row r="4831" spans="1:9" x14ac:dyDescent="0.2">
      <c r="A4831" s="1" t="s">
        <v>111</v>
      </c>
      <c r="B4831" s="2" t="s">
        <v>128</v>
      </c>
      <c r="C4831" s="1"/>
      <c r="D4831" s="5" t="s">
        <v>464</v>
      </c>
      <c r="G4831" s="57" t="s">
        <v>465</v>
      </c>
      <c r="H4831" s="19">
        <v>97500</v>
      </c>
      <c r="I4831" s="19" t="s">
        <v>465</v>
      </c>
    </row>
    <row r="4832" spans="1:9" x14ac:dyDescent="0.2">
      <c r="A4832" s="1" t="s">
        <v>111</v>
      </c>
      <c r="B4832" s="2" t="s">
        <v>128</v>
      </c>
      <c r="C4832" s="1"/>
      <c r="D4832" s="5" t="s">
        <v>464</v>
      </c>
      <c r="G4832" s="57" t="s">
        <v>465</v>
      </c>
      <c r="H4832" s="19">
        <v>97500</v>
      </c>
      <c r="I4832" s="19" t="s">
        <v>465</v>
      </c>
    </row>
    <row r="4833" spans="1:10" x14ac:dyDescent="0.2">
      <c r="A4833" s="1" t="s">
        <v>111</v>
      </c>
      <c r="B4833" s="2" t="s">
        <v>128</v>
      </c>
      <c r="C4833" s="1"/>
      <c r="D4833" s="5" t="s">
        <v>464</v>
      </c>
      <c r="G4833" s="57" t="s">
        <v>465</v>
      </c>
      <c r="H4833" s="19">
        <v>97500</v>
      </c>
      <c r="I4833" s="19" t="s">
        <v>465</v>
      </c>
      <c r="J4833" s="1"/>
    </row>
    <row r="4834" spans="1:10" x14ac:dyDescent="0.2">
      <c r="A4834" s="1" t="s">
        <v>111</v>
      </c>
      <c r="B4834" s="2" t="s">
        <v>128</v>
      </c>
      <c r="C4834" s="1"/>
      <c r="D4834" s="5" t="s">
        <v>464</v>
      </c>
      <c r="G4834" s="57" t="s">
        <v>465</v>
      </c>
      <c r="H4834" s="19">
        <v>97500</v>
      </c>
      <c r="I4834" s="19" t="s">
        <v>465</v>
      </c>
      <c r="J4834" s="1"/>
    </row>
    <row r="4835" spans="1:10" x14ac:dyDescent="0.2">
      <c r="A4835" s="1" t="s">
        <v>111</v>
      </c>
      <c r="B4835" s="2" t="s">
        <v>128</v>
      </c>
      <c r="C4835" s="1"/>
      <c r="D4835" s="5" t="s">
        <v>464</v>
      </c>
      <c r="G4835" s="57" t="s">
        <v>465</v>
      </c>
      <c r="H4835" s="19">
        <v>97500</v>
      </c>
      <c r="I4835" s="19" t="s">
        <v>465</v>
      </c>
      <c r="J4835" s="1"/>
    </row>
    <row r="4836" spans="1:10" x14ac:dyDescent="0.2">
      <c r="A4836" s="1" t="s">
        <v>111</v>
      </c>
      <c r="B4836" s="2" t="s">
        <v>128</v>
      </c>
      <c r="C4836" s="1"/>
      <c r="D4836" s="5" t="s">
        <v>464</v>
      </c>
      <c r="G4836" s="57" t="s">
        <v>465</v>
      </c>
      <c r="H4836" s="19">
        <v>97500</v>
      </c>
      <c r="I4836" s="19" t="s">
        <v>465</v>
      </c>
      <c r="J4836" s="1"/>
    </row>
    <row r="4837" spans="1:10" x14ac:dyDescent="0.2">
      <c r="A4837" s="1" t="s">
        <v>111</v>
      </c>
      <c r="B4837" s="2" t="s">
        <v>128</v>
      </c>
      <c r="C4837" s="1"/>
      <c r="D4837" s="5" t="s">
        <v>464</v>
      </c>
      <c r="G4837" s="57" t="s">
        <v>465</v>
      </c>
      <c r="H4837" s="19">
        <v>97500</v>
      </c>
      <c r="I4837" s="19" t="s">
        <v>465</v>
      </c>
      <c r="J4837" s="1"/>
    </row>
    <row r="4838" spans="1:10" x14ac:dyDescent="0.2">
      <c r="A4838" s="1" t="s">
        <v>111</v>
      </c>
      <c r="B4838" s="2" t="s">
        <v>128</v>
      </c>
      <c r="C4838" s="1"/>
      <c r="D4838" s="5" t="s">
        <v>464</v>
      </c>
      <c r="G4838" s="57" t="s">
        <v>465</v>
      </c>
      <c r="H4838" s="19" t="s">
        <v>465</v>
      </c>
      <c r="I4838" s="19">
        <v>92500</v>
      </c>
      <c r="J4838" s="1"/>
    </row>
    <row r="4839" spans="1:10" x14ac:dyDescent="0.2">
      <c r="A4839" s="1" t="s">
        <v>111</v>
      </c>
      <c r="B4839" s="2" t="s">
        <v>128</v>
      </c>
      <c r="C4839" s="1"/>
      <c r="D4839" s="5" t="s">
        <v>464</v>
      </c>
      <c r="G4839" s="57" t="s">
        <v>465</v>
      </c>
      <c r="H4839" s="19" t="s">
        <v>465</v>
      </c>
      <c r="I4839" s="19">
        <v>92500</v>
      </c>
      <c r="J4839" s="1"/>
    </row>
    <row r="4840" spans="1:10" x14ac:dyDescent="0.2">
      <c r="A4840" s="1" t="s">
        <v>111</v>
      </c>
      <c r="B4840" s="2" t="s">
        <v>128</v>
      </c>
      <c r="C4840" s="1"/>
      <c r="D4840" s="5" t="s">
        <v>464</v>
      </c>
      <c r="G4840" s="57" t="s">
        <v>465</v>
      </c>
      <c r="H4840" s="19" t="s">
        <v>465</v>
      </c>
      <c r="I4840" s="19">
        <v>92500</v>
      </c>
      <c r="J4840" s="1"/>
    </row>
    <row r="4841" spans="1:10" x14ac:dyDescent="0.2">
      <c r="A4841" s="1" t="s">
        <v>111</v>
      </c>
      <c r="B4841" s="2" t="s">
        <v>128</v>
      </c>
      <c r="C4841" s="1"/>
      <c r="D4841" s="5" t="s">
        <v>464</v>
      </c>
      <c r="G4841" s="57" t="s">
        <v>465</v>
      </c>
      <c r="H4841" s="19" t="s">
        <v>465</v>
      </c>
      <c r="I4841" s="19">
        <v>92500</v>
      </c>
      <c r="J4841" s="1"/>
    </row>
    <row r="4842" spans="1:10" x14ac:dyDescent="0.2">
      <c r="A4842" s="1" t="s">
        <v>111</v>
      </c>
      <c r="B4842" s="2" t="s">
        <v>128</v>
      </c>
      <c r="C4842" s="1"/>
      <c r="D4842" s="5" t="s">
        <v>464</v>
      </c>
      <c r="G4842" s="57" t="s">
        <v>465</v>
      </c>
      <c r="H4842" s="19" t="s">
        <v>465</v>
      </c>
      <c r="I4842" s="19">
        <v>92500</v>
      </c>
      <c r="J4842" s="1"/>
    </row>
    <row r="4843" spans="1:10" x14ac:dyDescent="0.2">
      <c r="A4843" s="1" t="s">
        <v>111</v>
      </c>
      <c r="B4843" s="2" t="s">
        <v>128</v>
      </c>
      <c r="C4843" s="1"/>
      <c r="D4843" s="5" t="s">
        <v>464</v>
      </c>
      <c r="G4843" s="57" t="s">
        <v>465</v>
      </c>
      <c r="H4843" s="19" t="s">
        <v>465</v>
      </c>
      <c r="I4843" s="19">
        <v>97500</v>
      </c>
      <c r="J4843" s="1"/>
    </row>
    <row r="4844" spans="1:10" x14ac:dyDescent="0.2">
      <c r="A4844" s="1" t="s">
        <v>111</v>
      </c>
      <c r="B4844" s="2" t="s">
        <v>128</v>
      </c>
      <c r="C4844" s="1"/>
      <c r="D4844" s="5" t="s">
        <v>464</v>
      </c>
      <c r="G4844" s="57" t="s">
        <v>465</v>
      </c>
      <c r="H4844" s="19" t="s">
        <v>465</v>
      </c>
      <c r="I4844" s="19">
        <v>97500</v>
      </c>
      <c r="J4844" s="1"/>
    </row>
    <row r="4845" spans="1:10" x14ac:dyDescent="0.2">
      <c r="A4845" s="1" t="s">
        <v>111</v>
      </c>
      <c r="B4845" s="2" t="s">
        <v>128</v>
      </c>
      <c r="C4845" s="1"/>
      <c r="D4845" s="5" t="s">
        <v>464</v>
      </c>
      <c r="G4845" s="57" t="s">
        <v>465</v>
      </c>
      <c r="H4845" s="19" t="s">
        <v>465</v>
      </c>
      <c r="I4845" s="19">
        <v>97500</v>
      </c>
      <c r="J4845" s="1"/>
    </row>
    <row r="4846" spans="1:10" x14ac:dyDescent="0.2">
      <c r="A4846" s="1" t="s">
        <v>111</v>
      </c>
      <c r="B4846" s="2" t="s">
        <v>128</v>
      </c>
      <c r="C4846" s="1"/>
      <c r="D4846" s="5" t="s">
        <v>464</v>
      </c>
      <c r="G4846" s="57" t="s">
        <v>465</v>
      </c>
      <c r="H4846" s="19" t="s">
        <v>465</v>
      </c>
      <c r="I4846" s="19">
        <v>97500</v>
      </c>
      <c r="J4846" s="1"/>
    </row>
    <row r="4847" spans="1:10" x14ac:dyDescent="0.2">
      <c r="A4847" s="1" t="s">
        <v>111</v>
      </c>
      <c r="B4847" s="2" t="s">
        <v>128</v>
      </c>
      <c r="C4847" s="1"/>
      <c r="D4847" s="5" t="s">
        <v>464</v>
      </c>
      <c r="G4847" s="57" t="s">
        <v>465</v>
      </c>
      <c r="H4847" s="19" t="s">
        <v>465</v>
      </c>
      <c r="I4847" s="19">
        <v>97500</v>
      </c>
      <c r="J4847" s="1"/>
    </row>
    <row r="4848" spans="1:10" x14ac:dyDescent="0.2">
      <c r="A4848" s="1" t="s">
        <v>111</v>
      </c>
      <c r="B4848" s="2" t="s">
        <v>128</v>
      </c>
      <c r="C4848" s="1"/>
      <c r="D4848" s="5" t="s">
        <v>464</v>
      </c>
      <c r="G4848" s="57" t="s">
        <v>465</v>
      </c>
      <c r="H4848" s="19" t="s">
        <v>465</v>
      </c>
      <c r="I4848" s="19">
        <v>97500</v>
      </c>
      <c r="J4848" s="1"/>
    </row>
    <row r="4849" spans="1:10" x14ac:dyDescent="0.2">
      <c r="A4849" s="1" t="s">
        <v>111</v>
      </c>
      <c r="B4849" s="2" t="s">
        <v>128</v>
      </c>
      <c r="C4849" s="1"/>
      <c r="D4849" s="5" t="s">
        <v>464</v>
      </c>
      <c r="G4849" s="57" t="s">
        <v>465</v>
      </c>
      <c r="H4849" s="19" t="s">
        <v>465</v>
      </c>
      <c r="I4849" s="19">
        <v>97500</v>
      </c>
      <c r="J4849" s="1"/>
    </row>
    <row r="4850" spans="1:10" x14ac:dyDescent="0.2">
      <c r="A4850" s="1" t="s">
        <v>111</v>
      </c>
      <c r="B4850" s="2" t="s">
        <v>128</v>
      </c>
      <c r="C4850" s="1"/>
      <c r="D4850" s="5" t="s">
        <v>464</v>
      </c>
      <c r="G4850" s="57" t="s">
        <v>465</v>
      </c>
      <c r="H4850" s="19" t="s">
        <v>465</v>
      </c>
      <c r="I4850" s="19">
        <v>97500</v>
      </c>
      <c r="J4850" s="1"/>
    </row>
    <row r="4851" spans="1:10" x14ac:dyDescent="0.2">
      <c r="A4851" s="1" t="s">
        <v>111</v>
      </c>
      <c r="B4851" s="2" t="s">
        <v>128</v>
      </c>
      <c r="C4851" s="1"/>
      <c r="D4851" s="5" t="s">
        <v>464</v>
      </c>
      <c r="G4851" s="57" t="s">
        <v>465</v>
      </c>
      <c r="H4851" s="19" t="s">
        <v>465</v>
      </c>
      <c r="I4851" s="19">
        <v>97500</v>
      </c>
      <c r="J4851" s="1"/>
    </row>
    <row r="4852" spans="1:10" x14ac:dyDescent="0.2">
      <c r="A4852" s="1" t="s">
        <v>111</v>
      </c>
      <c r="B4852" s="2" t="s">
        <v>128</v>
      </c>
      <c r="C4852" s="1"/>
      <c r="D4852" s="5" t="s">
        <v>464</v>
      </c>
      <c r="G4852" s="57" t="s">
        <v>465</v>
      </c>
      <c r="H4852" s="19" t="s">
        <v>465</v>
      </c>
      <c r="I4852" s="19">
        <v>97500</v>
      </c>
      <c r="J4852" s="1"/>
    </row>
    <row r="4853" spans="1:10" x14ac:dyDescent="0.2">
      <c r="A4853" s="1" t="s">
        <v>111</v>
      </c>
      <c r="B4853" s="2" t="s">
        <v>128</v>
      </c>
      <c r="C4853" s="1"/>
      <c r="D4853" s="5" t="s">
        <v>464</v>
      </c>
      <c r="G4853" s="57" t="s">
        <v>465</v>
      </c>
      <c r="H4853" s="19" t="s">
        <v>465</v>
      </c>
      <c r="I4853" s="19">
        <v>97500</v>
      </c>
      <c r="J4853" s="1"/>
    </row>
    <row r="4854" spans="1:10" x14ac:dyDescent="0.2">
      <c r="A4854" s="1" t="s">
        <v>111</v>
      </c>
      <c r="B4854" s="2" t="s">
        <v>128</v>
      </c>
      <c r="C4854" s="1"/>
      <c r="D4854" s="5" t="s">
        <v>464</v>
      </c>
      <c r="G4854" s="57" t="s">
        <v>465</v>
      </c>
      <c r="H4854" s="19" t="s">
        <v>465</v>
      </c>
      <c r="I4854" s="19">
        <v>97500</v>
      </c>
      <c r="J4854" s="1"/>
    </row>
    <row r="4855" spans="1:10" x14ac:dyDescent="0.2">
      <c r="A4855" s="1" t="s">
        <v>111</v>
      </c>
      <c r="B4855" s="2" t="s">
        <v>128</v>
      </c>
      <c r="C4855" s="1"/>
      <c r="D4855" s="5" t="s">
        <v>464</v>
      </c>
      <c r="G4855" s="57" t="s">
        <v>465</v>
      </c>
      <c r="H4855" s="19" t="s">
        <v>465</v>
      </c>
      <c r="I4855" s="19">
        <v>97500</v>
      </c>
      <c r="J4855" s="1"/>
    </row>
    <row r="4856" spans="1:10" x14ac:dyDescent="0.2">
      <c r="A4856" s="1" t="s">
        <v>25</v>
      </c>
      <c r="B4856" s="2" t="s">
        <v>129</v>
      </c>
      <c r="C4856" s="1"/>
      <c r="D4856" s="5" t="s">
        <v>464</v>
      </c>
      <c r="G4856" s="57" t="s">
        <v>465</v>
      </c>
      <c r="H4856" s="19">
        <v>92500</v>
      </c>
      <c r="I4856" s="19" t="s">
        <v>465</v>
      </c>
    </row>
    <row r="4857" spans="1:10" x14ac:dyDescent="0.2">
      <c r="A4857" s="1" t="s">
        <v>25</v>
      </c>
      <c r="B4857" s="2" t="s">
        <v>129</v>
      </c>
      <c r="C4857" s="1"/>
      <c r="D4857" s="5" t="s">
        <v>464</v>
      </c>
      <c r="G4857" s="57" t="s">
        <v>465</v>
      </c>
      <c r="H4857" s="19">
        <v>92500</v>
      </c>
      <c r="I4857" s="19" t="s">
        <v>465</v>
      </c>
    </row>
    <row r="4858" spans="1:10" x14ac:dyDescent="0.2">
      <c r="A4858" s="1" t="s">
        <v>25</v>
      </c>
      <c r="B4858" s="2" t="s">
        <v>129</v>
      </c>
      <c r="C4858" s="1"/>
      <c r="D4858" s="5" t="s">
        <v>464</v>
      </c>
      <c r="G4858" s="57" t="s">
        <v>465</v>
      </c>
      <c r="H4858" s="19">
        <v>92500</v>
      </c>
      <c r="I4858" s="19" t="s">
        <v>465</v>
      </c>
    </row>
    <row r="4859" spans="1:10" x14ac:dyDescent="0.2">
      <c r="A4859" s="1" t="s">
        <v>25</v>
      </c>
      <c r="B4859" s="2" t="s">
        <v>129</v>
      </c>
      <c r="C4859" s="1"/>
      <c r="D4859" s="5" t="s">
        <v>464</v>
      </c>
      <c r="G4859" s="57" t="s">
        <v>465</v>
      </c>
      <c r="H4859" s="19">
        <v>92500</v>
      </c>
      <c r="I4859" s="19" t="s">
        <v>465</v>
      </c>
    </row>
    <row r="4860" spans="1:10" x14ac:dyDescent="0.2">
      <c r="A4860" s="1" t="s">
        <v>25</v>
      </c>
      <c r="B4860" s="2" t="s">
        <v>129</v>
      </c>
      <c r="C4860" s="1"/>
      <c r="D4860" s="5" t="s">
        <v>464</v>
      </c>
      <c r="G4860" s="57" t="s">
        <v>465</v>
      </c>
      <c r="H4860" s="19">
        <v>92500</v>
      </c>
      <c r="I4860" s="19" t="s">
        <v>465</v>
      </c>
    </row>
    <row r="4861" spans="1:10" x14ac:dyDescent="0.2">
      <c r="A4861" s="1" t="s">
        <v>25</v>
      </c>
      <c r="B4861" s="2" t="s">
        <v>129</v>
      </c>
      <c r="C4861" s="1"/>
      <c r="D4861" s="5" t="s">
        <v>464</v>
      </c>
      <c r="G4861" s="57" t="s">
        <v>465</v>
      </c>
      <c r="H4861" s="19">
        <v>92500</v>
      </c>
      <c r="I4861" s="19" t="s">
        <v>465</v>
      </c>
    </row>
    <row r="4862" spans="1:10" x14ac:dyDescent="0.2">
      <c r="A4862" s="1" t="s">
        <v>25</v>
      </c>
      <c r="B4862" s="2" t="s">
        <v>129</v>
      </c>
      <c r="C4862" s="1"/>
      <c r="D4862" s="5" t="s">
        <v>464</v>
      </c>
      <c r="G4862" s="57" t="s">
        <v>465</v>
      </c>
      <c r="H4862" s="19">
        <v>97500</v>
      </c>
      <c r="I4862" s="19" t="s">
        <v>465</v>
      </c>
    </row>
    <row r="4863" spans="1:10" x14ac:dyDescent="0.2">
      <c r="A4863" s="1" t="s">
        <v>25</v>
      </c>
      <c r="B4863" s="2" t="s">
        <v>129</v>
      </c>
      <c r="C4863" s="1"/>
      <c r="D4863" s="5" t="s">
        <v>464</v>
      </c>
      <c r="G4863" s="57" t="s">
        <v>465</v>
      </c>
      <c r="H4863" s="19">
        <v>97500</v>
      </c>
      <c r="I4863" s="19" t="s">
        <v>465</v>
      </c>
    </row>
    <row r="4864" spans="1:10" x14ac:dyDescent="0.2">
      <c r="A4864" s="1" t="s">
        <v>25</v>
      </c>
      <c r="B4864" s="2" t="s">
        <v>129</v>
      </c>
      <c r="C4864" s="1"/>
      <c r="D4864" s="5" t="s">
        <v>464</v>
      </c>
      <c r="G4864" s="57" t="s">
        <v>465</v>
      </c>
      <c r="H4864" s="19">
        <v>97500</v>
      </c>
      <c r="I4864" s="19" t="s">
        <v>465</v>
      </c>
    </row>
    <row r="4865" spans="1:10" x14ac:dyDescent="0.2">
      <c r="A4865" s="1" t="s">
        <v>25</v>
      </c>
      <c r="B4865" s="2" t="s">
        <v>129</v>
      </c>
      <c r="C4865" s="1"/>
      <c r="D4865" s="5" t="s">
        <v>464</v>
      </c>
      <c r="G4865" s="57" t="s">
        <v>465</v>
      </c>
      <c r="H4865" s="19" t="s">
        <v>465</v>
      </c>
      <c r="I4865" s="19">
        <v>92500</v>
      </c>
    </row>
    <row r="4866" spans="1:10" x14ac:dyDescent="0.2">
      <c r="A4866" s="1" t="s">
        <v>25</v>
      </c>
      <c r="B4866" s="2" t="s">
        <v>129</v>
      </c>
      <c r="C4866" s="1"/>
      <c r="D4866" s="5" t="s">
        <v>464</v>
      </c>
      <c r="G4866" s="57" t="s">
        <v>465</v>
      </c>
      <c r="H4866" s="19" t="s">
        <v>465</v>
      </c>
      <c r="I4866" s="19">
        <v>92500</v>
      </c>
      <c r="J4866" s="1"/>
    </row>
    <row r="4867" spans="1:10" x14ac:dyDescent="0.2">
      <c r="A4867" s="1" t="s">
        <v>25</v>
      </c>
      <c r="B4867" s="2" t="s">
        <v>129</v>
      </c>
      <c r="C4867" s="1"/>
      <c r="D4867" s="5" t="s">
        <v>464</v>
      </c>
      <c r="G4867" s="57" t="s">
        <v>465</v>
      </c>
      <c r="H4867" s="19" t="s">
        <v>465</v>
      </c>
      <c r="I4867" s="19">
        <v>92500</v>
      </c>
      <c r="J4867" s="1"/>
    </row>
    <row r="4868" spans="1:10" x14ac:dyDescent="0.2">
      <c r="A4868" s="1" t="s">
        <v>25</v>
      </c>
      <c r="B4868" s="2" t="s">
        <v>129</v>
      </c>
      <c r="C4868" s="1"/>
      <c r="D4868" s="5" t="s">
        <v>464</v>
      </c>
      <c r="G4868" s="57" t="s">
        <v>465</v>
      </c>
      <c r="H4868" s="19" t="s">
        <v>465</v>
      </c>
      <c r="I4868" s="19">
        <v>92500</v>
      </c>
      <c r="J4868" s="1"/>
    </row>
    <row r="4869" spans="1:10" x14ac:dyDescent="0.2">
      <c r="A4869" s="1" t="s">
        <v>25</v>
      </c>
      <c r="B4869" s="2" t="s">
        <v>129</v>
      </c>
      <c r="C4869" s="1"/>
      <c r="D4869" s="5" t="s">
        <v>464</v>
      </c>
      <c r="G4869" s="57" t="s">
        <v>465</v>
      </c>
      <c r="H4869" s="19" t="s">
        <v>465</v>
      </c>
      <c r="I4869" s="19">
        <v>92500</v>
      </c>
      <c r="J4869" s="1"/>
    </row>
    <row r="4870" spans="1:10" x14ac:dyDescent="0.2">
      <c r="A4870" s="1" t="s">
        <v>25</v>
      </c>
      <c r="B4870" s="2" t="s">
        <v>129</v>
      </c>
      <c r="C4870" s="1"/>
      <c r="D4870" s="5" t="s">
        <v>464</v>
      </c>
      <c r="G4870" s="57" t="s">
        <v>465</v>
      </c>
      <c r="H4870" s="19" t="s">
        <v>465</v>
      </c>
      <c r="I4870" s="19">
        <v>97500</v>
      </c>
      <c r="J4870" s="1"/>
    </row>
    <row r="4871" spans="1:10" x14ac:dyDescent="0.2">
      <c r="A4871" s="1" t="s">
        <v>25</v>
      </c>
      <c r="B4871" s="2" t="s">
        <v>129</v>
      </c>
      <c r="C4871" s="1"/>
      <c r="D4871" s="5" t="s">
        <v>464</v>
      </c>
      <c r="G4871" s="57" t="s">
        <v>465</v>
      </c>
      <c r="H4871" s="19" t="s">
        <v>465</v>
      </c>
      <c r="I4871" s="19">
        <v>97500</v>
      </c>
      <c r="J4871" s="1"/>
    </row>
    <row r="4872" spans="1:10" x14ac:dyDescent="0.2">
      <c r="A4872" s="1" t="s">
        <v>25</v>
      </c>
      <c r="B4872" s="2" t="s">
        <v>129</v>
      </c>
      <c r="C4872" s="1"/>
      <c r="D4872" s="5" t="s">
        <v>464</v>
      </c>
      <c r="G4872" s="57" t="s">
        <v>465</v>
      </c>
      <c r="H4872" s="19" t="s">
        <v>465</v>
      </c>
      <c r="I4872" s="19">
        <v>97500</v>
      </c>
      <c r="J4872" s="1"/>
    </row>
    <row r="4873" spans="1:10" x14ac:dyDescent="0.2">
      <c r="A4873" s="1" t="s">
        <v>25</v>
      </c>
      <c r="B4873" s="2" t="s">
        <v>129</v>
      </c>
      <c r="C4873" s="1"/>
      <c r="D4873" s="5" t="s">
        <v>464</v>
      </c>
      <c r="G4873" s="57" t="s">
        <v>465</v>
      </c>
      <c r="H4873" s="19" t="s">
        <v>465</v>
      </c>
      <c r="I4873" s="19">
        <v>97500</v>
      </c>
      <c r="J4873" s="1"/>
    </row>
    <row r="4874" spans="1:10" x14ac:dyDescent="0.2">
      <c r="A4874" s="1" t="s">
        <v>25</v>
      </c>
      <c r="B4874" s="2" t="s">
        <v>129</v>
      </c>
      <c r="C4874" s="1"/>
      <c r="D4874" s="5" t="s">
        <v>464</v>
      </c>
      <c r="G4874" s="57" t="s">
        <v>465</v>
      </c>
      <c r="H4874" s="19" t="s">
        <v>465</v>
      </c>
      <c r="I4874" s="19">
        <v>97500</v>
      </c>
      <c r="J4874" s="1"/>
    </row>
    <row r="4875" spans="1:10" x14ac:dyDescent="0.2">
      <c r="A4875" s="1" t="s">
        <v>25</v>
      </c>
      <c r="B4875" s="2" t="s">
        <v>129</v>
      </c>
      <c r="C4875" s="1"/>
      <c r="D4875" s="5" t="s">
        <v>464</v>
      </c>
      <c r="G4875" s="57" t="s">
        <v>465</v>
      </c>
      <c r="H4875" s="19" t="s">
        <v>465</v>
      </c>
      <c r="I4875" s="19">
        <v>97500</v>
      </c>
      <c r="J4875" s="1"/>
    </row>
    <row r="4876" spans="1:10" x14ac:dyDescent="0.2">
      <c r="A4876" s="1" t="s">
        <v>1</v>
      </c>
      <c r="B4876" s="2" t="s">
        <v>130</v>
      </c>
      <c r="C4876" s="1"/>
      <c r="D4876" s="5" t="s">
        <v>464</v>
      </c>
      <c r="G4876" s="57" t="s">
        <v>465</v>
      </c>
      <c r="H4876" s="19">
        <v>92500</v>
      </c>
      <c r="I4876" s="19" t="s">
        <v>465</v>
      </c>
    </row>
    <row r="4877" spans="1:10" x14ac:dyDescent="0.2">
      <c r="A4877" s="1" t="s">
        <v>1</v>
      </c>
      <c r="B4877" s="2" t="s">
        <v>130</v>
      </c>
      <c r="C4877" s="1"/>
      <c r="D4877" s="5" t="s">
        <v>464</v>
      </c>
      <c r="G4877" s="57" t="s">
        <v>465</v>
      </c>
      <c r="H4877" s="19" t="s">
        <v>465</v>
      </c>
      <c r="I4877" s="19">
        <v>92500</v>
      </c>
    </row>
    <row r="4878" spans="1:10" x14ac:dyDescent="0.2">
      <c r="A4878" s="1" t="s">
        <v>1</v>
      </c>
      <c r="B4878" s="2" t="s">
        <v>130</v>
      </c>
      <c r="C4878" s="1"/>
      <c r="D4878" s="5" t="s">
        <v>464</v>
      </c>
      <c r="G4878" s="57" t="s">
        <v>465</v>
      </c>
      <c r="H4878" s="19" t="s">
        <v>465</v>
      </c>
      <c r="I4878" s="19">
        <v>97500</v>
      </c>
    </row>
    <row r="4879" spans="1:10" x14ac:dyDescent="0.2">
      <c r="A4879" s="1" t="s">
        <v>20</v>
      </c>
      <c r="B4879" s="2" t="s">
        <v>137</v>
      </c>
      <c r="C4879" s="1"/>
      <c r="D4879" s="5" t="s">
        <v>464</v>
      </c>
      <c r="G4879" s="57" t="s">
        <v>465</v>
      </c>
      <c r="H4879" s="19">
        <v>92500</v>
      </c>
      <c r="I4879" s="19" t="s">
        <v>465</v>
      </c>
    </row>
    <row r="4880" spans="1:10" x14ac:dyDescent="0.2">
      <c r="A4880" s="1" t="s">
        <v>20</v>
      </c>
      <c r="B4880" s="2" t="s">
        <v>137</v>
      </c>
      <c r="C4880" s="1"/>
      <c r="D4880" s="5" t="s">
        <v>464</v>
      </c>
      <c r="G4880" s="57" t="s">
        <v>465</v>
      </c>
      <c r="H4880" s="19">
        <v>92500</v>
      </c>
      <c r="J4880" s="5" t="s">
        <v>539</v>
      </c>
    </row>
    <row r="4881" spans="1:10" x14ac:dyDescent="0.2">
      <c r="A4881" s="1" t="s">
        <v>20</v>
      </c>
      <c r="B4881" s="2" t="s">
        <v>137</v>
      </c>
      <c r="C4881" s="1"/>
      <c r="D4881" s="5" t="s">
        <v>464</v>
      </c>
      <c r="G4881" s="57" t="s">
        <v>465</v>
      </c>
      <c r="H4881" s="19" t="s">
        <v>465</v>
      </c>
      <c r="I4881" s="19">
        <v>92500</v>
      </c>
    </row>
    <row r="4882" spans="1:10" x14ac:dyDescent="0.2">
      <c r="A4882" s="1" t="s">
        <v>1</v>
      </c>
      <c r="B4882" s="2" t="s">
        <v>141</v>
      </c>
      <c r="C4882" s="1"/>
      <c r="G4882" s="57" t="s">
        <v>465</v>
      </c>
      <c r="H4882" s="19">
        <v>97500</v>
      </c>
      <c r="I4882" s="19" t="s">
        <v>465</v>
      </c>
    </row>
    <row r="4883" spans="1:10" x14ac:dyDescent="0.2">
      <c r="A4883" s="1" t="s">
        <v>1</v>
      </c>
      <c r="B4883" s="2" t="s">
        <v>141</v>
      </c>
      <c r="C4883" s="1"/>
      <c r="G4883" s="57" t="s">
        <v>465</v>
      </c>
      <c r="H4883" s="19" t="s">
        <v>465</v>
      </c>
      <c r="I4883" s="19">
        <v>97500</v>
      </c>
    </row>
    <row r="4884" spans="1:10" x14ac:dyDescent="0.2">
      <c r="A4884" s="1" t="s">
        <v>28</v>
      </c>
      <c r="B4884" s="2" t="s">
        <v>142</v>
      </c>
      <c r="C4884" s="1"/>
      <c r="D4884" s="5" t="s">
        <v>464</v>
      </c>
      <c r="G4884" s="57" t="s">
        <v>465</v>
      </c>
      <c r="H4884" s="19">
        <v>92500</v>
      </c>
      <c r="I4884" s="19" t="s">
        <v>465</v>
      </c>
    </row>
    <row r="4885" spans="1:10" x14ac:dyDescent="0.2">
      <c r="A4885" s="1" t="s">
        <v>28</v>
      </c>
      <c r="B4885" s="2" t="s">
        <v>142</v>
      </c>
      <c r="C4885" s="1"/>
      <c r="D4885" s="5" t="s">
        <v>464</v>
      </c>
      <c r="G4885" s="57" t="s">
        <v>465</v>
      </c>
      <c r="H4885" s="19">
        <v>92500</v>
      </c>
      <c r="I4885" s="19" t="s">
        <v>465</v>
      </c>
    </row>
    <row r="4886" spans="1:10" x14ac:dyDescent="0.2">
      <c r="A4886" s="1" t="s">
        <v>28</v>
      </c>
      <c r="B4886" s="2" t="s">
        <v>142</v>
      </c>
      <c r="C4886" s="1"/>
      <c r="D4886" s="5" t="s">
        <v>464</v>
      </c>
      <c r="G4886" s="57" t="s">
        <v>465</v>
      </c>
      <c r="H4886" s="19" t="s">
        <v>465</v>
      </c>
      <c r="I4886" s="19">
        <v>92500</v>
      </c>
    </row>
    <row r="4887" spans="1:10" x14ac:dyDescent="0.2">
      <c r="A4887" s="1" t="s">
        <v>28</v>
      </c>
      <c r="B4887" s="2" t="s">
        <v>142</v>
      </c>
      <c r="C4887" s="1"/>
      <c r="D4887" s="5" t="s">
        <v>464</v>
      </c>
      <c r="G4887" s="57" t="s">
        <v>465</v>
      </c>
      <c r="H4887" s="19" t="s">
        <v>465</v>
      </c>
      <c r="I4887" s="19">
        <v>92500</v>
      </c>
    </row>
    <row r="4888" spans="1:10" x14ac:dyDescent="0.2">
      <c r="A4888" s="1" t="s">
        <v>39</v>
      </c>
      <c r="B4888" s="2" t="s">
        <v>143</v>
      </c>
      <c r="C4888" s="1"/>
      <c r="D4888" s="5" t="s">
        <v>464</v>
      </c>
      <c r="G4888" s="57" t="s">
        <v>465</v>
      </c>
      <c r="H4888" s="19" t="s">
        <v>465</v>
      </c>
      <c r="I4888" s="19">
        <v>97042</v>
      </c>
      <c r="J4888" s="5" t="s">
        <v>539</v>
      </c>
    </row>
    <row r="4889" spans="1:10" x14ac:dyDescent="0.2">
      <c r="A4889" s="1" t="s">
        <v>39</v>
      </c>
      <c r="B4889" s="2" t="s">
        <v>143</v>
      </c>
      <c r="C4889" s="1"/>
      <c r="D4889" s="5" t="s">
        <v>464</v>
      </c>
      <c r="G4889" s="57" t="s">
        <v>465</v>
      </c>
      <c r="H4889" s="19" t="s">
        <v>465</v>
      </c>
      <c r="I4889" s="19">
        <v>96982</v>
      </c>
      <c r="J4889" s="5" t="s">
        <v>539</v>
      </c>
    </row>
    <row r="4890" spans="1:10" x14ac:dyDescent="0.2">
      <c r="A4890" s="1" t="s">
        <v>4</v>
      </c>
      <c r="B4890" s="2" t="s">
        <v>144</v>
      </c>
      <c r="C4890" s="1"/>
      <c r="D4890" s="5" t="s">
        <v>464</v>
      </c>
      <c r="G4890" s="57" t="s">
        <v>465</v>
      </c>
      <c r="H4890" s="19">
        <v>92500</v>
      </c>
      <c r="I4890" s="19" t="s">
        <v>465</v>
      </c>
    </row>
    <row r="4891" spans="1:10" x14ac:dyDescent="0.2">
      <c r="A4891" s="1" t="s">
        <v>4</v>
      </c>
      <c r="B4891" s="2" t="s">
        <v>144</v>
      </c>
      <c r="C4891" s="1"/>
      <c r="D4891" s="5" t="s">
        <v>464</v>
      </c>
      <c r="G4891" s="57" t="s">
        <v>465</v>
      </c>
      <c r="H4891" s="19">
        <v>92500</v>
      </c>
      <c r="I4891" s="19" t="s">
        <v>465</v>
      </c>
    </row>
    <row r="4892" spans="1:10" x14ac:dyDescent="0.2">
      <c r="A4892" s="1" t="s">
        <v>4</v>
      </c>
      <c r="B4892" s="2" t="s">
        <v>144</v>
      </c>
      <c r="C4892" s="1"/>
      <c r="D4892" s="5" t="s">
        <v>464</v>
      </c>
      <c r="G4892" s="57" t="s">
        <v>465</v>
      </c>
      <c r="H4892" s="19">
        <v>97500</v>
      </c>
      <c r="I4892" s="19" t="s">
        <v>465</v>
      </c>
    </row>
    <row r="4893" spans="1:10" x14ac:dyDescent="0.2">
      <c r="A4893" s="1" t="s">
        <v>4</v>
      </c>
      <c r="B4893" s="2" t="s">
        <v>144</v>
      </c>
      <c r="C4893" s="1"/>
      <c r="D4893" s="5" t="s">
        <v>464</v>
      </c>
      <c r="G4893" s="57" t="s">
        <v>465</v>
      </c>
      <c r="H4893" s="19">
        <v>97500</v>
      </c>
      <c r="I4893" s="19" t="s">
        <v>465</v>
      </c>
    </row>
    <row r="4894" spans="1:10" x14ac:dyDescent="0.2">
      <c r="A4894" s="1" t="s">
        <v>4</v>
      </c>
      <c r="B4894" s="2" t="s">
        <v>144</v>
      </c>
      <c r="C4894" s="1"/>
      <c r="D4894" s="5" t="s">
        <v>464</v>
      </c>
      <c r="G4894" s="57" t="s">
        <v>465</v>
      </c>
      <c r="H4894" s="19" t="s">
        <v>465</v>
      </c>
      <c r="I4894" s="19">
        <v>92500</v>
      </c>
    </row>
    <row r="4895" spans="1:10" x14ac:dyDescent="0.2">
      <c r="A4895" s="1" t="s">
        <v>4</v>
      </c>
      <c r="B4895" s="2" t="s">
        <v>144</v>
      </c>
      <c r="C4895" s="1"/>
      <c r="D4895" s="5" t="s">
        <v>464</v>
      </c>
      <c r="G4895" s="57" t="s">
        <v>465</v>
      </c>
      <c r="H4895" s="19" t="s">
        <v>465</v>
      </c>
      <c r="I4895" s="19">
        <v>92500</v>
      </c>
    </row>
    <row r="4896" spans="1:10" x14ac:dyDescent="0.2">
      <c r="A4896" s="1" t="s">
        <v>4</v>
      </c>
      <c r="B4896" s="2" t="s">
        <v>144</v>
      </c>
      <c r="C4896" s="1"/>
      <c r="D4896" s="5" t="s">
        <v>464</v>
      </c>
      <c r="G4896" s="57" t="s">
        <v>465</v>
      </c>
      <c r="H4896" s="19" t="s">
        <v>465</v>
      </c>
      <c r="I4896" s="19">
        <v>92500</v>
      </c>
    </row>
    <row r="4897" spans="1:10" x14ac:dyDescent="0.2">
      <c r="A4897" s="1" t="s">
        <v>4</v>
      </c>
      <c r="B4897" s="2" t="s">
        <v>144</v>
      </c>
      <c r="C4897" s="1"/>
      <c r="D4897" s="5" t="s">
        <v>464</v>
      </c>
      <c r="G4897" s="57" t="s">
        <v>465</v>
      </c>
      <c r="H4897" s="19" t="s">
        <v>465</v>
      </c>
      <c r="I4897" s="19">
        <v>92500</v>
      </c>
      <c r="J4897" s="1"/>
    </row>
    <row r="4898" spans="1:10" x14ac:dyDescent="0.2">
      <c r="A4898" s="1" t="s">
        <v>4</v>
      </c>
      <c r="B4898" s="2" t="s">
        <v>144</v>
      </c>
      <c r="C4898" s="1"/>
      <c r="D4898" s="5" t="s">
        <v>464</v>
      </c>
      <c r="G4898" s="57" t="s">
        <v>465</v>
      </c>
      <c r="H4898" s="19" t="s">
        <v>465</v>
      </c>
      <c r="I4898" s="19">
        <v>92500</v>
      </c>
      <c r="J4898" s="1"/>
    </row>
    <row r="4899" spans="1:10" x14ac:dyDescent="0.2">
      <c r="A4899" s="1" t="s">
        <v>4</v>
      </c>
      <c r="B4899" s="2" t="s">
        <v>144</v>
      </c>
      <c r="C4899" s="1"/>
      <c r="D4899" s="5" t="s">
        <v>464</v>
      </c>
      <c r="G4899" s="57" t="s">
        <v>465</v>
      </c>
      <c r="H4899" s="19" t="s">
        <v>465</v>
      </c>
      <c r="I4899" s="19">
        <v>92500</v>
      </c>
      <c r="J4899" s="1"/>
    </row>
    <row r="4900" spans="1:10" x14ac:dyDescent="0.2">
      <c r="A4900" s="1" t="s">
        <v>4</v>
      </c>
      <c r="B4900" s="2" t="s">
        <v>144</v>
      </c>
      <c r="C4900" s="1"/>
      <c r="D4900" s="5" t="s">
        <v>464</v>
      </c>
      <c r="G4900" s="57" t="s">
        <v>465</v>
      </c>
      <c r="H4900" s="19" t="s">
        <v>465</v>
      </c>
      <c r="I4900" s="19">
        <v>97500</v>
      </c>
      <c r="J4900" s="1"/>
    </row>
    <row r="4901" spans="1:10" x14ac:dyDescent="0.2">
      <c r="A4901" s="1" t="s">
        <v>4</v>
      </c>
      <c r="B4901" s="2" t="s">
        <v>144</v>
      </c>
      <c r="C4901" s="1"/>
      <c r="D4901" s="5" t="s">
        <v>464</v>
      </c>
      <c r="G4901" s="57" t="s">
        <v>465</v>
      </c>
      <c r="H4901" s="19" t="s">
        <v>465</v>
      </c>
      <c r="I4901" s="19">
        <v>97500</v>
      </c>
      <c r="J4901" s="1"/>
    </row>
    <row r="4902" spans="1:10" x14ac:dyDescent="0.2">
      <c r="A4902" s="1" t="s">
        <v>4</v>
      </c>
      <c r="B4902" s="2" t="s">
        <v>145</v>
      </c>
      <c r="C4902" s="1"/>
      <c r="D4902" s="5" t="s">
        <v>464</v>
      </c>
      <c r="G4902" s="57" t="s">
        <v>465</v>
      </c>
      <c r="H4902" s="19">
        <v>92500</v>
      </c>
      <c r="I4902" s="19" t="s">
        <v>465</v>
      </c>
    </row>
    <row r="4903" spans="1:10" x14ac:dyDescent="0.2">
      <c r="A4903" s="1" t="s">
        <v>4</v>
      </c>
      <c r="B4903" s="2" t="s">
        <v>145</v>
      </c>
      <c r="C4903" s="1"/>
      <c r="D4903" s="5" t="s">
        <v>464</v>
      </c>
      <c r="G4903" s="57" t="s">
        <v>465</v>
      </c>
      <c r="H4903" s="19">
        <v>97500</v>
      </c>
      <c r="I4903" s="19" t="s">
        <v>465</v>
      </c>
      <c r="J4903" s="5" t="s">
        <v>539</v>
      </c>
    </row>
    <row r="4904" spans="1:10" x14ac:dyDescent="0.2">
      <c r="A4904" s="1" t="s">
        <v>1</v>
      </c>
      <c r="B4904" s="2" t="s">
        <v>148</v>
      </c>
      <c r="C4904" s="1"/>
      <c r="D4904" s="5" t="s">
        <v>464</v>
      </c>
      <c r="G4904" s="57" t="s">
        <v>465</v>
      </c>
      <c r="H4904" s="19" t="s">
        <v>465</v>
      </c>
      <c r="I4904" s="19">
        <v>92500</v>
      </c>
    </row>
    <row r="4905" spans="1:10" x14ac:dyDescent="0.2">
      <c r="A4905" s="1" t="s">
        <v>25</v>
      </c>
      <c r="B4905" s="2" t="s">
        <v>150</v>
      </c>
      <c r="C4905" s="1"/>
      <c r="D4905" s="5" t="s">
        <v>464</v>
      </c>
      <c r="G4905" s="57" t="s">
        <v>465</v>
      </c>
      <c r="H4905" s="19">
        <v>92500</v>
      </c>
      <c r="I4905" s="19" t="s">
        <v>465</v>
      </c>
    </row>
    <row r="4906" spans="1:10" x14ac:dyDescent="0.2">
      <c r="A4906" s="1" t="s">
        <v>25</v>
      </c>
      <c r="B4906" s="2" t="s">
        <v>150</v>
      </c>
      <c r="C4906" s="1"/>
      <c r="D4906" s="5" t="s">
        <v>464</v>
      </c>
      <c r="G4906" s="57" t="s">
        <v>465</v>
      </c>
      <c r="H4906" s="19">
        <v>92500</v>
      </c>
      <c r="I4906" s="19" t="s">
        <v>465</v>
      </c>
    </row>
    <row r="4907" spans="1:10" x14ac:dyDescent="0.2">
      <c r="A4907" s="1" t="s">
        <v>25</v>
      </c>
      <c r="B4907" s="2" t="s">
        <v>150</v>
      </c>
      <c r="C4907" s="1"/>
      <c r="D4907" s="5" t="s">
        <v>464</v>
      </c>
      <c r="G4907" s="57" t="s">
        <v>465</v>
      </c>
      <c r="H4907" s="19">
        <v>92500</v>
      </c>
      <c r="I4907" s="19" t="s">
        <v>465</v>
      </c>
    </row>
    <row r="4908" spans="1:10" x14ac:dyDescent="0.2">
      <c r="A4908" s="1" t="s">
        <v>25</v>
      </c>
      <c r="B4908" s="2" t="s">
        <v>150</v>
      </c>
      <c r="C4908" s="1"/>
      <c r="D4908" s="5" t="s">
        <v>464</v>
      </c>
      <c r="G4908" s="57" t="s">
        <v>465</v>
      </c>
      <c r="H4908" s="19">
        <v>92500</v>
      </c>
      <c r="I4908" s="19" t="s">
        <v>465</v>
      </c>
      <c r="J4908" s="5" t="s">
        <v>539</v>
      </c>
    </row>
    <row r="4909" spans="1:10" x14ac:dyDescent="0.2">
      <c r="A4909" s="1" t="s">
        <v>25</v>
      </c>
      <c r="B4909" s="2" t="s">
        <v>150</v>
      </c>
      <c r="C4909" s="1"/>
      <c r="D4909" s="5" t="s">
        <v>464</v>
      </c>
      <c r="G4909" s="57" t="s">
        <v>465</v>
      </c>
      <c r="H4909" s="19">
        <v>92500</v>
      </c>
      <c r="I4909" s="19" t="s">
        <v>465</v>
      </c>
      <c r="J4909" s="5" t="s">
        <v>539</v>
      </c>
    </row>
    <row r="4910" spans="1:10" x14ac:dyDescent="0.2">
      <c r="A4910" s="1" t="s">
        <v>25</v>
      </c>
      <c r="B4910" s="2" t="s">
        <v>150</v>
      </c>
      <c r="C4910" s="1"/>
      <c r="D4910" s="5" t="s">
        <v>464</v>
      </c>
      <c r="G4910" s="57" t="s">
        <v>465</v>
      </c>
      <c r="H4910" s="19">
        <v>92500</v>
      </c>
      <c r="I4910" s="19" t="s">
        <v>465</v>
      </c>
      <c r="J4910" s="5" t="s">
        <v>539</v>
      </c>
    </row>
    <row r="4911" spans="1:10" x14ac:dyDescent="0.2">
      <c r="A4911" s="1" t="s">
        <v>25</v>
      </c>
      <c r="B4911" s="2" t="s">
        <v>150</v>
      </c>
      <c r="C4911" s="1"/>
      <c r="D4911" s="5" t="s">
        <v>464</v>
      </c>
      <c r="G4911" s="57" t="s">
        <v>465</v>
      </c>
      <c r="H4911" s="19">
        <v>97500</v>
      </c>
      <c r="I4911" s="19" t="s">
        <v>465</v>
      </c>
    </row>
    <row r="4912" spans="1:10" x14ac:dyDescent="0.2">
      <c r="A4912" s="1" t="s">
        <v>25</v>
      </c>
      <c r="B4912" s="2" t="s">
        <v>150</v>
      </c>
      <c r="C4912" s="1"/>
      <c r="D4912" s="5" t="s">
        <v>464</v>
      </c>
      <c r="G4912" s="57" t="s">
        <v>465</v>
      </c>
      <c r="H4912" s="19">
        <v>97500</v>
      </c>
      <c r="I4912" s="19" t="s">
        <v>465</v>
      </c>
    </row>
    <row r="4913" spans="1:10" x14ac:dyDescent="0.2">
      <c r="A4913" s="1" t="s">
        <v>25</v>
      </c>
      <c r="B4913" s="2" t="s">
        <v>150</v>
      </c>
      <c r="C4913" s="1"/>
      <c r="D4913" s="5" t="s">
        <v>464</v>
      </c>
      <c r="G4913" s="57" t="s">
        <v>465</v>
      </c>
      <c r="H4913" s="19">
        <v>97500</v>
      </c>
      <c r="I4913" s="19" t="s">
        <v>465</v>
      </c>
    </row>
    <row r="4914" spans="1:10" x14ac:dyDescent="0.2">
      <c r="A4914" s="1" t="s">
        <v>25</v>
      </c>
      <c r="B4914" s="2" t="s">
        <v>150</v>
      </c>
      <c r="C4914" s="1"/>
      <c r="D4914" s="5" t="s">
        <v>464</v>
      </c>
      <c r="G4914" s="57" t="s">
        <v>465</v>
      </c>
      <c r="H4914" s="19">
        <v>97500</v>
      </c>
      <c r="I4914" s="19" t="s">
        <v>465</v>
      </c>
    </row>
    <row r="4915" spans="1:10" x14ac:dyDescent="0.2">
      <c r="A4915" s="1" t="s">
        <v>25</v>
      </c>
      <c r="B4915" s="2" t="s">
        <v>150</v>
      </c>
      <c r="C4915" s="1"/>
      <c r="D4915" s="5" t="s">
        <v>464</v>
      </c>
      <c r="G4915" s="57" t="s">
        <v>465</v>
      </c>
      <c r="H4915" s="19">
        <v>97500</v>
      </c>
      <c r="I4915" s="19" t="s">
        <v>465</v>
      </c>
      <c r="J4915" s="5" t="s">
        <v>539</v>
      </c>
    </row>
    <row r="4916" spans="1:10" x14ac:dyDescent="0.2">
      <c r="A4916" s="1" t="s">
        <v>25</v>
      </c>
      <c r="B4916" s="2" t="s">
        <v>150</v>
      </c>
      <c r="C4916" s="1"/>
      <c r="D4916" s="5" t="s">
        <v>464</v>
      </c>
      <c r="G4916" s="57" t="s">
        <v>465</v>
      </c>
      <c r="H4916" s="19" t="s">
        <v>465</v>
      </c>
      <c r="I4916" s="19">
        <v>92500</v>
      </c>
    </row>
    <row r="4917" spans="1:10" x14ac:dyDescent="0.2">
      <c r="A4917" s="1" t="s">
        <v>25</v>
      </c>
      <c r="B4917" s="2" t="s">
        <v>150</v>
      </c>
      <c r="C4917" s="1"/>
      <c r="D4917" s="5" t="s">
        <v>464</v>
      </c>
      <c r="G4917" s="57" t="s">
        <v>465</v>
      </c>
      <c r="H4917" s="19" t="s">
        <v>465</v>
      </c>
      <c r="I4917" s="19">
        <v>92500</v>
      </c>
    </row>
    <row r="4918" spans="1:10" x14ac:dyDescent="0.2">
      <c r="A4918" s="1" t="s">
        <v>25</v>
      </c>
      <c r="B4918" s="2" t="s">
        <v>150</v>
      </c>
      <c r="C4918" s="1"/>
      <c r="D4918" s="5" t="s">
        <v>464</v>
      </c>
      <c r="G4918" s="57" t="s">
        <v>465</v>
      </c>
      <c r="H4918" s="19" t="s">
        <v>465</v>
      </c>
      <c r="I4918" s="19">
        <v>92500</v>
      </c>
      <c r="J4918" s="5" t="s">
        <v>539</v>
      </c>
    </row>
    <row r="4919" spans="1:10" x14ac:dyDescent="0.2">
      <c r="A4919" s="1" t="s">
        <v>25</v>
      </c>
      <c r="B4919" s="2" t="s">
        <v>150</v>
      </c>
      <c r="C4919" s="1"/>
      <c r="D4919" s="5" t="s">
        <v>464</v>
      </c>
      <c r="G4919" s="57" t="s">
        <v>465</v>
      </c>
      <c r="H4919" s="19" t="s">
        <v>465</v>
      </c>
      <c r="I4919" s="19">
        <v>97500</v>
      </c>
    </row>
    <row r="4920" spans="1:10" x14ac:dyDescent="0.2">
      <c r="A4920" s="1" t="s">
        <v>25</v>
      </c>
      <c r="B4920" s="2" t="s">
        <v>150</v>
      </c>
      <c r="C4920" s="1"/>
      <c r="D4920" s="5" t="s">
        <v>464</v>
      </c>
      <c r="G4920" s="57" t="s">
        <v>465</v>
      </c>
      <c r="H4920" s="19" t="s">
        <v>465</v>
      </c>
      <c r="I4920" s="19">
        <v>97500</v>
      </c>
    </row>
    <row r="4921" spans="1:10" x14ac:dyDescent="0.2">
      <c r="A4921" s="1" t="s">
        <v>25</v>
      </c>
      <c r="B4921" s="2" t="s">
        <v>150</v>
      </c>
      <c r="C4921" s="1"/>
      <c r="D4921" s="5" t="s">
        <v>464</v>
      </c>
      <c r="G4921" s="57" t="s">
        <v>465</v>
      </c>
      <c r="H4921" s="19" t="s">
        <v>465</v>
      </c>
      <c r="I4921" s="19">
        <v>97500</v>
      </c>
    </row>
    <row r="4922" spans="1:10" x14ac:dyDescent="0.2">
      <c r="A4922" s="1" t="s">
        <v>25</v>
      </c>
      <c r="B4922" s="2" t="s">
        <v>150</v>
      </c>
      <c r="C4922" s="1"/>
      <c r="D4922" s="5" t="s">
        <v>464</v>
      </c>
      <c r="G4922" s="57" t="s">
        <v>465</v>
      </c>
      <c r="H4922" s="19" t="s">
        <v>465</v>
      </c>
      <c r="I4922" s="19">
        <v>97500</v>
      </c>
    </row>
    <row r="4923" spans="1:10" x14ac:dyDescent="0.2">
      <c r="A4923" s="1" t="s">
        <v>25</v>
      </c>
      <c r="B4923" s="2" t="s">
        <v>150</v>
      </c>
      <c r="C4923" s="1"/>
      <c r="D4923" s="5" t="s">
        <v>464</v>
      </c>
      <c r="G4923" s="57" t="s">
        <v>465</v>
      </c>
      <c r="H4923" s="19" t="s">
        <v>465</v>
      </c>
      <c r="I4923" s="19">
        <v>97500</v>
      </c>
    </row>
    <row r="4924" spans="1:10" x14ac:dyDescent="0.2">
      <c r="A4924" s="1" t="s">
        <v>25</v>
      </c>
      <c r="B4924" s="2" t="s">
        <v>150</v>
      </c>
      <c r="C4924" s="1"/>
      <c r="D4924" s="5" t="s">
        <v>464</v>
      </c>
      <c r="G4924" s="57" t="s">
        <v>465</v>
      </c>
      <c r="H4924" s="19" t="s">
        <v>465</v>
      </c>
      <c r="I4924" s="19">
        <v>97500</v>
      </c>
    </row>
    <row r="4925" spans="1:10" x14ac:dyDescent="0.2">
      <c r="A4925" s="1" t="s">
        <v>4</v>
      </c>
      <c r="B4925" s="2" t="s">
        <v>152</v>
      </c>
      <c r="C4925" s="1"/>
      <c r="D4925" s="5" t="s">
        <v>464</v>
      </c>
      <c r="G4925" s="57" t="s">
        <v>465</v>
      </c>
      <c r="H4925" s="19">
        <v>92500</v>
      </c>
      <c r="I4925" s="19" t="s">
        <v>465</v>
      </c>
    </row>
    <row r="4926" spans="1:10" x14ac:dyDescent="0.2">
      <c r="A4926" s="1" t="s">
        <v>4</v>
      </c>
      <c r="B4926" s="2" t="s">
        <v>152</v>
      </c>
      <c r="C4926" s="1"/>
      <c r="D4926" s="5" t="s">
        <v>464</v>
      </c>
      <c r="G4926" s="57" t="s">
        <v>465</v>
      </c>
      <c r="H4926" s="19">
        <v>92500</v>
      </c>
      <c r="I4926" s="19" t="s">
        <v>465</v>
      </c>
    </row>
    <row r="4927" spans="1:10" x14ac:dyDescent="0.2">
      <c r="A4927" s="1" t="s">
        <v>4</v>
      </c>
      <c r="B4927" s="2" t="s">
        <v>152</v>
      </c>
      <c r="C4927" s="1"/>
      <c r="D4927" s="5" t="s">
        <v>464</v>
      </c>
      <c r="G4927" s="57" t="s">
        <v>465</v>
      </c>
      <c r="H4927" s="19">
        <v>97500</v>
      </c>
      <c r="I4927" s="19" t="s">
        <v>465</v>
      </c>
    </row>
    <row r="4928" spans="1:10" x14ac:dyDescent="0.2">
      <c r="A4928" s="1" t="s">
        <v>4</v>
      </c>
      <c r="B4928" s="2" t="s">
        <v>152</v>
      </c>
      <c r="C4928" s="1"/>
      <c r="D4928" s="5" t="s">
        <v>464</v>
      </c>
      <c r="G4928" s="57" t="s">
        <v>465</v>
      </c>
      <c r="H4928" s="19" t="s">
        <v>465</v>
      </c>
      <c r="I4928" s="19">
        <v>92500</v>
      </c>
    </row>
    <row r="4929" spans="1:10" x14ac:dyDescent="0.2">
      <c r="A4929" s="1" t="s">
        <v>4</v>
      </c>
      <c r="B4929" s="2" t="s">
        <v>152</v>
      </c>
      <c r="C4929" s="1"/>
      <c r="D4929" s="5" t="s">
        <v>464</v>
      </c>
      <c r="G4929" s="57" t="s">
        <v>465</v>
      </c>
      <c r="H4929" s="19" t="s">
        <v>465</v>
      </c>
      <c r="I4929" s="19">
        <v>92500</v>
      </c>
    </row>
    <row r="4930" spans="1:10" x14ac:dyDescent="0.2">
      <c r="A4930" s="1" t="s">
        <v>4</v>
      </c>
      <c r="B4930" s="2" t="s">
        <v>152</v>
      </c>
      <c r="C4930" s="1"/>
      <c r="D4930" s="5" t="s">
        <v>464</v>
      </c>
      <c r="G4930" s="57" t="s">
        <v>465</v>
      </c>
      <c r="I4930" s="19">
        <v>97500</v>
      </c>
    </row>
    <row r="4931" spans="1:10" ht="25.5" x14ac:dyDescent="0.2">
      <c r="A4931" s="1" t="s">
        <v>20</v>
      </c>
      <c r="B4931" s="2" t="s">
        <v>154</v>
      </c>
      <c r="C4931" s="1"/>
      <c r="D4931" s="5" t="s">
        <v>4015</v>
      </c>
      <c r="E4931" s="3">
        <v>175391</v>
      </c>
      <c r="G4931" s="57">
        <v>-1</v>
      </c>
      <c r="J4931" s="5" t="s">
        <v>4016</v>
      </c>
    </row>
    <row r="4932" spans="1:10" x14ac:dyDescent="0.2">
      <c r="A4932" s="1" t="s">
        <v>20</v>
      </c>
      <c r="B4932" s="2" t="s">
        <v>154</v>
      </c>
      <c r="C4932" s="1"/>
      <c r="D4932" s="5" t="s">
        <v>464</v>
      </c>
      <c r="G4932" s="57" t="s">
        <v>465</v>
      </c>
      <c r="H4932" s="19">
        <v>92500</v>
      </c>
      <c r="I4932" s="19" t="s">
        <v>465</v>
      </c>
    </row>
    <row r="4933" spans="1:10" x14ac:dyDescent="0.2">
      <c r="A4933" s="1" t="s">
        <v>20</v>
      </c>
      <c r="B4933" s="2" t="s">
        <v>154</v>
      </c>
      <c r="C4933" s="1"/>
      <c r="D4933" s="5" t="s">
        <v>464</v>
      </c>
      <c r="G4933" s="57" t="s">
        <v>465</v>
      </c>
      <c r="H4933" s="19">
        <v>92500</v>
      </c>
      <c r="I4933" s="19" t="s">
        <v>465</v>
      </c>
    </row>
    <row r="4934" spans="1:10" x14ac:dyDescent="0.2">
      <c r="A4934" s="1" t="s">
        <v>20</v>
      </c>
      <c r="B4934" s="2" t="s">
        <v>154</v>
      </c>
      <c r="C4934" s="1"/>
      <c r="D4934" s="5" t="s">
        <v>464</v>
      </c>
      <c r="G4934" s="57" t="s">
        <v>465</v>
      </c>
      <c r="H4934" s="19">
        <v>92500</v>
      </c>
      <c r="I4934" s="19" t="s">
        <v>465</v>
      </c>
      <c r="J4934" s="1"/>
    </row>
    <row r="4935" spans="1:10" x14ac:dyDescent="0.2">
      <c r="A4935" s="1" t="s">
        <v>20</v>
      </c>
      <c r="B4935" s="2" t="s">
        <v>154</v>
      </c>
      <c r="C4935" s="1"/>
      <c r="D4935" s="5" t="s">
        <v>464</v>
      </c>
      <c r="G4935" s="57" t="s">
        <v>465</v>
      </c>
      <c r="H4935" s="19">
        <v>92500</v>
      </c>
      <c r="I4935" s="19" t="s">
        <v>465</v>
      </c>
      <c r="J4935" s="1"/>
    </row>
    <row r="4936" spans="1:10" x14ac:dyDescent="0.2">
      <c r="A4936" s="1" t="s">
        <v>20</v>
      </c>
      <c r="B4936" s="2" t="s">
        <v>154</v>
      </c>
      <c r="C4936" s="1"/>
      <c r="D4936" s="5" t="s">
        <v>464</v>
      </c>
      <c r="G4936" s="57" t="s">
        <v>465</v>
      </c>
      <c r="H4936" s="19">
        <v>92500</v>
      </c>
      <c r="I4936" s="19" t="s">
        <v>465</v>
      </c>
      <c r="J4936" s="1"/>
    </row>
    <row r="4937" spans="1:10" x14ac:dyDescent="0.2">
      <c r="A4937" s="1" t="s">
        <v>20</v>
      </c>
      <c r="B4937" s="2" t="s">
        <v>154</v>
      </c>
      <c r="C4937" s="1"/>
      <c r="D4937" s="5" t="s">
        <v>464</v>
      </c>
      <c r="G4937" s="57" t="s">
        <v>465</v>
      </c>
      <c r="H4937" s="19">
        <v>92500</v>
      </c>
      <c r="I4937" s="19" t="s">
        <v>465</v>
      </c>
      <c r="J4937" s="1"/>
    </row>
    <row r="4938" spans="1:10" x14ac:dyDescent="0.2">
      <c r="A4938" s="1" t="s">
        <v>20</v>
      </c>
      <c r="B4938" s="2" t="s">
        <v>154</v>
      </c>
      <c r="C4938" s="1"/>
      <c r="D4938" s="5" t="s">
        <v>464</v>
      </c>
      <c r="G4938" s="57" t="s">
        <v>465</v>
      </c>
      <c r="H4938" s="19">
        <v>92500</v>
      </c>
      <c r="I4938" s="19" t="s">
        <v>465</v>
      </c>
      <c r="J4938" s="1"/>
    </row>
    <row r="4939" spans="1:10" x14ac:dyDescent="0.2">
      <c r="A4939" s="1" t="s">
        <v>20</v>
      </c>
      <c r="B4939" s="2" t="s">
        <v>154</v>
      </c>
      <c r="C4939" s="1"/>
      <c r="D4939" s="5" t="s">
        <v>464</v>
      </c>
      <c r="G4939" s="57" t="s">
        <v>465</v>
      </c>
      <c r="H4939" s="19">
        <v>92500</v>
      </c>
      <c r="I4939" s="19" t="s">
        <v>465</v>
      </c>
      <c r="J4939" s="1"/>
    </row>
    <row r="4940" spans="1:10" x14ac:dyDescent="0.2">
      <c r="A4940" s="1" t="s">
        <v>20</v>
      </c>
      <c r="B4940" s="2" t="s">
        <v>154</v>
      </c>
      <c r="C4940" s="1"/>
      <c r="D4940" s="5" t="s">
        <v>464</v>
      </c>
      <c r="G4940" s="57" t="s">
        <v>465</v>
      </c>
      <c r="H4940" s="19">
        <v>92500</v>
      </c>
      <c r="I4940" s="19" t="s">
        <v>465</v>
      </c>
      <c r="J4940" s="1"/>
    </row>
    <row r="4941" spans="1:10" x14ac:dyDescent="0.2">
      <c r="A4941" s="1" t="s">
        <v>20</v>
      </c>
      <c r="B4941" s="2" t="s">
        <v>154</v>
      </c>
      <c r="C4941" s="1"/>
      <c r="D4941" s="5" t="s">
        <v>464</v>
      </c>
      <c r="G4941" s="57" t="s">
        <v>465</v>
      </c>
      <c r="H4941" s="19">
        <v>92500</v>
      </c>
      <c r="I4941" s="19" t="s">
        <v>465</v>
      </c>
      <c r="J4941" s="1"/>
    </row>
    <row r="4942" spans="1:10" x14ac:dyDescent="0.2">
      <c r="A4942" s="1" t="s">
        <v>20</v>
      </c>
      <c r="B4942" s="2" t="s">
        <v>154</v>
      </c>
      <c r="C4942" s="1"/>
      <c r="D4942" s="5" t="s">
        <v>464</v>
      </c>
      <c r="G4942" s="57" t="s">
        <v>465</v>
      </c>
      <c r="H4942" s="19">
        <v>92500</v>
      </c>
      <c r="I4942" s="19" t="s">
        <v>465</v>
      </c>
      <c r="J4942" s="1"/>
    </row>
    <row r="4943" spans="1:10" x14ac:dyDescent="0.2">
      <c r="A4943" s="1" t="s">
        <v>20</v>
      </c>
      <c r="B4943" s="2" t="s">
        <v>154</v>
      </c>
      <c r="C4943" s="1"/>
      <c r="D4943" s="5" t="s">
        <v>464</v>
      </c>
      <c r="G4943" s="57" t="s">
        <v>465</v>
      </c>
      <c r="H4943" s="19">
        <v>92500</v>
      </c>
      <c r="I4943" s="19" t="s">
        <v>465</v>
      </c>
      <c r="J4943" s="1"/>
    </row>
    <row r="4944" spans="1:10" x14ac:dyDescent="0.2">
      <c r="A4944" s="1" t="s">
        <v>20</v>
      </c>
      <c r="B4944" s="2" t="s">
        <v>154</v>
      </c>
      <c r="C4944" s="1"/>
      <c r="D4944" s="5" t="s">
        <v>464</v>
      </c>
      <c r="G4944" s="57" t="s">
        <v>465</v>
      </c>
      <c r="H4944" s="19">
        <v>97500</v>
      </c>
      <c r="I4944" s="19" t="s">
        <v>465</v>
      </c>
      <c r="J4944" s="1"/>
    </row>
    <row r="4945" spans="1:10" x14ac:dyDescent="0.2">
      <c r="A4945" s="1" t="s">
        <v>20</v>
      </c>
      <c r="B4945" s="2" t="s">
        <v>154</v>
      </c>
      <c r="C4945" s="1"/>
      <c r="D4945" s="5" t="s">
        <v>464</v>
      </c>
      <c r="G4945" s="57" t="s">
        <v>465</v>
      </c>
      <c r="H4945" s="19">
        <v>97500</v>
      </c>
      <c r="I4945" s="19" t="s">
        <v>465</v>
      </c>
      <c r="J4945" s="1"/>
    </row>
    <row r="4946" spans="1:10" x14ac:dyDescent="0.2">
      <c r="A4946" s="1" t="s">
        <v>20</v>
      </c>
      <c r="B4946" s="2" t="s">
        <v>154</v>
      </c>
      <c r="C4946" s="1"/>
      <c r="D4946" s="5" t="s">
        <v>464</v>
      </c>
      <c r="G4946" s="57" t="s">
        <v>465</v>
      </c>
      <c r="H4946" s="19">
        <v>97500</v>
      </c>
      <c r="I4946" s="19" t="s">
        <v>465</v>
      </c>
      <c r="J4946" s="1"/>
    </row>
    <row r="4947" spans="1:10" x14ac:dyDescent="0.2">
      <c r="A4947" s="1" t="s">
        <v>20</v>
      </c>
      <c r="B4947" s="2" t="s">
        <v>154</v>
      </c>
      <c r="C4947" s="1"/>
      <c r="D4947" s="5" t="s">
        <v>464</v>
      </c>
      <c r="G4947" s="57" t="s">
        <v>465</v>
      </c>
      <c r="H4947" s="19">
        <v>97500</v>
      </c>
      <c r="I4947" s="19" t="s">
        <v>465</v>
      </c>
      <c r="J4947" s="1"/>
    </row>
    <row r="4948" spans="1:10" x14ac:dyDescent="0.2">
      <c r="A4948" s="1" t="s">
        <v>20</v>
      </c>
      <c r="B4948" s="2" t="s">
        <v>154</v>
      </c>
      <c r="C4948" s="1"/>
      <c r="D4948" s="5" t="s">
        <v>464</v>
      </c>
      <c r="G4948" s="57" t="s">
        <v>465</v>
      </c>
      <c r="H4948" s="19">
        <v>97500</v>
      </c>
      <c r="I4948" s="19" t="s">
        <v>465</v>
      </c>
      <c r="J4948" s="1"/>
    </row>
    <row r="4949" spans="1:10" x14ac:dyDescent="0.2">
      <c r="A4949" s="1" t="s">
        <v>20</v>
      </c>
      <c r="B4949" s="2" t="s">
        <v>154</v>
      </c>
      <c r="C4949" s="1"/>
      <c r="D4949" s="5" t="s">
        <v>464</v>
      </c>
      <c r="G4949" s="57" t="s">
        <v>465</v>
      </c>
      <c r="H4949" s="19">
        <v>97500</v>
      </c>
      <c r="I4949" s="19" t="s">
        <v>465</v>
      </c>
      <c r="J4949" s="1"/>
    </row>
    <row r="4950" spans="1:10" x14ac:dyDescent="0.2">
      <c r="A4950" s="1" t="s">
        <v>20</v>
      </c>
      <c r="B4950" s="2" t="s">
        <v>154</v>
      </c>
      <c r="C4950" s="1"/>
      <c r="D4950" s="5" t="s">
        <v>464</v>
      </c>
      <c r="G4950" s="57" t="s">
        <v>465</v>
      </c>
      <c r="H4950" s="19" t="s">
        <v>465</v>
      </c>
      <c r="I4950" s="19">
        <v>92500</v>
      </c>
      <c r="J4950" s="1"/>
    </row>
    <row r="4951" spans="1:10" x14ac:dyDescent="0.2">
      <c r="A4951" s="1" t="s">
        <v>20</v>
      </c>
      <c r="B4951" s="2" t="s">
        <v>154</v>
      </c>
      <c r="C4951" s="1"/>
      <c r="D4951" s="5" t="s">
        <v>464</v>
      </c>
      <c r="G4951" s="57" t="s">
        <v>465</v>
      </c>
      <c r="H4951" s="19" t="s">
        <v>465</v>
      </c>
      <c r="I4951" s="19">
        <v>92500</v>
      </c>
      <c r="J4951" s="1"/>
    </row>
    <row r="4952" spans="1:10" x14ac:dyDescent="0.2">
      <c r="A4952" s="1" t="s">
        <v>20</v>
      </c>
      <c r="B4952" s="2" t="s">
        <v>154</v>
      </c>
      <c r="C4952" s="1"/>
      <c r="D4952" s="5" t="s">
        <v>464</v>
      </c>
      <c r="G4952" s="57" t="s">
        <v>465</v>
      </c>
      <c r="H4952" s="19" t="s">
        <v>465</v>
      </c>
      <c r="I4952" s="19">
        <v>92500</v>
      </c>
      <c r="J4952" s="1"/>
    </row>
    <row r="4953" spans="1:10" x14ac:dyDescent="0.2">
      <c r="A4953" s="1" t="s">
        <v>20</v>
      </c>
      <c r="B4953" s="2" t="s">
        <v>154</v>
      </c>
      <c r="C4953" s="1"/>
      <c r="D4953" s="5" t="s">
        <v>464</v>
      </c>
      <c r="G4953" s="57" t="s">
        <v>465</v>
      </c>
      <c r="H4953" s="19" t="s">
        <v>465</v>
      </c>
      <c r="I4953" s="19">
        <v>92500</v>
      </c>
      <c r="J4953" s="1"/>
    </row>
    <row r="4954" spans="1:10" x14ac:dyDescent="0.2">
      <c r="A4954" s="1" t="s">
        <v>20</v>
      </c>
      <c r="B4954" s="2" t="s">
        <v>154</v>
      </c>
      <c r="C4954" s="1"/>
      <c r="D4954" s="5" t="s">
        <v>464</v>
      </c>
      <c r="G4954" s="57" t="s">
        <v>465</v>
      </c>
      <c r="H4954" s="19" t="s">
        <v>465</v>
      </c>
      <c r="I4954" s="19">
        <v>92500</v>
      </c>
      <c r="J4954" s="1"/>
    </row>
    <row r="4955" spans="1:10" x14ac:dyDescent="0.2">
      <c r="A4955" s="1" t="s">
        <v>20</v>
      </c>
      <c r="B4955" s="2" t="s">
        <v>154</v>
      </c>
      <c r="C4955" s="1"/>
      <c r="D4955" s="5" t="s">
        <v>464</v>
      </c>
      <c r="G4955" s="57" t="s">
        <v>465</v>
      </c>
      <c r="H4955" s="19" t="s">
        <v>465</v>
      </c>
      <c r="I4955" s="19">
        <v>92500</v>
      </c>
      <c r="J4955" s="1"/>
    </row>
    <row r="4956" spans="1:10" x14ac:dyDescent="0.2">
      <c r="A4956" s="1" t="s">
        <v>20</v>
      </c>
      <c r="B4956" s="2" t="s">
        <v>154</v>
      </c>
      <c r="C4956" s="1"/>
      <c r="D4956" s="5" t="s">
        <v>464</v>
      </c>
      <c r="G4956" s="57" t="s">
        <v>465</v>
      </c>
      <c r="H4956" s="19" t="s">
        <v>465</v>
      </c>
      <c r="I4956" s="19">
        <v>92500</v>
      </c>
      <c r="J4956" s="1"/>
    </row>
    <row r="4957" spans="1:10" x14ac:dyDescent="0.2">
      <c r="A4957" s="1" t="s">
        <v>20</v>
      </c>
      <c r="B4957" s="2" t="s">
        <v>154</v>
      </c>
      <c r="C4957" s="1"/>
      <c r="D4957" s="5" t="s">
        <v>464</v>
      </c>
      <c r="G4957" s="57" t="s">
        <v>465</v>
      </c>
      <c r="H4957" s="19" t="s">
        <v>465</v>
      </c>
      <c r="I4957" s="19">
        <v>92500</v>
      </c>
      <c r="J4957" s="1"/>
    </row>
    <row r="4958" spans="1:10" x14ac:dyDescent="0.2">
      <c r="A4958" s="1" t="s">
        <v>20</v>
      </c>
      <c r="B4958" s="2" t="s">
        <v>154</v>
      </c>
      <c r="C4958" s="1"/>
      <c r="D4958" s="5" t="s">
        <v>464</v>
      </c>
      <c r="G4958" s="57" t="s">
        <v>465</v>
      </c>
      <c r="H4958" s="19" t="s">
        <v>465</v>
      </c>
      <c r="I4958" s="19">
        <v>92500</v>
      </c>
      <c r="J4958" s="1"/>
    </row>
    <row r="4959" spans="1:10" x14ac:dyDescent="0.2">
      <c r="A4959" s="1" t="s">
        <v>20</v>
      </c>
      <c r="B4959" s="2" t="s">
        <v>154</v>
      </c>
      <c r="C4959" s="1"/>
      <c r="D4959" s="5" t="s">
        <v>464</v>
      </c>
      <c r="G4959" s="57" t="s">
        <v>465</v>
      </c>
      <c r="H4959" s="19" t="s">
        <v>465</v>
      </c>
      <c r="I4959" s="19">
        <v>92500</v>
      </c>
      <c r="J4959" s="1"/>
    </row>
    <row r="4960" spans="1:10" x14ac:dyDescent="0.2">
      <c r="A4960" s="1" t="s">
        <v>20</v>
      </c>
      <c r="B4960" s="2" t="s">
        <v>154</v>
      </c>
      <c r="C4960" s="1"/>
      <c r="D4960" s="5" t="s">
        <v>464</v>
      </c>
      <c r="G4960" s="57" t="s">
        <v>465</v>
      </c>
      <c r="H4960" s="19" t="s">
        <v>465</v>
      </c>
      <c r="I4960" s="19">
        <v>92500</v>
      </c>
      <c r="J4960" s="1"/>
    </row>
    <row r="4961" spans="1:10" x14ac:dyDescent="0.2">
      <c r="A4961" s="1" t="s">
        <v>20</v>
      </c>
      <c r="B4961" s="2" t="s">
        <v>154</v>
      </c>
      <c r="C4961" s="1"/>
      <c r="D4961" s="5" t="s">
        <v>464</v>
      </c>
      <c r="G4961" s="57" t="s">
        <v>465</v>
      </c>
      <c r="H4961" s="19" t="s">
        <v>465</v>
      </c>
      <c r="I4961" s="19">
        <v>92500</v>
      </c>
      <c r="J4961" s="1"/>
    </row>
    <row r="4962" spans="1:10" x14ac:dyDescent="0.2">
      <c r="A4962" s="1" t="s">
        <v>20</v>
      </c>
      <c r="B4962" s="2" t="s">
        <v>154</v>
      </c>
      <c r="C4962" s="1"/>
      <c r="D4962" s="5" t="s">
        <v>464</v>
      </c>
      <c r="G4962" s="57" t="s">
        <v>465</v>
      </c>
      <c r="H4962" s="19" t="s">
        <v>465</v>
      </c>
      <c r="I4962" s="19">
        <v>92500</v>
      </c>
      <c r="J4962" s="1"/>
    </row>
    <row r="4963" spans="1:10" x14ac:dyDescent="0.2">
      <c r="A4963" s="1" t="s">
        <v>20</v>
      </c>
      <c r="B4963" s="2" t="s">
        <v>154</v>
      </c>
      <c r="C4963" s="1"/>
      <c r="D4963" s="5" t="s">
        <v>464</v>
      </c>
      <c r="G4963" s="57" t="s">
        <v>465</v>
      </c>
      <c r="H4963" s="19" t="s">
        <v>465</v>
      </c>
      <c r="I4963" s="19">
        <v>92500</v>
      </c>
      <c r="J4963" s="1"/>
    </row>
    <row r="4964" spans="1:10" x14ac:dyDescent="0.2">
      <c r="A4964" s="1" t="s">
        <v>20</v>
      </c>
      <c r="B4964" s="2" t="s">
        <v>154</v>
      </c>
      <c r="C4964" s="1"/>
      <c r="D4964" s="5" t="s">
        <v>464</v>
      </c>
      <c r="G4964" s="57" t="s">
        <v>465</v>
      </c>
      <c r="H4964" s="19" t="s">
        <v>465</v>
      </c>
      <c r="I4964" s="19">
        <v>97500</v>
      </c>
      <c r="J4964" s="1"/>
    </row>
    <row r="4965" spans="1:10" x14ac:dyDescent="0.2">
      <c r="A4965" s="1" t="s">
        <v>20</v>
      </c>
      <c r="B4965" s="2" t="s">
        <v>154</v>
      </c>
      <c r="C4965" s="1"/>
      <c r="D4965" s="5" t="s">
        <v>464</v>
      </c>
      <c r="G4965" s="57" t="s">
        <v>465</v>
      </c>
      <c r="H4965" s="19" t="s">
        <v>465</v>
      </c>
      <c r="I4965" s="19">
        <v>97500</v>
      </c>
      <c r="J4965" s="1"/>
    </row>
    <row r="4966" spans="1:10" x14ac:dyDescent="0.2">
      <c r="A4966" s="1" t="s">
        <v>20</v>
      </c>
      <c r="B4966" s="2" t="s">
        <v>154</v>
      </c>
      <c r="C4966" s="1"/>
      <c r="D4966" s="5" t="s">
        <v>464</v>
      </c>
      <c r="G4966" s="57" t="s">
        <v>465</v>
      </c>
      <c r="H4966" s="19" t="s">
        <v>465</v>
      </c>
      <c r="I4966" s="19">
        <v>97500</v>
      </c>
      <c r="J4966" s="1"/>
    </row>
    <row r="4967" spans="1:10" x14ac:dyDescent="0.2">
      <c r="A4967" s="1" t="s">
        <v>20</v>
      </c>
      <c r="B4967" s="2" t="s">
        <v>154</v>
      </c>
      <c r="C4967" s="1"/>
      <c r="D4967" s="5" t="s">
        <v>464</v>
      </c>
      <c r="G4967" s="57" t="s">
        <v>465</v>
      </c>
      <c r="H4967" s="19" t="s">
        <v>465</v>
      </c>
      <c r="I4967" s="19">
        <v>97500</v>
      </c>
      <c r="J4967" s="1"/>
    </row>
    <row r="4968" spans="1:10" x14ac:dyDescent="0.2">
      <c r="A4968" s="1" t="s">
        <v>20</v>
      </c>
      <c r="B4968" s="2" t="s">
        <v>154</v>
      </c>
      <c r="C4968" s="1"/>
      <c r="D4968" s="5" t="s">
        <v>464</v>
      </c>
      <c r="G4968" s="57" t="s">
        <v>465</v>
      </c>
      <c r="H4968" s="19" t="s">
        <v>465</v>
      </c>
      <c r="I4968" s="19">
        <v>97500</v>
      </c>
      <c r="J4968" s="1"/>
    </row>
    <row r="4969" spans="1:10" x14ac:dyDescent="0.2">
      <c r="A4969" s="1" t="s">
        <v>20</v>
      </c>
      <c r="B4969" s="2" t="s">
        <v>154</v>
      </c>
      <c r="C4969" s="1"/>
      <c r="D4969" s="5" t="s">
        <v>464</v>
      </c>
      <c r="G4969" s="57" t="s">
        <v>465</v>
      </c>
      <c r="H4969" s="19" t="s">
        <v>465</v>
      </c>
      <c r="I4969" s="19">
        <v>97500</v>
      </c>
      <c r="J4969" s="1"/>
    </row>
    <row r="4970" spans="1:10" x14ac:dyDescent="0.2">
      <c r="A4970" s="1" t="s">
        <v>20</v>
      </c>
      <c r="B4970" s="2" t="s">
        <v>154</v>
      </c>
      <c r="C4970" s="1"/>
      <c r="D4970" s="5" t="s">
        <v>464</v>
      </c>
      <c r="G4970" s="57" t="s">
        <v>465</v>
      </c>
      <c r="H4970" s="19" t="s">
        <v>465</v>
      </c>
      <c r="I4970" s="19">
        <v>97500</v>
      </c>
      <c r="J4970" s="1"/>
    </row>
    <row r="4971" spans="1:10" x14ac:dyDescent="0.2">
      <c r="A4971" s="1" t="s">
        <v>20</v>
      </c>
      <c r="B4971" s="2" t="s">
        <v>154</v>
      </c>
      <c r="C4971" s="1"/>
      <c r="D4971" s="5" t="s">
        <v>464</v>
      </c>
      <c r="G4971" s="57" t="s">
        <v>465</v>
      </c>
      <c r="H4971" s="19" t="s">
        <v>465</v>
      </c>
      <c r="I4971" s="19">
        <v>97500</v>
      </c>
      <c r="J4971" s="1"/>
    </row>
    <row r="4972" spans="1:10" x14ac:dyDescent="0.2">
      <c r="A4972" s="1" t="s">
        <v>20</v>
      </c>
      <c r="B4972" s="2" t="s">
        <v>154</v>
      </c>
      <c r="C4972" s="1"/>
      <c r="D4972" s="5" t="s">
        <v>464</v>
      </c>
      <c r="G4972" s="57" t="s">
        <v>465</v>
      </c>
      <c r="H4972" s="19" t="s">
        <v>465</v>
      </c>
      <c r="I4972" s="19">
        <v>97500</v>
      </c>
      <c r="J4972" s="1"/>
    </row>
    <row r="4973" spans="1:10" x14ac:dyDescent="0.2">
      <c r="A4973" s="1" t="s">
        <v>20</v>
      </c>
      <c r="B4973" s="2" t="s">
        <v>154</v>
      </c>
      <c r="C4973" s="1"/>
      <c r="D4973" s="5" t="s">
        <v>464</v>
      </c>
      <c r="G4973" s="57" t="s">
        <v>465</v>
      </c>
      <c r="H4973" s="19" t="s">
        <v>465</v>
      </c>
      <c r="I4973" s="19">
        <v>97500</v>
      </c>
      <c r="J4973" s="1"/>
    </row>
    <row r="4974" spans="1:10" x14ac:dyDescent="0.2">
      <c r="A4974" s="1" t="s">
        <v>20</v>
      </c>
      <c r="B4974" s="2" t="s">
        <v>154</v>
      </c>
      <c r="C4974" s="1"/>
      <c r="D4974" s="5" t="s">
        <v>464</v>
      </c>
      <c r="G4974" s="57" t="s">
        <v>465</v>
      </c>
      <c r="H4974" s="19" t="s">
        <v>465</v>
      </c>
      <c r="I4974" s="19">
        <v>97500</v>
      </c>
      <c r="J4974" s="1"/>
    </row>
    <row r="4975" spans="1:10" x14ac:dyDescent="0.2">
      <c r="A4975" s="1" t="s">
        <v>20</v>
      </c>
      <c r="B4975" s="2" t="s">
        <v>154</v>
      </c>
      <c r="C4975" s="1"/>
      <c r="D4975" s="5" t="s">
        <v>464</v>
      </c>
      <c r="G4975" s="57" t="s">
        <v>465</v>
      </c>
      <c r="H4975" s="19" t="s">
        <v>465</v>
      </c>
      <c r="I4975" s="19">
        <v>97500</v>
      </c>
      <c r="J4975" s="1"/>
    </row>
    <row r="4976" spans="1:10" x14ac:dyDescent="0.2">
      <c r="A4976" s="1" t="s">
        <v>20</v>
      </c>
      <c r="B4976" s="2" t="s">
        <v>154</v>
      </c>
      <c r="C4976" s="1"/>
      <c r="D4976" s="5" t="s">
        <v>464</v>
      </c>
      <c r="G4976" s="57" t="s">
        <v>465</v>
      </c>
      <c r="H4976" s="19" t="s">
        <v>465</v>
      </c>
      <c r="I4976" s="19">
        <v>97500</v>
      </c>
      <c r="J4976" s="1"/>
    </row>
    <row r="4977" spans="1:10" x14ac:dyDescent="0.2">
      <c r="A4977" s="1" t="s">
        <v>20</v>
      </c>
      <c r="B4977" s="2" t="s">
        <v>154</v>
      </c>
      <c r="C4977" s="1"/>
      <c r="D4977" s="5" t="s">
        <v>464</v>
      </c>
      <c r="G4977" s="57" t="s">
        <v>465</v>
      </c>
      <c r="H4977" s="19" t="s">
        <v>465</v>
      </c>
      <c r="I4977" s="19">
        <v>97500</v>
      </c>
      <c r="J4977" s="1"/>
    </row>
    <row r="4978" spans="1:10" x14ac:dyDescent="0.2">
      <c r="A4978" s="1" t="s">
        <v>20</v>
      </c>
      <c r="B4978" s="2" t="s">
        <v>154</v>
      </c>
      <c r="C4978" s="1"/>
      <c r="D4978" s="5" t="s">
        <v>464</v>
      </c>
      <c r="G4978" s="57" t="s">
        <v>465</v>
      </c>
      <c r="H4978" s="19" t="s">
        <v>465</v>
      </c>
      <c r="I4978" s="19">
        <v>97500</v>
      </c>
      <c r="J4978" s="1"/>
    </row>
    <row r="4979" spans="1:10" x14ac:dyDescent="0.2">
      <c r="A4979" s="1" t="s">
        <v>20</v>
      </c>
      <c r="B4979" s="2" t="s">
        <v>158</v>
      </c>
      <c r="D4979" s="5" t="s">
        <v>464</v>
      </c>
      <c r="G4979" s="57" t="s">
        <v>465</v>
      </c>
      <c r="H4979" s="19">
        <v>92500</v>
      </c>
      <c r="I4979" s="19" t="s">
        <v>465</v>
      </c>
    </row>
    <row r="4980" spans="1:10" ht="25.5" x14ac:dyDescent="0.2">
      <c r="A4980" s="1" t="s">
        <v>11</v>
      </c>
      <c r="B4980" s="2" t="s">
        <v>159</v>
      </c>
      <c r="C4980" s="29" t="s">
        <v>2697</v>
      </c>
      <c r="G4980" s="57" t="s">
        <v>465</v>
      </c>
    </row>
    <row r="4981" spans="1:10" x14ac:dyDescent="0.2">
      <c r="A4981" s="1" t="s">
        <v>1</v>
      </c>
      <c r="B4981" s="2" t="s">
        <v>160</v>
      </c>
      <c r="D4981" s="5" t="s">
        <v>464</v>
      </c>
      <c r="G4981" s="57" t="s">
        <v>465</v>
      </c>
      <c r="H4981" s="19">
        <v>92500</v>
      </c>
      <c r="I4981" s="19" t="s">
        <v>465</v>
      </c>
    </row>
    <row r="4982" spans="1:10" x14ac:dyDescent="0.2">
      <c r="A4982" s="1" t="s">
        <v>1</v>
      </c>
      <c r="B4982" s="2" t="s">
        <v>160</v>
      </c>
      <c r="D4982" s="5" t="s">
        <v>464</v>
      </c>
      <c r="G4982" s="57" t="s">
        <v>465</v>
      </c>
      <c r="H4982" s="19">
        <v>97500</v>
      </c>
      <c r="I4982" s="19" t="s">
        <v>465</v>
      </c>
    </row>
    <row r="4983" spans="1:10" x14ac:dyDescent="0.2">
      <c r="A4983" s="1" t="s">
        <v>1</v>
      </c>
      <c r="B4983" s="2" t="s">
        <v>160</v>
      </c>
      <c r="D4983" s="5" t="s">
        <v>464</v>
      </c>
      <c r="G4983" s="57" t="s">
        <v>465</v>
      </c>
      <c r="H4983" s="19">
        <v>97500</v>
      </c>
      <c r="I4983" s="19" t="s">
        <v>465</v>
      </c>
    </row>
    <row r="4984" spans="1:10" x14ac:dyDescent="0.2">
      <c r="A4984" s="1" t="s">
        <v>1</v>
      </c>
      <c r="B4984" s="2" t="s">
        <v>160</v>
      </c>
      <c r="D4984" s="5" t="s">
        <v>464</v>
      </c>
      <c r="G4984" s="57" t="s">
        <v>465</v>
      </c>
      <c r="H4984" s="19">
        <v>97500</v>
      </c>
      <c r="I4984" s="19" t="s">
        <v>465</v>
      </c>
    </row>
    <row r="4985" spans="1:10" x14ac:dyDescent="0.2">
      <c r="A4985" s="1" t="s">
        <v>1</v>
      </c>
      <c r="B4985" s="2" t="s">
        <v>160</v>
      </c>
      <c r="D4985" s="5" t="s">
        <v>464</v>
      </c>
      <c r="G4985" s="57" t="s">
        <v>465</v>
      </c>
      <c r="H4985" s="19" t="s">
        <v>465</v>
      </c>
      <c r="I4985" s="19">
        <v>92500</v>
      </c>
    </row>
    <row r="4986" spans="1:10" x14ac:dyDescent="0.2">
      <c r="A4986" s="1" t="s">
        <v>1</v>
      </c>
      <c r="B4986" s="2" t="s">
        <v>160</v>
      </c>
      <c r="D4986" s="5" t="s">
        <v>464</v>
      </c>
      <c r="G4986" s="57" t="s">
        <v>465</v>
      </c>
      <c r="H4986" s="19" t="s">
        <v>465</v>
      </c>
      <c r="I4986" s="19">
        <v>92500</v>
      </c>
    </row>
    <row r="4987" spans="1:10" x14ac:dyDescent="0.2">
      <c r="A4987" s="1" t="s">
        <v>1</v>
      </c>
      <c r="B4987" s="2" t="s">
        <v>160</v>
      </c>
      <c r="D4987" s="5" t="s">
        <v>464</v>
      </c>
      <c r="G4987" s="57" t="s">
        <v>465</v>
      </c>
      <c r="H4987" s="19" t="s">
        <v>465</v>
      </c>
      <c r="I4987" s="19">
        <v>92500</v>
      </c>
    </row>
    <row r="4988" spans="1:10" x14ac:dyDescent="0.2">
      <c r="A4988" s="1" t="s">
        <v>1</v>
      </c>
      <c r="B4988" s="2" t="s">
        <v>160</v>
      </c>
      <c r="D4988" s="5" t="s">
        <v>464</v>
      </c>
      <c r="G4988" s="57" t="s">
        <v>465</v>
      </c>
      <c r="H4988" s="19" t="s">
        <v>465</v>
      </c>
      <c r="I4988" s="19">
        <v>92500</v>
      </c>
    </row>
    <row r="4989" spans="1:10" x14ac:dyDescent="0.2">
      <c r="A4989" s="1" t="s">
        <v>1</v>
      </c>
      <c r="B4989" s="2" t="s">
        <v>160</v>
      </c>
      <c r="D4989" s="5" t="s">
        <v>464</v>
      </c>
      <c r="G4989" s="57" t="s">
        <v>465</v>
      </c>
      <c r="H4989" s="19" t="s">
        <v>465</v>
      </c>
      <c r="I4989" s="19">
        <v>97500</v>
      </c>
    </row>
    <row r="4990" spans="1:10" x14ac:dyDescent="0.2">
      <c r="A4990" s="1" t="s">
        <v>1</v>
      </c>
      <c r="B4990" s="2" t="s">
        <v>160</v>
      </c>
      <c r="D4990" s="5" t="s">
        <v>464</v>
      </c>
      <c r="G4990" s="57" t="s">
        <v>465</v>
      </c>
      <c r="H4990" s="19" t="s">
        <v>465</v>
      </c>
      <c r="I4990" s="19">
        <v>97500</v>
      </c>
    </row>
    <row r="4991" spans="1:10" x14ac:dyDescent="0.2">
      <c r="A4991" s="1" t="s">
        <v>1</v>
      </c>
      <c r="B4991" s="2" t="s">
        <v>160</v>
      </c>
      <c r="C4991" s="1"/>
      <c r="D4991" s="5" t="s">
        <v>464</v>
      </c>
      <c r="G4991" s="57" t="s">
        <v>465</v>
      </c>
      <c r="H4991" s="19" t="s">
        <v>465</v>
      </c>
      <c r="I4991" s="19">
        <v>97500</v>
      </c>
    </row>
    <row r="4992" spans="1:10" x14ac:dyDescent="0.2">
      <c r="A4992" s="1" t="s">
        <v>1</v>
      </c>
      <c r="B4992" s="2" t="s">
        <v>160</v>
      </c>
      <c r="C4992" s="1"/>
      <c r="D4992" s="5" t="s">
        <v>464</v>
      </c>
      <c r="G4992" s="57" t="s">
        <v>465</v>
      </c>
      <c r="H4992" s="19" t="s">
        <v>465</v>
      </c>
      <c r="I4992" s="19">
        <v>97500</v>
      </c>
    </row>
    <row r="4993" spans="1:10" x14ac:dyDescent="0.2">
      <c r="A4993" s="1" t="s">
        <v>1</v>
      </c>
      <c r="B4993" s="2" t="s">
        <v>160</v>
      </c>
      <c r="C4993" s="1"/>
      <c r="D4993" s="5" t="s">
        <v>464</v>
      </c>
      <c r="G4993" s="57" t="s">
        <v>465</v>
      </c>
      <c r="H4993" s="19" t="s">
        <v>465</v>
      </c>
      <c r="I4993" s="19">
        <v>97500</v>
      </c>
    </row>
    <row r="4994" spans="1:10" x14ac:dyDescent="0.2">
      <c r="A4994" s="1" t="s">
        <v>1</v>
      </c>
      <c r="B4994" s="2" t="s">
        <v>160</v>
      </c>
      <c r="C4994" s="1"/>
      <c r="D4994" s="5" t="s">
        <v>464</v>
      </c>
      <c r="G4994" s="57" t="s">
        <v>465</v>
      </c>
      <c r="H4994" s="19" t="s">
        <v>465</v>
      </c>
      <c r="I4994" s="19">
        <v>97500</v>
      </c>
    </row>
    <row r="4995" spans="1:10" x14ac:dyDescent="0.2">
      <c r="A4995" s="1" t="s">
        <v>20</v>
      </c>
      <c r="B4995" s="2" t="s">
        <v>162</v>
      </c>
      <c r="D4995" s="5" t="s">
        <v>464</v>
      </c>
      <c r="G4995" s="57" t="s">
        <v>465</v>
      </c>
      <c r="H4995" s="19" t="s">
        <v>465</v>
      </c>
      <c r="I4995" s="19">
        <v>97500</v>
      </c>
    </row>
    <row r="4996" spans="1:10" x14ac:dyDescent="0.2">
      <c r="A4996" s="1" t="s">
        <v>20</v>
      </c>
      <c r="B4996" s="2" t="s">
        <v>162</v>
      </c>
      <c r="D4996" s="5" t="s">
        <v>464</v>
      </c>
      <c r="G4996" s="57" t="s">
        <v>465</v>
      </c>
      <c r="H4996" s="19" t="s">
        <v>465</v>
      </c>
      <c r="I4996" s="19">
        <v>97500</v>
      </c>
    </row>
    <row r="4997" spans="1:10" x14ac:dyDescent="0.2">
      <c r="A4997" s="1" t="s">
        <v>111</v>
      </c>
      <c r="B4997" s="2" t="s">
        <v>166</v>
      </c>
      <c r="D4997" s="5" t="s">
        <v>464</v>
      </c>
      <c r="G4997" s="57" t="s">
        <v>465</v>
      </c>
      <c r="H4997" s="19">
        <v>92500</v>
      </c>
      <c r="I4997" s="19" t="s">
        <v>465</v>
      </c>
    </row>
    <row r="4998" spans="1:10" x14ac:dyDescent="0.2">
      <c r="A4998" s="1" t="s">
        <v>111</v>
      </c>
      <c r="B4998" s="2" t="s">
        <v>166</v>
      </c>
      <c r="D4998" s="5" t="s">
        <v>464</v>
      </c>
      <c r="G4998" s="57" t="s">
        <v>465</v>
      </c>
      <c r="H4998" s="19">
        <v>92500</v>
      </c>
      <c r="I4998" s="19" t="s">
        <v>465</v>
      </c>
    </row>
    <row r="4999" spans="1:10" x14ac:dyDescent="0.2">
      <c r="A4999" s="1" t="s">
        <v>111</v>
      </c>
      <c r="B4999" s="2" t="s">
        <v>166</v>
      </c>
      <c r="C4999" s="1"/>
      <c r="D4999" s="5" t="s">
        <v>464</v>
      </c>
      <c r="G4999" s="57" t="s">
        <v>465</v>
      </c>
      <c r="H4999" s="19">
        <v>97500</v>
      </c>
      <c r="I4999" s="19" t="s">
        <v>465</v>
      </c>
      <c r="J4999" s="1"/>
    </row>
    <row r="5000" spans="1:10" x14ac:dyDescent="0.2">
      <c r="A5000" s="1" t="s">
        <v>111</v>
      </c>
      <c r="B5000" s="2" t="s">
        <v>166</v>
      </c>
      <c r="C5000" s="1"/>
      <c r="D5000" s="5" t="s">
        <v>464</v>
      </c>
      <c r="G5000" s="57" t="s">
        <v>465</v>
      </c>
      <c r="H5000" s="19" t="s">
        <v>465</v>
      </c>
      <c r="I5000" s="19">
        <v>92500</v>
      </c>
      <c r="J5000" s="1"/>
    </row>
    <row r="5001" spans="1:10" x14ac:dyDescent="0.2">
      <c r="A5001" s="1" t="s">
        <v>111</v>
      </c>
      <c r="B5001" s="2" t="s">
        <v>166</v>
      </c>
      <c r="C5001" s="1"/>
      <c r="D5001" s="5" t="s">
        <v>464</v>
      </c>
      <c r="G5001" s="57" t="s">
        <v>465</v>
      </c>
      <c r="H5001" s="19" t="s">
        <v>465</v>
      </c>
      <c r="I5001" s="19">
        <v>92500</v>
      </c>
      <c r="J5001" s="1"/>
    </row>
    <row r="5002" spans="1:10" x14ac:dyDescent="0.2">
      <c r="A5002" s="1" t="s">
        <v>111</v>
      </c>
      <c r="B5002" s="2" t="s">
        <v>166</v>
      </c>
      <c r="C5002" s="1"/>
      <c r="D5002" s="5" t="s">
        <v>464</v>
      </c>
      <c r="G5002" s="57" t="s">
        <v>465</v>
      </c>
      <c r="H5002" s="19" t="s">
        <v>465</v>
      </c>
      <c r="I5002" s="19">
        <v>92500</v>
      </c>
      <c r="J5002" s="1"/>
    </row>
    <row r="5003" spans="1:10" x14ac:dyDescent="0.2">
      <c r="A5003" s="1" t="s">
        <v>111</v>
      </c>
      <c r="B5003" s="2" t="s">
        <v>166</v>
      </c>
      <c r="C5003" s="1"/>
      <c r="D5003" s="5" t="s">
        <v>464</v>
      </c>
      <c r="G5003" s="57" t="s">
        <v>465</v>
      </c>
      <c r="H5003" s="19" t="s">
        <v>465</v>
      </c>
      <c r="I5003" s="19">
        <v>92500</v>
      </c>
      <c r="J5003" s="1"/>
    </row>
    <row r="5004" spans="1:10" x14ac:dyDescent="0.2">
      <c r="A5004" s="1" t="s">
        <v>111</v>
      </c>
      <c r="B5004" s="2" t="s">
        <v>166</v>
      </c>
      <c r="C5004" s="1"/>
      <c r="D5004" s="5" t="s">
        <v>464</v>
      </c>
      <c r="G5004" s="57" t="s">
        <v>465</v>
      </c>
      <c r="H5004" s="19" t="s">
        <v>465</v>
      </c>
      <c r="I5004" s="19">
        <v>92500</v>
      </c>
      <c r="J5004" s="1"/>
    </row>
    <row r="5005" spans="1:10" x14ac:dyDescent="0.2">
      <c r="A5005" s="1" t="s">
        <v>111</v>
      </c>
      <c r="B5005" s="2" t="s">
        <v>166</v>
      </c>
      <c r="C5005" s="1"/>
      <c r="D5005" s="5" t="s">
        <v>464</v>
      </c>
      <c r="G5005" s="57" t="s">
        <v>465</v>
      </c>
      <c r="H5005" s="19" t="s">
        <v>465</v>
      </c>
      <c r="I5005" s="19">
        <v>92500</v>
      </c>
      <c r="J5005" s="1"/>
    </row>
    <row r="5006" spans="1:10" x14ac:dyDescent="0.2">
      <c r="A5006" s="1" t="s">
        <v>1</v>
      </c>
      <c r="B5006" s="2" t="s">
        <v>168</v>
      </c>
      <c r="D5006" s="5" t="s">
        <v>464</v>
      </c>
      <c r="G5006" s="57" t="s">
        <v>465</v>
      </c>
      <c r="H5006" s="19">
        <v>92500</v>
      </c>
      <c r="I5006" s="19" t="s">
        <v>465</v>
      </c>
    </row>
    <row r="5007" spans="1:10" x14ac:dyDescent="0.2">
      <c r="A5007" s="1" t="s">
        <v>1</v>
      </c>
      <c r="B5007" s="2" t="s">
        <v>168</v>
      </c>
      <c r="D5007" s="5" t="s">
        <v>464</v>
      </c>
      <c r="G5007" s="57" t="s">
        <v>465</v>
      </c>
      <c r="H5007" s="19">
        <v>92500</v>
      </c>
      <c r="I5007" s="19" t="s">
        <v>465</v>
      </c>
    </row>
    <row r="5008" spans="1:10" x14ac:dyDescent="0.2">
      <c r="A5008" s="1" t="s">
        <v>1</v>
      </c>
      <c r="B5008" s="2" t="s">
        <v>168</v>
      </c>
      <c r="D5008" s="5" t="s">
        <v>464</v>
      </c>
      <c r="G5008" s="57" t="s">
        <v>465</v>
      </c>
      <c r="H5008" s="19">
        <v>92500</v>
      </c>
      <c r="I5008" s="19" t="s">
        <v>465</v>
      </c>
    </row>
    <row r="5009" spans="1:10" x14ac:dyDescent="0.2">
      <c r="A5009" s="1" t="s">
        <v>1</v>
      </c>
      <c r="B5009" s="2" t="s">
        <v>168</v>
      </c>
      <c r="D5009" s="5" t="s">
        <v>464</v>
      </c>
      <c r="G5009" s="57" t="s">
        <v>465</v>
      </c>
      <c r="H5009" s="19">
        <v>92500</v>
      </c>
      <c r="I5009" s="19" t="s">
        <v>465</v>
      </c>
    </row>
    <row r="5010" spans="1:10" x14ac:dyDescent="0.2">
      <c r="A5010" s="1" t="s">
        <v>1</v>
      </c>
      <c r="B5010" s="2" t="s">
        <v>168</v>
      </c>
      <c r="D5010" s="5" t="s">
        <v>464</v>
      </c>
      <c r="G5010" s="57" t="s">
        <v>465</v>
      </c>
      <c r="H5010" s="19">
        <v>92500</v>
      </c>
      <c r="I5010" s="19" t="s">
        <v>465</v>
      </c>
    </row>
    <row r="5011" spans="1:10" x14ac:dyDescent="0.2">
      <c r="A5011" s="1" t="s">
        <v>1</v>
      </c>
      <c r="B5011" s="2" t="s">
        <v>168</v>
      </c>
      <c r="D5011" s="5" t="s">
        <v>464</v>
      </c>
      <c r="G5011" s="57" t="s">
        <v>465</v>
      </c>
      <c r="H5011" s="19">
        <v>92500</v>
      </c>
      <c r="I5011" s="19" t="s">
        <v>465</v>
      </c>
    </row>
    <row r="5012" spans="1:10" x14ac:dyDescent="0.2">
      <c r="A5012" s="1" t="s">
        <v>1</v>
      </c>
      <c r="B5012" s="2" t="s">
        <v>168</v>
      </c>
      <c r="D5012" s="5" t="s">
        <v>464</v>
      </c>
      <c r="G5012" s="57" t="s">
        <v>465</v>
      </c>
      <c r="H5012" s="19">
        <v>92500</v>
      </c>
      <c r="I5012" s="19" t="s">
        <v>465</v>
      </c>
    </row>
    <row r="5013" spans="1:10" x14ac:dyDescent="0.2">
      <c r="A5013" s="1" t="s">
        <v>1</v>
      </c>
      <c r="B5013" s="2" t="s">
        <v>168</v>
      </c>
      <c r="D5013" s="5" t="s">
        <v>464</v>
      </c>
      <c r="G5013" s="57" t="s">
        <v>465</v>
      </c>
      <c r="H5013" s="19">
        <v>92500</v>
      </c>
      <c r="I5013" s="19" t="s">
        <v>465</v>
      </c>
    </row>
    <row r="5014" spans="1:10" x14ac:dyDescent="0.2">
      <c r="A5014" s="1" t="s">
        <v>1</v>
      </c>
      <c r="B5014" s="2" t="s">
        <v>168</v>
      </c>
      <c r="D5014" s="5" t="s">
        <v>464</v>
      </c>
      <c r="G5014" s="57" t="s">
        <v>465</v>
      </c>
      <c r="H5014" s="19">
        <v>92500</v>
      </c>
      <c r="I5014" s="19" t="s">
        <v>465</v>
      </c>
    </row>
    <row r="5015" spans="1:10" x14ac:dyDescent="0.2">
      <c r="A5015" s="1" t="s">
        <v>1</v>
      </c>
      <c r="B5015" s="2" t="s">
        <v>168</v>
      </c>
      <c r="C5015" s="1"/>
      <c r="D5015" s="5" t="s">
        <v>464</v>
      </c>
      <c r="G5015" s="57" t="s">
        <v>465</v>
      </c>
      <c r="H5015" s="19">
        <v>92500</v>
      </c>
      <c r="I5015" s="19" t="s">
        <v>465</v>
      </c>
    </row>
    <row r="5016" spans="1:10" x14ac:dyDescent="0.2">
      <c r="A5016" s="1" t="s">
        <v>1</v>
      </c>
      <c r="B5016" s="2" t="s">
        <v>168</v>
      </c>
      <c r="C5016" s="1"/>
      <c r="D5016" s="5" t="s">
        <v>464</v>
      </c>
      <c r="G5016" s="57" t="s">
        <v>465</v>
      </c>
      <c r="H5016" s="19">
        <v>97500</v>
      </c>
      <c r="I5016" s="19" t="s">
        <v>465</v>
      </c>
    </row>
    <row r="5017" spans="1:10" x14ac:dyDescent="0.2">
      <c r="A5017" s="1" t="s">
        <v>1</v>
      </c>
      <c r="B5017" s="2" t="s">
        <v>168</v>
      </c>
      <c r="C5017" s="1"/>
      <c r="D5017" s="5" t="s">
        <v>464</v>
      </c>
      <c r="G5017" s="57" t="s">
        <v>465</v>
      </c>
      <c r="H5017" s="19">
        <v>97500</v>
      </c>
      <c r="I5017" s="19" t="s">
        <v>465</v>
      </c>
    </row>
    <row r="5018" spans="1:10" x14ac:dyDescent="0.2">
      <c r="A5018" s="1" t="s">
        <v>1</v>
      </c>
      <c r="B5018" s="2" t="s">
        <v>168</v>
      </c>
      <c r="C5018" s="1"/>
      <c r="D5018" s="5" t="s">
        <v>464</v>
      </c>
      <c r="G5018" s="57" t="s">
        <v>465</v>
      </c>
      <c r="H5018" s="19">
        <v>97500</v>
      </c>
      <c r="I5018" s="19" t="s">
        <v>465</v>
      </c>
    </row>
    <row r="5019" spans="1:10" x14ac:dyDescent="0.2">
      <c r="A5019" s="1" t="s">
        <v>1</v>
      </c>
      <c r="B5019" s="2" t="s">
        <v>168</v>
      </c>
      <c r="C5019" s="1"/>
      <c r="D5019" s="5" t="s">
        <v>464</v>
      </c>
      <c r="G5019" s="57" t="s">
        <v>465</v>
      </c>
      <c r="H5019" s="19">
        <v>97500</v>
      </c>
      <c r="I5019" s="19" t="s">
        <v>465</v>
      </c>
      <c r="J5019" s="1"/>
    </row>
    <row r="5020" spans="1:10" x14ac:dyDescent="0.2">
      <c r="A5020" s="1" t="s">
        <v>1</v>
      </c>
      <c r="B5020" s="2" t="s">
        <v>168</v>
      </c>
      <c r="C5020" s="1"/>
      <c r="D5020" s="5" t="s">
        <v>464</v>
      </c>
      <c r="G5020" s="57" t="s">
        <v>465</v>
      </c>
      <c r="H5020" s="19" t="s">
        <v>465</v>
      </c>
      <c r="I5020" s="19">
        <v>92500</v>
      </c>
      <c r="J5020" s="1"/>
    </row>
    <row r="5021" spans="1:10" x14ac:dyDescent="0.2">
      <c r="A5021" s="1" t="s">
        <v>1</v>
      </c>
      <c r="B5021" s="2" t="s">
        <v>168</v>
      </c>
      <c r="C5021" s="1"/>
      <c r="D5021" s="5" t="s">
        <v>464</v>
      </c>
      <c r="G5021" s="57" t="s">
        <v>465</v>
      </c>
      <c r="H5021" s="19" t="s">
        <v>465</v>
      </c>
      <c r="I5021" s="19">
        <v>92500</v>
      </c>
      <c r="J5021" s="1"/>
    </row>
    <row r="5022" spans="1:10" x14ac:dyDescent="0.2">
      <c r="A5022" s="1" t="s">
        <v>1</v>
      </c>
      <c r="B5022" s="2" t="s">
        <v>168</v>
      </c>
      <c r="C5022" s="1"/>
      <c r="D5022" s="5" t="s">
        <v>464</v>
      </c>
      <c r="G5022" s="57" t="s">
        <v>465</v>
      </c>
      <c r="H5022" s="19" t="s">
        <v>465</v>
      </c>
      <c r="I5022" s="19">
        <v>92500</v>
      </c>
      <c r="J5022" s="1"/>
    </row>
    <row r="5023" spans="1:10" x14ac:dyDescent="0.2">
      <c r="A5023" s="1" t="s">
        <v>1</v>
      </c>
      <c r="B5023" s="2" t="s">
        <v>168</v>
      </c>
      <c r="C5023" s="1"/>
      <c r="D5023" s="5" t="s">
        <v>464</v>
      </c>
      <c r="G5023" s="57" t="s">
        <v>465</v>
      </c>
      <c r="H5023" s="19" t="s">
        <v>465</v>
      </c>
      <c r="I5023" s="19">
        <v>92500</v>
      </c>
      <c r="J5023" s="1"/>
    </row>
    <row r="5024" spans="1:10" x14ac:dyDescent="0.2">
      <c r="A5024" s="1" t="s">
        <v>1</v>
      </c>
      <c r="B5024" s="2" t="s">
        <v>168</v>
      </c>
      <c r="C5024" s="1"/>
      <c r="D5024" s="5" t="s">
        <v>464</v>
      </c>
      <c r="G5024" s="57" t="s">
        <v>465</v>
      </c>
      <c r="H5024" s="19" t="s">
        <v>465</v>
      </c>
      <c r="I5024" s="19">
        <v>92500</v>
      </c>
      <c r="J5024" s="1"/>
    </row>
    <row r="5025" spans="1:10" x14ac:dyDescent="0.2">
      <c r="A5025" s="1" t="s">
        <v>1</v>
      </c>
      <c r="B5025" s="2" t="s">
        <v>168</v>
      </c>
      <c r="C5025" s="1"/>
      <c r="D5025" s="5" t="s">
        <v>464</v>
      </c>
      <c r="G5025" s="57" t="s">
        <v>465</v>
      </c>
      <c r="H5025" s="19" t="s">
        <v>465</v>
      </c>
      <c r="I5025" s="19">
        <v>92500</v>
      </c>
      <c r="J5025" s="1"/>
    </row>
    <row r="5026" spans="1:10" x14ac:dyDescent="0.2">
      <c r="A5026" s="1" t="s">
        <v>1</v>
      </c>
      <c r="B5026" s="2" t="s">
        <v>168</v>
      </c>
      <c r="C5026" s="1"/>
      <c r="D5026" s="5" t="s">
        <v>464</v>
      </c>
      <c r="G5026" s="57" t="s">
        <v>465</v>
      </c>
      <c r="H5026" s="19" t="s">
        <v>465</v>
      </c>
      <c r="I5026" s="19">
        <v>97500</v>
      </c>
      <c r="J5026" s="1"/>
    </row>
    <row r="5027" spans="1:10" x14ac:dyDescent="0.2">
      <c r="A5027" s="1" t="s">
        <v>1</v>
      </c>
      <c r="B5027" s="2" t="s">
        <v>168</v>
      </c>
      <c r="C5027" s="1"/>
      <c r="D5027" s="5" t="s">
        <v>464</v>
      </c>
      <c r="G5027" s="57" t="s">
        <v>465</v>
      </c>
      <c r="H5027" s="19" t="s">
        <v>465</v>
      </c>
      <c r="I5027" s="19">
        <v>97500</v>
      </c>
      <c r="J5027" s="1"/>
    </row>
    <row r="5028" spans="1:10" x14ac:dyDescent="0.2">
      <c r="A5028" s="1" t="s">
        <v>1</v>
      </c>
      <c r="B5028" s="2" t="s">
        <v>168</v>
      </c>
      <c r="C5028" s="1"/>
      <c r="D5028" s="5" t="s">
        <v>464</v>
      </c>
      <c r="G5028" s="57" t="s">
        <v>465</v>
      </c>
      <c r="H5028" s="19" t="s">
        <v>465</v>
      </c>
      <c r="I5028" s="19">
        <v>97500</v>
      </c>
      <c r="J5028" s="1"/>
    </row>
    <row r="5029" spans="1:10" x14ac:dyDescent="0.2">
      <c r="A5029" s="1" t="s">
        <v>1</v>
      </c>
      <c r="B5029" s="2" t="s">
        <v>168</v>
      </c>
      <c r="C5029" s="1"/>
      <c r="D5029" s="5" t="s">
        <v>464</v>
      </c>
      <c r="G5029" s="57" t="s">
        <v>465</v>
      </c>
      <c r="H5029" s="19" t="s">
        <v>465</v>
      </c>
      <c r="I5029" s="19">
        <v>97500</v>
      </c>
      <c r="J5029" s="1"/>
    </row>
    <row r="5030" spans="1:10" x14ac:dyDescent="0.2">
      <c r="A5030" s="1" t="s">
        <v>1</v>
      </c>
      <c r="B5030" s="2" t="s">
        <v>168</v>
      </c>
      <c r="C5030" s="1"/>
      <c r="D5030" s="5" t="s">
        <v>464</v>
      </c>
      <c r="G5030" s="57" t="s">
        <v>465</v>
      </c>
      <c r="H5030" s="19" t="s">
        <v>465</v>
      </c>
      <c r="I5030" s="19">
        <v>97500</v>
      </c>
      <c r="J5030" s="1"/>
    </row>
    <row r="5031" spans="1:10" x14ac:dyDescent="0.2">
      <c r="A5031" s="1" t="s">
        <v>1</v>
      </c>
      <c r="B5031" s="2" t="s">
        <v>168</v>
      </c>
      <c r="C5031" s="1"/>
      <c r="D5031" s="5" t="s">
        <v>464</v>
      </c>
      <c r="G5031" s="57" t="s">
        <v>465</v>
      </c>
      <c r="H5031" s="19" t="s">
        <v>465</v>
      </c>
      <c r="I5031" s="19">
        <v>97500</v>
      </c>
      <c r="J5031" s="1"/>
    </row>
    <row r="5032" spans="1:10" x14ac:dyDescent="0.2">
      <c r="A5032" s="1" t="s">
        <v>1</v>
      </c>
      <c r="B5032" s="2" t="s">
        <v>168</v>
      </c>
      <c r="C5032" s="1"/>
      <c r="D5032" s="5" t="s">
        <v>464</v>
      </c>
      <c r="G5032" s="57" t="s">
        <v>465</v>
      </c>
      <c r="H5032" s="19" t="s">
        <v>465</v>
      </c>
      <c r="I5032" s="19">
        <v>97500</v>
      </c>
      <c r="J5032" s="1"/>
    </row>
    <row r="5033" spans="1:10" x14ac:dyDescent="0.2">
      <c r="A5033" s="1" t="s">
        <v>1</v>
      </c>
      <c r="B5033" s="2" t="s">
        <v>168</v>
      </c>
      <c r="C5033" s="1"/>
      <c r="D5033" s="5" t="s">
        <v>464</v>
      </c>
      <c r="E5033" s="3">
        <v>137500</v>
      </c>
      <c r="G5033" s="57">
        <v>-1</v>
      </c>
      <c r="H5033" s="4"/>
      <c r="I5033" s="4"/>
      <c r="J5033" s="1"/>
    </row>
    <row r="5034" spans="1:10" x14ac:dyDescent="0.2">
      <c r="A5034" s="1" t="s">
        <v>1</v>
      </c>
      <c r="B5034" s="2" t="s">
        <v>168</v>
      </c>
      <c r="C5034" s="1"/>
      <c r="D5034" s="5" t="s">
        <v>464</v>
      </c>
      <c r="E5034" s="3">
        <v>147500</v>
      </c>
      <c r="G5034" s="57">
        <v>-1</v>
      </c>
      <c r="H5034" s="4"/>
      <c r="I5034" s="4"/>
      <c r="J5034" s="1"/>
    </row>
    <row r="5035" spans="1:10" x14ac:dyDescent="0.2">
      <c r="A5035" s="1" t="s">
        <v>34</v>
      </c>
      <c r="B5035" s="2" t="s">
        <v>170</v>
      </c>
      <c r="D5035" s="5" t="s">
        <v>464</v>
      </c>
      <c r="G5035" s="57" t="s">
        <v>465</v>
      </c>
      <c r="H5035" s="19">
        <v>92500</v>
      </c>
      <c r="I5035" s="19" t="s">
        <v>465</v>
      </c>
    </row>
    <row r="5036" spans="1:10" x14ac:dyDescent="0.2">
      <c r="A5036" s="1" t="s">
        <v>34</v>
      </c>
      <c r="B5036" s="2" t="s">
        <v>170</v>
      </c>
      <c r="C5036" s="1"/>
      <c r="D5036" s="5" t="s">
        <v>464</v>
      </c>
      <c r="G5036" s="57" t="s">
        <v>465</v>
      </c>
      <c r="H5036" s="19">
        <v>92500</v>
      </c>
      <c r="I5036" s="19" t="s">
        <v>465</v>
      </c>
      <c r="J5036" s="1"/>
    </row>
    <row r="5037" spans="1:10" x14ac:dyDescent="0.2">
      <c r="A5037" s="1" t="s">
        <v>34</v>
      </c>
      <c r="B5037" s="2" t="s">
        <v>170</v>
      </c>
      <c r="C5037" s="1"/>
      <c r="D5037" s="5" t="s">
        <v>464</v>
      </c>
      <c r="G5037" s="57" t="s">
        <v>465</v>
      </c>
      <c r="H5037" s="19">
        <v>97500</v>
      </c>
      <c r="I5037" s="19" t="s">
        <v>465</v>
      </c>
      <c r="J5037" s="1"/>
    </row>
    <row r="5038" spans="1:10" x14ac:dyDescent="0.2">
      <c r="A5038" s="1" t="s">
        <v>34</v>
      </c>
      <c r="B5038" s="2" t="s">
        <v>170</v>
      </c>
      <c r="C5038" s="1"/>
      <c r="D5038" s="5" t="s">
        <v>464</v>
      </c>
      <c r="G5038" s="57" t="s">
        <v>465</v>
      </c>
      <c r="H5038" s="19">
        <v>97500</v>
      </c>
      <c r="I5038" s="19" t="s">
        <v>465</v>
      </c>
      <c r="J5038" s="1"/>
    </row>
    <row r="5039" spans="1:10" x14ac:dyDescent="0.2">
      <c r="A5039" s="1" t="s">
        <v>34</v>
      </c>
      <c r="B5039" s="2" t="s">
        <v>170</v>
      </c>
      <c r="C5039" s="1"/>
      <c r="D5039" s="5" t="s">
        <v>464</v>
      </c>
      <c r="G5039" s="57" t="s">
        <v>465</v>
      </c>
      <c r="H5039" s="19">
        <v>97500</v>
      </c>
      <c r="I5039" s="19" t="s">
        <v>465</v>
      </c>
      <c r="J5039" s="1"/>
    </row>
    <row r="5040" spans="1:10" x14ac:dyDescent="0.2">
      <c r="A5040" s="1" t="s">
        <v>34</v>
      </c>
      <c r="B5040" s="2" t="s">
        <v>170</v>
      </c>
      <c r="C5040" s="1"/>
      <c r="D5040" s="5" t="s">
        <v>464</v>
      </c>
      <c r="G5040" s="57" t="s">
        <v>465</v>
      </c>
      <c r="H5040" s="19">
        <v>97500</v>
      </c>
      <c r="I5040" s="19" t="s">
        <v>465</v>
      </c>
      <c r="J5040" s="1"/>
    </row>
    <row r="5041" spans="1:10" x14ac:dyDescent="0.2">
      <c r="A5041" s="1" t="s">
        <v>34</v>
      </c>
      <c r="B5041" s="2" t="s">
        <v>170</v>
      </c>
      <c r="C5041" s="1"/>
      <c r="D5041" s="5" t="s">
        <v>464</v>
      </c>
      <c r="G5041" s="57" t="s">
        <v>465</v>
      </c>
      <c r="H5041" s="19" t="s">
        <v>465</v>
      </c>
      <c r="I5041" s="19">
        <v>97500</v>
      </c>
      <c r="J5041" s="1"/>
    </row>
    <row r="5042" spans="1:10" x14ac:dyDescent="0.2">
      <c r="A5042" s="1" t="s">
        <v>34</v>
      </c>
      <c r="B5042" s="2" t="s">
        <v>170</v>
      </c>
      <c r="C5042" s="1"/>
      <c r="D5042" s="5" t="s">
        <v>464</v>
      </c>
      <c r="G5042" s="57" t="s">
        <v>465</v>
      </c>
      <c r="H5042" s="19" t="s">
        <v>465</v>
      </c>
      <c r="I5042" s="19">
        <v>97500</v>
      </c>
      <c r="J5042" s="1"/>
    </row>
    <row r="5043" spans="1:10" x14ac:dyDescent="0.2">
      <c r="A5043" s="1" t="s">
        <v>25</v>
      </c>
      <c r="B5043" s="2" t="s">
        <v>174</v>
      </c>
      <c r="D5043" s="5" t="s">
        <v>464</v>
      </c>
      <c r="G5043" s="57" t="s">
        <v>465</v>
      </c>
      <c r="H5043" s="19" t="s">
        <v>465</v>
      </c>
      <c r="I5043" s="19">
        <v>92500</v>
      </c>
    </row>
    <row r="5044" spans="1:10" x14ac:dyDescent="0.2">
      <c r="A5044" s="1" t="s">
        <v>25</v>
      </c>
      <c r="B5044" s="2" t="s">
        <v>174</v>
      </c>
      <c r="D5044" s="5" t="s">
        <v>464</v>
      </c>
      <c r="G5044" s="57" t="s">
        <v>465</v>
      </c>
      <c r="H5044" s="19">
        <v>92500</v>
      </c>
      <c r="I5044" s="19" t="s">
        <v>465</v>
      </c>
      <c r="J5044" s="5" t="s">
        <v>539</v>
      </c>
    </row>
    <row r="5045" spans="1:10" x14ac:dyDescent="0.2">
      <c r="A5045" s="1" t="s">
        <v>25</v>
      </c>
      <c r="B5045" s="2" t="s">
        <v>174</v>
      </c>
      <c r="D5045" s="5" t="s">
        <v>464</v>
      </c>
      <c r="G5045" s="57" t="s">
        <v>465</v>
      </c>
      <c r="H5045" s="19" t="s">
        <v>465</v>
      </c>
      <c r="I5045" s="19">
        <v>97500</v>
      </c>
    </row>
    <row r="5046" spans="1:10" x14ac:dyDescent="0.2">
      <c r="A5046" s="1" t="s">
        <v>25</v>
      </c>
      <c r="B5046" s="2" t="s">
        <v>174</v>
      </c>
      <c r="D5046" s="5" t="s">
        <v>464</v>
      </c>
      <c r="G5046" s="57" t="s">
        <v>465</v>
      </c>
      <c r="H5046" s="19">
        <v>97500</v>
      </c>
      <c r="I5046" s="19" t="s">
        <v>465</v>
      </c>
    </row>
    <row r="5047" spans="1:10" x14ac:dyDescent="0.2">
      <c r="A5047" s="1" t="s">
        <v>25</v>
      </c>
      <c r="B5047" s="2" t="s">
        <v>175</v>
      </c>
      <c r="D5047" s="5" t="s">
        <v>464</v>
      </c>
      <c r="E5047" s="9"/>
      <c r="F5047" s="9"/>
      <c r="G5047" s="57" t="s">
        <v>465</v>
      </c>
      <c r="H5047" s="19" t="s">
        <v>465</v>
      </c>
      <c r="I5047" s="19">
        <v>92500</v>
      </c>
    </row>
    <row r="5048" spans="1:10" x14ac:dyDescent="0.2">
      <c r="A5048" s="1" t="s">
        <v>25</v>
      </c>
      <c r="B5048" s="2" t="s">
        <v>175</v>
      </c>
      <c r="D5048" s="5" t="s">
        <v>464</v>
      </c>
      <c r="G5048" s="57" t="s">
        <v>465</v>
      </c>
      <c r="H5048" s="19" t="s">
        <v>465</v>
      </c>
      <c r="I5048" s="19">
        <v>92500</v>
      </c>
    </row>
    <row r="5049" spans="1:10" x14ac:dyDescent="0.2">
      <c r="A5049" s="1" t="s">
        <v>25</v>
      </c>
      <c r="B5049" s="2" t="s">
        <v>175</v>
      </c>
      <c r="D5049" s="5" t="s">
        <v>464</v>
      </c>
      <c r="G5049" s="57" t="s">
        <v>465</v>
      </c>
      <c r="H5049" s="19" t="s">
        <v>465</v>
      </c>
      <c r="I5049" s="19">
        <v>92500</v>
      </c>
    </row>
    <row r="5050" spans="1:10" x14ac:dyDescent="0.2">
      <c r="A5050" s="1" t="s">
        <v>25</v>
      </c>
      <c r="B5050" s="2" t="s">
        <v>175</v>
      </c>
      <c r="D5050" s="5" t="s">
        <v>464</v>
      </c>
      <c r="G5050" s="57" t="s">
        <v>465</v>
      </c>
      <c r="H5050" s="19" t="s">
        <v>465</v>
      </c>
      <c r="I5050" s="19">
        <v>92500</v>
      </c>
    </row>
    <row r="5051" spans="1:10" x14ac:dyDescent="0.2">
      <c r="A5051" s="1" t="s">
        <v>25</v>
      </c>
      <c r="B5051" s="2" t="s">
        <v>175</v>
      </c>
      <c r="D5051" s="5" t="s">
        <v>464</v>
      </c>
      <c r="G5051" s="57" t="s">
        <v>465</v>
      </c>
      <c r="H5051" s="19" t="s">
        <v>465</v>
      </c>
      <c r="I5051" s="19">
        <v>92500</v>
      </c>
    </row>
    <row r="5052" spans="1:10" x14ac:dyDescent="0.2">
      <c r="A5052" s="1" t="s">
        <v>25</v>
      </c>
      <c r="B5052" s="2" t="s">
        <v>175</v>
      </c>
      <c r="D5052" s="5" t="s">
        <v>464</v>
      </c>
      <c r="G5052" s="57" t="s">
        <v>465</v>
      </c>
      <c r="H5052" s="19" t="s">
        <v>465</v>
      </c>
      <c r="I5052" s="19">
        <v>92500</v>
      </c>
    </row>
    <row r="5053" spans="1:10" x14ac:dyDescent="0.2">
      <c r="A5053" s="1" t="s">
        <v>25</v>
      </c>
      <c r="B5053" s="2" t="s">
        <v>175</v>
      </c>
      <c r="D5053" s="5" t="s">
        <v>464</v>
      </c>
      <c r="G5053" s="57" t="s">
        <v>465</v>
      </c>
      <c r="H5053" s="19" t="s">
        <v>465</v>
      </c>
      <c r="I5053" s="19">
        <v>92500</v>
      </c>
    </row>
    <row r="5054" spans="1:10" x14ac:dyDescent="0.2">
      <c r="A5054" s="1" t="s">
        <v>25</v>
      </c>
      <c r="B5054" s="2" t="s">
        <v>175</v>
      </c>
      <c r="D5054" s="5" t="s">
        <v>464</v>
      </c>
      <c r="G5054" s="57" t="s">
        <v>465</v>
      </c>
      <c r="H5054" s="19" t="s">
        <v>465</v>
      </c>
      <c r="I5054" s="19">
        <v>92500</v>
      </c>
      <c r="J5054" s="5" t="s">
        <v>1241</v>
      </c>
    </row>
    <row r="5055" spans="1:10" x14ac:dyDescent="0.2">
      <c r="A5055" s="1" t="s">
        <v>25</v>
      </c>
      <c r="B5055" s="2" t="s">
        <v>175</v>
      </c>
      <c r="D5055" s="5" t="s">
        <v>464</v>
      </c>
      <c r="G5055" s="57" t="s">
        <v>465</v>
      </c>
      <c r="H5055" s="19">
        <v>92500</v>
      </c>
      <c r="I5055" s="19" t="s">
        <v>465</v>
      </c>
    </row>
    <row r="5056" spans="1:10" x14ac:dyDescent="0.2">
      <c r="A5056" s="1" t="s">
        <v>25</v>
      </c>
      <c r="B5056" s="2" t="s">
        <v>175</v>
      </c>
      <c r="D5056" s="5" t="s">
        <v>464</v>
      </c>
      <c r="G5056" s="57" t="s">
        <v>465</v>
      </c>
      <c r="H5056" s="19">
        <v>92500</v>
      </c>
      <c r="I5056" s="19" t="s">
        <v>465</v>
      </c>
    </row>
    <row r="5057" spans="1:10" x14ac:dyDescent="0.2">
      <c r="A5057" s="1" t="s">
        <v>25</v>
      </c>
      <c r="B5057" s="2" t="s">
        <v>175</v>
      </c>
      <c r="D5057" s="5" t="s">
        <v>464</v>
      </c>
      <c r="G5057" s="57" t="s">
        <v>465</v>
      </c>
      <c r="H5057" s="19">
        <v>92500</v>
      </c>
      <c r="I5057" s="19" t="s">
        <v>465</v>
      </c>
    </row>
    <row r="5058" spans="1:10" x14ac:dyDescent="0.2">
      <c r="A5058" s="1" t="s">
        <v>25</v>
      </c>
      <c r="B5058" s="2" t="s">
        <v>175</v>
      </c>
      <c r="D5058" s="5" t="s">
        <v>464</v>
      </c>
      <c r="G5058" s="57" t="s">
        <v>465</v>
      </c>
      <c r="H5058" s="19">
        <v>92500</v>
      </c>
      <c r="I5058" s="19" t="s">
        <v>465</v>
      </c>
    </row>
    <row r="5059" spans="1:10" x14ac:dyDescent="0.2">
      <c r="A5059" s="1" t="s">
        <v>25</v>
      </c>
      <c r="B5059" s="2" t="s">
        <v>175</v>
      </c>
      <c r="D5059" s="5" t="s">
        <v>464</v>
      </c>
      <c r="G5059" s="57" t="s">
        <v>465</v>
      </c>
      <c r="H5059" s="19" t="s">
        <v>465</v>
      </c>
      <c r="I5059" s="19">
        <v>97500</v>
      </c>
      <c r="J5059" s="5" t="s">
        <v>1241</v>
      </c>
    </row>
    <row r="5060" spans="1:10" x14ac:dyDescent="0.2">
      <c r="A5060" s="1" t="s">
        <v>25</v>
      </c>
      <c r="B5060" s="2" t="s">
        <v>175</v>
      </c>
      <c r="D5060" s="5" t="s">
        <v>464</v>
      </c>
      <c r="G5060" s="57" t="s">
        <v>465</v>
      </c>
      <c r="H5060" s="19" t="s">
        <v>465</v>
      </c>
      <c r="I5060" s="19">
        <v>97500</v>
      </c>
      <c r="J5060" s="5" t="s">
        <v>1241</v>
      </c>
    </row>
    <row r="5061" spans="1:10" x14ac:dyDescent="0.2">
      <c r="A5061" s="1" t="s">
        <v>25</v>
      </c>
      <c r="B5061" s="2" t="s">
        <v>175</v>
      </c>
      <c r="D5061" s="5" t="s">
        <v>464</v>
      </c>
      <c r="G5061" s="57" t="s">
        <v>465</v>
      </c>
      <c r="H5061" s="19" t="s">
        <v>465</v>
      </c>
      <c r="I5061" s="19">
        <v>97500</v>
      </c>
    </row>
    <row r="5062" spans="1:10" x14ac:dyDescent="0.2">
      <c r="A5062" s="1" t="s">
        <v>25</v>
      </c>
      <c r="B5062" s="2" t="s">
        <v>175</v>
      </c>
      <c r="D5062" s="5" t="s">
        <v>464</v>
      </c>
      <c r="G5062" s="57" t="s">
        <v>465</v>
      </c>
      <c r="H5062" s="19" t="s">
        <v>465</v>
      </c>
      <c r="I5062" s="19">
        <v>97500</v>
      </c>
    </row>
    <row r="5063" spans="1:10" x14ac:dyDescent="0.2">
      <c r="A5063" s="1" t="s">
        <v>25</v>
      </c>
      <c r="B5063" s="2" t="s">
        <v>175</v>
      </c>
      <c r="D5063" s="5" t="s">
        <v>464</v>
      </c>
      <c r="G5063" s="57" t="s">
        <v>465</v>
      </c>
      <c r="H5063" s="19" t="s">
        <v>465</v>
      </c>
      <c r="I5063" s="19">
        <v>97500</v>
      </c>
    </row>
    <row r="5064" spans="1:10" x14ac:dyDescent="0.2">
      <c r="A5064" s="1" t="s">
        <v>25</v>
      </c>
      <c r="B5064" s="2" t="s">
        <v>175</v>
      </c>
      <c r="D5064" s="5" t="s">
        <v>464</v>
      </c>
      <c r="G5064" s="57" t="s">
        <v>465</v>
      </c>
      <c r="H5064" s="19" t="s">
        <v>465</v>
      </c>
      <c r="I5064" s="19">
        <v>97500</v>
      </c>
    </row>
    <row r="5065" spans="1:10" x14ac:dyDescent="0.2">
      <c r="A5065" s="1" t="s">
        <v>25</v>
      </c>
      <c r="B5065" s="2" t="s">
        <v>175</v>
      </c>
      <c r="D5065" s="5" t="s">
        <v>464</v>
      </c>
      <c r="G5065" s="57" t="s">
        <v>465</v>
      </c>
      <c r="H5065" s="19" t="s">
        <v>465</v>
      </c>
      <c r="I5065" s="19">
        <v>97500</v>
      </c>
    </row>
    <row r="5066" spans="1:10" x14ac:dyDescent="0.2">
      <c r="A5066" s="1" t="s">
        <v>25</v>
      </c>
      <c r="B5066" s="2" t="s">
        <v>175</v>
      </c>
      <c r="D5066" s="5" t="s">
        <v>464</v>
      </c>
      <c r="G5066" s="57" t="s">
        <v>465</v>
      </c>
      <c r="H5066" s="19" t="s">
        <v>465</v>
      </c>
      <c r="I5066" s="19">
        <v>97500</v>
      </c>
    </row>
    <row r="5067" spans="1:10" x14ac:dyDescent="0.2">
      <c r="A5067" s="1" t="s">
        <v>25</v>
      </c>
      <c r="B5067" s="2" t="s">
        <v>175</v>
      </c>
      <c r="D5067" s="5" t="s">
        <v>464</v>
      </c>
      <c r="G5067" s="57" t="s">
        <v>465</v>
      </c>
      <c r="H5067" s="19" t="s">
        <v>465</v>
      </c>
      <c r="I5067" s="19">
        <v>97500</v>
      </c>
      <c r="J5067" s="1"/>
    </row>
    <row r="5068" spans="1:10" x14ac:dyDescent="0.2">
      <c r="A5068" s="1" t="s">
        <v>25</v>
      </c>
      <c r="B5068" s="2" t="s">
        <v>175</v>
      </c>
      <c r="D5068" s="5" t="s">
        <v>464</v>
      </c>
      <c r="G5068" s="57" t="s">
        <v>465</v>
      </c>
      <c r="H5068" s="19" t="s">
        <v>465</v>
      </c>
      <c r="I5068" s="19">
        <v>97500</v>
      </c>
      <c r="J5068" s="1"/>
    </row>
    <row r="5069" spans="1:10" x14ac:dyDescent="0.2">
      <c r="A5069" s="1" t="s">
        <v>25</v>
      </c>
      <c r="B5069" s="2" t="s">
        <v>175</v>
      </c>
      <c r="D5069" s="5" t="s">
        <v>464</v>
      </c>
      <c r="G5069" s="57" t="s">
        <v>465</v>
      </c>
      <c r="H5069" s="19">
        <v>97500</v>
      </c>
      <c r="I5069" s="19" t="s">
        <v>465</v>
      </c>
      <c r="J5069" s="1"/>
    </row>
    <row r="5070" spans="1:10" x14ac:dyDescent="0.2">
      <c r="A5070" s="1" t="s">
        <v>25</v>
      </c>
      <c r="B5070" s="2" t="s">
        <v>175</v>
      </c>
      <c r="D5070" s="5" t="s">
        <v>464</v>
      </c>
      <c r="G5070" s="57" t="s">
        <v>465</v>
      </c>
      <c r="H5070" s="19">
        <v>97500</v>
      </c>
      <c r="I5070" s="19" t="s">
        <v>465</v>
      </c>
      <c r="J5070" s="1"/>
    </row>
    <row r="5071" spans="1:10" x14ac:dyDescent="0.2">
      <c r="A5071" s="1" t="s">
        <v>25</v>
      </c>
      <c r="B5071" s="2" t="s">
        <v>175</v>
      </c>
      <c r="D5071" s="5" t="s">
        <v>464</v>
      </c>
      <c r="G5071" s="57" t="s">
        <v>465</v>
      </c>
      <c r="H5071" s="19">
        <v>97500</v>
      </c>
      <c r="I5071" s="19" t="s">
        <v>465</v>
      </c>
      <c r="J5071" s="1"/>
    </row>
    <row r="5072" spans="1:10" x14ac:dyDescent="0.2">
      <c r="A5072" s="1" t="s">
        <v>25</v>
      </c>
      <c r="B5072" s="2" t="s">
        <v>175</v>
      </c>
      <c r="D5072" s="5" t="s">
        <v>464</v>
      </c>
      <c r="G5072" s="57" t="s">
        <v>465</v>
      </c>
      <c r="H5072" s="19">
        <v>97500</v>
      </c>
      <c r="I5072" s="19" t="s">
        <v>465</v>
      </c>
      <c r="J5072" s="1"/>
    </row>
    <row r="5073" spans="1:10" x14ac:dyDescent="0.2">
      <c r="A5073" s="1" t="s">
        <v>25</v>
      </c>
      <c r="B5073" s="2" t="s">
        <v>175</v>
      </c>
      <c r="D5073" s="5" t="s">
        <v>464</v>
      </c>
      <c r="G5073" s="57" t="s">
        <v>465</v>
      </c>
      <c r="H5073" s="19">
        <v>97500</v>
      </c>
      <c r="I5073" s="19" t="s">
        <v>465</v>
      </c>
      <c r="J5073" s="1"/>
    </row>
    <row r="5074" spans="1:10" x14ac:dyDescent="0.2">
      <c r="A5074" s="1" t="s">
        <v>25</v>
      </c>
      <c r="B5074" s="2" t="s">
        <v>175</v>
      </c>
      <c r="D5074" s="5" t="s">
        <v>464</v>
      </c>
      <c r="G5074" s="57" t="s">
        <v>465</v>
      </c>
      <c r="H5074" s="19">
        <v>97500</v>
      </c>
      <c r="I5074" s="19" t="s">
        <v>465</v>
      </c>
      <c r="J5074" s="1"/>
    </row>
    <row r="5075" spans="1:10" x14ac:dyDescent="0.2">
      <c r="A5075" s="1" t="s">
        <v>25</v>
      </c>
      <c r="B5075" s="2" t="s">
        <v>175</v>
      </c>
      <c r="D5075" s="5" t="s">
        <v>464</v>
      </c>
      <c r="G5075" s="57" t="s">
        <v>465</v>
      </c>
      <c r="H5075" s="19">
        <v>97500</v>
      </c>
      <c r="I5075" s="19" t="s">
        <v>465</v>
      </c>
      <c r="J5075" s="1"/>
    </row>
    <row r="5076" spans="1:10" x14ac:dyDescent="0.2">
      <c r="A5076" s="1" t="s">
        <v>25</v>
      </c>
      <c r="B5076" s="2" t="s">
        <v>175</v>
      </c>
      <c r="D5076" s="5" t="s">
        <v>464</v>
      </c>
      <c r="G5076" s="57" t="s">
        <v>465</v>
      </c>
      <c r="H5076" s="19">
        <v>97500</v>
      </c>
      <c r="I5076" s="19" t="s">
        <v>465</v>
      </c>
      <c r="J5076" s="1"/>
    </row>
    <row r="5077" spans="1:10" x14ac:dyDescent="0.2">
      <c r="A5077" s="1" t="s">
        <v>25</v>
      </c>
      <c r="B5077" s="2" t="s">
        <v>175</v>
      </c>
      <c r="D5077" s="5" t="s">
        <v>464</v>
      </c>
      <c r="G5077" s="57" t="s">
        <v>465</v>
      </c>
      <c r="H5077" s="19">
        <v>97500</v>
      </c>
      <c r="I5077" s="19" t="s">
        <v>465</v>
      </c>
      <c r="J5077" s="1"/>
    </row>
    <row r="5078" spans="1:10" x14ac:dyDescent="0.2">
      <c r="A5078" s="1" t="s">
        <v>25</v>
      </c>
      <c r="B5078" s="2" t="s">
        <v>175</v>
      </c>
      <c r="D5078" s="5" t="s">
        <v>464</v>
      </c>
      <c r="G5078" s="57" t="s">
        <v>465</v>
      </c>
      <c r="H5078" s="19">
        <v>97500</v>
      </c>
      <c r="I5078" s="19" t="s">
        <v>465</v>
      </c>
      <c r="J5078" s="1"/>
    </row>
    <row r="5079" spans="1:10" x14ac:dyDescent="0.2">
      <c r="A5079" s="1" t="s">
        <v>25</v>
      </c>
      <c r="B5079" s="2" t="s">
        <v>175</v>
      </c>
      <c r="D5079" s="5" t="s">
        <v>464</v>
      </c>
      <c r="G5079" s="57" t="s">
        <v>465</v>
      </c>
      <c r="H5079" s="19">
        <v>97500</v>
      </c>
      <c r="I5079" s="19" t="s">
        <v>465</v>
      </c>
      <c r="J5079" s="1"/>
    </row>
    <row r="5080" spans="1:10" x14ac:dyDescent="0.2">
      <c r="A5080" s="1" t="s">
        <v>25</v>
      </c>
      <c r="B5080" s="2" t="s">
        <v>175</v>
      </c>
      <c r="D5080" s="5" t="s">
        <v>464</v>
      </c>
      <c r="G5080" s="57" t="s">
        <v>465</v>
      </c>
      <c r="H5080" s="19">
        <v>97500</v>
      </c>
      <c r="I5080" s="19" t="s">
        <v>465</v>
      </c>
      <c r="J5080" s="1"/>
    </row>
    <row r="5081" spans="1:10" x14ac:dyDescent="0.2">
      <c r="A5081" s="1" t="s">
        <v>25</v>
      </c>
      <c r="B5081" s="2" t="s">
        <v>175</v>
      </c>
      <c r="D5081" s="5" t="s">
        <v>464</v>
      </c>
      <c r="G5081" s="57" t="s">
        <v>465</v>
      </c>
      <c r="H5081" s="19">
        <v>97500</v>
      </c>
      <c r="I5081" s="19" t="s">
        <v>465</v>
      </c>
      <c r="J5081" s="1"/>
    </row>
    <row r="5082" spans="1:10" x14ac:dyDescent="0.2">
      <c r="A5082" s="1" t="s">
        <v>25</v>
      </c>
      <c r="B5082" s="2" t="s">
        <v>175</v>
      </c>
      <c r="D5082" s="5" t="s">
        <v>464</v>
      </c>
      <c r="G5082" s="57" t="s">
        <v>465</v>
      </c>
      <c r="H5082" s="19">
        <v>97500</v>
      </c>
      <c r="I5082" s="19" t="s">
        <v>465</v>
      </c>
      <c r="J5082" s="1"/>
    </row>
    <row r="5083" spans="1:10" x14ac:dyDescent="0.2">
      <c r="A5083" s="1" t="s">
        <v>25</v>
      </c>
      <c r="B5083" s="2" t="s">
        <v>178</v>
      </c>
      <c r="D5083" s="5" t="s">
        <v>464</v>
      </c>
      <c r="G5083" s="57" t="s">
        <v>465</v>
      </c>
      <c r="H5083" s="19" t="s">
        <v>465</v>
      </c>
      <c r="I5083" s="19">
        <v>92500</v>
      </c>
      <c r="J5083" s="1"/>
    </row>
    <row r="5084" spans="1:10" x14ac:dyDescent="0.2">
      <c r="A5084" s="1" t="s">
        <v>25</v>
      </c>
      <c r="B5084" s="2" t="s">
        <v>178</v>
      </c>
      <c r="D5084" s="5" t="s">
        <v>464</v>
      </c>
      <c r="G5084" s="57" t="s">
        <v>465</v>
      </c>
      <c r="H5084" s="19" t="s">
        <v>465</v>
      </c>
      <c r="I5084" s="19">
        <v>92500</v>
      </c>
      <c r="J5084" s="1"/>
    </row>
    <row r="5085" spans="1:10" x14ac:dyDescent="0.2">
      <c r="A5085" s="1" t="s">
        <v>25</v>
      </c>
      <c r="B5085" s="2" t="s">
        <v>178</v>
      </c>
      <c r="D5085" s="5" t="s">
        <v>464</v>
      </c>
      <c r="G5085" s="57" t="s">
        <v>465</v>
      </c>
      <c r="H5085" s="19" t="s">
        <v>465</v>
      </c>
      <c r="I5085" s="19">
        <v>92500</v>
      </c>
      <c r="J5085" s="1"/>
    </row>
    <row r="5086" spans="1:10" x14ac:dyDescent="0.2">
      <c r="A5086" s="1" t="s">
        <v>25</v>
      </c>
      <c r="B5086" s="2" t="s">
        <v>178</v>
      </c>
      <c r="D5086" s="5" t="s">
        <v>464</v>
      </c>
      <c r="G5086" s="57" t="s">
        <v>465</v>
      </c>
      <c r="H5086" s="19" t="s">
        <v>465</v>
      </c>
      <c r="I5086" s="19">
        <v>92500</v>
      </c>
      <c r="J5086" s="1"/>
    </row>
    <row r="5087" spans="1:10" x14ac:dyDescent="0.2">
      <c r="A5087" s="1" t="s">
        <v>25</v>
      </c>
      <c r="B5087" s="2" t="s">
        <v>178</v>
      </c>
      <c r="D5087" s="5" t="s">
        <v>464</v>
      </c>
      <c r="G5087" s="57" t="s">
        <v>465</v>
      </c>
      <c r="H5087" s="19" t="s">
        <v>465</v>
      </c>
      <c r="I5087" s="19">
        <v>92500</v>
      </c>
      <c r="J5087" s="1"/>
    </row>
    <row r="5088" spans="1:10" x14ac:dyDescent="0.2">
      <c r="A5088" s="1" t="s">
        <v>25</v>
      </c>
      <c r="B5088" s="2" t="s">
        <v>178</v>
      </c>
      <c r="D5088" s="5" t="s">
        <v>464</v>
      </c>
      <c r="G5088" s="57" t="s">
        <v>465</v>
      </c>
      <c r="H5088" s="19" t="s">
        <v>465</v>
      </c>
      <c r="I5088" s="19">
        <v>92500</v>
      </c>
      <c r="J5088" s="1"/>
    </row>
    <row r="5089" spans="1:10" x14ac:dyDescent="0.2">
      <c r="A5089" s="1" t="s">
        <v>25</v>
      </c>
      <c r="B5089" s="2" t="s">
        <v>178</v>
      </c>
      <c r="D5089" s="5" t="s">
        <v>464</v>
      </c>
      <c r="G5089" s="57" t="s">
        <v>465</v>
      </c>
      <c r="H5089" s="19" t="s">
        <v>465</v>
      </c>
      <c r="I5089" s="19">
        <v>92500</v>
      </c>
      <c r="J5089" s="1"/>
    </row>
    <row r="5090" spans="1:10" x14ac:dyDescent="0.2">
      <c r="A5090" s="1" t="s">
        <v>25</v>
      </c>
      <c r="B5090" s="2" t="s">
        <v>178</v>
      </c>
      <c r="D5090" s="5" t="s">
        <v>464</v>
      </c>
      <c r="G5090" s="57" t="s">
        <v>465</v>
      </c>
      <c r="H5090" s="19" t="s">
        <v>465</v>
      </c>
      <c r="I5090" s="19">
        <v>92500</v>
      </c>
      <c r="J5090" s="1"/>
    </row>
    <row r="5091" spans="1:10" x14ac:dyDescent="0.2">
      <c r="A5091" s="1" t="s">
        <v>25</v>
      </c>
      <c r="B5091" s="2" t="s">
        <v>178</v>
      </c>
      <c r="D5091" s="5" t="s">
        <v>464</v>
      </c>
      <c r="G5091" s="57" t="s">
        <v>465</v>
      </c>
      <c r="H5091" s="19" t="s">
        <v>465</v>
      </c>
      <c r="I5091" s="19">
        <v>92500</v>
      </c>
      <c r="J5091" s="1"/>
    </row>
    <row r="5092" spans="1:10" x14ac:dyDescent="0.2">
      <c r="A5092" s="1" t="s">
        <v>25</v>
      </c>
      <c r="B5092" s="2" t="s">
        <v>178</v>
      </c>
      <c r="D5092" s="5" t="s">
        <v>464</v>
      </c>
      <c r="G5092" s="57" t="s">
        <v>465</v>
      </c>
      <c r="H5092" s="19" t="s">
        <v>465</v>
      </c>
      <c r="I5092" s="19">
        <v>92500</v>
      </c>
      <c r="J5092" s="1"/>
    </row>
    <row r="5093" spans="1:10" x14ac:dyDescent="0.2">
      <c r="A5093" s="1" t="s">
        <v>25</v>
      </c>
      <c r="B5093" s="2" t="s">
        <v>178</v>
      </c>
      <c r="D5093" s="5" t="s">
        <v>464</v>
      </c>
      <c r="G5093" s="57" t="s">
        <v>465</v>
      </c>
      <c r="H5093" s="19" t="s">
        <v>465</v>
      </c>
      <c r="I5093" s="19">
        <v>92500</v>
      </c>
      <c r="J5093" s="1"/>
    </row>
    <row r="5094" spans="1:10" x14ac:dyDescent="0.2">
      <c r="A5094" s="1" t="s">
        <v>25</v>
      </c>
      <c r="B5094" s="2" t="s">
        <v>178</v>
      </c>
      <c r="D5094" s="5" t="s">
        <v>464</v>
      </c>
      <c r="G5094" s="57" t="s">
        <v>465</v>
      </c>
      <c r="H5094" s="19" t="s">
        <v>465</v>
      </c>
      <c r="I5094" s="19">
        <v>92500</v>
      </c>
      <c r="J5094" s="1"/>
    </row>
    <row r="5095" spans="1:10" x14ac:dyDescent="0.2">
      <c r="A5095" s="1" t="s">
        <v>25</v>
      </c>
      <c r="B5095" s="2" t="s">
        <v>178</v>
      </c>
      <c r="D5095" s="5" t="s">
        <v>464</v>
      </c>
      <c r="G5095" s="57" t="s">
        <v>465</v>
      </c>
      <c r="H5095" s="19">
        <v>92500</v>
      </c>
      <c r="I5095" s="19" t="s">
        <v>465</v>
      </c>
      <c r="J5095" s="1"/>
    </row>
    <row r="5096" spans="1:10" x14ac:dyDescent="0.2">
      <c r="A5096" s="1" t="s">
        <v>25</v>
      </c>
      <c r="B5096" s="2" t="s">
        <v>178</v>
      </c>
      <c r="D5096" s="5" t="s">
        <v>464</v>
      </c>
      <c r="G5096" s="57" t="s">
        <v>465</v>
      </c>
      <c r="H5096" s="19">
        <v>92500</v>
      </c>
      <c r="I5096" s="19" t="s">
        <v>465</v>
      </c>
      <c r="J5096" s="1"/>
    </row>
    <row r="5097" spans="1:10" x14ac:dyDescent="0.2">
      <c r="A5097" s="1" t="s">
        <v>25</v>
      </c>
      <c r="B5097" s="2" t="s">
        <v>178</v>
      </c>
      <c r="D5097" s="5" t="s">
        <v>464</v>
      </c>
      <c r="G5097" s="57" t="s">
        <v>465</v>
      </c>
      <c r="H5097" s="19">
        <v>92500</v>
      </c>
      <c r="I5097" s="19" t="s">
        <v>465</v>
      </c>
      <c r="J5097" s="1"/>
    </row>
    <row r="5098" spans="1:10" x14ac:dyDescent="0.2">
      <c r="A5098" s="1" t="s">
        <v>25</v>
      </c>
      <c r="B5098" s="2" t="s">
        <v>178</v>
      </c>
      <c r="D5098" s="5" t="s">
        <v>464</v>
      </c>
      <c r="G5098" s="57" t="s">
        <v>465</v>
      </c>
      <c r="H5098" s="19">
        <v>92500</v>
      </c>
      <c r="I5098" s="19" t="s">
        <v>465</v>
      </c>
      <c r="J5098" s="1"/>
    </row>
    <row r="5099" spans="1:10" x14ac:dyDescent="0.2">
      <c r="A5099" s="1" t="s">
        <v>25</v>
      </c>
      <c r="B5099" s="2" t="s">
        <v>178</v>
      </c>
      <c r="D5099" s="5" t="s">
        <v>464</v>
      </c>
      <c r="G5099" s="57" t="s">
        <v>465</v>
      </c>
      <c r="H5099" s="19">
        <v>92500</v>
      </c>
      <c r="I5099" s="19" t="s">
        <v>465</v>
      </c>
      <c r="J5099" s="1"/>
    </row>
    <row r="5100" spans="1:10" x14ac:dyDescent="0.2">
      <c r="A5100" s="1" t="s">
        <v>25</v>
      </c>
      <c r="B5100" s="2" t="s">
        <v>178</v>
      </c>
      <c r="D5100" s="5" t="s">
        <v>464</v>
      </c>
      <c r="G5100" s="57" t="s">
        <v>465</v>
      </c>
      <c r="H5100" s="19" t="s">
        <v>465</v>
      </c>
      <c r="I5100" s="19">
        <v>97500</v>
      </c>
      <c r="J5100" s="1"/>
    </row>
    <row r="5101" spans="1:10" x14ac:dyDescent="0.2">
      <c r="A5101" s="1" t="s">
        <v>25</v>
      </c>
      <c r="B5101" s="2" t="s">
        <v>178</v>
      </c>
      <c r="D5101" s="5" t="s">
        <v>464</v>
      </c>
      <c r="G5101" s="57" t="s">
        <v>465</v>
      </c>
      <c r="H5101" s="19" t="s">
        <v>465</v>
      </c>
      <c r="I5101" s="19">
        <v>97500</v>
      </c>
      <c r="J5101" s="1"/>
    </row>
    <row r="5102" spans="1:10" x14ac:dyDescent="0.2">
      <c r="A5102" s="1" t="s">
        <v>25</v>
      </c>
      <c r="B5102" s="2" t="s">
        <v>178</v>
      </c>
      <c r="D5102" s="5" t="s">
        <v>464</v>
      </c>
      <c r="G5102" s="57" t="s">
        <v>465</v>
      </c>
      <c r="H5102" s="19" t="s">
        <v>465</v>
      </c>
      <c r="I5102" s="19">
        <v>97500</v>
      </c>
      <c r="J5102" s="1"/>
    </row>
    <row r="5103" spans="1:10" x14ac:dyDescent="0.2">
      <c r="A5103" s="1" t="s">
        <v>25</v>
      </c>
      <c r="B5103" s="2" t="s">
        <v>178</v>
      </c>
      <c r="D5103" s="5" t="s">
        <v>464</v>
      </c>
      <c r="G5103" s="57" t="s">
        <v>465</v>
      </c>
      <c r="H5103" s="19" t="s">
        <v>465</v>
      </c>
      <c r="I5103" s="19">
        <v>97500</v>
      </c>
      <c r="J5103" s="1"/>
    </row>
    <row r="5104" spans="1:10" x14ac:dyDescent="0.2">
      <c r="A5104" s="1" t="s">
        <v>25</v>
      </c>
      <c r="B5104" s="2" t="s">
        <v>178</v>
      </c>
      <c r="D5104" s="5" t="s">
        <v>464</v>
      </c>
      <c r="G5104" s="57" t="s">
        <v>465</v>
      </c>
      <c r="H5104" s="19" t="s">
        <v>465</v>
      </c>
      <c r="I5104" s="19">
        <v>97500</v>
      </c>
      <c r="J5104" s="1"/>
    </row>
    <row r="5105" spans="1:10" x14ac:dyDescent="0.2">
      <c r="A5105" s="1" t="s">
        <v>25</v>
      </c>
      <c r="B5105" s="2" t="s">
        <v>178</v>
      </c>
      <c r="D5105" s="5" t="s">
        <v>464</v>
      </c>
      <c r="G5105" s="57" t="s">
        <v>465</v>
      </c>
      <c r="H5105" s="19" t="s">
        <v>465</v>
      </c>
      <c r="I5105" s="19">
        <v>97500</v>
      </c>
      <c r="J5105" s="1"/>
    </row>
    <row r="5106" spans="1:10" x14ac:dyDescent="0.2">
      <c r="A5106" s="1" t="s">
        <v>25</v>
      </c>
      <c r="B5106" s="2" t="s">
        <v>178</v>
      </c>
      <c r="D5106" s="5" t="s">
        <v>464</v>
      </c>
      <c r="G5106" s="57" t="s">
        <v>465</v>
      </c>
      <c r="H5106" s="19">
        <v>97500</v>
      </c>
      <c r="I5106" s="19" t="s">
        <v>465</v>
      </c>
      <c r="J5106" s="1"/>
    </row>
    <row r="5107" spans="1:10" x14ac:dyDescent="0.2">
      <c r="A5107" s="1" t="s">
        <v>25</v>
      </c>
      <c r="B5107" s="2" t="s">
        <v>178</v>
      </c>
      <c r="D5107" s="5" t="s">
        <v>464</v>
      </c>
      <c r="G5107" s="57" t="s">
        <v>465</v>
      </c>
      <c r="H5107" s="19">
        <v>97500</v>
      </c>
      <c r="I5107" s="19" t="s">
        <v>465</v>
      </c>
      <c r="J5107" s="1"/>
    </row>
    <row r="5108" spans="1:10" x14ac:dyDescent="0.2">
      <c r="A5108" s="1" t="s">
        <v>25</v>
      </c>
      <c r="B5108" s="2" t="s">
        <v>178</v>
      </c>
      <c r="D5108" s="5" t="s">
        <v>464</v>
      </c>
      <c r="G5108" s="57" t="s">
        <v>465</v>
      </c>
      <c r="H5108" s="19">
        <v>97500</v>
      </c>
      <c r="I5108" s="19" t="s">
        <v>465</v>
      </c>
      <c r="J5108" s="1"/>
    </row>
    <row r="5109" spans="1:10" x14ac:dyDescent="0.2">
      <c r="A5109" s="1" t="s">
        <v>25</v>
      </c>
      <c r="B5109" s="2" t="s">
        <v>178</v>
      </c>
      <c r="D5109" s="5" t="s">
        <v>464</v>
      </c>
      <c r="G5109" s="57" t="s">
        <v>465</v>
      </c>
      <c r="H5109" s="19">
        <v>97500</v>
      </c>
      <c r="I5109" s="19" t="s">
        <v>465</v>
      </c>
      <c r="J5109" s="1"/>
    </row>
    <row r="5110" spans="1:10" x14ac:dyDescent="0.2">
      <c r="A5110" s="1" t="s">
        <v>6</v>
      </c>
      <c r="B5110" s="2" t="s">
        <v>179</v>
      </c>
      <c r="D5110" s="5" t="s">
        <v>464</v>
      </c>
      <c r="G5110" s="57" t="s">
        <v>465</v>
      </c>
      <c r="H5110" s="19" t="s">
        <v>465</v>
      </c>
      <c r="I5110" s="19">
        <v>92500</v>
      </c>
    </row>
    <row r="5111" spans="1:10" x14ac:dyDescent="0.2">
      <c r="A5111" s="1" t="s">
        <v>6</v>
      </c>
      <c r="B5111" s="2" t="s">
        <v>179</v>
      </c>
      <c r="D5111" s="5" t="s">
        <v>464</v>
      </c>
      <c r="G5111" s="57" t="s">
        <v>465</v>
      </c>
      <c r="H5111" s="19" t="s">
        <v>465</v>
      </c>
      <c r="I5111" s="19">
        <v>92500</v>
      </c>
    </row>
    <row r="5112" spans="1:10" ht="25.5" x14ac:dyDescent="0.2">
      <c r="A5112" s="1" t="s">
        <v>25</v>
      </c>
      <c r="B5112" s="2" t="s">
        <v>181</v>
      </c>
      <c r="D5112" s="5" t="s">
        <v>464</v>
      </c>
      <c r="G5112" s="57" t="s">
        <v>465</v>
      </c>
      <c r="H5112" s="19">
        <v>92500</v>
      </c>
      <c r="I5112" s="19" t="s">
        <v>465</v>
      </c>
      <c r="J5112" s="5" t="s">
        <v>3549</v>
      </c>
    </row>
    <row r="5113" spans="1:10" x14ac:dyDescent="0.2">
      <c r="A5113" s="1" t="s">
        <v>25</v>
      </c>
      <c r="B5113" s="2" t="s">
        <v>181</v>
      </c>
      <c r="D5113" s="5" t="s">
        <v>464</v>
      </c>
      <c r="G5113" s="57" t="s">
        <v>465</v>
      </c>
      <c r="H5113" s="19">
        <v>92500</v>
      </c>
      <c r="I5113" s="19" t="s">
        <v>465</v>
      </c>
    </row>
    <row r="5114" spans="1:10" x14ac:dyDescent="0.2">
      <c r="A5114" s="1" t="s">
        <v>25</v>
      </c>
      <c r="B5114" s="2" t="s">
        <v>181</v>
      </c>
      <c r="D5114" s="5" t="s">
        <v>464</v>
      </c>
      <c r="G5114" s="57" t="s">
        <v>465</v>
      </c>
      <c r="H5114" s="19">
        <v>92500</v>
      </c>
      <c r="I5114" s="19" t="s">
        <v>465</v>
      </c>
    </row>
    <row r="5115" spans="1:10" x14ac:dyDescent="0.2">
      <c r="A5115" s="1" t="s">
        <v>25</v>
      </c>
      <c r="B5115" s="2" t="s">
        <v>181</v>
      </c>
      <c r="D5115" s="5" t="s">
        <v>464</v>
      </c>
      <c r="G5115" s="57" t="s">
        <v>465</v>
      </c>
      <c r="H5115" s="19">
        <v>92500</v>
      </c>
      <c r="I5115" s="19" t="s">
        <v>465</v>
      </c>
    </row>
    <row r="5116" spans="1:10" x14ac:dyDescent="0.2">
      <c r="A5116" s="1" t="s">
        <v>25</v>
      </c>
      <c r="B5116" s="2" t="s">
        <v>181</v>
      </c>
      <c r="D5116" s="5" t="s">
        <v>464</v>
      </c>
      <c r="G5116" s="57" t="s">
        <v>465</v>
      </c>
      <c r="H5116" s="19">
        <v>92500</v>
      </c>
      <c r="I5116" s="19" t="s">
        <v>465</v>
      </c>
    </row>
    <row r="5117" spans="1:10" x14ac:dyDescent="0.2">
      <c r="A5117" s="1" t="s">
        <v>25</v>
      </c>
      <c r="B5117" s="2" t="s">
        <v>181</v>
      </c>
      <c r="D5117" s="5" t="s">
        <v>464</v>
      </c>
      <c r="G5117" s="57" t="s">
        <v>465</v>
      </c>
      <c r="H5117" s="19">
        <v>92500</v>
      </c>
      <c r="I5117" s="19" t="s">
        <v>465</v>
      </c>
    </row>
    <row r="5118" spans="1:10" x14ac:dyDescent="0.2">
      <c r="A5118" s="1" t="s">
        <v>25</v>
      </c>
      <c r="B5118" s="2" t="s">
        <v>181</v>
      </c>
      <c r="D5118" s="5" t="s">
        <v>464</v>
      </c>
      <c r="G5118" s="57" t="s">
        <v>465</v>
      </c>
      <c r="H5118" s="19">
        <v>92500</v>
      </c>
      <c r="I5118" s="19" t="s">
        <v>465</v>
      </c>
    </row>
    <row r="5119" spans="1:10" x14ac:dyDescent="0.2">
      <c r="A5119" s="1" t="s">
        <v>25</v>
      </c>
      <c r="B5119" s="2" t="s">
        <v>181</v>
      </c>
      <c r="D5119" s="5" t="s">
        <v>464</v>
      </c>
      <c r="G5119" s="57" t="s">
        <v>465</v>
      </c>
      <c r="H5119" s="19">
        <v>92500</v>
      </c>
      <c r="I5119" s="19" t="s">
        <v>465</v>
      </c>
    </row>
    <row r="5120" spans="1:10" x14ac:dyDescent="0.2">
      <c r="A5120" s="1" t="s">
        <v>25</v>
      </c>
      <c r="B5120" s="2" t="s">
        <v>181</v>
      </c>
      <c r="D5120" s="5" t="s">
        <v>464</v>
      </c>
      <c r="G5120" s="57" t="s">
        <v>465</v>
      </c>
      <c r="H5120" s="19">
        <v>92500</v>
      </c>
      <c r="I5120" s="19" t="s">
        <v>465</v>
      </c>
    </row>
    <row r="5121" spans="1:10" x14ac:dyDescent="0.2">
      <c r="A5121" s="1" t="s">
        <v>25</v>
      </c>
      <c r="B5121" s="2" t="s">
        <v>181</v>
      </c>
      <c r="D5121" s="5" t="s">
        <v>464</v>
      </c>
      <c r="G5121" s="57" t="s">
        <v>465</v>
      </c>
      <c r="H5121" s="19">
        <v>92500</v>
      </c>
      <c r="I5121" s="19" t="s">
        <v>465</v>
      </c>
      <c r="J5121" s="5" t="s">
        <v>1488</v>
      </c>
    </row>
    <row r="5122" spans="1:10" x14ac:dyDescent="0.2">
      <c r="A5122" s="1" t="s">
        <v>25</v>
      </c>
      <c r="B5122" s="2" t="s">
        <v>181</v>
      </c>
      <c r="D5122" s="5" t="s">
        <v>464</v>
      </c>
      <c r="G5122" s="57" t="s">
        <v>465</v>
      </c>
      <c r="H5122" s="19" t="s">
        <v>465</v>
      </c>
      <c r="I5122" s="19">
        <v>92500</v>
      </c>
      <c r="J5122" s="5" t="s">
        <v>1488</v>
      </c>
    </row>
    <row r="5123" spans="1:10" x14ac:dyDescent="0.2">
      <c r="A5123" s="1" t="s">
        <v>25</v>
      </c>
      <c r="B5123" s="2" t="s">
        <v>181</v>
      </c>
      <c r="D5123" s="5" t="s">
        <v>464</v>
      </c>
      <c r="G5123" s="57" t="s">
        <v>465</v>
      </c>
      <c r="H5123" s="19" t="s">
        <v>465</v>
      </c>
      <c r="I5123" s="19">
        <v>92500</v>
      </c>
      <c r="J5123" s="5" t="s">
        <v>1488</v>
      </c>
    </row>
    <row r="5124" spans="1:10" x14ac:dyDescent="0.2">
      <c r="A5124" s="1" t="s">
        <v>25</v>
      </c>
      <c r="B5124" s="2" t="s">
        <v>181</v>
      </c>
      <c r="D5124" s="5" t="s">
        <v>464</v>
      </c>
      <c r="G5124" s="57" t="s">
        <v>465</v>
      </c>
      <c r="H5124" s="19" t="s">
        <v>465</v>
      </c>
      <c r="I5124" s="19">
        <v>92500</v>
      </c>
    </row>
    <row r="5125" spans="1:10" x14ac:dyDescent="0.2">
      <c r="A5125" s="1" t="s">
        <v>25</v>
      </c>
      <c r="B5125" s="2" t="s">
        <v>181</v>
      </c>
      <c r="D5125" s="5" t="s">
        <v>464</v>
      </c>
      <c r="G5125" s="57" t="s">
        <v>465</v>
      </c>
      <c r="H5125" s="19" t="s">
        <v>465</v>
      </c>
      <c r="I5125" s="19">
        <v>92500</v>
      </c>
    </row>
    <row r="5126" spans="1:10" x14ac:dyDescent="0.2">
      <c r="A5126" s="1" t="s">
        <v>25</v>
      </c>
      <c r="B5126" s="2" t="s">
        <v>181</v>
      </c>
      <c r="D5126" s="5" t="s">
        <v>464</v>
      </c>
      <c r="G5126" s="57" t="s">
        <v>465</v>
      </c>
      <c r="H5126" s="19" t="s">
        <v>465</v>
      </c>
      <c r="I5126" s="19">
        <v>92500</v>
      </c>
    </row>
    <row r="5127" spans="1:10" x14ac:dyDescent="0.2">
      <c r="A5127" s="1" t="s">
        <v>25</v>
      </c>
      <c r="B5127" s="2" t="s">
        <v>181</v>
      </c>
      <c r="D5127" s="5" t="s">
        <v>464</v>
      </c>
      <c r="G5127" s="57" t="s">
        <v>465</v>
      </c>
      <c r="H5127" s="19" t="s">
        <v>465</v>
      </c>
      <c r="I5127" s="19">
        <v>92500</v>
      </c>
    </row>
    <row r="5128" spans="1:10" x14ac:dyDescent="0.2">
      <c r="A5128" s="1" t="s">
        <v>25</v>
      </c>
      <c r="B5128" s="2" t="s">
        <v>181</v>
      </c>
      <c r="D5128" s="5" t="s">
        <v>464</v>
      </c>
      <c r="G5128" s="57" t="s">
        <v>465</v>
      </c>
      <c r="H5128" s="19" t="s">
        <v>465</v>
      </c>
      <c r="I5128" s="19">
        <v>92500</v>
      </c>
    </row>
    <row r="5129" spans="1:10" x14ac:dyDescent="0.2">
      <c r="A5129" s="1" t="s">
        <v>25</v>
      </c>
      <c r="B5129" s="2" t="s">
        <v>181</v>
      </c>
      <c r="D5129" s="5" t="s">
        <v>464</v>
      </c>
      <c r="G5129" s="57" t="s">
        <v>465</v>
      </c>
      <c r="H5129" s="19" t="s">
        <v>465</v>
      </c>
      <c r="I5129" s="19">
        <v>92500</v>
      </c>
    </row>
    <row r="5130" spans="1:10" x14ac:dyDescent="0.2">
      <c r="A5130" s="1" t="s">
        <v>25</v>
      </c>
      <c r="B5130" s="2" t="s">
        <v>181</v>
      </c>
      <c r="D5130" s="5" t="s">
        <v>464</v>
      </c>
      <c r="G5130" s="57" t="s">
        <v>465</v>
      </c>
      <c r="H5130" s="19">
        <v>97500</v>
      </c>
      <c r="I5130" s="19" t="s">
        <v>465</v>
      </c>
    </row>
    <row r="5131" spans="1:10" x14ac:dyDescent="0.2">
      <c r="A5131" s="1" t="s">
        <v>25</v>
      </c>
      <c r="B5131" s="2" t="s">
        <v>181</v>
      </c>
      <c r="D5131" s="5" t="s">
        <v>464</v>
      </c>
      <c r="G5131" s="57" t="s">
        <v>465</v>
      </c>
      <c r="H5131" s="19">
        <v>97500</v>
      </c>
      <c r="I5131" s="19" t="s">
        <v>465</v>
      </c>
    </row>
    <row r="5132" spans="1:10" x14ac:dyDescent="0.2">
      <c r="A5132" s="1" t="s">
        <v>25</v>
      </c>
      <c r="B5132" s="2" t="s">
        <v>181</v>
      </c>
      <c r="D5132" s="5" t="s">
        <v>464</v>
      </c>
      <c r="G5132" s="57" t="s">
        <v>465</v>
      </c>
      <c r="H5132" s="19">
        <v>97500</v>
      </c>
      <c r="I5132" s="19" t="s">
        <v>465</v>
      </c>
    </row>
    <row r="5133" spans="1:10" x14ac:dyDescent="0.2">
      <c r="A5133" s="1" t="s">
        <v>25</v>
      </c>
      <c r="B5133" s="2" t="s">
        <v>181</v>
      </c>
      <c r="D5133" s="5" t="s">
        <v>464</v>
      </c>
      <c r="G5133" s="57" t="s">
        <v>465</v>
      </c>
      <c r="H5133" s="19">
        <v>97500</v>
      </c>
      <c r="I5133" s="19" t="s">
        <v>465</v>
      </c>
    </row>
    <row r="5134" spans="1:10" x14ac:dyDescent="0.2">
      <c r="A5134" s="1" t="s">
        <v>25</v>
      </c>
      <c r="B5134" s="2" t="s">
        <v>181</v>
      </c>
      <c r="D5134" s="5" t="s">
        <v>464</v>
      </c>
      <c r="G5134" s="57" t="s">
        <v>465</v>
      </c>
      <c r="H5134" s="19">
        <v>97500</v>
      </c>
      <c r="I5134" s="19" t="s">
        <v>465</v>
      </c>
    </row>
    <row r="5135" spans="1:10" x14ac:dyDescent="0.2">
      <c r="A5135" s="1" t="s">
        <v>25</v>
      </c>
      <c r="B5135" s="2" t="s">
        <v>181</v>
      </c>
      <c r="D5135" s="5" t="s">
        <v>464</v>
      </c>
      <c r="G5135" s="57" t="s">
        <v>465</v>
      </c>
      <c r="H5135" s="19">
        <v>97500</v>
      </c>
      <c r="I5135" s="19" t="s">
        <v>465</v>
      </c>
    </row>
    <row r="5136" spans="1:10" x14ac:dyDescent="0.2">
      <c r="A5136" s="1" t="s">
        <v>25</v>
      </c>
      <c r="B5136" s="2" t="s">
        <v>181</v>
      </c>
      <c r="D5136" s="5" t="s">
        <v>464</v>
      </c>
      <c r="G5136" s="57" t="s">
        <v>465</v>
      </c>
      <c r="H5136" s="19" t="s">
        <v>465</v>
      </c>
      <c r="I5136" s="19">
        <v>97500</v>
      </c>
      <c r="J5136" s="5" t="s">
        <v>1488</v>
      </c>
    </row>
    <row r="5137" spans="1:10" x14ac:dyDescent="0.2">
      <c r="A5137" s="1" t="s">
        <v>25</v>
      </c>
      <c r="B5137" s="2" t="s">
        <v>181</v>
      </c>
      <c r="D5137" s="5" t="s">
        <v>464</v>
      </c>
      <c r="G5137" s="57" t="s">
        <v>465</v>
      </c>
      <c r="H5137" s="19" t="s">
        <v>465</v>
      </c>
      <c r="I5137" s="19">
        <v>97500</v>
      </c>
    </row>
    <row r="5138" spans="1:10" x14ac:dyDescent="0.2">
      <c r="A5138" s="1" t="s">
        <v>25</v>
      </c>
      <c r="B5138" s="2" t="s">
        <v>181</v>
      </c>
      <c r="D5138" s="5" t="s">
        <v>464</v>
      </c>
      <c r="G5138" s="57" t="s">
        <v>465</v>
      </c>
      <c r="H5138" s="19" t="s">
        <v>465</v>
      </c>
      <c r="I5138" s="19">
        <v>97500</v>
      </c>
    </row>
    <row r="5139" spans="1:10" x14ac:dyDescent="0.2">
      <c r="A5139" s="1" t="s">
        <v>25</v>
      </c>
      <c r="B5139" s="2" t="s">
        <v>181</v>
      </c>
      <c r="D5139" s="5" t="s">
        <v>464</v>
      </c>
      <c r="G5139" s="57" t="s">
        <v>465</v>
      </c>
      <c r="H5139" s="19" t="s">
        <v>465</v>
      </c>
      <c r="I5139" s="19">
        <v>97500</v>
      </c>
    </row>
    <row r="5140" spans="1:10" x14ac:dyDescent="0.2">
      <c r="A5140" s="1" t="s">
        <v>25</v>
      </c>
      <c r="B5140" s="2" t="s">
        <v>181</v>
      </c>
      <c r="D5140" s="5" t="s">
        <v>464</v>
      </c>
      <c r="G5140" s="57" t="s">
        <v>465</v>
      </c>
      <c r="H5140" s="19" t="s">
        <v>465</v>
      </c>
      <c r="I5140" s="19">
        <v>97500</v>
      </c>
    </row>
    <row r="5141" spans="1:10" x14ac:dyDescent="0.2">
      <c r="A5141" s="1" t="s">
        <v>25</v>
      </c>
      <c r="B5141" s="2" t="s">
        <v>181</v>
      </c>
      <c r="D5141" s="5" t="s">
        <v>464</v>
      </c>
      <c r="G5141" s="57" t="s">
        <v>465</v>
      </c>
      <c r="H5141" s="19" t="s">
        <v>465</v>
      </c>
      <c r="I5141" s="19">
        <v>97500</v>
      </c>
    </row>
    <row r="5142" spans="1:10" x14ac:dyDescent="0.2">
      <c r="A5142" s="1" t="s">
        <v>25</v>
      </c>
      <c r="B5142" s="2" t="s">
        <v>181</v>
      </c>
      <c r="D5142" s="5" t="s">
        <v>464</v>
      </c>
      <c r="G5142" s="57" t="s">
        <v>465</v>
      </c>
      <c r="H5142" s="19" t="s">
        <v>465</v>
      </c>
      <c r="I5142" s="19">
        <v>97500</v>
      </c>
    </row>
    <row r="5143" spans="1:10" x14ac:dyDescent="0.2">
      <c r="A5143" s="1" t="s">
        <v>25</v>
      </c>
      <c r="B5143" s="2" t="s">
        <v>181</v>
      </c>
      <c r="D5143" s="5" t="s">
        <v>464</v>
      </c>
      <c r="G5143" s="57" t="s">
        <v>465</v>
      </c>
      <c r="H5143" s="19" t="s">
        <v>465</v>
      </c>
      <c r="I5143" s="19">
        <v>97500</v>
      </c>
    </row>
    <row r="5144" spans="1:10" x14ac:dyDescent="0.2">
      <c r="A5144" s="1" t="s">
        <v>25</v>
      </c>
      <c r="B5144" s="2" t="s">
        <v>181</v>
      </c>
      <c r="D5144" s="5" t="s">
        <v>464</v>
      </c>
      <c r="G5144" s="57" t="s">
        <v>465</v>
      </c>
      <c r="H5144" s="19" t="s">
        <v>465</v>
      </c>
      <c r="I5144" s="19">
        <v>97500</v>
      </c>
    </row>
    <row r="5145" spans="1:10" x14ac:dyDescent="0.2">
      <c r="A5145" s="1" t="s">
        <v>4</v>
      </c>
      <c r="B5145" s="2" t="s">
        <v>182</v>
      </c>
      <c r="D5145" s="5" t="s">
        <v>464</v>
      </c>
      <c r="G5145" s="57" t="s">
        <v>465</v>
      </c>
      <c r="H5145" s="19" t="s">
        <v>465</v>
      </c>
      <c r="I5145" s="19">
        <v>92500</v>
      </c>
    </row>
    <row r="5146" spans="1:10" x14ac:dyDescent="0.2">
      <c r="A5146" s="1" t="s">
        <v>4</v>
      </c>
      <c r="B5146" s="2" t="s">
        <v>182</v>
      </c>
      <c r="D5146" s="5" t="s">
        <v>464</v>
      </c>
      <c r="G5146" s="57" t="s">
        <v>465</v>
      </c>
      <c r="H5146" s="19" t="s">
        <v>465</v>
      </c>
      <c r="I5146" s="19">
        <v>92500</v>
      </c>
    </row>
    <row r="5147" spans="1:10" x14ac:dyDescent="0.2">
      <c r="A5147" s="1" t="s">
        <v>4</v>
      </c>
      <c r="B5147" s="2" t="s">
        <v>182</v>
      </c>
      <c r="D5147" s="5" t="s">
        <v>464</v>
      </c>
      <c r="G5147" s="57" t="s">
        <v>465</v>
      </c>
      <c r="H5147" s="19" t="s">
        <v>465</v>
      </c>
      <c r="I5147" s="19">
        <v>92500</v>
      </c>
    </row>
    <row r="5148" spans="1:10" x14ac:dyDescent="0.2">
      <c r="A5148" s="1" t="s">
        <v>4</v>
      </c>
      <c r="B5148" s="2" t="s">
        <v>182</v>
      </c>
      <c r="D5148" s="5" t="s">
        <v>464</v>
      </c>
      <c r="G5148" s="57" t="s">
        <v>465</v>
      </c>
      <c r="H5148" s="19" t="s">
        <v>465</v>
      </c>
      <c r="I5148" s="19">
        <v>92500</v>
      </c>
      <c r="J5148" s="5" t="s">
        <v>1475</v>
      </c>
    </row>
    <row r="5149" spans="1:10" x14ac:dyDescent="0.2">
      <c r="A5149" s="1" t="s">
        <v>4</v>
      </c>
      <c r="B5149" s="2" t="s">
        <v>182</v>
      </c>
      <c r="D5149" s="5" t="s">
        <v>464</v>
      </c>
      <c r="G5149" s="57" t="s">
        <v>465</v>
      </c>
      <c r="H5149" s="19" t="s">
        <v>465</v>
      </c>
      <c r="I5149" s="19">
        <v>92500</v>
      </c>
      <c r="J5149" s="5" t="s">
        <v>1475</v>
      </c>
    </row>
    <row r="5150" spans="1:10" x14ac:dyDescent="0.2">
      <c r="A5150" s="1" t="s">
        <v>4</v>
      </c>
      <c r="B5150" s="2" t="s">
        <v>182</v>
      </c>
      <c r="D5150" s="5" t="s">
        <v>464</v>
      </c>
      <c r="G5150" s="57" t="s">
        <v>465</v>
      </c>
      <c r="H5150" s="19" t="s">
        <v>465</v>
      </c>
      <c r="I5150" s="19">
        <v>92500</v>
      </c>
      <c r="J5150" s="5" t="s">
        <v>1475</v>
      </c>
    </row>
    <row r="5151" spans="1:10" x14ac:dyDescent="0.2">
      <c r="A5151" s="1" t="s">
        <v>4</v>
      </c>
      <c r="B5151" s="2" t="s">
        <v>182</v>
      </c>
      <c r="D5151" s="5" t="s">
        <v>464</v>
      </c>
      <c r="G5151" s="57" t="s">
        <v>465</v>
      </c>
      <c r="H5151" s="19" t="s">
        <v>465</v>
      </c>
      <c r="I5151" s="19">
        <v>92500</v>
      </c>
      <c r="J5151" s="5" t="s">
        <v>1475</v>
      </c>
    </row>
    <row r="5152" spans="1:10" x14ac:dyDescent="0.2">
      <c r="A5152" s="1" t="s">
        <v>4</v>
      </c>
      <c r="B5152" s="2" t="s">
        <v>182</v>
      </c>
      <c r="D5152" s="5" t="s">
        <v>464</v>
      </c>
      <c r="G5152" s="57" t="s">
        <v>465</v>
      </c>
      <c r="H5152" s="19" t="s">
        <v>465</v>
      </c>
      <c r="I5152" s="19">
        <v>92500</v>
      </c>
      <c r="J5152" s="5" t="s">
        <v>1475</v>
      </c>
    </row>
    <row r="5153" spans="1:10" x14ac:dyDescent="0.2">
      <c r="A5153" s="1" t="s">
        <v>4</v>
      </c>
      <c r="B5153" s="2" t="s">
        <v>182</v>
      </c>
      <c r="D5153" s="5" t="s">
        <v>464</v>
      </c>
      <c r="G5153" s="57" t="s">
        <v>465</v>
      </c>
      <c r="H5153" s="19" t="s">
        <v>465</v>
      </c>
      <c r="I5153" s="19">
        <v>92500</v>
      </c>
      <c r="J5153" s="5" t="s">
        <v>1475</v>
      </c>
    </row>
    <row r="5154" spans="1:10" x14ac:dyDescent="0.2">
      <c r="A5154" s="1" t="s">
        <v>4</v>
      </c>
      <c r="B5154" s="2" t="s">
        <v>182</v>
      </c>
      <c r="D5154" s="5" t="s">
        <v>464</v>
      </c>
      <c r="G5154" s="57" t="s">
        <v>465</v>
      </c>
      <c r="H5154" s="19" t="s">
        <v>465</v>
      </c>
      <c r="I5154" s="19">
        <v>92500</v>
      </c>
      <c r="J5154" s="5" t="s">
        <v>1475</v>
      </c>
    </row>
    <row r="5155" spans="1:10" x14ac:dyDescent="0.2">
      <c r="A5155" s="1" t="s">
        <v>4</v>
      </c>
      <c r="B5155" s="2" t="s">
        <v>182</v>
      </c>
      <c r="D5155" s="5" t="s">
        <v>464</v>
      </c>
      <c r="G5155" s="57" t="s">
        <v>465</v>
      </c>
      <c r="H5155" s="19" t="s">
        <v>465</v>
      </c>
      <c r="I5155" s="19">
        <v>92500</v>
      </c>
      <c r="J5155" s="5" t="s">
        <v>1475</v>
      </c>
    </row>
    <row r="5156" spans="1:10" x14ac:dyDescent="0.2">
      <c r="A5156" s="1" t="s">
        <v>4</v>
      </c>
      <c r="B5156" s="2" t="s">
        <v>182</v>
      </c>
      <c r="D5156" s="5" t="s">
        <v>464</v>
      </c>
      <c r="G5156" s="57" t="s">
        <v>465</v>
      </c>
      <c r="H5156" s="19" t="s">
        <v>465</v>
      </c>
      <c r="I5156" s="19">
        <v>92500</v>
      </c>
      <c r="J5156" s="5" t="s">
        <v>1475</v>
      </c>
    </row>
    <row r="5157" spans="1:10" x14ac:dyDescent="0.2">
      <c r="A5157" s="1" t="s">
        <v>4</v>
      </c>
      <c r="B5157" s="2" t="s">
        <v>182</v>
      </c>
      <c r="D5157" s="5" t="s">
        <v>464</v>
      </c>
      <c r="G5157" s="57" t="s">
        <v>465</v>
      </c>
      <c r="H5157" s="19" t="s">
        <v>465</v>
      </c>
      <c r="I5157" s="19">
        <v>92500</v>
      </c>
      <c r="J5157" s="5" t="s">
        <v>1475</v>
      </c>
    </row>
    <row r="5158" spans="1:10" x14ac:dyDescent="0.2">
      <c r="A5158" s="1" t="s">
        <v>4</v>
      </c>
      <c r="B5158" s="2" t="s">
        <v>182</v>
      </c>
      <c r="D5158" s="5" t="s">
        <v>464</v>
      </c>
      <c r="G5158" s="57" t="s">
        <v>465</v>
      </c>
      <c r="H5158" s="19" t="s">
        <v>465</v>
      </c>
      <c r="I5158" s="19">
        <v>92500</v>
      </c>
      <c r="J5158" s="5" t="s">
        <v>1475</v>
      </c>
    </row>
    <row r="5159" spans="1:10" x14ac:dyDescent="0.2">
      <c r="A5159" s="1" t="s">
        <v>4</v>
      </c>
      <c r="B5159" s="2" t="s">
        <v>182</v>
      </c>
      <c r="D5159" s="5" t="s">
        <v>464</v>
      </c>
      <c r="G5159" s="57" t="s">
        <v>465</v>
      </c>
      <c r="H5159" s="19" t="s">
        <v>465</v>
      </c>
      <c r="I5159" s="19">
        <v>92500</v>
      </c>
      <c r="J5159" s="5" t="s">
        <v>1475</v>
      </c>
    </row>
    <row r="5160" spans="1:10" x14ac:dyDescent="0.2">
      <c r="A5160" s="1" t="s">
        <v>4</v>
      </c>
      <c r="B5160" s="2" t="s">
        <v>182</v>
      </c>
      <c r="D5160" s="5" t="s">
        <v>464</v>
      </c>
      <c r="G5160" s="57" t="s">
        <v>465</v>
      </c>
      <c r="H5160" s="19" t="s">
        <v>465</v>
      </c>
      <c r="I5160" s="19">
        <v>92500</v>
      </c>
      <c r="J5160" s="5" t="s">
        <v>1475</v>
      </c>
    </row>
    <row r="5161" spans="1:10" x14ac:dyDescent="0.2">
      <c r="A5161" s="1" t="s">
        <v>4</v>
      </c>
      <c r="B5161" s="2" t="s">
        <v>182</v>
      </c>
      <c r="D5161" s="5" t="s">
        <v>464</v>
      </c>
      <c r="G5161" s="57" t="s">
        <v>465</v>
      </c>
      <c r="H5161" s="19" t="s">
        <v>465</v>
      </c>
      <c r="I5161" s="19">
        <v>92500</v>
      </c>
      <c r="J5161" s="5" t="s">
        <v>1475</v>
      </c>
    </row>
    <row r="5162" spans="1:10" x14ac:dyDescent="0.2">
      <c r="A5162" s="1" t="s">
        <v>4</v>
      </c>
      <c r="B5162" s="2" t="s">
        <v>182</v>
      </c>
      <c r="D5162" s="5" t="s">
        <v>464</v>
      </c>
      <c r="G5162" s="57" t="s">
        <v>465</v>
      </c>
      <c r="H5162" s="19" t="s">
        <v>465</v>
      </c>
      <c r="I5162" s="19">
        <v>92500</v>
      </c>
      <c r="J5162" s="5" t="s">
        <v>1475</v>
      </c>
    </row>
    <row r="5163" spans="1:10" x14ac:dyDescent="0.2">
      <c r="A5163" s="1" t="s">
        <v>4</v>
      </c>
      <c r="B5163" s="2" t="s">
        <v>182</v>
      </c>
      <c r="D5163" s="5" t="s">
        <v>464</v>
      </c>
      <c r="G5163" s="57" t="s">
        <v>465</v>
      </c>
      <c r="H5163" s="19">
        <v>92500</v>
      </c>
      <c r="I5163" s="19" t="s">
        <v>465</v>
      </c>
    </row>
    <row r="5164" spans="1:10" x14ac:dyDescent="0.2">
      <c r="A5164" s="1" t="s">
        <v>4</v>
      </c>
      <c r="B5164" s="2" t="s">
        <v>182</v>
      </c>
      <c r="D5164" s="5" t="s">
        <v>464</v>
      </c>
      <c r="G5164" s="57" t="s">
        <v>465</v>
      </c>
      <c r="H5164" s="19">
        <v>92500</v>
      </c>
      <c r="I5164" s="19" t="s">
        <v>465</v>
      </c>
    </row>
    <row r="5165" spans="1:10" x14ac:dyDescent="0.2">
      <c r="A5165" s="1" t="s">
        <v>4</v>
      </c>
      <c r="B5165" s="2" t="s">
        <v>182</v>
      </c>
      <c r="D5165" s="5" t="s">
        <v>464</v>
      </c>
      <c r="G5165" s="57" t="s">
        <v>465</v>
      </c>
      <c r="H5165" s="19">
        <v>92500</v>
      </c>
      <c r="I5165" s="19" t="s">
        <v>465</v>
      </c>
    </row>
    <row r="5166" spans="1:10" x14ac:dyDescent="0.2">
      <c r="A5166" s="1" t="s">
        <v>4</v>
      </c>
      <c r="B5166" s="2" t="s">
        <v>182</v>
      </c>
      <c r="D5166" s="5" t="s">
        <v>464</v>
      </c>
      <c r="G5166" s="57" t="s">
        <v>465</v>
      </c>
      <c r="H5166" s="19" t="s">
        <v>465</v>
      </c>
      <c r="I5166" s="19">
        <v>97500</v>
      </c>
    </row>
    <row r="5167" spans="1:10" x14ac:dyDescent="0.2">
      <c r="A5167" s="1" t="s">
        <v>4</v>
      </c>
      <c r="B5167" s="2" t="s">
        <v>182</v>
      </c>
      <c r="D5167" s="5" t="s">
        <v>464</v>
      </c>
      <c r="G5167" s="57" t="s">
        <v>465</v>
      </c>
      <c r="H5167" s="19" t="s">
        <v>465</v>
      </c>
      <c r="I5167" s="19">
        <v>97500</v>
      </c>
    </row>
    <row r="5168" spans="1:10" x14ac:dyDescent="0.2">
      <c r="A5168" s="1" t="s">
        <v>4</v>
      </c>
      <c r="B5168" s="2" t="s">
        <v>182</v>
      </c>
      <c r="D5168" s="5" t="s">
        <v>464</v>
      </c>
      <c r="G5168" s="57" t="s">
        <v>465</v>
      </c>
      <c r="H5168" s="19" t="s">
        <v>465</v>
      </c>
      <c r="I5168" s="19">
        <v>97500</v>
      </c>
    </row>
    <row r="5169" spans="1:10" x14ac:dyDescent="0.2">
      <c r="A5169" s="1" t="s">
        <v>4</v>
      </c>
      <c r="B5169" s="2" t="s">
        <v>182</v>
      </c>
      <c r="D5169" s="5" t="s">
        <v>464</v>
      </c>
      <c r="G5169" s="57" t="s">
        <v>465</v>
      </c>
      <c r="H5169" s="19" t="s">
        <v>465</v>
      </c>
      <c r="I5169" s="19">
        <v>97500</v>
      </c>
      <c r="J5169" s="5" t="s">
        <v>1475</v>
      </c>
    </row>
    <row r="5170" spans="1:10" x14ac:dyDescent="0.2">
      <c r="A5170" s="1" t="s">
        <v>4</v>
      </c>
      <c r="B5170" s="2" t="s">
        <v>182</v>
      </c>
      <c r="D5170" s="5" t="s">
        <v>464</v>
      </c>
      <c r="G5170" s="57" t="s">
        <v>465</v>
      </c>
      <c r="H5170" s="19" t="s">
        <v>465</v>
      </c>
      <c r="I5170" s="19">
        <v>97500</v>
      </c>
      <c r="J5170" s="5" t="s">
        <v>1475</v>
      </c>
    </row>
    <row r="5171" spans="1:10" x14ac:dyDescent="0.2">
      <c r="A5171" s="1" t="s">
        <v>4</v>
      </c>
      <c r="B5171" s="2" t="s">
        <v>182</v>
      </c>
      <c r="D5171" s="5" t="s">
        <v>464</v>
      </c>
      <c r="G5171" s="57" t="s">
        <v>465</v>
      </c>
      <c r="H5171" s="19" t="s">
        <v>465</v>
      </c>
      <c r="I5171" s="19">
        <v>97500</v>
      </c>
      <c r="J5171" s="5" t="s">
        <v>1475</v>
      </c>
    </row>
    <row r="5172" spans="1:10" x14ac:dyDescent="0.2">
      <c r="A5172" s="1" t="s">
        <v>4</v>
      </c>
      <c r="B5172" s="2" t="s">
        <v>182</v>
      </c>
      <c r="D5172" s="5" t="s">
        <v>464</v>
      </c>
      <c r="G5172" s="57" t="s">
        <v>465</v>
      </c>
      <c r="H5172" s="19" t="s">
        <v>465</v>
      </c>
      <c r="I5172" s="19">
        <v>97500</v>
      </c>
      <c r="J5172" s="5" t="s">
        <v>1475</v>
      </c>
    </row>
    <row r="5173" spans="1:10" x14ac:dyDescent="0.2">
      <c r="A5173" s="1" t="s">
        <v>4</v>
      </c>
      <c r="B5173" s="2" t="s">
        <v>182</v>
      </c>
      <c r="D5173" s="5" t="s">
        <v>464</v>
      </c>
      <c r="G5173" s="57" t="s">
        <v>465</v>
      </c>
      <c r="H5173" s="19" t="s">
        <v>465</v>
      </c>
      <c r="I5173" s="19">
        <v>97500</v>
      </c>
      <c r="J5173" s="5" t="s">
        <v>1475</v>
      </c>
    </row>
    <row r="5174" spans="1:10" x14ac:dyDescent="0.2">
      <c r="A5174" s="1" t="s">
        <v>4</v>
      </c>
      <c r="B5174" s="2" t="s">
        <v>182</v>
      </c>
      <c r="D5174" s="5" t="s">
        <v>464</v>
      </c>
      <c r="G5174" s="57" t="s">
        <v>465</v>
      </c>
      <c r="H5174" s="19" t="s">
        <v>465</v>
      </c>
      <c r="I5174" s="19">
        <v>97500</v>
      </c>
      <c r="J5174" s="5" t="s">
        <v>1475</v>
      </c>
    </row>
    <row r="5175" spans="1:10" x14ac:dyDescent="0.2">
      <c r="A5175" s="1" t="s">
        <v>4</v>
      </c>
      <c r="B5175" s="2" t="s">
        <v>182</v>
      </c>
      <c r="D5175" s="5" t="s">
        <v>464</v>
      </c>
      <c r="G5175" s="57" t="s">
        <v>465</v>
      </c>
      <c r="H5175" s="19" t="s">
        <v>465</v>
      </c>
      <c r="I5175" s="19">
        <v>97500</v>
      </c>
      <c r="J5175" s="5" t="s">
        <v>1475</v>
      </c>
    </row>
    <row r="5176" spans="1:10" x14ac:dyDescent="0.2">
      <c r="A5176" s="1" t="s">
        <v>4</v>
      </c>
      <c r="B5176" s="2" t="s">
        <v>182</v>
      </c>
      <c r="D5176" s="5" t="s">
        <v>464</v>
      </c>
      <c r="G5176" s="57" t="s">
        <v>465</v>
      </c>
      <c r="H5176" s="19">
        <v>97500</v>
      </c>
      <c r="I5176" s="19" t="s">
        <v>465</v>
      </c>
    </row>
    <row r="5177" spans="1:10" x14ac:dyDescent="0.2">
      <c r="A5177" s="1" t="s">
        <v>4</v>
      </c>
      <c r="B5177" s="2" t="s">
        <v>182</v>
      </c>
      <c r="D5177" s="5" t="s">
        <v>464</v>
      </c>
      <c r="G5177" s="57" t="s">
        <v>465</v>
      </c>
      <c r="H5177" s="19">
        <v>97500</v>
      </c>
      <c r="I5177" s="19" t="s">
        <v>465</v>
      </c>
    </row>
    <row r="5178" spans="1:10" x14ac:dyDescent="0.2">
      <c r="A5178" s="1" t="s">
        <v>4</v>
      </c>
      <c r="B5178" s="2" t="s">
        <v>182</v>
      </c>
      <c r="D5178" s="5" t="s">
        <v>464</v>
      </c>
      <c r="G5178" s="57" t="s">
        <v>465</v>
      </c>
      <c r="H5178" s="19">
        <v>97500</v>
      </c>
      <c r="I5178" s="19" t="s">
        <v>465</v>
      </c>
    </row>
    <row r="5179" spans="1:10" x14ac:dyDescent="0.2">
      <c r="A5179" s="1" t="s">
        <v>4</v>
      </c>
      <c r="B5179" s="2" t="s">
        <v>182</v>
      </c>
      <c r="D5179" s="5" t="s">
        <v>464</v>
      </c>
      <c r="G5179" s="57" t="s">
        <v>465</v>
      </c>
      <c r="H5179" s="19">
        <v>97500</v>
      </c>
      <c r="I5179" s="19" t="s">
        <v>465</v>
      </c>
    </row>
    <row r="5180" spans="1:10" x14ac:dyDescent="0.2">
      <c r="A5180" s="1" t="s">
        <v>4</v>
      </c>
      <c r="B5180" s="2" t="s">
        <v>182</v>
      </c>
      <c r="D5180" s="5" t="s">
        <v>464</v>
      </c>
      <c r="G5180" s="57" t="s">
        <v>465</v>
      </c>
      <c r="H5180" s="19">
        <v>97500</v>
      </c>
      <c r="I5180" s="19" t="s">
        <v>465</v>
      </c>
    </row>
    <row r="5181" spans="1:10" x14ac:dyDescent="0.2">
      <c r="A5181" s="1" t="s">
        <v>4</v>
      </c>
      <c r="B5181" s="2" t="s">
        <v>182</v>
      </c>
      <c r="D5181" s="5" t="s">
        <v>464</v>
      </c>
      <c r="G5181" s="57" t="s">
        <v>465</v>
      </c>
      <c r="H5181" s="19">
        <v>97500</v>
      </c>
      <c r="I5181" s="19" t="s">
        <v>465</v>
      </c>
    </row>
    <row r="5182" spans="1:10" x14ac:dyDescent="0.2">
      <c r="A5182" s="1" t="s">
        <v>25</v>
      </c>
      <c r="B5182" s="2" t="s">
        <v>184</v>
      </c>
      <c r="D5182" s="5" t="s">
        <v>464</v>
      </c>
      <c r="G5182" s="57" t="s">
        <v>465</v>
      </c>
      <c r="H5182" s="19" t="s">
        <v>465</v>
      </c>
      <c r="I5182" s="19">
        <v>92500</v>
      </c>
    </row>
    <row r="5183" spans="1:10" x14ac:dyDescent="0.2">
      <c r="A5183" s="1" t="s">
        <v>25</v>
      </c>
      <c r="B5183" s="2" t="s">
        <v>184</v>
      </c>
      <c r="D5183" s="5" t="s">
        <v>464</v>
      </c>
      <c r="G5183" s="57" t="s">
        <v>465</v>
      </c>
      <c r="H5183" s="19" t="s">
        <v>465</v>
      </c>
      <c r="I5183" s="19">
        <v>92500</v>
      </c>
    </row>
    <row r="5184" spans="1:10" x14ac:dyDescent="0.2">
      <c r="A5184" s="1" t="s">
        <v>25</v>
      </c>
      <c r="B5184" s="2" t="s">
        <v>184</v>
      </c>
      <c r="D5184" s="5" t="s">
        <v>464</v>
      </c>
      <c r="G5184" s="57" t="s">
        <v>465</v>
      </c>
      <c r="H5184" s="19" t="s">
        <v>465</v>
      </c>
      <c r="I5184" s="19">
        <v>92500</v>
      </c>
    </row>
    <row r="5185" spans="1:10" x14ac:dyDescent="0.2">
      <c r="A5185" s="1" t="s">
        <v>25</v>
      </c>
      <c r="B5185" s="2" t="s">
        <v>184</v>
      </c>
      <c r="D5185" s="5" t="s">
        <v>464</v>
      </c>
      <c r="G5185" s="57" t="s">
        <v>465</v>
      </c>
      <c r="H5185" s="19" t="s">
        <v>465</v>
      </c>
      <c r="I5185" s="19">
        <v>92500</v>
      </c>
    </row>
    <row r="5186" spans="1:10" x14ac:dyDescent="0.2">
      <c r="A5186" s="1" t="s">
        <v>25</v>
      </c>
      <c r="B5186" s="2" t="s">
        <v>184</v>
      </c>
      <c r="D5186" s="5" t="s">
        <v>464</v>
      </c>
      <c r="G5186" s="57" t="s">
        <v>465</v>
      </c>
      <c r="H5186" s="19" t="s">
        <v>465</v>
      </c>
      <c r="I5186" s="19">
        <v>92500</v>
      </c>
    </row>
    <row r="5187" spans="1:10" x14ac:dyDescent="0.2">
      <c r="A5187" s="1" t="s">
        <v>25</v>
      </c>
      <c r="B5187" s="2" t="s">
        <v>184</v>
      </c>
      <c r="D5187" s="5" t="s">
        <v>464</v>
      </c>
      <c r="G5187" s="57" t="s">
        <v>465</v>
      </c>
      <c r="H5187" s="19" t="s">
        <v>465</v>
      </c>
      <c r="I5187" s="19">
        <v>97500</v>
      </c>
    </row>
    <row r="5188" spans="1:10" x14ac:dyDescent="0.2">
      <c r="A5188" s="1" t="s">
        <v>25</v>
      </c>
      <c r="B5188" s="2" t="s">
        <v>184</v>
      </c>
      <c r="D5188" s="5" t="s">
        <v>464</v>
      </c>
      <c r="G5188" s="57" t="s">
        <v>465</v>
      </c>
      <c r="H5188" s="19" t="s">
        <v>465</v>
      </c>
      <c r="I5188" s="19">
        <v>97500</v>
      </c>
    </row>
    <row r="5189" spans="1:10" x14ac:dyDescent="0.2">
      <c r="A5189" s="1" t="s">
        <v>25</v>
      </c>
      <c r="B5189" s="2" t="s">
        <v>184</v>
      </c>
      <c r="D5189" s="5" t="s">
        <v>464</v>
      </c>
      <c r="G5189" s="57" t="s">
        <v>465</v>
      </c>
      <c r="H5189" s="19">
        <v>92500</v>
      </c>
      <c r="I5189" s="19" t="s">
        <v>465</v>
      </c>
      <c r="J5189" s="5" t="s">
        <v>4350</v>
      </c>
    </row>
    <row r="5190" spans="1:10" x14ac:dyDescent="0.2">
      <c r="A5190" s="1" t="s">
        <v>25</v>
      </c>
      <c r="B5190" s="2" t="s">
        <v>184</v>
      </c>
      <c r="D5190" s="5" t="s">
        <v>464</v>
      </c>
      <c r="G5190" s="57" t="s">
        <v>465</v>
      </c>
      <c r="H5190" s="19">
        <v>92500</v>
      </c>
      <c r="I5190" s="19" t="s">
        <v>465</v>
      </c>
      <c r="J5190" s="5" t="s">
        <v>4350</v>
      </c>
    </row>
    <row r="5191" spans="1:10" x14ac:dyDescent="0.2">
      <c r="A5191" s="1" t="s">
        <v>25</v>
      </c>
      <c r="B5191" s="2" t="s">
        <v>184</v>
      </c>
      <c r="D5191" s="5" t="s">
        <v>464</v>
      </c>
      <c r="G5191" s="57" t="s">
        <v>465</v>
      </c>
      <c r="H5191" s="19">
        <v>92500</v>
      </c>
      <c r="I5191" s="19" t="s">
        <v>465</v>
      </c>
      <c r="J5191" s="5" t="s">
        <v>4350</v>
      </c>
    </row>
    <row r="5192" spans="1:10" x14ac:dyDescent="0.2">
      <c r="A5192" s="1" t="s">
        <v>25</v>
      </c>
      <c r="B5192" s="2" t="s">
        <v>184</v>
      </c>
      <c r="D5192" s="5" t="s">
        <v>464</v>
      </c>
      <c r="G5192" s="57" t="s">
        <v>465</v>
      </c>
      <c r="H5192" s="19">
        <v>92500</v>
      </c>
      <c r="I5192" s="19" t="s">
        <v>465</v>
      </c>
      <c r="J5192" s="5" t="s">
        <v>4350</v>
      </c>
    </row>
    <row r="5193" spans="1:10" x14ac:dyDescent="0.2">
      <c r="A5193" s="1" t="s">
        <v>25</v>
      </c>
      <c r="B5193" s="2" t="s">
        <v>184</v>
      </c>
      <c r="D5193" s="5" t="s">
        <v>464</v>
      </c>
      <c r="G5193" s="57" t="s">
        <v>465</v>
      </c>
      <c r="H5193" s="19">
        <v>97500</v>
      </c>
      <c r="I5193" s="19" t="s">
        <v>465</v>
      </c>
      <c r="J5193" s="5" t="s">
        <v>4350</v>
      </c>
    </row>
    <row r="5194" spans="1:10" x14ac:dyDescent="0.2">
      <c r="A5194" s="1" t="s">
        <v>25</v>
      </c>
      <c r="B5194" s="2" t="s">
        <v>184</v>
      </c>
      <c r="D5194" s="5" t="s">
        <v>464</v>
      </c>
      <c r="G5194" s="57" t="s">
        <v>465</v>
      </c>
      <c r="H5194" s="19">
        <v>97500</v>
      </c>
      <c r="I5194" s="19" t="s">
        <v>465</v>
      </c>
      <c r="J5194" s="5" t="s">
        <v>4350</v>
      </c>
    </row>
    <row r="5195" spans="1:10" x14ac:dyDescent="0.2">
      <c r="A5195" s="1" t="s">
        <v>25</v>
      </c>
      <c r="B5195" s="2" t="s">
        <v>184</v>
      </c>
      <c r="D5195" s="5" t="s">
        <v>464</v>
      </c>
      <c r="G5195" s="57" t="s">
        <v>465</v>
      </c>
      <c r="H5195" s="19">
        <v>97500</v>
      </c>
      <c r="I5195" s="19" t="s">
        <v>465</v>
      </c>
      <c r="J5195" s="5" t="s">
        <v>4350</v>
      </c>
    </row>
    <row r="5196" spans="1:10" ht="25.5" x14ac:dyDescent="0.2">
      <c r="A5196" s="1" t="s">
        <v>25</v>
      </c>
      <c r="B5196" s="2" t="s">
        <v>187</v>
      </c>
      <c r="D5196" s="5" t="s">
        <v>464</v>
      </c>
      <c r="G5196" s="57" t="s">
        <v>465</v>
      </c>
      <c r="H5196" s="19">
        <v>92500</v>
      </c>
      <c r="I5196" s="19" t="s">
        <v>465</v>
      </c>
      <c r="J5196" s="5" t="s">
        <v>3514</v>
      </c>
    </row>
    <row r="5197" spans="1:10" x14ac:dyDescent="0.2">
      <c r="A5197" s="1" t="s">
        <v>25</v>
      </c>
      <c r="B5197" s="2" t="s">
        <v>187</v>
      </c>
      <c r="D5197" s="5" t="s">
        <v>464</v>
      </c>
      <c r="G5197" s="57" t="s">
        <v>465</v>
      </c>
      <c r="H5197" s="19">
        <v>92500</v>
      </c>
      <c r="I5197" s="19" t="s">
        <v>465</v>
      </c>
    </row>
    <row r="5198" spans="1:10" x14ac:dyDescent="0.2">
      <c r="A5198" s="1" t="s">
        <v>25</v>
      </c>
      <c r="B5198" s="2" t="s">
        <v>187</v>
      </c>
      <c r="D5198" s="5" t="s">
        <v>464</v>
      </c>
      <c r="G5198" s="57" t="s">
        <v>465</v>
      </c>
      <c r="H5198" s="19">
        <v>92500</v>
      </c>
      <c r="I5198" s="19" t="s">
        <v>465</v>
      </c>
    </row>
    <row r="5199" spans="1:10" x14ac:dyDescent="0.2">
      <c r="A5199" s="1" t="s">
        <v>25</v>
      </c>
      <c r="B5199" s="2" t="s">
        <v>187</v>
      </c>
      <c r="D5199" s="5" t="s">
        <v>464</v>
      </c>
      <c r="G5199" s="57" t="s">
        <v>465</v>
      </c>
      <c r="H5199" s="19">
        <v>92500</v>
      </c>
      <c r="I5199" s="19" t="s">
        <v>465</v>
      </c>
    </row>
    <row r="5200" spans="1:10" x14ac:dyDescent="0.2">
      <c r="A5200" s="1" t="s">
        <v>25</v>
      </c>
      <c r="B5200" s="2" t="s">
        <v>187</v>
      </c>
      <c r="D5200" s="5" t="s">
        <v>464</v>
      </c>
      <c r="G5200" s="57" t="s">
        <v>465</v>
      </c>
      <c r="H5200" s="19">
        <v>92500</v>
      </c>
      <c r="I5200" s="19" t="s">
        <v>465</v>
      </c>
    </row>
    <row r="5201" spans="1:10" x14ac:dyDescent="0.2">
      <c r="A5201" s="1" t="s">
        <v>25</v>
      </c>
      <c r="B5201" s="2" t="s">
        <v>187</v>
      </c>
      <c r="D5201" s="5" t="s">
        <v>464</v>
      </c>
      <c r="G5201" s="57" t="s">
        <v>465</v>
      </c>
      <c r="H5201" s="19">
        <v>92500</v>
      </c>
      <c r="I5201" s="19" t="s">
        <v>465</v>
      </c>
    </row>
    <row r="5202" spans="1:10" x14ac:dyDescent="0.2">
      <c r="A5202" s="1" t="s">
        <v>25</v>
      </c>
      <c r="B5202" s="2" t="s">
        <v>187</v>
      </c>
      <c r="D5202" s="5" t="s">
        <v>464</v>
      </c>
      <c r="G5202" s="57" t="s">
        <v>465</v>
      </c>
      <c r="H5202" s="19">
        <v>92500</v>
      </c>
      <c r="I5202" s="19" t="s">
        <v>465</v>
      </c>
    </row>
    <row r="5203" spans="1:10" x14ac:dyDescent="0.2">
      <c r="A5203" s="1" t="s">
        <v>25</v>
      </c>
      <c r="B5203" s="2" t="s">
        <v>187</v>
      </c>
      <c r="D5203" s="5" t="s">
        <v>464</v>
      </c>
      <c r="G5203" s="57" t="s">
        <v>465</v>
      </c>
      <c r="H5203" s="19" t="s">
        <v>465</v>
      </c>
      <c r="I5203" s="19">
        <v>92500</v>
      </c>
    </row>
    <row r="5204" spans="1:10" x14ac:dyDescent="0.2">
      <c r="A5204" s="1" t="s">
        <v>25</v>
      </c>
      <c r="B5204" s="2" t="s">
        <v>187</v>
      </c>
      <c r="D5204" s="5" t="s">
        <v>464</v>
      </c>
      <c r="G5204" s="57" t="s">
        <v>465</v>
      </c>
      <c r="H5204" s="19" t="s">
        <v>465</v>
      </c>
      <c r="I5204" s="19">
        <v>92500</v>
      </c>
    </row>
    <row r="5205" spans="1:10" x14ac:dyDescent="0.2">
      <c r="A5205" s="1" t="s">
        <v>25</v>
      </c>
      <c r="B5205" s="2" t="s">
        <v>187</v>
      </c>
      <c r="D5205" s="5" t="s">
        <v>464</v>
      </c>
      <c r="G5205" s="57" t="s">
        <v>465</v>
      </c>
      <c r="H5205" s="19" t="s">
        <v>465</v>
      </c>
      <c r="I5205" s="19">
        <v>92500</v>
      </c>
      <c r="J5205" s="1"/>
    </row>
    <row r="5206" spans="1:10" x14ac:dyDescent="0.2">
      <c r="A5206" s="1" t="s">
        <v>25</v>
      </c>
      <c r="B5206" s="2" t="s">
        <v>187</v>
      </c>
      <c r="D5206" s="5" t="s">
        <v>464</v>
      </c>
      <c r="G5206" s="57" t="s">
        <v>465</v>
      </c>
      <c r="H5206" s="19" t="s">
        <v>465</v>
      </c>
      <c r="I5206" s="19">
        <v>92500</v>
      </c>
      <c r="J5206" s="1"/>
    </row>
    <row r="5207" spans="1:10" x14ac:dyDescent="0.2">
      <c r="A5207" s="1" t="s">
        <v>25</v>
      </c>
      <c r="B5207" s="2" t="s">
        <v>187</v>
      </c>
      <c r="D5207" s="5" t="s">
        <v>464</v>
      </c>
      <c r="G5207" s="57" t="s">
        <v>465</v>
      </c>
      <c r="H5207" s="19" t="s">
        <v>465</v>
      </c>
      <c r="I5207" s="19">
        <v>92500</v>
      </c>
      <c r="J5207" s="1"/>
    </row>
    <row r="5208" spans="1:10" x14ac:dyDescent="0.2">
      <c r="A5208" s="1" t="s">
        <v>25</v>
      </c>
      <c r="B5208" s="2" t="s">
        <v>187</v>
      </c>
      <c r="D5208" s="5" t="s">
        <v>464</v>
      </c>
      <c r="G5208" s="57" t="s">
        <v>465</v>
      </c>
      <c r="H5208" s="19" t="s">
        <v>465</v>
      </c>
      <c r="I5208" s="19">
        <v>92500</v>
      </c>
      <c r="J5208" s="1"/>
    </row>
    <row r="5209" spans="1:10" x14ac:dyDescent="0.2">
      <c r="A5209" s="1" t="s">
        <v>25</v>
      </c>
      <c r="B5209" s="2" t="s">
        <v>187</v>
      </c>
      <c r="D5209" s="5" t="s">
        <v>464</v>
      </c>
      <c r="G5209" s="57" t="s">
        <v>465</v>
      </c>
      <c r="H5209" s="19" t="s">
        <v>465</v>
      </c>
      <c r="I5209" s="19">
        <v>92500</v>
      </c>
      <c r="J5209" s="1"/>
    </row>
    <row r="5210" spans="1:10" x14ac:dyDescent="0.2">
      <c r="A5210" s="1" t="s">
        <v>25</v>
      </c>
      <c r="B5210" s="2" t="s">
        <v>187</v>
      </c>
      <c r="D5210" s="5" t="s">
        <v>464</v>
      </c>
      <c r="G5210" s="57" t="s">
        <v>465</v>
      </c>
      <c r="H5210" s="19">
        <v>97500</v>
      </c>
      <c r="I5210" s="19" t="s">
        <v>465</v>
      </c>
      <c r="J5210" s="1"/>
    </row>
    <row r="5211" spans="1:10" x14ac:dyDescent="0.2">
      <c r="A5211" s="1" t="s">
        <v>25</v>
      </c>
      <c r="B5211" s="2" t="s">
        <v>187</v>
      </c>
      <c r="D5211" s="5" t="s">
        <v>464</v>
      </c>
      <c r="G5211" s="57" t="s">
        <v>465</v>
      </c>
      <c r="H5211" s="19">
        <v>97500</v>
      </c>
      <c r="I5211" s="19" t="s">
        <v>465</v>
      </c>
      <c r="J5211" s="1"/>
    </row>
    <row r="5212" spans="1:10" x14ac:dyDescent="0.2">
      <c r="A5212" s="1" t="s">
        <v>25</v>
      </c>
      <c r="B5212" s="2" t="s">
        <v>187</v>
      </c>
      <c r="D5212" s="5" t="s">
        <v>464</v>
      </c>
      <c r="G5212" s="57" t="s">
        <v>465</v>
      </c>
      <c r="H5212" s="19">
        <v>97500</v>
      </c>
      <c r="I5212" s="19" t="s">
        <v>465</v>
      </c>
      <c r="J5212" s="1"/>
    </row>
    <row r="5213" spans="1:10" x14ac:dyDescent="0.2">
      <c r="A5213" s="1" t="s">
        <v>25</v>
      </c>
      <c r="B5213" s="2" t="s">
        <v>187</v>
      </c>
      <c r="D5213" s="5" t="s">
        <v>464</v>
      </c>
      <c r="G5213" s="57" t="s">
        <v>465</v>
      </c>
      <c r="H5213" s="19">
        <v>97500</v>
      </c>
      <c r="I5213" s="19" t="s">
        <v>465</v>
      </c>
      <c r="J5213" s="1"/>
    </row>
    <row r="5214" spans="1:10" x14ac:dyDescent="0.2">
      <c r="A5214" s="1" t="s">
        <v>25</v>
      </c>
      <c r="B5214" s="2" t="s">
        <v>187</v>
      </c>
      <c r="D5214" s="5" t="s">
        <v>464</v>
      </c>
      <c r="G5214" s="57" t="s">
        <v>465</v>
      </c>
      <c r="H5214" s="19">
        <v>97500</v>
      </c>
      <c r="I5214" s="19" t="s">
        <v>465</v>
      </c>
      <c r="J5214" s="1"/>
    </row>
    <row r="5215" spans="1:10" x14ac:dyDescent="0.2">
      <c r="A5215" s="1" t="s">
        <v>25</v>
      </c>
      <c r="B5215" s="2" t="s">
        <v>187</v>
      </c>
      <c r="D5215" s="5" t="s">
        <v>464</v>
      </c>
      <c r="G5215" s="57" t="s">
        <v>465</v>
      </c>
      <c r="H5215" s="19">
        <v>97500</v>
      </c>
      <c r="I5215" s="19" t="s">
        <v>465</v>
      </c>
      <c r="J5215" s="1"/>
    </row>
    <row r="5216" spans="1:10" x14ac:dyDescent="0.2">
      <c r="A5216" s="1" t="s">
        <v>25</v>
      </c>
      <c r="B5216" s="2" t="s">
        <v>187</v>
      </c>
      <c r="D5216" s="5" t="s">
        <v>464</v>
      </c>
      <c r="G5216" s="57" t="s">
        <v>465</v>
      </c>
      <c r="H5216" s="19" t="s">
        <v>465</v>
      </c>
      <c r="I5216" s="19">
        <v>97500</v>
      </c>
      <c r="J5216" s="1"/>
    </row>
    <row r="5217" spans="1:10" x14ac:dyDescent="0.2">
      <c r="A5217" s="1" t="s">
        <v>25</v>
      </c>
      <c r="B5217" s="2" t="s">
        <v>187</v>
      </c>
      <c r="D5217" s="5" t="s">
        <v>464</v>
      </c>
      <c r="G5217" s="57" t="s">
        <v>465</v>
      </c>
      <c r="H5217" s="19" t="s">
        <v>465</v>
      </c>
      <c r="I5217" s="19">
        <v>97500</v>
      </c>
      <c r="J5217" s="1"/>
    </row>
    <row r="5218" spans="1:10" x14ac:dyDescent="0.2">
      <c r="A5218" s="1" t="s">
        <v>25</v>
      </c>
      <c r="B5218" s="2" t="s">
        <v>187</v>
      </c>
      <c r="D5218" s="5" t="s">
        <v>464</v>
      </c>
      <c r="G5218" s="57" t="s">
        <v>465</v>
      </c>
      <c r="H5218" s="19" t="s">
        <v>465</v>
      </c>
      <c r="I5218" s="19">
        <v>97500</v>
      </c>
      <c r="J5218" s="1"/>
    </row>
    <row r="5219" spans="1:10" x14ac:dyDescent="0.2">
      <c r="A5219" s="1" t="s">
        <v>25</v>
      </c>
      <c r="B5219" s="2" t="s">
        <v>187</v>
      </c>
      <c r="D5219" s="5" t="s">
        <v>464</v>
      </c>
      <c r="G5219" s="57" t="s">
        <v>465</v>
      </c>
      <c r="H5219" s="19" t="s">
        <v>465</v>
      </c>
      <c r="I5219" s="19">
        <v>97500</v>
      </c>
      <c r="J5219" s="1"/>
    </row>
    <row r="5220" spans="1:10" x14ac:dyDescent="0.2">
      <c r="A5220" s="1" t="s">
        <v>25</v>
      </c>
      <c r="B5220" s="2" t="s">
        <v>187</v>
      </c>
      <c r="D5220" s="5" t="s">
        <v>464</v>
      </c>
      <c r="G5220" s="57" t="s">
        <v>465</v>
      </c>
      <c r="H5220" s="19" t="s">
        <v>465</v>
      </c>
      <c r="I5220" s="19">
        <v>97500</v>
      </c>
      <c r="J5220" s="1"/>
    </row>
    <row r="5221" spans="1:10" x14ac:dyDescent="0.2">
      <c r="A5221" s="1" t="s">
        <v>25</v>
      </c>
      <c r="B5221" s="2" t="s">
        <v>187</v>
      </c>
      <c r="D5221" s="5" t="s">
        <v>464</v>
      </c>
      <c r="G5221" s="57" t="s">
        <v>465</v>
      </c>
      <c r="H5221" s="19" t="s">
        <v>465</v>
      </c>
      <c r="I5221" s="19">
        <v>97500</v>
      </c>
      <c r="J5221" s="1"/>
    </row>
    <row r="5222" spans="1:10" x14ac:dyDescent="0.2">
      <c r="A5222" s="1" t="s">
        <v>111</v>
      </c>
      <c r="B5222" s="2" t="s">
        <v>189</v>
      </c>
      <c r="D5222" s="5" t="s">
        <v>464</v>
      </c>
      <c r="G5222" s="57" t="s">
        <v>465</v>
      </c>
      <c r="H5222" s="19">
        <v>97500</v>
      </c>
      <c r="I5222" s="19" t="s">
        <v>465</v>
      </c>
      <c r="J5222" s="5" t="s">
        <v>539</v>
      </c>
    </row>
    <row r="5223" spans="1:10" x14ac:dyDescent="0.2">
      <c r="A5223" s="1" t="s">
        <v>111</v>
      </c>
      <c r="B5223" s="2" t="s">
        <v>189</v>
      </c>
      <c r="D5223" s="5" t="s">
        <v>464</v>
      </c>
      <c r="G5223" s="57" t="s">
        <v>465</v>
      </c>
      <c r="H5223" s="19">
        <v>97500</v>
      </c>
      <c r="I5223" s="19" t="s">
        <v>465</v>
      </c>
      <c r="J5223" s="5" t="s">
        <v>539</v>
      </c>
    </row>
    <row r="5224" spans="1:10" x14ac:dyDescent="0.2">
      <c r="A5224" s="1" t="s">
        <v>25</v>
      </c>
      <c r="B5224" s="2" t="s">
        <v>192</v>
      </c>
      <c r="D5224" s="5" t="s">
        <v>464</v>
      </c>
      <c r="G5224" s="57" t="s">
        <v>465</v>
      </c>
      <c r="H5224" s="19">
        <v>92500</v>
      </c>
      <c r="I5224" s="19" t="s">
        <v>465</v>
      </c>
    </row>
    <row r="5225" spans="1:10" x14ac:dyDescent="0.2">
      <c r="A5225" s="1" t="s">
        <v>25</v>
      </c>
      <c r="B5225" s="2" t="s">
        <v>192</v>
      </c>
      <c r="D5225" s="5" t="s">
        <v>464</v>
      </c>
      <c r="G5225" s="57" t="s">
        <v>465</v>
      </c>
      <c r="H5225" s="19">
        <v>92500</v>
      </c>
      <c r="I5225" s="19" t="s">
        <v>465</v>
      </c>
    </row>
    <row r="5226" spans="1:10" x14ac:dyDescent="0.2">
      <c r="A5226" s="1" t="s">
        <v>25</v>
      </c>
      <c r="B5226" s="2" t="s">
        <v>192</v>
      </c>
      <c r="D5226" s="5" t="s">
        <v>464</v>
      </c>
      <c r="G5226" s="57" t="s">
        <v>465</v>
      </c>
      <c r="H5226" s="19">
        <v>92500</v>
      </c>
      <c r="I5226" s="19" t="s">
        <v>465</v>
      </c>
    </row>
    <row r="5227" spans="1:10" x14ac:dyDescent="0.2">
      <c r="A5227" s="1" t="s">
        <v>25</v>
      </c>
      <c r="B5227" s="2" t="s">
        <v>192</v>
      </c>
      <c r="D5227" s="5" t="s">
        <v>464</v>
      </c>
      <c r="G5227" s="57" t="s">
        <v>465</v>
      </c>
      <c r="H5227" s="19">
        <v>92500</v>
      </c>
      <c r="I5227" s="19" t="s">
        <v>465</v>
      </c>
    </row>
    <row r="5228" spans="1:10" x14ac:dyDescent="0.2">
      <c r="A5228" s="1" t="s">
        <v>25</v>
      </c>
      <c r="B5228" s="2" t="s">
        <v>192</v>
      </c>
      <c r="D5228" s="5" t="s">
        <v>464</v>
      </c>
      <c r="G5228" s="57" t="s">
        <v>465</v>
      </c>
      <c r="H5228" s="19">
        <v>92500</v>
      </c>
      <c r="I5228" s="19" t="s">
        <v>465</v>
      </c>
    </row>
    <row r="5229" spans="1:10" x14ac:dyDescent="0.2">
      <c r="A5229" s="1" t="s">
        <v>25</v>
      </c>
      <c r="B5229" s="2" t="s">
        <v>192</v>
      </c>
      <c r="D5229" s="5" t="s">
        <v>464</v>
      </c>
      <c r="G5229" s="57" t="s">
        <v>465</v>
      </c>
      <c r="H5229" s="19" t="s">
        <v>465</v>
      </c>
      <c r="I5229" s="19">
        <v>92500</v>
      </c>
    </row>
    <row r="5230" spans="1:10" x14ac:dyDescent="0.2">
      <c r="A5230" s="1" t="s">
        <v>25</v>
      </c>
      <c r="B5230" s="2" t="s">
        <v>192</v>
      </c>
      <c r="D5230" s="5" t="s">
        <v>464</v>
      </c>
      <c r="G5230" s="57" t="s">
        <v>465</v>
      </c>
      <c r="H5230" s="19" t="s">
        <v>465</v>
      </c>
      <c r="I5230" s="19">
        <v>92500</v>
      </c>
    </row>
    <row r="5231" spans="1:10" x14ac:dyDescent="0.2">
      <c r="A5231" s="1" t="s">
        <v>25</v>
      </c>
      <c r="B5231" s="2" t="s">
        <v>192</v>
      </c>
      <c r="D5231" s="5" t="s">
        <v>464</v>
      </c>
      <c r="G5231" s="57" t="s">
        <v>465</v>
      </c>
      <c r="H5231" s="19" t="s">
        <v>465</v>
      </c>
      <c r="I5231" s="19">
        <v>92500</v>
      </c>
    </row>
    <row r="5232" spans="1:10" x14ac:dyDescent="0.2">
      <c r="A5232" s="1" t="s">
        <v>25</v>
      </c>
      <c r="B5232" s="2" t="s">
        <v>192</v>
      </c>
      <c r="D5232" s="5" t="s">
        <v>464</v>
      </c>
      <c r="G5232" s="57" t="s">
        <v>465</v>
      </c>
      <c r="H5232" s="19" t="s">
        <v>465</v>
      </c>
      <c r="I5232" s="19">
        <v>92500</v>
      </c>
    </row>
    <row r="5233" spans="1:9" x14ac:dyDescent="0.2">
      <c r="A5233" s="1" t="s">
        <v>25</v>
      </c>
      <c r="B5233" s="2" t="s">
        <v>192</v>
      </c>
      <c r="D5233" s="5" t="s">
        <v>464</v>
      </c>
      <c r="G5233" s="57" t="s">
        <v>465</v>
      </c>
      <c r="H5233" s="19">
        <v>97500</v>
      </c>
      <c r="I5233" s="19" t="s">
        <v>465</v>
      </c>
    </row>
    <row r="5234" spans="1:9" x14ac:dyDescent="0.2">
      <c r="A5234" s="1" t="s">
        <v>25</v>
      </c>
      <c r="B5234" s="2" t="s">
        <v>192</v>
      </c>
      <c r="D5234" s="5" t="s">
        <v>464</v>
      </c>
      <c r="G5234" s="57" t="s">
        <v>465</v>
      </c>
      <c r="H5234" s="19">
        <v>97500</v>
      </c>
      <c r="I5234" s="19" t="s">
        <v>465</v>
      </c>
    </row>
    <row r="5235" spans="1:9" x14ac:dyDescent="0.2">
      <c r="A5235" s="1" t="s">
        <v>25</v>
      </c>
      <c r="B5235" s="2" t="s">
        <v>192</v>
      </c>
      <c r="D5235" s="5" t="s">
        <v>464</v>
      </c>
      <c r="G5235" s="57" t="s">
        <v>465</v>
      </c>
      <c r="H5235" s="19" t="s">
        <v>465</v>
      </c>
      <c r="I5235" s="19">
        <v>97500</v>
      </c>
    </row>
    <row r="5236" spans="1:9" x14ac:dyDescent="0.2">
      <c r="A5236" s="1" t="s">
        <v>25</v>
      </c>
      <c r="B5236" s="2" t="s">
        <v>192</v>
      </c>
      <c r="D5236" s="5" t="s">
        <v>464</v>
      </c>
      <c r="G5236" s="57" t="s">
        <v>465</v>
      </c>
      <c r="H5236" s="19" t="s">
        <v>465</v>
      </c>
      <c r="I5236" s="19">
        <v>97500</v>
      </c>
    </row>
    <row r="5237" spans="1:9" x14ac:dyDescent="0.2">
      <c r="A5237" s="1" t="s">
        <v>25</v>
      </c>
      <c r="B5237" s="2" t="s">
        <v>192</v>
      </c>
      <c r="D5237" s="5" t="s">
        <v>464</v>
      </c>
      <c r="G5237" s="57" t="s">
        <v>465</v>
      </c>
      <c r="H5237" s="19" t="s">
        <v>465</v>
      </c>
      <c r="I5237" s="19">
        <v>97500</v>
      </c>
    </row>
    <row r="5238" spans="1:9" x14ac:dyDescent="0.2">
      <c r="A5238" s="1" t="s">
        <v>39</v>
      </c>
      <c r="B5238" s="2" t="s">
        <v>193</v>
      </c>
      <c r="D5238" s="5" t="s">
        <v>464</v>
      </c>
      <c r="G5238" s="57" t="s">
        <v>465</v>
      </c>
      <c r="H5238" s="19">
        <v>97500</v>
      </c>
      <c r="I5238" s="19" t="s">
        <v>465</v>
      </c>
    </row>
    <row r="5239" spans="1:9" x14ac:dyDescent="0.2">
      <c r="A5239" s="1" t="s">
        <v>39</v>
      </c>
      <c r="B5239" s="2" t="s">
        <v>193</v>
      </c>
      <c r="D5239" s="5" t="s">
        <v>464</v>
      </c>
      <c r="G5239" s="57" t="s">
        <v>465</v>
      </c>
      <c r="H5239" s="19" t="s">
        <v>465</v>
      </c>
      <c r="I5239" s="19">
        <v>97500</v>
      </c>
    </row>
    <row r="5240" spans="1:9" x14ac:dyDescent="0.2">
      <c r="A5240" s="1" t="s">
        <v>20</v>
      </c>
      <c r="B5240" s="2" t="s">
        <v>194</v>
      </c>
      <c r="D5240" s="5" t="s">
        <v>464</v>
      </c>
      <c r="G5240" s="57" t="s">
        <v>465</v>
      </c>
      <c r="H5240" s="19">
        <v>92500</v>
      </c>
      <c r="I5240" s="19" t="s">
        <v>465</v>
      </c>
    </row>
    <row r="5241" spans="1:9" x14ac:dyDescent="0.2">
      <c r="A5241" s="1" t="s">
        <v>20</v>
      </c>
      <c r="B5241" s="2" t="s">
        <v>194</v>
      </c>
      <c r="D5241" s="5" t="s">
        <v>464</v>
      </c>
      <c r="G5241" s="57" t="s">
        <v>465</v>
      </c>
      <c r="H5241" s="19">
        <v>92500</v>
      </c>
      <c r="I5241" s="19" t="s">
        <v>465</v>
      </c>
    </row>
    <row r="5242" spans="1:9" x14ac:dyDescent="0.2">
      <c r="A5242" s="1" t="s">
        <v>20</v>
      </c>
      <c r="B5242" s="2" t="s">
        <v>194</v>
      </c>
      <c r="D5242" s="5" t="s">
        <v>464</v>
      </c>
      <c r="G5242" s="57" t="s">
        <v>465</v>
      </c>
      <c r="H5242" s="19">
        <v>92500</v>
      </c>
      <c r="I5242" s="19" t="s">
        <v>465</v>
      </c>
    </row>
    <row r="5243" spans="1:9" x14ac:dyDescent="0.2">
      <c r="A5243" s="1" t="s">
        <v>20</v>
      </c>
      <c r="B5243" s="2" t="s">
        <v>194</v>
      </c>
      <c r="D5243" s="5" t="s">
        <v>464</v>
      </c>
      <c r="G5243" s="57" t="s">
        <v>465</v>
      </c>
      <c r="H5243" s="19">
        <v>92500</v>
      </c>
      <c r="I5243" s="19" t="s">
        <v>465</v>
      </c>
    </row>
    <row r="5244" spans="1:9" x14ac:dyDescent="0.2">
      <c r="A5244" s="1" t="s">
        <v>20</v>
      </c>
      <c r="B5244" s="2" t="s">
        <v>194</v>
      </c>
      <c r="D5244" s="5" t="s">
        <v>464</v>
      </c>
      <c r="G5244" s="57" t="s">
        <v>465</v>
      </c>
      <c r="H5244" s="19">
        <v>92500</v>
      </c>
      <c r="I5244" s="19" t="s">
        <v>465</v>
      </c>
    </row>
    <row r="5245" spans="1:9" x14ac:dyDescent="0.2">
      <c r="A5245" s="1" t="s">
        <v>20</v>
      </c>
      <c r="B5245" s="2" t="s">
        <v>194</v>
      </c>
      <c r="D5245" s="5" t="s">
        <v>464</v>
      </c>
      <c r="G5245" s="57" t="s">
        <v>465</v>
      </c>
      <c r="H5245" s="19">
        <v>92500</v>
      </c>
      <c r="I5245" s="19" t="s">
        <v>465</v>
      </c>
    </row>
    <row r="5246" spans="1:9" x14ac:dyDescent="0.2">
      <c r="A5246" s="1" t="s">
        <v>20</v>
      </c>
      <c r="B5246" s="2" t="s">
        <v>194</v>
      </c>
      <c r="D5246" s="5" t="s">
        <v>464</v>
      </c>
      <c r="G5246" s="57" t="s">
        <v>465</v>
      </c>
      <c r="H5246" s="19">
        <v>92500</v>
      </c>
      <c r="I5246" s="19" t="s">
        <v>465</v>
      </c>
    </row>
    <row r="5247" spans="1:9" x14ac:dyDescent="0.2">
      <c r="A5247" s="1" t="s">
        <v>20</v>
      </c>
      <c r="B5247" s="2" t="s">
        <v>194</v>
      </c>
      <c r="D5247" s="5" t="s">
        <v>464</v>
      </c>
      <c r="G5247" s="57" t="s">
        <v>465</v>
      </c>
      <c r="H5247" s="19">
        <v>92500</v>
      </c>
      <c r="I5247" s="19" t="s">
        <v>465</v>
      </c>
    </row>
    <row r="5248" spans="1:9" x14ac:dyDescent="0.2">
      <c r="A5248" s="1" t="s">
        <v>20</v>
      </c>
      <c r="B5248" s="2" t="s">
        <v>194</v>
      </c>
      <c r="D5248" s="5" t="s">
        <v>464</v>
      </c>
      <c r="G5248" s="57" t="s">
        <v>465</v>
      </c>
      <c r="H5248" s="19">
        <v>92500</v>
      </c>
      <c r="I5248" s="19" t="s">
        <v>465</v>
      </c>
    </row>
    <row r="5249" spans="1:10" x14ac:dyDescent="0.2">
      <c r="A5249" s="1" t="s">
        <v>20</v>
      </c>
      <c r="B5249" s="2" t="s">
        <v>194</v>
      </c>
      <c r="D5249" s="5" t="s">
        <v>464</v>
      </c>
      <c r="G5249" s="57" t="s">
        <v>465</v>
      </c>
      <c r="H5249" s="19">
        <v>92500</v>
      </c>
      <c r="I5249" s="19" t="s">
        <v>465</v>
      </c>
    </row>
    <row r="5250" spans="1:10" x14ac:dyDescent="0.2">
      <c r="A5250" s="1" t="s">
        <v>20</v>
      </c>
      <c r="B5250" s="2" t="s">
        <v>194</v>
      </c>
      <c r="D5250" s="5" t="s">
        <v>464</v>
      </c>
      <c r="G5250" s="57" t="s">
        <v>465</v>
      </c>
      <c r="H5250" s="19">
        <v>92500</v>
      </c>
      <c r="I5250" s="19" t="s">
        <v>465</v>
      </c>
    </row>
    <row r="5251" spans="1:10" x14ac:dyDescent="0.2">
      <c r="A5251" s="1" t="s">
        <v>20</v>
      </c>
      <c r="B5251" s="2" t="s">
        <v>194</v>
      </c>
      <c r="D5251" s="5" t="s">
        <v>464</v>
      </c>
      <c r="G5251" s="57" t="s">
        <v>465</v>
      </c>
      <c r="H5251" s="19">
        <v>92500</v>
      </c>
      <c r="I5251" s="19" t="s">
        <v>465</v>
      </c>
    </row>
    <row r="5252" spans="1:10" x14ac:dyDescent="0.2">
      <c r="A5252" s="1" t="s">
        <v>20</v>
      </c>
      <c r="B5252" s="2" t="s">
        <v>194</v>
      </c>
      <c r="D5252" s="5" t="s">
        <v>464</v>
      </c>
      <c r="G5252" s="57" t="s">
        <v>465</v>
      </c>
      <c r="H5252" s="19">
        <v>92500</v>
      </c>
      <c r="I5252" s="19" t="s">
        <v>465</v>
      </c>
    </row>
    <row r="5253" spans="1:10" x14ac:dyDescent="0.2">
      <c r="A5253" s="1" t="s">
        <v>20</v>
      </c>
      <c r="B5253" s="2" t="s">
        <v>194</v>
      </c>
      <c r="D5253" s="5" t="s">
        <v>464</v>
      </c>
      <c r="G5253" s="57" t="s">
        <v>465</v>
      </c>
      <c r="H5253" s="19" t="s">
        <v>465</v>
      </c>
      <c r="I5253" s="19">
        <v>92500</v>
      </c>
      <c r="J5253" s="1"/>
    </row>
    <row r="5254" spans="1:10" x14ac:dyDescent="0.2">
      <c r="A5254" s="1" t="s">
        <v>20</v>
      </c>
      <c r="B5254" s="2" t="s">
        <v>194</v>
      </c>
      <c r="D5254" s="5" t="s">
        <v>464</v>
      </c>
      <c r="G5254" s="57" t="s">
        <v>465</v>
      </c>
      <c r="H5254" s="19" t="s">
        <v>465</v>
      </c>
      <c r="I5254" s="19">
        <v>92500</v>
      </c>
      <c r="J5254" s="1"/>
    </row>
    <row r="5255" spans="1:10" x14ac:dyDescent="0.2">
      <c r="A5255" s="1" t="s">
        <v>20</v>
      </c>
      <c r="B5255" s="2" t="s">
        <v>194</v>
      </c>
      <c r="D5255" s="5" t="s">
        <v>464</v>
      </c>
      <c r="G5255" s="57" t="s">
        <v>465</v>
      </c>
      <c r="H5255" s="19" t="s">
        <v>465</v>
      </c>
      <c r="I5255" s="19">
        <v>92500</v>
      </c>
      <c r="J5255" s="1"/>
    </row>
    <row r="5256" spans="1:10" x14ac:dyDescent="0.2">
      <c r="A5256" s="1" t="s">
        <v>20</v>
      </c>
      <c r="B5256" s="2" t="s">
        <v>194</v>
      </c>
      <c r="D5256" s="5" t="s">
        <v>464</v>
      </c>
      <c r="G5256" s="57" t="s">
        <v>465</v>
      </c>
      <c r="H5256" s="19" t="s">
        <v>465</v>
      </c>
      <c r="I5256" s="19">
        <v>92500</v>
      </c>
      <c r="J5256" s="1"/>
    </row>
    <row r="5257" spans="1:10" x14ac:dyDescent="0.2">
      <c r="A5257" s="1" t="s">
        <v>20</v>
      </c>
      <c r="B5257" s="2" t="s">
        <v>194</v>
      </c>
      <c r="D5257" s="5" t="s">
        <v>464</v>
      </c>
      <c r="G5257" s="57" t="s">
        <v>465</v>
      </c>
      <c r="H5257" s="19" t="s">
        <v>465</v>
      </c>
      <c r="I5257" s="19">
        <v>92500</v>
      </c>
      <c r="J5257" s="1"/>
    </row>
    <row r="5258" spans="1:10" x14ac:dyDescent="0.2">
      <c r="A5258" s="1" t="s">
        <v>20</v>
      </c>
      <c r="B5258" s="2" t="s">
        <v>194</v>
      </c>
      <c r="D5258" s="5" t="s">
        <v>464</v>
      </c>
      <c r="G5258" s="57" t="s">
        <v>465</v>
      </c>
      <c r="H5258" s="19" t="s">
        <v>465</v>
      </c>
      <c r="I5258" s="19">
        <v>92500</v>
      </c>
      <c r="J5258" s="1"/>
    </row>
    <row r="5259" spans="1:10" x14ac:dyDescent="0.2">
      <c r="A5259" s="1" t="s">
        <v>20</v>
      </c>
      <c r="B5259" s="2" t="s">
        <v>194</v>
      </c>
      <c r="D5259" s="5" t="s">
        <v>464</v>
      </c>
      <c r="G5259" s="57" t="s">
        <v>465</v>
      </c>
      <c r="H5259" s="19" t="s">
        <v>465</v>
      </c>
      <c r="I5259" s="19">
        <v>92500</v>
      </c>
      <c r="J5259" s="1"/>
    </row>
    <row r="5260" spans="1:10" x14ac:dyDescent="0.2">
      <c r="A5260" s="1" t="s">
        <v>20</v>
      </c>
      <c r="B5260" s="2" t="s">
        <v>194</v>
      </c>
      <c r="D5260" s="5" t="s">
        <v>464</v>
      </c>
      <c r="G5260" s="57" t="s">
        <v>465</v>
      </c>
      <c r="H5260" s="19" t="s">
        <v>465</v>
      </c>
      <c r="I5260" s="19">
        <v>92500</v>
      </c>
      <c r="J5260" s="1"/>
    </row>
    <row r="5261" spans="1:10" x14ac:dyDescent="0.2">
      <c r="A5261" s="1" t="s">
        <v>20</v>
      </c>
      <c r="B5261" s="2" t="s">
        <v>194</v>
      </c>
      <c r="D5261" s="5" t="s">
        <v>464</v>
      </c>
      <c r="G5261" s="57" t="s">
        <v>465</v>
      </c>
      <c r="H5261" s="19" t="s">
        <v>465</v>
      </c>
      <c r="I5261" s="19">
        <v>92500</v>
      </c>
      <c r="J5261" s="1"/>
    </row>
    <row r="5262" spans="1:10" x14ac:dyDescent="0.2">
      <c r="A5262" s="1" t="s">
        <v>20</v>
      </c>
      <c r="B5262" s="2" t="s">
        <v>194</v>
      </c>
      <c r="D5262" s="5" t="s">
        <v>464</v>
      </c>
      <c r="G5262" s="57" t="s">
        <v>465</v>
      </c>
      <c r="H5262" s="19" t="s">
        <v>465</v>
      </c>
      <c r="I5262" s="19">
        <v>92500</v>
      </c>
      <c r="J5262" s="1"/>
    </row>
    <row r="5263" spans="1:10" x14ac:dyDescent="0.2">
      <c r="A5263" s="1" t="s">
        <v>20</v>
      </c>
      <c r="B5263" s="2" t="s">
        <v>194</v>
      </c>
      <c r="D5263" s="5" t="s">
        <v>464</v>
      </c>
      <c r="G5263" s="57" t="s">
        <v>465</v>
      </c>
      <c r="H5263" s="19" t="s">
        <v>465</v>
      </c>
      <c r="I5263" s="19">
        <v>92500</v>
      </c>
      <c r="J5263" s="1"/>
    </row>
    <row r="5264" spans="1:10" x14ac:dyDescent="0.2">
      <c r="A5264" s="1" t="s">
        <v>20</v>
      </c>
      <c r="B5264" s="2" t="s">
        <v>194</v>
      </c>
      <c r="D5264" s="5" t="s">
        <v>464</v>
      </c>
      <c r="G5264" s="57" t="s">
        <v>465</v>
      </c>
      <c r="H5264" s="19" t="s">
        <v>465</v>
      </c>
      <c r="I5264" s="19">
        <v>92500</v>
      </c>
      <c r="J5264" s="1"/>
    </row>
    <row r="5265" spans="1:10" x14ac:dyDescent="0.2">
      <c r="A5265" s="1" t="s">
        <v>20</v>
      </c>
      <c r="B5265" s="2" t="s">
        <v>194</v>
      </c>
      <c r="D5265" s="5" t="s">
        <v>464</v>
      </c>
      <c r="G5265" s="57" t="s">
        <v>465</v>
      </c>
      <c r="H5265" s="19" t="s">
        <v>465</v>
      </c>
      <c r="I5265" s="19">
        <v>92500</v>
      </c>
      <c r="J5265" s="1"/>
    </row>
    <row r="5266" spans="1:10" x14ac:dyDescent="0.2">
      <c r="A5266" s="1" t="s">
        <v>20</v>
      </c>
      <c r="B5266" s="2" t="s">
        <v>194</v>
      </c>
      <c r="D5266" s="5" t="s">
        <v>464</v>
      </c>
      <c r="G5266" s="57" t="s">
        <v>465</v>
      </c>
      <c r="H5266" s="19" t="s">
        <v>465</v>
      </c>
      <c r="I5266" s="19">
        <v>92500</v>
      </c>
      <c r="J5266" s="1"/>
    </row>
    <row r="5267" spans="1:10" x14ac:dyDescent="0.2">
      <c r="A5267" s="1" t="s">
        <v>20</v>
      </c>
      <c r="B5267" s="2" t="s">
        <v>194</v>
      </c>
      <c r="D5267" s="5" t="s">
        <v>464</v>
      </c>
      <c r="G5267" s="57" t="s">
        <v>465</v>
      </c>
      <c r="H5267" s="19" t="s">
        <v>465</v>
      </c>
      <c r="I5267" s="19">
        <v>92500</v>
      </c>
      <c r="J5267" s="1"/>
    </row>
    <row r="5268" spans="1:10" x14ac:dyDescent="0.2">
      <c r="A5268" s="1" t="s">
        <v>20</v>
      </c>
      <c r="B5268" s="2" t="s">
        <v>194</v>
      </c>
      <c r="D5268" s="5" t="s">
        <v>464</v>
      </c>
      <c r="G5268" s="57" t="s">
        <v>465</v>
      </c>
      <c r="H5268" s="19" t="s">
        <v>465</v>
      </c>
      <c r="I5268" s="19">
        <v>92500</v>
      </c>
      <c r="J5268" s="1"/>
    </row>
    <row r="5269" spans="1:10" x14ac:dyDescent="0.2">
      <c r="A5269" s="1" t="s">
        <v>20</v>
      </c>
      <c r="B5269" s="2" t="s">
        <v>194</v>
      </c>
      <c r="D5269" s="5" t="s">
        <v>464</v>
      </c>
      <c r="G5269" s="57" t="s">
        <v>465</v>
      </c>
      <c r="H5269" s="19" t="s">
        <v>465</v>
      </c>
      <c r="I5269" s="19">
        <v>92500</v>
      </c>
      <c r="J5269" s="1"/>
    </row>
    <row r="5270" spans="1:10" x14ac:dyDescent="0.2">
      <c r="A5270" s="1" t="s">
        <v>20</v>
      </c>
      <c r="B5270" s="2" t="s">
        <v>194</v>
      </c>
      <c r="D5270" s="5" t="s">
        <v>464</v>
      </c>
      <c r="G5270" s="57" t="s">
        <v>465</v>
      </c>
      <c r="H5270" s="19" t="s">
        <v>465</v>
      </c>
      <c r="I5270" s="19">
        <v>92500</v>
      </c>
      <c r="J5270" s="1"/>
    </row>
    <row r="5271" spans="1:10" x14ac:dyDescent="0.2">
      <c r="A5271" s="1" t="s">
        <v>20</v>
      </c>
      <c r="B5271" s="2" t="s">
        <v>194</v>
      </c>
      <c r="D5271" s="5" t="s">
        <v>464</v>
      </c>
      <c r="G5271" s="57" t="s">
        <v>465</v>
      </c>
      <c r="H5271" s="19">
        <v>97500</v>
      </c>
      <c r="I5271" s="19" t="s">
        <v>465</v>
      </c>
      <c r="J5271" s="1"/>
    </row>
    <row r="5272" spans="1:10" x14ac:dyDescent="0.2">
      <c r="A5272" s="1" t="s">
        <v>20</v>
      </c>
      <c r="B5272" s="2" t="s">
        <v>194</v>
      </c>
      <c r="D5272" s="5" t="s">
        <v>464</v>
      </c>
      <c r="G5272" s="57" t="s">
        <v>465</v>
      </c>
      <c r="H5272" s="19">
        <v>97500</v>
      </c>
      <c r="I5272" s="19" t="s">
        <v>465</v>
      </c>
      <c r="J5272" s="1"/>
    </row>
    <row r="5273" spans="1:10" x14ac:dyDescent="0.2">
      <c r="A5273" s="1" t="s">
        <v>20</v>
      </c>
      <c r="B5273" s="2" t="s">
        <v>194</v>
      </c>
      <c r="D5273" s="5" t="s">
        <v>464</v>
      </c>
      <c r="G5273" s="57" t="s">
        <v>465</v>
      </c>
      <c r="H5273" s="19">
        <v>97500</v>
      </c>
      <c r="I5273" s="19" t="s">
        <v>465</v>
      </c>
      <c r="J5273" s="1"/>
    </row>
    <row r="5274" spans="1:10" x14ac:dyDescent="0.2">
      <c r="A5274" s="1" t="s">
        <v>20</v>
      </c>
      <c r="B5274" s="2" t="s">
        <v>194</v>
      </c>
      <c r="D5274" s="5" t="s">
        <v>464</v>
      </c>
      <c r="G5274" s="57" t="s">
        <v>465</v>
      </c>
      <c r="H5274" s="19">
        <v>97500</v>
      </c>
      <c r="I5274" s="19" t="s">
        <v>465</v>
      </c>
      <c r="J5274" s="1"/>
    </row>
    <row r="5275" spans="1:10" x14ac:dyDescent="0.2">
      <c r="A5275" s="1" t="s">
        <v>20</v>
      </c>
      <c r="B5275" s="2" t="s">
        <v>194</v>
      </c>
      <c r="D5275" s="5" t="s">
        <v>464</v>
      </c>
      <c r="G5275" s="57" t="s">
        <v>465</v>
      </c>
      <c r="H5275" s="19">
        <v>97500</v>
      </c>
      <c r="I5275" s="19" t="s">
        <v>465</v>
      </c>
      <c r="J5275" s="1"/>
    </row>
    <row r="5276" spans="1:10" x14ac:dyDescent="0.2">
      <c r="A5276" s="1" t="s">
        <v>20</v>
      </c>
      <c r="B5276" s="2" t="s">
        <v>194</v>
      </c>
      <c r="D5276" s="5" t="s">
        <v>464</v>
      </c>
      <c r="G5276" s="57" t="s">
        <v>465</v>
      </c>
      <c r="H5276" s="19">
        <v>97500</v>
      </c>
      <c r="I5276" s="19" t="s">
        <v>465</v>
      </c>
      <c r="J5276" s="1"/>
    </row>
    <row r="5277" spans="1:10" x14ac:dyDescent="0.2">
      <c r="A5277" s="1" t="s">
        <v>20</v>
      </c>
      <c r="B5277" s="2" t="s">
        <v>194</v>
      </c>
      <c r="D5277" s="5" t="s">
        <v>464</v>
      </c>
      <c r="G5277" s="57" t="s">
        <v>465</v>
      </c>
      <c r="H5277" s="19">
        <v>97500</v>
      </c>
      <c r="I5277" s="19" t="s">
        <v>465</v>
      </c>
      <c r="J5277" s="1"/>
    </row>
    <row r="5278" spans="1:10" x14ac:dyDescent="0.2">
      <c r="A5278" s="1" t="s">
        <v>20</v>
      </c>
      <c r="B5278" s="2" t="s">
        <v>194</v>
      </c>
      <c r="D5278" s="5" t="s">
        <v>464</v>
      </c>
      <c r="G5278" s="57" t="s">
        <v>465</v>
      </c>
      <c r="H5278" s="19">
        <v>97500</v>
      </c>
      <c r="I5278" s="19" t="s">
        <v>465</v>
      </c>
      <c r="J5278" s="1"/>
    </row>
    <row r="5279" spans="1:10" x14ac:dyDescent="0.2">
      <c r="A5279" s="1" t="s">
        <v>20</v>
      </c>
      <c r="B5279" s="2" t="s">
        <v>194</v>
      </c>
      <c r="D5279" s="5" t="s">
        <v>464</v>
      </c>
      <c r="G5279" s="57" t="s">
        <v>465</v>
      </c>
      <c r="H5279" s="19">
        <v>97500</v>
      </c>
      <c r="I5279" s="19" t="s">
        <v>465</v>
      </c>
      <c r="J5279" s="1"/>
    </row>
    <row r="5280" spans="1:10" x14ac:dyDescent="0.2">
      <c r="A5280" s="1" t="s">
        <v>20</v>
      </c>
      <c r="B5280" s="2" t="s">
        <v>194</v>
      </c>
      <c r="D5280" s="5" t="s">
        <v>464</v>
      </c>
      <c r="G5280" s="57" t="s">
        <v>465</v>
      </c>
      <c r="H5280" s="19">
        <v>97500</v>
      </c>
      <c r="I5280" s="19" t="s">
        <v>465</v>
      </c>
      <c r="J5280" s="1"/>
    </row>
    <row r="5281" spans="1:10" x14ac:dyDescent="0.2">
      <c r="A5281" s="1" t="s">
        <v>20</v>
      </c>
      <c r="B5281" s="2" t="s">
        <v>194</v>
      </c>
      <c r="D5281" s="5" t="s">
        <v>464</v>
      </c>
      <c r="G5281" s="57" t="s">
        <v>465</v>
      </c>
      <c r="H5281" s="19" t="s">
        <v>465</v>
      </c>
      <c r="I5281" s="19">
        <v>97500</v>
      </c>
      <c r="J5281" s="1"/>
    </row>
    <row r="5282" spans="1:10" x14ac:dyDescent="0.2">
      <c r="A5282" s="1" t="s">
        <v>20</v>
      </c>
      <c r="B5282" s="2" t="s">
        <v>194</v>
      </c>
      <c r="D5282" s="5" t="s">
        <v>464</v>
      </c>
      <c r="G5282" s="57" t="s">
        <v>465</v>
      </c>
      <c r="H5282" s="19" t="s">
        <v>465</v>
      </c>
      <c r="I5282" s="19">
        <v>97500</v>
      </c>
      <c r="J5282" s="1"/>
    </row>
    <row r="5283" spans="1:10" x14ac:dyDescent="0.2">
      <c r="A5283" s="1" t="s">
        <v>20</v>
      </c>
      <c r="B5283" s="2" t="s">
        <v>194</v>
      </c>
      <c r="D5283" s="5" t="s">
        <v>464</v>
      </c>
      <c r="G5283" s="57" t="s">
        <v>465</v>
      </c>
      <c r="H5283" s="19" t="s">
        <v>465</v>
      </c>
      <c r="I5283" s="19">
        <v>97500</v>
      </c>
      <c r="J5283" s="1"/>
    </row>
    <row r="5284" spans="1:10" x14ac:dyDescent="0.2">
      <c r="A5284" s="1" t="s">
        <v>20</v>
      </c>
      <c r="B5284" s="2" t="s">
        <v>194</v>
      </c>
      <c r="D5284" s="5" t="s">
        <v>464</v>
      </c>
      <c r="G5284" s="57" t="s">
        <v>465</v>
      </c>
      <c r="H5284" s="19" t="s">
        <v>465</v>
      </c>
      <c r="I5284" s="19">
        <v>97500</v>
      </c>
      <c r="J5284" s="1"/>
    </row>
    <row r="5285" spans="1:10" x14ac:dyDescent="0.2">
      <c r="A5285" s="1" t="s">
        <v>20</v>
      </c>
      <c r="B5285" s="2" t="s">
        <v>194</v>
      </c>
      <c r="D5285" s="5" t="s">
        <v>464</v>
      </c>
      <c r="G5285" s="57" t="s">
        <v>465</v>
      </c>
      <c r="H5285" s="19" t="s">
        <v>465</v>
      </c>
      <c r="I5285" s="19">
        <v>97500</v>
      </c>
      <c r="J5285" s="1"/>
    </row>
    <row r="5286" spans="1:10" x14ac:dyDescent="0.2">
      <c r="A5286" s="1" t="s">
        <v>20</v>
      </c>
      <c r="B5286" s="2" t="s">
        <v>194</v>
      </c>
      <c r="D5286" s="5" t="s">
        <v>464</v>
      </c>
      <c r="G5286" s="57" t="s">
        <v>465</v>
      </c>
      <c r="H5286" s="19" t="s">
        <v>465</v>
      </c>
      <c r="I5286" s="19">
        <v>97500</v>
      </c>
      <c r="J5286" s="1"/>
    </row>
    <row r="5287" spans="1:10" x14ac:dyDescent="0.2">
      <c r="A5287" s="1" t="s">
        <v>20</v>
      </c>
      <c r="B5287" s="2" t="s">
        <v>194</v>
      </c>
      <c r="D5287" s="5" t="s">
        <v>464</v>
      </c>
      <c r="G5287" s="57" t="s">
        <v>465</v>
      </c>
      <c r="H5287" s="19" t="s">
        <v>465</v>
      </c>
      <c r="I5287" s="19">
        <v>97500</v>
      </c>
      <c r="J5287" s="1"/>
    </row>
    <row r="5288" spans="1:10" x14ac:dyDescent="0.2">
      <c r="A5288" s="1" t="s">
        <v>20</v>
      </c>
      <c r="B5288" s="2" t="s">
        <v>194</v>
      </c>
      <c r="D5288" s="5" t="s">
        <v>464</v>
      </c>
      <c r="G5288" s="57" t="s">
        <v>465</v>
      </c>
      <c r="H5288" s="19" t="s">
        <v>465</v>
      </c>
      <c r="I5288" s="19">
        <v>97500</v>
      </c>
      <c r="J5288" s="1"/>
    </row>
    <row r="5289" spans="1:10" x14ac:dyDescent="0.2">
      <c r="A5289" s="1" t="s">
        <v>20</v>
      </c>
      <c r="B5289" s="2" t="s">
        <v>194</v>
      </c>
      <c r="D5289" s="5" t="s">
        <v>464</v>
      </c>
      <c r="G5289" s="57" t="s">
        <v>465</v>
      </c>
      <c r="H5289" s="19" t="s">
        <v>465</v>
      </c>
      <c r="I5289" s="19">
        <v>97500</v>
      </c>
      <c r="J5289" s="1"/>
    </row>
    <row r="5290" spans="1:10" x14ac:dyDescent="0.2">
      <c r="A5290" s="1" t="s">
        <v>20</v>
      </c>
      <c r="B5290" s="2" t="s">
        <v>194</v>
      </c>
      <c r="D5290" s="5" t="s">
        <v>464</v>
      </c>
      <c r="G5290" s="57" t="s">
        <v>465</v>
      </c>
      <c r="H5290" s="19" t="s">
        <v>465</v>
      </c>
      <c r="I5290" s="19">
        <v>97500</v>
      </c>
      <c r="J5290" s="1"/>
    </row>
    <row r="5291" spans="1:10" x14ac:dyDescent="0.2">
      <c r="A5291" s="1" t="s">
        <v>20</v>
      </c>
      <c r="B5291" s="2" t="s">
        <v>194</v>
      </c>
      <c r="D5291" s="5" t="s">
        <v>464</v>
      </c>
      <c r="G5291" s="57" t="s">
        <v>465</v>
      </c>
      <c r="H5291" s="19" t="s">
        <v>465</v>
      </c>
      <c r="I5291" s="19">
        <v>97500</v>
      </c>
      <c r="J5291" s="1"/>
    </row>
    <row r="5292" spans="1:10" x14ac:dyDescent="0.2">
      <c r="A5292" s="1" t="s">
        <v>25</v>
      </c>
      <c r="B5292" s="2" t="s">
        <v>197</v>
      </c>
      <c r="D5292" s="5" t="s">
        <v>464</v>
      </c>
      <c r="G5292" s="57" t="s">
        <v>465</v>
      </c>
      <c r="H5292" s="19">
        <v>92500</v>
      </c>
      <c r="I5292" s="19" t="s">
        <v>465</v>
      </c>
    </row>
    <row r="5293" spans="1:10" x14ac:dyDescent="0.2">
      <c r="A5293" s="1" t="s">
        <v>25</v>
      </c>
      <c r="B5293" s="2" t="s">
        <v>197</v>
      </c>
      <c r="D5293" s="5" t="s">
        <v>464</v>
      </c>
      <c r="G5293" s="57" t="s">
        <v>465</v>
      </c>
      <c r="H5293" s="19">
        <v>92500</v>
      </c>
      <c r="I5293" s="19" t="s">
        <v>465</v>
      </c>
    </row>
    <row r="5294" spans="1:10" x14ac:dyDescent="0.2">
      <c r="A5294" s="1" t="s">
        <v>25</v>
      </c>
      <c r="B5294" s="2" t="s">
        <v>197</v>
      </c>
      <c r="D5294" s="5" t="s">
        <v>464</v>
      </c>
      <c r="G5294" s="57" t="s">
        <v>465</v>
      </c>
      <c r="H5294" s="19">
        <v>92500</v>
      </c>
      <c r="I5294" s="19" t="s">
        <v>465</v>
      </c>
    </row>
    <row r="5295" spans="1:10" x14ac:dyDescent="0.2">
      <c r="A5295" s="1" t="s">
        <v>25</v>
      </c>
      <c r="B5295" s="2" t="s">
        <v>197</v>
      </c>
      <c r="D5295" s="5" t="s">
        <v>464</v>
      </c>
      <c r="G5295" s="57" t="s">
        <v>465</v>
      </c>
      <c r="H5295" s="19">
        <v>97500</v>
      </c>
      <c r="I5295" s="19" t="s">
        <v>465</v>
      </c>
      <c r="J5295" s="5" t="s">
        <v>2234</v>
      </c>
    </row>
    <row r="5296" spans="1:10" x14ac:dyDescent="0.2">
      <c r="A5296" s="1" t="s">
        <v>25</v>
      </c>
      <c r="B5296" s="2" t="s">
        <v>197</v>
      </c>
      <c r="D5296" s="5" t="s">
        <v>464</v>
      </c>
      <c r="G5296" s="57" t="s">
        <v>465</v>
      </c>
      <c r="H5296" s="19">
        <v>97500</v>
      </c>
      <c r="I5296" s="19" t="s">
        <v>465</v>
      </c>
    </row>
    <row r="5297" spans="1:10" x14ac:dyDescent="0.2">
      <c r="A5297" s="1" t="s">
        <v>25</v>
      </c>
      <c r="B5297" s="2" t="s">
        <v>197</v>
      </c>
      <c r="D5297" s="5" t="s">
        <v>464</v>
      </c>
      <c r="G5297" s="57" t="s">
        <v>465</v>
      </c>
      <c r="H5297" s="19" t="s">
        <v>465</v>
      </c>
      <c r="I5297" s="19">
        <v>97500</v>
      </c>
      <c r="J5297" s="5" t="s">
        <v>2234</v>
      </c>
    </row>
    <row r="5298" spans="1:10" x14ac:dyDescent="0.2">
      <c r="A5298" s="1" t="s">
        <v>25</v>
      </c>
      <c r="B5298" s="2" t="s">
        <v>197</v>
      </c>
      <c r="D5298" s="5" t="s">
        <v>464</v>
      </c>
      <c r="G5298" s="57" t="s">
        <v>465</v>
      </c>
      <c r="H5298" s="19" t="s">
        <v>465</v>
      </c>
      <c r="I5298" s="19">
        <v>97500</v>
      </c>
    </row>
    <row r="5299" spans="1:10" x14ac:dyDescent="0.2">
      <c r="A5299" s="1" t="s">
        <v>25</v>
      </c>
      <c r="B5299" s="2" t="s">
        <v>197</v>
      </c>
      <c r="D5299" s="5" t="s">
        <v>464</v>
      </c>
      <c r="G5299" s="57" t="s">
        <v>465</v>
      </c>
      <c r="H5299" s="19" t="s">
        <v>465</v>
      </c>
      <c r="I5299" s="19">
        <v>97500</v>
      </c>
    </row>
    <row r="5300" spans="1:10" x14ac:dyDescent="0.2">
      <c r="A5300" s="1" t="s">
        <v>4</v>
      </c>
      <c r="B5300" s="2" t="s">
        <v>199</v>
      </c>
      <c r="D5300" s="5" t="s">
        <v>464</v>
      </c>
      <c r="G5300" s="57" t="s">
        <v>465</v>
      </c>
      <c r="H5300" s="19" t="s">
        <v>465</v>
      </c>
      <c r="I5300" s="19">
        <v>92500</v>
      </c>
    </row>
    <row r="5301" spans="1:10" x14ac:dyDescent="0.2">
      <c r="A5301" s="1" t="s">
        <v>25</v>
      </c>
      <c r="B5301" s="2" t="s">
        <v>200</v>
      </c>
      <c r="D5301" s="5" t="s">
        <v>464</v>
      </c>
      <c r="G5301" s="57" t="s">
        <v>465</v>
      </c>
      <c r="H5301" s="19" t="s">
        <v>465</v>
      </c>
      <c r="I5301" s="19">
        <v>92500</v>
      </c>
    </row>
    <row r="5302" spans="1:10" x14ac:dyDescent="0.2">
      <c r="A5302" s="1" t="s">
        <v>25</v>
      </c>
      <c r="B5302" s="2" t="s">
        <v>200</v>
      </c>
      <c r="D5302" s="5" t="s">
        <v>464</v>
      </c>
      <c r="G5302" s="57" t="s">
        <v>465</v>
      </c>
      <c r="H5302" s="19" t="s">
        <v>465</v>
      </c>
      <c r="I5302" s="19">
        <v>92500</v>
      </c>
    </row>
    <row r="5303" spans="1:10" x14ac:dyDescent="0.2">
      <c r="A5303" s="1" t="s">
        <v>25</v>
      </c>
      <c r="B5303" s="2" t="s">
        <v>200</v>
      </c>
      <c r="D5303" s="5" t="s">
        <v>464</v>
      </c>
      <c r="G5303" s="57" t="s">
        <v>465</v>
      </c>
      <c r="H5303" s="19" t="s">
        <v>465</v>
      </c>
      <c r="I5303" s="19">
        <v>92500</v>
      </c>
    </row>
    <row r="5304" spans="1:10" x14ac:dyDescent="0.2">
      <c r="A5304" s="1" t="s">
        <v>25</v>
      </c>
      <c r="B5304" s="2" t="s">
        <v>200</v>
      </c>
      <c r="D5304" s="5" t="s">
        <v>464</v>
      </c>
      <c r="G5304" s="57" t="s">
        <v>465</v>
      </c>
      <c r="H5304" s="19" t="s">
        <v>465</v>
      </c>
      <c r="I5304" s="19">
        <v>92500</v>
      </c>
    </row>
    <row r="5305" spans="1:10" x14ac:dyDescent="0.2">
      <c r="A5305" s="1" t="s">
        <v>25</v>
      </c>
      <c r="B5305" s="2" t="s">
        <v>200</v>
      </c>
      <c r="D5305" s="5" t="s">
        <v>464</v>
      </c>
      <c r="G5305" s="57" t="s">
        <v>465</v>
      </c>
      <c r="H5305" s="19">
        <v>97500</v>
      </c>
      <c r="I5305" s="19" t="s">
        <v>465</v>
      </c>
    </row>
    <row r="5306" spans="1:10" x14ac:dyDescent="0.2">
      <c r="A5306" s="1" t="s">
        <v>25</v>
      </c>
      <c r="B5306" s="2" t="s">
        <v>200</v>
      </c>
      <c r="D5306" s="5" t="s">
        <v>464</v>
      </c>
      <c r="G5306" s="57" t="s">
        <v>465</v>
      </c>
      <c r="H5306" s="19" t="s">
        <v>465</v>
      </c>
      <c r="I5306" s="19">
        <v>97500</v>
      </c>
    </row>
    <row r="5307" spans="1:10" x14ac:dyDescent="0.2">
      <c r="A5307" s="1" t="s">
        <v>25</v>
      </c>
      <c r="B5307" s="2" t="s">
        <v>200</v>
      </c>
      <c r="D5307" s="5" t="s">
        <v>464</v>
      </c>
      <c r="G5307" s="57" t="s">
        <v>465</v>
      </c>
      <c r="H5307" s="19" t="s">
        <v>465</v>
      </c>
      <c r="I5307" s="19">
        <v>97500</v>
      </c>
    </row>
    <row r="5308" spans="1:10" x14ac:dyDescent="0.2">
      <c r="A5308" s="1" t="s">
        <v>1</v>
      </c>
      <c r="B5308" s="2" t="s">
        <v>203</v>
      </c>
      <c r="D5308" s="5" t="s">
        <v>464</v>
      </c>
      <c r="G5308" s="57" t="s">
        <v>465</v>
      </c>
      <c r="H5308" s="19" t="s">
        <v>465</v>
      </c>
      <c r="I5308" s="19">
        <v>97500</v>
      </c>
    </row>
    <row r="5309" spans="1:10" x14ac:dyDescent="0.2">
      <c r="A5309" s="1" t="s">
        <v>1</v>
      </c>
      <c r="B5309" s="2" t="s">
        <v>203</v>
      </c>
      <c r="D5309" s="5" t="s">
        <v>464</v>
      </c>
      <c r="G5309" s="57" t="s">
        <v>465</v>
      </c>
      <c r="H5309" s="19">
        <v>97500</v>
      </c>
      <c r="I5309" s="19" t="s">
        <v>465</v>
      </c>
    </row>
    <row r="5310" spans="1:10" x14ac:dyDescent="0.2">
      <c r="A5310" s="1" t="s">
        <v>4</v>
      </c>
      <c r="B5310" s="2" t="s">
        <v>206</v>
      </c>
      <c r="D5310" s="5" t="s">
        <v>464</v>
      </c>
      <c r="G5310" s="57" t="s">
        <v>465</v>
      </c>
      <c r="H5310" s="19">
        <v>92500</v>
      </c>
      <c r="I5310" s="19" t="s">
        <v>465</v>
      </c>
      <c r="J5310" s="5" t="s">
        <v>3396</v>
      </c>
    </row>
    <row r="5311" spans="1:10" x14ac:dyDescent="0.2">
      <c r="A5311" s="1" t="s">
        <v>4</v>
      </c>
      <c r="B5311" s="2" t="s">
        <v>206</v>
      </c>
      <c r="D5311" s="5" t="s">
        <v>464</v>
      </c>
      <c r="G5311" s="57" t="s">
        <v>465</v>
      </c>
      <c r="H5311" s="19">
        <v>92500</v>
      </c>
      <c r="I5311" s="19" t="s">
        <v>465</v>
      </c>
    </row>
    <row r="5312" spans="1:10" x14ac:dyDescent="0.2">
      <c r="A5312" s="1" t="s">
        <v>4</v>
      </c>
      <c r="B5312" s="2" t="s">
        <v>206</v>
      </c>
      <c r="D5312" s="5" t="s">
        <v>464</v>
      </c>
      <c r="G5312" s="57" t="s">
        <v>465</v>
      </c>
      <c r="H5312" s="19">
        <v>92500</v>
      </c>
      <c r="I5312" s="19" t="s">
        <v>465</v>
      </c>
    </row>
    <row r="5313" spans="1:10" x14ac:dyDescent="0.2">
      <c r="A5313" s="1" t="s">
        <v>4</v>
      </c>
      <c r="B5313" s="2" t="s">
        <v>206</v>
      </c>
      <c r="D5313" s="5" t="s">
        <v>464</v>
      </c>
      <c r="G5313" s="57" t="s">
        <v>465</v>
      </c>
      <c r="H5313" s="19">
        <v>92500</v>
      </c>
      <c r="I5313" s="19" t="s">
        <v>465</v>
      </c>
    </row>
    <row r="5314" spans="1:10" x14ac:dyDescent="0.2">
      <c r="A5314" s="1" t="s">
        <v>4</v>
      </c>
      <c r="B5314" s="2" t="s">
        <v>206</v>
      </c>
      <c r="D5314" s="5" t="s">
        <v>464</v>
      </c>
      <c r="G5314" s="57" t="s">
        <v>465</v>
      </c>
      <c r="H5314" s="19" t="s">
        <v>465</v>
      </c>
      <c r="I5314" s="19">
        <v>92500</v>
      </c>
    </row>
    <row r="5315" spans="1:10" x14ac:dyDescent="0.2">
      <c r="A5315" s="1" t="s">
        <v>4</v>
      </c>
      <c r="B5315" s="2" t="s">
        <v>206</v>
      </c>
      <c r="D5315" s="5" t="s">
        <v>464</v>
      </c>
      <c r="G5315" s="57" t="s">
        <v>465</v>
      </c>
      <c r="H5315" s="19" t="s">
        <v>465</v>
      </c>
      <c r="I5315" s="19">
        <v>92500</v>
      </c>
    </row>
    <row r="5316" spans="1:10" x14ac:dyDescent="0.2">
      <c r="A5316" s="1" t="s">
        <v>4</v>
      </c>
      <c r="B5316" s="2" t="s">
        <v>206</v>
      </c>
      <c r="D5316" s="5" t="s">
        <v>464</v>
      </c>
      <c r="G5316" s="57" t="s">
        <v>465</v>
      </c>
      <c r="H5316" s="19" t="s">
        <v>465</v>
      </c>
      <c r="I5316" s="19">
        <v>92500</v>
      </c>
    </row>
    <row r="5317" spans="1:10" x14ac:dyDescent="0.2">
      <c r="A5317" s="1" t="s">
        <v>4</v>
      </c>
      <c r="B5317" s="2" t="s">
        <v>206</v>
      </c>
      <c r="D5317" s="5" t="s">
        <v>464</v>
      </c>
      <c r="G5317" s="57" t="s">
        <v>465</v>
      </c>
      <c r="H5317" s="19" t="s">
        <v>465</v>
      </c>
      <c r="I5317" s="19">
        <v>97500</v>
      </c>
    </row>
    <row r="5318" spans="1:10" x14ac:dyDescent="0.2">
      <c r="A5318" s="1" t="s">
        <v>25</v>
      </c>
      <c r="B5318" s="2" t="s">
        <v>208</v>
      </c>
      <c r="D5318" s="5" t="s">
        <v>464</v>
      </c>
      <c r="G5318" s="57" t="s">
        <v>465</v>
      </c>
      <c r="H5318" s="19">
        <v>92500</v>
      </c>
      <c r="I5318" s="19" t="s">
        <v>465</v>
      </c>
    </row>
    <row r="5319" spans="1:10" x14ac:dyDescent="0.2">
      <c r="A5319" s="1" t="s">
        <v>25</v>
      </c>
      <c r="B5319" s="2" t="s">
        <v>208</v>
      </c>
      <c r="D5319" s="5" t="s">
        <v>464</v>
      </c>
      <c r="G5319" s="57" t="s">
        <v>465</v>
      </c>
      <c r="H5319" s="19">
        <v>92500</v>
      </c>
      <c r="I5319" s="19" t="s">
        <v>465</v>
      </c>
    </row>
    <row r="5320" spans="1:10" x14ac:dyDescent="0.2">
      <c r="A5320" s="1" t="s">
        <v>25</v>
      </c>
      <c r="B5320" s="2" t="s">
        <v>208</v>
      </c>
      <c r="D5320" s="5" t="s">
        <v>464</v>
      </c>
      <c r="G5320" s="57" t="s">
        <v>465</v>
      </c>
      <c r="H5320" s="19">
        <v>92500</v>
      </c>
      <c r="I5320" s="19" t="s">
        <v>465</v>
      </c>
    </row>
    <row r="5321" spans="1:10" x14ac:dyDescent="0.2">
      <c r="A5321" s="1" t="s">
        <v>25</v>
      </c>
      <c r="B5321" s="2" t="s">
        <v>208</v>
      </c>
      <c r="D5321" s="5" t="s">
        <v>464</v>
      </c>
      <c r="G5321" s="57" t="s">
        <v>465</v>
      </c>
      <c r="H5321" s="19">
        <v>92500</v>
      </c>
      <c r="I5321" s="19" t="s">
        <v>465</v>
      </c>
    </row>
    <row r="5322" spans="1:10" x14ac:dyDescent="0.2">
      <c r="A5322" s="1" t="s">
        <v>25</v>
      </c>
      <c r="B5322" s="2" t="s">
        <v>208</v>
      </c>
      <c r="D5322" s="5" t="s">
        <v>464</v>
      </c>
      <c r="G5322" s="57" t="s">
        <v>465</v>
      </c>
      <c r="H5322" s="19" t="s">
        <v>465</v>
      </c>
      <c r="I5322" s="19">
        <v>92500</v>
      </c>
    </row>
    <row r="5323" spans="1:10" x14ac:dyDescent="0.2">
      <c r="A5323" s="1" t="s">
        <v>25</v>
      </c>
      <c r="B5323" s="2" t="s">
        <v>208</v>
      </c>
      <c r="D5323" s="5" t="s">
        <v>464</v>
      </c>
      <c r="G5323" s="57" t="s">
        <v>465</v>
      </c>
      <c r="H5323" s="19" t="s">
        <v>465</v>
      </c>
      <c r="I5323" s="19">
        <v>92500</v>
      </c>
    </row>
    <row r="5324" spans="1:10" x14ac:dyDescent="0.2">
      <c r="A5324" s="1" t="s">
        <v>25</v>
      </c>
      <c r="B5324" s="2" t="s">
        <v>208</v>
      </c>
      <c r="D5324" s="5" t="s">
        <v>464</v>
      </c>
      <c r="G5324" s="57" t="s">
        <v>465</v>
      </c>
      <c r="H5324" s="19" t="s">
        <v>465</v>
      </c>
      <c r="I5324" s="19">
        <v>92500</v>
      </c>
      <c r="J5324" s="1"/>
    </row>
    <row r="5325" spans="1:10" x14ac:dyDescent="0.2">
      <c r="A5325" s="1" t="s">
        <v>25</v>
      </c>
      <c r="B5325" s="2" t="s">
        <v>208</v>
      </c>
      <c r="D5325" s="5" t="s">
        <v>464</v>
      </c>
      <c r="G5325" s="57" t="s">
        <v>465</v>
      </c>
      <c r="H5325" s="19" t="s">
        <v>465</v>
      </c>
      <c r="I5325" s="19">
        <v>92500</v>
      </c>
      <c r="J5325" s="1"/>
    </row>
    <row r="5326" spans="1:10" x14ac:dyDescent="0.2">
      <c r="A5326" s="1" t="s">
        <v>25</v>
      </c>
      <c r="B5326" s="2" t="s">
        <v>208</v>
      </c>
      <c r="D5326" s="5" t="s">
        <v>464</v>
      </c>
      <c r="G5326" s="57" t="s">
        <v>465</v>
      </c>
      <c r="H5326" s="19">
        <v>97500</v>
      </c>
      <c r="I5326" s="19" t="s">
        <v>465</v>
      </c>
      <c r="J5326" s="1"/>
    </row>
    <row r="5327" spans="1:10" x14ac:dyDescent="0.2">
      <c r="A5327" s="1" t="s">
        <v>25</v>
      </c>
      <c r="B5327" s="2" t="s">
        <v>208</v>
      </c>
      <c r="D5327" s="5" t="s">
        <v>464</v>
      </c>
      <c r="G5327" s="57" t="s">
        <v>465</v>
      </c>
      <c r="H5327" s="19">
        <v>97500</v>
      </c>
      <c r="I5327" s="19" t="s">
        <v>465</v>
      </c>
      <c r="J5327" s="1"/>
    </row>
    <row r="5328" spans="1:10" x14ac:dyDescent="0.2">
      <c r="A5328" s="1" t="s">
        <v>25</v>
      </c>
      <c r="B5328" s="2" t="s">
        <v>209</v>
      </c>
      <c r="D5328" s="5" t="s">
        <v>464</v>
      </c>
      <c r="G5328" s="57" t="s">
        <v>465</v>
      </c>
      <c r="H5328" s="19">
        <v>92500</v>
      </c>
      <c r="I5328" s="19" t="s">
        <v>465</v>
      </c>
    </row>
    <row r="5329" spans="1:10" x14ac:dyDescent="0.2">
      <c r="A5329" s="1" t="s">
        <v>25</v>
      </c>
      <c r="B5329" s="2" t="s">
        <v>209</v>
      </c>
      <c r="D5329" s="5" t="s">
        <v>464</v>
      </c>
      <c r="G5329" s="57" t="s">
        <v>465</v>
      </c>
      <c r="H5329" s="19">
        <v>92500</v>
      </c>
      <c r="I5329" s="19" t="s">
        <v>465</v>
      </c>
    </row>
    <row r="5330" spans="1:10" x14ac:dyDescent="0.2">
      <c r="A5330" s="1" t="s">
        <v>25</v>
      </c>
      <c r="B5330" s="2" t="s">
        <v>209</v>
      </c>
      <c r="D5330" s="5" t="s">
        <v>464</v>
      </c>
      <c r="G5330" s="57" t="s">
        <v>465</v>
      </c>
      <c r="H5330" s="19">
        <v>92500</v>
      </c>
      <c r="I5330" s="19" t="s">
        <v>465</v>
      </c>
      <c r="J5330" s="1"/>
    </row>
    <row r="5331" spans="1:10" x14ac:dyDescent="0.2">
      <c r="A5331" s="1" t="s">
        <v>25</v>
      </c>
      <c r="B5331" s="2" t="s">
        <v>209</v>
      </c>
      <c r="D5331" s="5" t="s">
        <v>464</v>
      </c>
      <c r="G5331" s="57" t="s">
        <v>465</v>
      </c>
      <c r="H5331" s="19">
        <v>92500</v>
      </c>
      <c r="I5331" s="19" t="s">
        <v>465</v>
      </c>
      <c r="J5331" s="1"/>
    </row>
    <row r="5332" spans="1:10" x14ac:dyDescent="0.2">
      <c r="A5332" s="1" t="s">
        <v>25</v>
      </c>
      <c r="B5332" s="2" t="s">
        <v>209</v>
      </c>
      <c r="D5332" s="5" t="s">
        <v>464</v>
      </c>
      <c r="G5332" s="57" t="s">
        <v>465</v>
      </c>
      <c r="H5332" s="19">
        <v>92500</v>
      </c>
      <c r="I5332" s="19" t="s">
        <v>465</v>
      </c>
      <c r="J5332" s="1"/>
    </row>
    <row r="5333" spans="1:10" x14ac:dyDescent="0.2">
      <c r="A5333" s="1" t="s">
        <v>25</v>
      </c>
      <c r="B5333" s="2" t="s">
        <v>209</v>
      </c>
      <c r="D5333" s="5" t="s">
        <v>464</v>
      </c>
      <c r="G5333" s="57" t="s">
        <v>465</v>
      </c>
      <c r="H5333" s="19" t="s">
        <v>465</v>
      </c>
      <c r="I5333" s="19">
        <v>92500</v>
      </c>
      <c r="J5333" s="1"/>
    </row>
    <row r="5334" spans="1:10" x14ac:dyDescent="0.2">
      <c r="A5334" s="1" t="s">
        <v>25</v>
      </c>
      <c r="B5334" s="2" t="s">
        <v>209</v>
      </c>
      <c r="D5334" s="5" t="s">
        <v>464</v>
      </c>
      <c r="G5334" s="57" t="s">
        <v>465</v>
      </c>
      <c r="H5334" s="19" t="s">
        <v>465</v>
      </c>
      <c r="I5334" s="19">
        <v>92500</v>
      </c>
      <c r="J5334" s="1"/>
    </row>
    <row r="5335" spans="1:10" x14ac:dyDescent="0.2">
      <c r="A5335" s="1" t="s">
        <v>25</v>
      </c>
      <c r="B5335" s="2" t="s">
        <v>209</v>
      </c>
      <c r="D5335" s="5" t="s">
        <v>464</v>
      </c>
      <c r="G5335" s="57" t="s">
        <v>465</v>
      </c>
      <c r="H5335" s="19" t="s">
        <v>465</v>
      </c>
      <c r="I5335" s="19">
        <v>92500</v>
      </c>
      <c r="J5335" s="1"/>
    </row>
    <row r="5336" spans="1:10" x14ac:dyDescent="0.2">
      <c r="A5336" s="1" t="s">
        <v>25</v>
      </c>
      <c r="B5336" s="2" t="s">
        <v>209</v>
      </c>
      <c r="D5336" s="5" t="s">
        <v>464</v>
      </c>
      <c r="G5336" s="57" t="s">
        <v>465</v>
      </c>
      <c r="H5336" s="19" t="s">
        <v>465</v>
      </c>
      <c r="I5336" s="19">
        <v>92500</v>
      </c>
      <c r="J5336" s="1"/>
    </row>
    <row r="5337" spans="1:10" x14ac:dyDescent="0.2">
      <c r="A5337" s="1" t="s">
        <v>25</v>
      </c>
      <c r="B5337" s="2" t="s">
        <v>209</v>
      </c>
      <c r="D5337" s="5" t="s">
        <v>464</v>
      </c>
      <c r="G5337" s="57" t="s">
        <v>465</v>
      </c>
      <c r="H5337" s="19" t="s">
        <v>465</v>
      </c>
      <c r="I5337" s="19">
        <v>92500</v>
      </c>
      <c r="J5337" s="1"/>
    </row>
    <row r="5338" spans="1:10" x14ac:dyDescent="0.2">
      <c r="A5338" s="1" t="s">
        <v>25</v>
      </c>
      <c r="B5338" s="2" t="s">
        <v>209</v>
      </c>
      <c r="D5338" s="5" t="s">
        <v>464</v>
      </c>
      <c r="G5338" s="57" t="s">
        <v>465</v>
      </c>
      <c r="H5338" s="19" t="s">
        <v>465</v>
      </c>
      <c r="I5338" s="19">
        <v>92500</v>
      </c>
      <c r="J5338" s="1"/>
    </row>
    <row r="5339" spans="1:10" x14ac:dyDescent="0.2">
      <c r="A5339" s="1" t="s">
        <v>25</v>
      </c>
      <c r="B5339" s="2" t="s">
        <v>209</v>
      </c>
      <c r="D5339" s="5" t="s">
        <v>464</v>
      </c>
      <c r="G5339" s="57" t="s">
        <v>465</v>
      </c>
      <c r="H5339" s="19" t="s">
        <v>465</v>
      </c>
      <c r="I5339" s="19">
        <v>92500</v>
      </c>
      <c r="J5339" s="1"/>
    </row>
    <row r="5340" spans="1:10" x14ac:dyDescent="0.2">
      <c r="A5340" s="1" t="s">
        <v>25</v>
      </c>
      <c r="B5340" s="2" t="s">
        <v>209</v>
      </c>
      <c r="D5340" s="5" t="s">
        <v>464</v>
      </c>
      <c r="G5340" s="57" t="s">
        <v>465</v>
      </c>
      <c r="H5340" s="19">
        <v>97500</v>
      </c>
      <c r="I5340" s="19" t="s">
        <v>465</v>
      </c>
      <c r="J5340" s="1"/>
    </row>
    <row r="5341" spans="1:10" x14ac:dyDescent="0.2">
      <c r="A5341" s="1" t="s">
        <v>25</v>
      </c>
      <c r="B5341" s="2" t="s">
        <v>209</v>
      </c>
      <c r="D5341" s="5" t="s">
        <v>464</v>
      </c>
      <c r="G5341" s="57" t="s">
        <v>465</v>
      </c>
      <c r="H5341" s="19">
        <v>97500</v>
      </c>
      <c r="I5341" s="19" t="s">
        <v>465</v>
      </c>
      <c r="J5341" s="1"/>
    </row>
    <row r="5342" spans="1:10" x14ac:dyDescent="0.2">
      <c r="A5342" s="1" t="s">
        <v>25</v>
      </c>
      <c r="B5342" s="2" t="s">
        <v>209</v>
      </c>
      <c r="D5342" s="5" t="s">
        <v>464</v>
      </c>
      <c r="G5342" s="57" t="s">
        <v>465</v>
      </c>
      <c r="H5342" s="19">
        <v>97500</v>
      </c>
      <c r="I5342" s="19" t="s">
        <v>465</v>
      </c>
      <c r="J5342" s="1"/>
    </row>
    <row r="5343" spans="1:10" x14ac:dyDescent="0.2">
      <c r="A5343" s="1" t="s">
        <v>25</v>
      </c>
      <c r="B5343" s="2" t="s">
        <v>209</v>
      </c>
      <c r="D5343" s="5" t="s">
        <v>464</v>
      </c>
      <c r="G5343" s="57" t="s">
        <v>465</v>
      </c>
      <c r="H5343" s="19" t="s">
        <v>465</v>
      </c>
      <c r="I5343" s="19">
        <v>97500</v>
      </c>
      <c r="J5343" s="1"/>
    </row>
    <row r="5344" spans="1:10" x14ac:dyDescent="0.2">
      <c r="A5344" s="1" t="s">
        <v>25</v>
      </c>
      <c r="B5344" s="2" t="s">
        <v>209</v>
      </c>
      <c r="D5344" s="5" t="s">
        <v>464</v>
      </c>
      <c r="G5344" s="57" t="s">
        <v>465</v>
      </c>
      <c r="H5344" s="19" t="s">
        <v>465</v>
      </c>
      <c r="I5344" s="19">
        <v>97500</v>
      </c>
      <c r="J5344" s="1"/>
    </row>
    <row r="5345" spans="1:10" x14ac:dyDescent="0.2">
      <c r="A5345" s="1" t="s">
        <v>4</v>
      </c>
      <c r="B5345" s="2" t="s">
        <v>210</v>
      </c>
      <c r="D5345" s="5" t="s">
        <v>464</v>
      </c>
      <c r="G5345" s="57" t="s">
        <v>465</v>
      </c>
      <c r="H5345" s="19" t="s">
        <v>465</v>
      </c>
      <c r="I5345" s="19">
        <v>92500</v>
      </c>
    </row>
    <row r="5346" spans="1:10" x14ac:dyDescent="0.2">
      <c r="A5346" s="1" t="s">
        <v>4</v>
      </c>
      <c r="B5346" s="2" t="s">
        <v>210</v>
      </c>
      <c r="D5346" s="5" t="s">
        <v>464</v>
      </c>
      <c r="G5346" s="57" t="s">
        <v>465</v>
      </c>
      <c r="H5346" s="19" t="s">
        <v>465</v>
      </c>
      <c r="I5346" s="19">
        <v>92500</v>
      </c>
    </row>
    <row r="5347" spans="1:10" x14ac:dyDescent="0.2">
      <c r="A5347" s="1" t="s">
        <v>4</v>
      </c>
      <c r="B5347" s="2" t="s">
        <v>210</v>
      </c>
      <c r="D5347" s="5" t="s">
        <v>464</v>
      </c>
      <c r="G5347" s="57" t="s">
        <v>465</v>
      </c>
      <c r="H5347" s="19" t="s">
        <v>465</v>
      </c>
      <c r="I5347" s="19">
        <v>92500</v>
      </c>
    </row>
    <row r="5348" spans="1:10" x14ac:dyDescent="0.2">
      <c r="A5348" s="1" t="s">
        <v>4</v>
      </c>
      <c r="B5348" s="2" t="s">
        <v>210</v>
      </c>
      <c r="D5348" s="5" t="s">
        <v>464</v>
      </c>
      <c r="G5348" s="57" t="s">
        <v>465</v>
      </c>
      <c r="H5348" s="19">
        <v>92500</v>
      </c>
      <c r="I5348" s="19" t="s">
        <v>465</v>
      </c>
      <c r="J5348" s="1"/>
    </row>
    <row r="5349" spans="1:10" x14ac:dyDescent="0.2">
      <c r="A5349" s="1" t="s">
        <v>4</v>
      </c>
      <c r="B5349" s="2" t="s">
        <v>210</v>
      </c>
      <c r="D5349" s="5" t="s">
        <v>464</v>
      </c>
      <c r="G5349" s="57" t="s">
        <v>465</v>
      </c>
      <c r="H5349" s="19">
        <v>92500</v>
      </c>
      <c r="I5349" s="19" t="s">
        <v>465</v>
      </c>
      <c r="J5349" s="1"/>
    </row>
    <row r="5350" spans="1:10" x14ac:dyDescent="0.2">
      <c r="A5350" s="1" t="s">
        <v>4</v>
      </c>
      <c r="B5350" s="2" t="s">
        <v>210</v>
      </c>
      <c r="D5350" s="5" t="s">
        <v>464</v>
      </c>
      <c r="G5350" s="57" t="s">
        <v>465</v>
      </c>
      <c r="H5350" s="19">
        <v>92500</v>
      </c>
      <c r="I5350" s="19" t="s">
        <v>465</v>
      </c>
      <c r="J5350" s="1"/>
    </row>
    <row r="5351" spans="1:10" x14ac:dyDescent="0.2">
      <c r="A5351" s="1" t="s">
        <v>4</v>
      </c>
      <c r="B5351" s="2" t="s">
        <v>210</v>
      </c>
      <c r="D5351" s="5" t="s">
        <v>464</v>
      </c>
      <c r="G5351" s="57" t="s">
        <v>465</v>
      </c>
      <c r="H5351" s="19">
        <v>92500</v>
      </c>
      <c r="I5351" s="19" t="s">
        <v>465</v>
      </c>
      <c r="J5351" s="1"/>
    </row>
    <row r="5352" spans="1:10" x14ac:dyDescent="0.2">
      <c r="A5352" s="1" t="s">
        <v>4</v>
      </c>
      <c r="B5352" s="2" t="s">
        <v>210</v>
      </c>
      <c r="D5352" s="5" t="s">
        <v>464</v>
      </c>
      <c r="G5352" s="57" t="s">
        <v>465</v>
      </c>
      <c r="H5352" s="19" t="s">
        <v>465</v>
      </c>
      <c r="I5352" s="19">
        <v>97500</v>
      </c>
      <c r="J5352" s="1"/>
    </row>
    <row r="5353" spans="1:10" x14ac:dyDescent="0.2">
      <c r="A5353" s="1" t="s">
        <v>4</v>
      </c>
      <c r="B5353" s="2" t="s">
        <v>210</v>
      </c>
      <c r="D5353" s="5" t="s">
        <v>464</v>
      </c>
      <c r="G5353" s="57" t="s">
        <v>465</v>
      </c>
      <c r="H5353" s="19" t="s">
        <v>465</v>
      </c>
      <c r="I5353" s="19">
        <v>97500</v>
      </c>
      <c r="J5353" s="1"/>
    </row>
    <row r="5354" spans="1:10" x14ac:dyDescent="0.2">
      <c r="A5354" s="1" t="s">
        <v>4</v>
      </c>
      <c r="B5354" s="2" t="s">
        <v>210</v>
      </c>
      <c r="D5354" s="5" t="s">
        <v>464</v>
      </c>
      <c r="G5354" s="57" t="s">
        <v>465</v>
      </c>
      <c r="H5354" s="19" t="s">
        <v>465</v>
      </c>
      <c r="I5354" s="19">
        <v>97500</v>
      </c>
      <c r="J5354" s="1"/>
    </row>
    <row r="5355" spans="1:10" x14ac:dyDescent="0.2">
      <c r="A5355" s="1" t="s">
        <v>4</v>
      </c>
      <c r="B5355" s="2" t="s">
        <v>210</v>
      </c>
      <c r="D5355" s="5" t="s">
        <v>464</v>
      </c>
      <c r="G5355" s="57" t="s">
        <v>465</v>
      </c>
      <c r="H5355" s="19">
        <v>97500</v>
      </c>
      <c r="I5355" s="19" t="s">
        <v>465</v>
      </c>
      <c r="J5355" s="1"/>
    </row>
    <row r="5356" spans="1:10" x14ac:dyDescent="0.2">
      <c r="A5356" s="1" t="s">
        <v>4</v>
      </c>
      <c r="B5356" s="2" t="s">
        <v>210</v>
      </c>
      <c r="D5356" s="5" t="s">
        <v>464</v>
      </c>
      <c r="G5356" s="57" t="s">
        <v>465</v>
      </c>
      <c r="H5356" s="19">
        <v>97500</v>
      </c>
      <c r="I5356" s="19" t="s">
        <v>465</v>
      </c>
      <c r="J5356" s="1"/>
    </row>
    <row r="5357" spans="1:10" x14ac:dyDescent="0.2">
      <c r="A5357" s="1" t="s">
        <v>4</v>
      </c>
      <c r="B5357" s="2" t="s">
        <v>210</v>
      </c>
      <c r="D5357" s="5" t="s">
        <v>464</v>
      </c>
      <c r="G5357" s="57" t="s">
        <v>465</v>
      </c>
      <c r="H5357" s="19">
        <v>97500</v>
      </c>
      <c r="I5357" s="19" t="s">
        <v>465</v>
      </c>
      <c r="J5357" s="1"/>
    </row>
    <row r="5358" spans="1:10" x14ac:dyDescent="0.2">
      <c r="A5358" s="1" t="s">
        <v>4</v>
      </c>
      <c r="B5358" s="2" t="s">
        <v>210</v>
      </c>
      <c r="D5358" s="5" t="s">
        <v>464</v>
      </c>
      <c r="G5358" s="57" t="s">
        <v>465</v>
      </c>
      <c r="H5358" s="19">
        <v>97500</v>
      </c>
      <c r="I5358" s="19" t="s">
        <v>465</v>
      </c>
      <c r="J5358" s="1"/>
    </row>
    <row r="5359" spans="1:10" x14ac:dyDescent="0.2">
      <c r="A5359" s="1" t="s">
        <v>4</v>
      </c>
      <c r="B5359" s="2" t="s">
        <v>210</v>
      </c>
      <c r="D5359" s="5" t="s">
        <v>464</v>
      </c>
      <c r="G5359" s="57" t="s">
        <v>465</v>
      </c>
      <c r="H5359" s="19">
        <v>97500</v>
      </c>
      <c r="I5359" s="19" t="s">
        <v>465</v>
      </c>
      <c r="J5359" s="1"/>
    </row>
    <row r="5360" spans="1:10" x14ac:dyDescent="0.2">
      <c r="A5360" s="1" t="s">
        <v>4</v>
      </c>
      <c r="B5360" s="2" t="s">
        <v>210</v>
      </c>
      <c r="D5360" s="5" t="s">
        <v>464</v>
      </c>
      <c r="G5360" s="57" t="s">
        <v>465</v>
      </c>
      <c r="H5360" s="19">
        <v>97500</v>
      </c>
      <c r="I5360" s="19" t="s">
        <v>465</v>
      </c>
      <c r="J5360" s="1"/>
    </row>
    <row r="5361" spans="1:10" x14ac:dyDescent="0.2">
      <c r="A5361" s="1" t="s">
        <v>20</v>
      </c>
      <c r="B5361" s="2" t="s">
        <v>212</v>
      </c>
      <c r="D5361" s="5" t="s">
        <v>464</v>
      </c>
      <c r="G5361" s="57" t="s">
        <v>465</v>
      </c>
      <c r="H5361" s="19">
        <v>97500</v>
      </c>
      <c r="I5361" s="19" t="s">
        <v>465</v>
      </c>
      <c r="J5361" s="5" t="s">
        <v>2137</v>
      </c>
    </row>
    <row r="5362" spans="1:10" x14ac:dyDescent="0.2">
      <c r="A5362" s="1" t="s">
        <v>25</v>
      </c>
      <c r="B5362" s="2" t="s">
        <v>214</v>
      </c>
      <c r="D5362" s="15" t="s">
        <v>464</v>
      </c>
      <c r="E5362" s="9"/>
      <c r="F5362" s="9"/>
      <c r="G5362" s="57" t="s">
        <v>465</v>
      </c>
      <c r="H5362" s="19">
        <v>92500</v>
      </c>
      <c r="I5362" s="19" t="s">
        <v>465</v>
      </c>
    </row>
    <row r="5363" spans="1:10" x14ac:dyDescent="0.2">
      <c r="A5363" s="1" t="s">
        <v>25</v>
      </c>
      <c r="B5363" s="2" t="s">
        <v>214</v>
      </c>
      <c r="D5363" s="5" t="s">
        <v>464</v>
      </c>
      <c r="G5363" s="57" t="s">
        <v>465</v>
      </c>
      <c r="H5363" s="19" t="s">
        <v>465</v>
      </c>
      <c r="I5363" s="19">
        <v>92500</v>
      </c>
    </row>
    <row r="5364" spans="1:10" x14ac:dyDescent="0.2">
      <c r="A5364" s="1" t="s">
        <v>25</v>
      </c>
      <c r="B5364" s="2" t="s">
        <v>214</v>
      </c>
      <c r="D5364" s="5" t="s">
        <v>464</v>
      </c>
      <c r="G5364" s="57" t="s">
        <v>465</v>
      </c>
      <c r="H5364" s="19">
        <v>97500</v>
      </c>
      <c r="I5364" s="19" t="s">
        <v>465</v>
      </c>
    </row>
    <row r="5365" spans="1:10" x14ac:dyDescent="0.2">
      <c r="A5365" s="1" t="s">
        <v>25</v>
      </c>
      <c r="B5365" s="2" t="s">
        <v>214</v>
      </c>
      <c r="D5365" s="5" t="s">
        <v>464</v>
      </c>
      <c r="G5365" s="57" t="s">
        <v>465</v>
      </c>
      <c r="H5365" s="19">
        <v>97500</v>
      </c>
      <c r="I5365" s="19" t="s">
        <v>465</v>
      </c>
    </row>
    <row r="5366" spans="1:10" x14ac:dyDescent="0.2">
      <c r="A5366" s="1" t="s">
        <v>25</v>
      </c>
      <c r="B5366" s="2" t="s">
        <v>214</v>
      </c>
      <c r="D5366" s="5" t="s">
        <v>464</v>
      </c>
      <c r="G5366" s="57" t="s">
        <v>465</v>
      </c>
      <c r="H5366" s="19" t="s">
        <v>465</v>
      </c>
      <c r="I5366" s="19">
        <v>97500</v>
      </c>
    </row>
    <row r="5367" spans="1:10" x14ac:dyDescent="0.2">
      <c r="A5367" s="1" t="s">
        <v>6</v>
      </c>
      <c r="B5367" s="2" t="s">
        <v>216</v>
      </c>
      <c r="D5367" s="5" t="s">
        <v>464</v>
      </c>
      <c r="G5367" s="57" t="s">
        <v>465</v>
      </c>
      <c r="H5367" s="19">
        <v>92500</v>
      </c>
      <c r="I5367" s="19" t="s">
        <v>465</v>
      </c>
      <c r="J5367" s="5" t="s">
        <v>3306</v>
      </c>
    </row>
    <row r="5368" spans="1:10" x14ac:dyDescent="0.2">
      <c r="A5368" s="1" t="s">
        <v>6</v>
      </c>
      <c r="B5368" s="2" t="s">
        <v>216</v>
      </c>
      <c r="D5368" s="5" t="s">
        <v>464</v>
      </c>
      <c r="G5368" s="57" t="s">
        <v>465</v>
      </c>
      <c r="H5368" s="19">
        <v>92500</v>
      </c>
      <c r="I5368" s="19" t="s">
        <v>465</v>
      </c>
    </row>
    <row r="5369" spans="1:10" x14ac:dyDescent="0.2">
      <c r="A5369" s="1" t="s">
        <v>6</v>
      </c>
      <c r="B5369" s="2" t="s">
        <v>216</v>
      </c>
      <c r="D5369" s="5" t="s">
        <v>464</v>
      </c>
      <c r="G5369" s="57" t="s">
        <v>465</v>
      </c>
      <c r="H5369" s="19">
        <v>92500</v>
      </c>
      <c r="I5369" s="19" t="s">
        <v>465</v>
      </c>
    </row>
    <row r="5370" spans="1:10" x14ac:dyDescent="0.2">
      <c r="A5370" s="1" t="s">
        <v>6</v>
      </c>
      <c r="B5370" s="2" t="s">
        <v>216</v>
      </c>
      <c r="D5370" s="5" t="s">
        <v>464</v>
      </c>
      <c r="G5370" s="57" t="s">
        <v>465</v>
      </c>
      <c r="H5370" s="19">
        <v>92500</v>
      </c>
      <c r="I5370" s="19" t="s">
        <v>465</v>
      </c>
    </row>
    <row r="5371" spans="1:10" x14ac:dyDescent="0.2">
      <c r="A5371" s="1" t="s">
        <v>6</v>
      </c>
      <c r="B5371" s="2" t="s">
        <v>216</v>
      </c>
      <c r="D5371" s="5" t="s">
        <v>464</v>
      </c>
      <c r="G5371" s="57" t="s">
        <v>465</v>
      </c>
      <c r="H5371" s="19">
        <v>92500</v>
      </c>
      <c r="I5371" s="19" t="s">
        <v>465</v>
      </c>
    </row>
    <row r="5372" spans="1:10" x14ac:dyDescent="0.2">
      <c r="A5372" s="1" t="s">
        <v>6</v>
      </c>
      <c r="B5372" s="2" t="s">
        <v>216</v>
      </c>
      <c r="D5372" s="5" t="s">
        <v>464</v>
      </c>
      <c r="G5372" s="57" t="s">
        <v>465</v>
      </c>
      <c r="H5372" s="19">
        <v>92500</v>
      </c>
      <c r="I5372" s="19" t="s">
        <v>465</v>
      </c>
    </row>
    <row r="5373" spans="1:10" x14ac:dyDescent="0.2">
      <c r="A5373" s="1" t="s">
        <v>6</v>
      </c>
      <c r="B5373" s="2" t="s">
        <v>216</v>
      </c>
      <c r="D5373" s="5" t="s">
        <v>464</v>
      </c>
      <c r="G5373" s="57" t="s">
        <v>465</v>
      </c>
      <c r="H5373" s="19">
        <v>92500</v>
      </c>
      <c r="I5373" s="19" t="s">
        <v>465</v>
      </c>
    </row>
    <row r="5374" spans="1:10" x14ac:dyDescent="0.2">
      <c r="A5374" s="1" t="s">
        <v>6</v>
      </c>
      <c r="B5374" s="2" t="s">
        <v>216</v>
      </c>
      <c r="D5374" s="5" t="s">
        <v>464</v>
      </c>
      <c r="G5374" s="57" t="s">
        <v>465</v>
      </c>
      <c r="H5374" s="19" t="s">
        <v>465</v>
      </c>
      <c r="I5374" s="19">
        <v>92500</v>
      </c>
    </row>
    <row r="5375" spans="1:10" x14ac:dyDescent="0.2">
      <c r="A5375" s="1" t="s">
        <v>6</v>
      </c>
      <c r="B5375" s="2" t="s">
        <v>216</v>
      </c>
      <c r="D5375" s="5" t="s">
        <v>464</v>
      </c>
      <c r="G5375" s="57" t="s">
        <v>465</v>
      </c>
      <c r="H5375" s="19" t="s">
        <v>465</v>
      </c>
      <c r="I5375" s="19">
        <v>92500</v>
      </c>
    </row>
    <row r="5376" spans="1:10" x14ac:dyDescent="0.2">
      <c r="A5376" s="1" t="s">
        <v>6</v>
      </c>
      <c r="B5376" s="2" t="s">
        <v>216</v>
      </c>
      <c r="D5376" s="5" t="s">
        <v>464</v>
      </c>
      <c r="G5376" s="57" t="s">
        <v>465</v>
      </c>
      <c r="H5376" s="19" t="s">
        <v>465</v>
      </c>
      <c r="I5376" s="19">
        <v>92500</v>
      </c>
    </row>
    <row r="5377" spans="1:10" x14ac:dyDescent="0.2">
      <c r="A5377" s="1" t="s">
        <v>6</v>
      </c>
      <c r="B5377" s="2" t="s">
        <v>216</v>
      </c>
      <c r="D5377" s="5" t="s">
        <v>464</v>
      </c>
      <c r="G5377" s="57" t="s">
        <v>465</v>
      </c>
      <c r="H5377" s="19" t="s">
        <v>465</v>
      </c>
      <c r="I5377" s="19">
        <v>92500</v>
      </c>
    </row>
    <row r="5378" spans="1:10" x14ac:dyDescent="0.2">
      <c r="A5378" s="1" t="s">
        <v>6</v>
      </c>
      <c r="B5378" s="2" t="s">
        <v>216</v>
      </c>
      <c r="D5378" s="5" t="s">
        <v>464</v>
      </c>
      <c r="G5378" s="57" t="s">
        <v>465</v>
      </c>
      <c r="H5378" s="19" t="s">
        <v>465</v>
      </c>
      <c r="I5378" s="19">
        <v>92500</v>
      </c>
    </row>
    <row r="5379" spans="1:10" x14ac:dyDescent="0.2">
      <c r="A5379" s="1" t="s">
        <v>6</v>
      </c>
      <c r="B5379" s="2" t="s">
        <v>216</v>
      </c>
      <c r="D5379" s="5" t="s">
        <v>464</v>
      </c>
      <c r="G5379" s="57" t="s">
        <v>465</v>
      </c>
      <c r="H5379" s="19" t="s">
        <v>465</v>
      </c>
      <c r="I5379" s="19">
        <v>92500</v>
      </c>
    </row>
    <row r="5380" spans="1:10" x14ac:dyDescent="0.2">
      <c r="A5380" s="1" t="s">
        <v>6</v>
      </c>
      <c r="B5380" s="2" t="s">
        <v>216</v>
      </c>
      <c r="D5380" s="5" t="s">
        <v>464</v>
      </c>
      <c r="G5380" s="57" t="s">
        <v>465</v>
      </c>
      <c r="H5380" s="19" t="s">
        <v>465</v>
      </c>
      <c r="I5380" s="19">
        <v>92500</v>
      </c>
      <c r="J5380" s="1"/>
    </row>
    <row r="5381" spans="1:10" x14ac:dyDescent="0.2">
      <c r="A5381" s="1" t="s">
        <v>6</v>
      </c>
      <c r="B5381" s="2" t="s">
        <v>216</v>
      </c>
      <c r="D5381" s="5" t="s">
        <v>464</v>
      </c>
      <c r="G5381" s="57" t="s">
        <v>465</v>
      </c>
      <c r="H5381" s="19" t="s">
        <v>465</v>
      </c>
      <c r="I5381" s="19">
        <v>92500</v>
      </c>
      <c r="J5381" s="1"/>
    </row>
    <row r="5382" spans="1:10" x14ac:dyDescent="0.2">
      <c r="A5382" s="1" t="s">
        <v>6</v>
      </c>
      <c r="B5382" s="2" t="s">
        <v>216</v>
      </c>
      <c r="D5382" s="5" t="s">
        <v>464</v>
      </c>
      <c r="G5382" s="57" t="s">
        <v>465</v>
      </c>
      <c r="H5382" s="19" t="s">
        <v>465</v>
      </c>
      <c r="I5382" s="19">
        <v>92500</v>
      </c>
      <c r="J5382" s="1"/>
    </row>
    <row r="5383" spans="1:10" x14ac:dyDescent="0.2">
      <c r="A5383" s="1" t="s">
        <v>6</v>
      </c>
      <c r="B5383" s="2" t="s">
        <v>216</v>
      </c>
      <c r="D5383" s="5" t="s">
        <v>464</v>
      </c>
      <c r="G5383" s="57" t="s">
        <v>465</v>
      </c>
      <c r="H5383" s="19" t="s">
        <v>465</v>
      </c>
      <c r="I5383" s="19">
        <v>92500</v>
      </c>
      <c r="J5383" s="1"/>
    </row>
    <row r="5384" spans="1:10" x14ac:dyDescent="0.2">
      <c r="A5384" s="1" t="s">
        <v>6</v>
      </c>
      <c r="B5384" s="2" t="s">
        <v>216</v>
      </c>
      <c r="D5384" s="5" t="s">
        <v>464</v>
      </c>
      <c r="G5384" s="57" t="s">
        <v>465</v>
      </c>
      <c r="H5384" s="19" t="s">
        <v>465</v>
      </c>
      <c r="I5384" s="19">
        <v>92500</v>
      </c>
      <c r="J5384" s="1"/>
    </row>
    <row r="5385" spans="1:10" x14ac:dyDescent="0.2">
      <c r="A5385" s="1" t="s">
        <v>6</v>
      </c>
      <c r="B5385" s="2" t="s">
        <v>216</v>
      </c>
      <c r="D5385" s="5" t="s">
        <v>464</v>
      </c>
      <c r="G5385" s="57" t="s">
        <v>465</v>
      </c>
      <c r="H5385" s="19" t="s">
        <v>465</v>
      </c>
      <c r="I5385" s="19">
        <v>97500</v>
      </c>
      <c r="J5385" s="1"/>
    </row>
    <row r="5386" spans="1:10" x14ac:dyDescent="0.2">
      <c r="A5386" s="1" t="s">
        <v>25</v>
      </c>
      <c r="B5386" s="2" t="s">
        <v>217</v>
      </c>
      <c r="D5386" s="5" t="s">
        <v>464</v>
      </c>
      <c r="G5386" s="57" t="s">
        <v>465</v>
      </c>
      <c r="H5386" s="19" t="s">
        <v>465</v>
      </c>
      <c r="I5386" s="19">
        <v>92500</v>
      </c>
      <c r="J5386" s="5" t="s">
        <v>2908</v>
      </c>
    </row>
    <row r="5387" spans="1:10" x14ac:dyDescent="0.2">
      <c r="A5387" s="1" t="s">
        <v>25</v>
      </c>
      <c r="B5387" s="2" t="s">
        <v>217</v>
      </c>
      <c r="D5387" s="5" t="s">
        <v>464</v>
      </c>
      <c r="G5387" s="57" t="s">
        <v>465</v>
      </c>
      <c r="H5387" s="19" t="s">
        <v>465</v>
      </c>
      <c r="I5387" s="19">
        <v>92500</v>
      </c>
    </row>
    <row r="5388" spans="1:10" x14ac:dyDescent="0.2">
      <c r="A5388" s="1" t="s">
        <v>25</v>
      </c>
      <c r="B5388" s="2" t="s">
        <v>217</v>
      </c>
      <c r="D5388" s="5" t="s">
        <v>464</v>
      </c>
      <c r="G5388" s="57" t="s">
        <v>465</v>
      </c>
      <c r="H5388" s="19" t="s">
        <v>465</v>
      </c>
      <c r="I5388" s="19">
        <v>92500</v>
      </c>
    </row>
    <row r="5389" spans="1:10" x14ac:dyDescent="0.2">
      <c r="A5389" s="1" t="s">
        <v>25</v>
      </c>
      <c r="B5389" s="2" t="s">
        <v>217</v>
      </c>
      <c r="D5389" s="5" t="s">
        <v>464</v>
      </c>
      <c r="G5389" s="57" t="s">
        <v>465</v>
      </c>
      <c r="H5389" s="19" t="s">
        <v>465</v>
      </c>
      <c r="I5389" s="19">
        <v>92500</v>
      </c>
    </row>
    <row r="5390" spans="1:10" x14ac:dyDescent="0.2">
      <c r="A5390" s="1" t="s">
        <v>25</v>
      </c>
      <c r="B5390" s="2" t="s">
        <v>217</v>
      </c>
      <c r="D5390" s="5" t="s">
        <v>464</v>
      </c>
      <c r="G5390" s="57" t="s">
        <v>465</v>
      </c>
      <c r="H5390" s="19" t="s">
        <v>465</v>
      </c>
      <c r="I5390" s="19">
        <v>92500</v>
      </c>
    </row>
    <row r="5391" spans="1:10" x14ac:dyDescent="0.2">
      <c r="A5391" s="1" t="s">
        <v>25</v>
      </c>
      <c r="B5391" s="2" t="s">
        <v>217</v>
      </c>
      <c r="D5391" s="5" t="s">
        <v>464</v>
      </c>
      <c r="G5391" s="57" t="s">
        <v>465</v>
      </c>
      <c r="H5391" s="19" t="s">
        <v>465</v>
      </c>
      <c r="I5391" s="19">
        <v>92500</v>
      </c>
    </row>
    <row r="5392" spans="1:10" x14ac:dyDescent="0.2">
      <c r="A5392" s="1" t="s">
        <v>25</v>
      </c>
      <c r="B5392" s="2" t="s">
        <v>217</v>
      </c>
      <c r="D5392" s="5" t="s">
        <v>464</v>
      </c>
      <c r="G5392" s="57" t="s">
        <v>465</v>
      </c>
      <c r="H5392" s="19" t="s">
        <v>465</v>
      </c>
      <c r="I5392" s="19">
        <v>92500</v>
      </c>
    </row>
    <row r="5393" spans="1:10" x14ac:dyDescent="0.2">
      <c r="A5393" s="1" t="s">
        <v>25</v>
      </c>
      <c r="B5393" s="2" t="s">
        <v>217</v>
      </c>
      <c r="D5393" s="5" t="s">
        <v>464</v>
      </c>
      <c r="G5393" s="57" t="s">
        <v>465</v>
      </c>
      <c r="H5393" s="19" t="s">
        <v>465</v>
      </c>
      <c r="I5393" s="19">
        <v>92500</v>
      </c>
    </row>
    <row r="5394" spans="1:10" x14ac:dyDescent="0.2">
      <c r="A5394" s="1" t="s">
        <v>25</v>
      </c>
      <c r="B5394" s="2" t="s">
        <v>217</v>
      </c>
      <c r="D5394" s="5" t="s">
        <v>464</v>
      </c>
      <c r="G5394" s="57" t="s">
        <v>465</v>
      </c>
      <c r="H5394" s="19" t="s">
        <v>465</v>
      </c>
      <c r="I5394" s="19">
        <v>92500</v>
      </c>
      <c r="J5394" s="1"/>
    </row>
    <row r="5395" spans="1:10" x14ac:dyDescent="0.2">
      <c r="A5395" s="1" t="s">
        <v>25</v>
      </c>
      <c r="B5395" s="2" t="s">
        <v>217</v>
      </c>
      <c r="D5395" s="5" t="s">
        <v>464</v>
      </c>
      <c r="G5395" s="57" t="s">
        <v>465</v>
      </c>
      <c r="H5395" s="19" t="s">
        <v>465</v>
      </c>
      <c r="I5395" s="19">
        <v>92500</v>
      </c>
      <c r="J5395" s="1"/>
    </row>
    <row r="5396" spans="1:10" x14ac:dyDescent="0.2">
      <c r="A5396" s="1" t="s">
        <v>25</v>
      </c>
      <c r="B5396" s="2" t="s">
        <v>217</v>
      </c>
      <c r="D5396" s="5" t="s">
        <v>464</v>
      </c>
      <c r="G5396" s="57" t="s">
        <v>465</v>
      </c>
      <c r="H5396" s="19" t="s">
        <v>465</v>
      </c>
      <c r="I5396" s="19">
        <v>92500</v>
      </c>
      <c r="J5396" s="1"/>
    </row>
    <row r="5397" spans="1:10" x14ac:dyDescent="0.2">
      <c r="A5397" s="1" t="s">
        <v>25</v>
      </c>
      <c r="B5397" s="2" t="s">
        <v>217</v>
      </c>
      <c r="D5397" s="5" t="s">
        <v>464</v>
      </c>
      <c r="G5397" s="57" t="s">
        <v>465</v>
      </c>
      <c r="H5397" s="19" t="s">
        <v>465</v>
      </c>
      <c r="I5397" s="19">
        <v>92500</v>
      </c>
      <c r="J5397" s="1"/>
    </row>
    <row r="5398" spans="1:10" x14ac:dyDescent="0.2">
      <c r="A5398" s="1" t="s">
        <v>25</v>
      </c>
      <c r="B5398" s="2" t="s">
        <v>217</v>
      </c>
      <c r="D5398" s="5" t="s">
        <v>464</v>
      </c>
      <c r="G5398" s="57" t="s">
        <v>465</v>
      </c>
      <c r="H5398" s="19" t="s">
        <v>465</v>
      </c>
      <c r="I5398" s="19">
        <v>92500</v>
      </c>
      <c r="J5398" s="1"/>
    </row>
    <row r="5399" spans="1:10" x14ac:dyDescent="0.2">
      <c r="A5399" s="1" t="s">
        <v>25</v>
      </c>
      <c r="B5399" s="2" t="s">
        <v>217</v>
      </c>
      <c r="D5399" s="5" t="s">
        <v>464</v>
      </c>
      <c r="G5399" s="57" t="s">
        <v>465</v>
      </c>
      <c r="H5399" s="19" t="s">
        <v>465</v>
      </c>
      <c r="I5399" s="19">
        <v>92500</v>
      </c>
      <c r="J5399" s="1"/>
    </row>
    <row r="5400" spans="1:10" x14ac:dyDescent="0.2">
      <c r="A5400" s="1" t="s">
        <v>25</v>
      </c>
      <c r="B5400" s="2" t="s">
        <v>217</v>
      </c>
      <c r="D5400" s="5" t="s">
        <v>464</v>
      </c>
      <c r="G5400" s="57" t="s">
        <v>465</v>
      </c>
      <c r="H5400" s="19">
        <v>92500</v>
      </c>
      <c r="I5400" s="19" t="s">
        <v>465</v>
      </c>
      <c r="J5400" s="1"/>
    </row>
    <row r="5401" spans="1:10" x14ac:dyDescent="0.2">
      <c r="A5401" s="1" t="s">
        <v>25</v>
      </c>
      <c r="B5401" s="2" t="s">
        <v>217</v>
      </c>
      <c r="D5401" s="5" t="s">
        <v>464</v>
      </c>
      <c r="G5401" s="57" t="s">
        <v>465</v>
      </c>
      <c r="H5401" s="19">
        <v>92500</v>
      </c>
      <c r="I5401" s="19" t="s">
        <v>465</v>
      </c>
      <c r="J5401" s="1"/>
    </row>
    <row r="5402" spans="1:10" x14ac:dyDescent="0.2">
      <c r="A5402" s="1" t="s">
        <v>25</v>
      </c>
      <c r="B5402" s="2" t="s">
        <v>217</v>
      </c>
      <c r="D5402" s="5" t="s">
        <v>464</v>
      </c>
      <c r="G5402" s="57" t="s">
        <v>465</v>
      </c>
      <c r="H5402" s="19">
        <v>92500</v>
      </c>
      <c r="I5402" s="19" t="s">
        <v>465</v>
      </c>
      <c r="J5402" s="1"/>
    </row>
    <row r="5403" spans="1:10" x14ac:dyDescent="0.2">
      <c r="A5403" s="1" t="s">
        <v>25</v>
      </c>
      <c r="B5403" s="2" t="s">
        <v>217</v>
      </c>
      <c r="D5403" s="5" t="s">
        <v>464</v>
      </c>
      <c r="G5403" s="57" t="s">
        <v>465</v>
      </c>
      <c r="H5403" s="19">
        <v>92500</v>
      </c>
      <c r="I5403" s="19" t="s">
        <v>465</v>
      </c>
      <c r="J5403" s="1"/>
    </row>
    <row r="5404" spans="1:10" x14ac:dyDescent="0.2">
      <c r="A5404" s="1" t="s">
        <v>25</v>
      </c>
      <c r="B5404" s="2" t="s">
        <v>217</v>
      </c>
      <c r="D5404" s="5" t="s">
        <v>464</v>
      </c>
      <c r="G5404" s="57" t="s">
        <v>465</v>
      </c>
      <c r="H5404" s="19">
        <v>92500</v>
      </c>
      <c r="I5404" s="19" t="s">
        <v>465</v>
      </c>
      <c r="J5404" s="1"/>
    </row>
    <row r="5405" spans="1:10" x14ac:dyDescent="0.2">
      <c r="A5405" s="1" t="s">
        <v>25</v>
      </c>
      <c r="B5405" s="2" t="s">
        <v>217</v>
      </c>
      <c r="D5405" s="5" t="s">
        <v>464</v>
      </c>
      <c r="G5405" s="57" t="s">
        <v>465</v>
      </c>
      <c r="H5405" s="19">
        <v>92500</v>
      </c>
      <c r="I5405" s="19" t="s">
        <v>465</v>
      </c>
      <c r="J5405" s="1"/>
    </row>
    <row r="5406" spans="1:10" x14ac:dyDescent="0.2">
      <c r="A5406" s="1" t="s">
        <v>25</v>
      </c>
      <c r="B5406" s="2" t="s">
        <v>217</v>
      </c>
      <c r="D5406" s="5" t="s">
        <v>464</v>
      </c>
      <c r="G5406" s="57" t="s">
        <v>465</v>
      </c>
      <c r="H5406" s="19">
        <v>92500</v>
      </c>
      <c r="I5406" s="19" t="s">
        <v>465</v>
      </c>
      <c r="J5406" s="1"/>
    </row>
    <row r="5407" spans="1:10" x14ac:dyDescent="0.2">
      <c r="A5407" s="1" t="s">
        <v>25</v>
      </c>
      <c r="B5407" s="2" t="s">
        <v>217</v>
      </c>
      <c r="D5407" s="5" t="s">
        <v>464</v>
      </c>
      <c r="G5407" s="57" t="s">
        <v>465</v>
      </c>
      <c r="H5407" s="19">
        <v>92500</v>
      </c>
      <c r="I5407" s="19" t="s">
        <v>465</v>
      </c>
      <c r="J5407" s="1"/>
    </row>
    <row r="5408" spans="1:10" x14ac:dyDescent="0.2">
      <c r="A5408" s="1" t="s">
        <v>25</v>
      </c>
      <c r="B5408" s="2" t="s">
        <v>217</v>
      </c>
      <c r="D5408" s="5" t="s">
        <v>464</v>
      </c>
      <c r="G5408" s="57" t="s">
        <v>465</v>
      </c>
      <c r="H5408" s="19">
        <v>92500</v>
      </c>
      <c r="I5408" s="19" t="s">
        <v>465</v>
      </c>
      <c r="J5408" s="1"/>
    </row>
    <row r="5409" spans="1:10" x14ac:dyDescent="0.2">
      <c r="A5409" s="1" t="s">
        <v>25</v>
      </c>
      <c r="B5409" s="2" t="s">
        <v>217</v>
      </c>
      <c r="D5409" s="5" t="s">
        <v>464</v>
      </c>
      <c r="G5409" s="57" t="s">
        <v>465</v>
      </c>
      <c r="H5409" s="19">
        <v>92500</v>
      </c>
      <c r="I5409" s="19" t="s">
        <v>465</v>
      </c>
      <c r="J5409" s="1"/>
    </row>
    <row r="5410" spans="1:10" x14ac:dyDescent="0.2">
      <c r="A5410" s="1" t="s">
        <v>25</v>
      </c>
      <c r="B5410" s="2" t="s">
        <v>217</v>
      </c>
      <c r="D5410" s="5" t="s">
        <v>464</v>
      </c>
      <c r="G5410" s="57" t="s">
        <v>465</v>
      </c>
      <c r="H5410" s="19" t="s">
        <v>465</v>
      </c>
      <c r="I5410" s="19">
        <v>97500</v>
      </c>
      <c r="J5410" s="1"/>
    </row>
    <row r="5411" spans="1:10" x14ac:dyDescent="0.2">
      <c r="A5411" s="1" t="s">
        <v>25</v>
      </c>
      <c r="B5411" s="2" t="s">
        <v>217</v>
      </c>
      <c r="D5411" s="5" t="s">
        <v>464</v>
      </c>
      <c r="G5411" s="57" t="s">
        <v>465</v>
      </c>
      <c r="H5411" s="19" t="s">
        <v>465</v>
      </c>
      <c r="I5411" s="19">
        <v>97500</v>
      </c>
      <c r="J5411" s="1"/>
    </row>
    <row r="5412" spans="1:10" x14ac:dyDescent="0.2">
      <c r="A5412" s="1" t="s">
        <v>25</v>
      </c>
      <c r="B5412" s="2" t="s">
        <v>217</v>
      </c>
      <c r="D5412" s="5" t="s">
        <v>464</v>
      </c>
      <c r="G5412" s="57" t="s">
        <v>465</v>
      </c>
      <c r="H5412" s="19" t="s">
        <v>465</v>
      </c>
      <c r="I5412" s="19">
        <v>97500</v>
      </c>
      <c r="J5412" s="1"/>
    </row>
    <row r="5413" spans="1:10" x14ac:dyDescent="0.2">
      <c r="A5413" s="1" t="s">
        <v>25</v>
      </c>
      <c r="B5413" s="2" t="s">
        <v>217</v>
      </c>
      <c r="D5413" s="5" t="s">
        <v>464</v>
      </c>
      <c r="G5413" s="57" t="s">
        <v>465</v>
      </c>
      <c r="H5413" s="19" t="s">
        <v>465</v>
      </c>
      <c r="I5413" s="19">
        <v>97500</v>
      </c>
      <c r="J5413" s="1"/>
    </row>
    <row r="5414" spans="1:10" x14ac:dyDescent="0.2">
      <c r="A5414" s="1" t="s">
        <v>25</v>
      </c>
      <c r="B5414" s="2" t="s">
        <v>217</v>
      </c>
      <c r="D5414" s="5" t="s">
        <v>464</v>
      </c>
      <c r="G5414" s="57" t="s">
        <v>465</v>
      </c>
      <c r="H5414" s="19" t="s">
        <v>465</v>
      </c>
      <c r="I5414" s="19">
        <v>97500</v>
      </c>
      <c r="J5414" s="1"/>
    </row>
    <row r="5415" spans="1:10" x14ac:dyDescent="0.2">
      <c r="A5415" s="1" t="s">
        <v>25</v>
      </c>
      <c r="B5415" s="2" t="s">
        <v>217</v>
      </c>
      <c r="D5415" s="5" t="s">
        <v>464</v>
      </c>
      <c r="G5415" s="57" t="s">
        <v>465</v>
      </c>
      <c r="H5415" s="19" t="s">
        <v>465</v>
      </c>
      <c r="I5415" s="19">
        <v>97500</v>
      </c>
      <c r="J5415" s="1"/>
    </row>
    <row r="5416" spans="1:10" x14ac:dyDescent="0.2">
      <c r="A5416" s="1" t="s">
        <v>25</v>
      </c>
      <c r="B5416" s="2" t="s">
        <v>217</v>
      </c>
      <c r="D5416" s="5" t="s">
        <v>464</v>
      </c>
      <c r="G5416" s="57" t="s">
        <v>465</v>
      </c>
      <c r="H5416" s="19" t="s">
        <v>465</v>
      </c>
      <c r="I5416" s="19">
        <v>97500</v>
      </c>
      <c r="J5416" s="1"/>
    </row>
    <row r="5417" spans="1:10" x14ac:dyDescent="0.2">
      <c r="A5417" s="1" t="s">
        <v>25</v>
      </c>
      <c r="B5417" s="2" t="s">
        <v>217</v>
      </c>
      <c r="D5417" s="5" t="s">
        <v>464</v>
      </c>
      <c r="G5417" s="57" t="s">
        <v>465</v>
      </c>
      <c r="H5417" s="19">
        <v>97500</v>
      </c>
      <c r="I5417" s="19" t="s">
        <v>465</v>
      </c>
      <c r="J5417" s="1"/>
    </row>
    <row r="5418" spans="1:10" x14ac:dyDescent="0.2">
      <c r="A5418" s="1" t="s">
        <v>25</v>
      </c>
      <c r="B5418" s="2" t="s">
        <v>217</v>
      </c>
      <c r="D5418" s="5" t="s">
        <v>464</v>
      </c>
      <c r="G5418" s="57" t="s">
        <v>465</v>
      </c>
      <c r="H5418" s="19">
        <v>97500</v>
      </c>
      <c r="I5418" s="19" t="s">
        <v>465</v>
      </c>
      <c r="J5418" s="1"/>
    </row>
    <row r="5419" spans="1:10" x14ac:dyDescent="0.2">
      <c r="A5419" s="1" t="s">
        <v>25</v>
      </c>
      <c r="B5419" s="2" t="s">
        <v>217</v>
      </c>
      <c r="D5419" s="5" t="s">
        <v>464</v>
      </c>
      <c r="G5419" s="57" t="s">
        <v>465</v>
      </c>
      <c r="H5419" s="19">
        <v>97500</v>
      </c>
      <c r="I5419" s="19" t="s">
        <v>465</v>
      </c>
      <c r="J5419" s="1"/>
    </row>
    <row r="5420" spans="1:10" x14ac:dyDescent="0.2">
      <c r="A5420" s="1" t="s">
        <v>25</v>
      </c>
      <c r="B5420" s="2" t="s">
        <v>217</v>
      </c>
      <c r="D5420" s="5" t="s">
        <v>464</v>
      </c>
      <c r="G5420" s="57" t="s">
        <v>465</v>
      </c>
      <c r="H5420" s="19">
        <v>97500</v>
      </c>
      <c r="I5420" s="19" t="s">
        <v>465</v>
      </c>
      <c r="J5420" s="1"/>
    </row>
    <row r="5421" spans="1:10" x14ac:dyDescent="0.2">
      <c r="A5421" s="1" t="s">
        <v>25</v>
      </c>
      <c r="B5421" s="2" t="s">
        <v>217</v>
      </c>
      <c r="D5421" s="5" t="s">
        <v>464</v>
      </c>
      <c r="G5421" s="57" t="s">
        <v>465</v>
      </c>
      <c r="H5421" s="19">
        <v>97500</v>
      </c>
      <c r="I5421" s="19" t="s">
        <v>465</v>
      </c>
      <c r="J5421" s="1"/>
    </row>
    <row r="5422" spans="1:10" x14ac:dyDescent="0.2">
      <c r="A5422" s="1" t="s">
        <v>25</v>
      </c>
      <c r="B5422" s="2" t="s">
        <v>217</v>
      </c>
      <c r="D5422" s="5" t="s">
        <v>464</v>
      </c>
      <c r="G5422" s="57" t="s">
        <v>465</v>
      </c>
      <c r="H5422" s="19">
        <v>97500</v>
      </c>
      <c r="I5422" s="19" t="s">
        <v>465</v>
      </c>
      <c r="J5422" s="1"/>
    </row>
    <row r="5423" spans="1:10" x14ac:dyDescent="0.2">
      <c r="A5423" s="1" t="s">
        <v>25</v>
      </c>
      <c r="B5423" s="2" t="s">
        <v>217</v>
      </c>
      <c r="D5423" s="5" t="s">
        <v>464</v>
      </c>
      <c r="G5423" s="57" t="s">
        <v>465</v>
      </c>
      <c r="H5423" s="19">
        <v>97500</v>
      </c>
      <c r="I5423" s="19" t="s">
        <v>465</v>
      </c>
      <c r="J5423" s="1"/>
    </row>
    <row r="5424" spans="1:10" x14ac:dyDescent="0.2">
      <c r="A5424" s="1" t="s">
        <v>25</v>
      </c>
      <c r="B5424" s="2" t="s">
        <v>217</v>
      </c>
      <c r="D5424" s="5" t="s">
        <v>464</v>
      </c>
      <c r="G5424" s="57" t="s">
        <v>465</v>
      </c>
      <c r="H5424" s="19">
        <v>97500</v>
      </c>
      <c r="I5424" s="19" t="s">
        <v>465</v>
      </c>
      <c r="J5424" s="1"/>
    </row>
    <row r="5425" spans="1:10" x14ac:dyDescent="0.2">
      <c r="A5425" s="1" t="s">
        <v>6</v>
      </c>
      <c r="B5425" s="2" t="s">
        <v>218</v>
      </c>
      <c r="D5425" s="5" t="s">
        <v>464</v>
      </c>
      <c r="G5425" s="57" t="s">
        <v>465</v>
      </c>
      <c r="H5425" s="19" t="s">
        <v>465</v>
      </c>
      <c r="I5425" s="19">
        <v>92500</v>
      </c>
    </row>
    <row r="5426" spans="1:10" x14ac:dyDescent="0.2">
      <c r="A5426" s="1" t="s">
        <v>6</v>
      </c>
      <c r="B5426" s="2" t="s">
        <v>218</v>
      </c>
      <c r="D5426" s="5" t="s">
        <v>464</v>
      </c>
      <c r="G5426" s="57" t="s">
        <v>465</v>
      </c>
      <c r="H5426" s="19" t="s">
        <v>465</v>
      </c>
      <c r="I5426" s="19">
        <v>92500</v>
      </c>
    </row>
    <row r="5427" spans="1:10" x14ac:dyDescent="0.2">
      <c r="A5427" s="1" t="s">
        <v>6</v>
      </c>
      <c r="B5427" s="2" t="s">
        <v>218</v>
      </c>
      <c r="D5427" s="5" t="s">
        <v>464</v>
      </c>
      <c r="G5427" s="57" t="s">
        <v>465</v>
      </c>
      <c r="H5427" s="19" t="s">
        <v>465</v>
      </c>
      <c r="I5427" s="19">
        <v>92500</v>
      </c>
    </row>
    <row r="5428" spans="1:10" x14ac:dyDescent="0.2">
      <c r="A5428" s="1" t="s">
        <v>6</v>
      </c>
      <c r="B5428" s="2" t="s">
        <v>218</v>
      </c>
      <c r="D5428" s="5" t="s">
        <v>464</v>
      </c>
      <c r="G5428" s="57" t="s">
        <v>465</v>
      </c>
      <c r="H5428" s="19" t="s">
        <v>465</v>
      </c>
      <c r="I5428" s="19">
        <v>92500</v>
      </c>
    </row>
    <row r="5429" spans="1:10" x14ac:dyDescent="0.2">
      <c r="A5429" s="1" t="s">
        <v>6</v>
      </c>
      <c r="B5429" s="2" t="s">
        <v>218</v>
      </c>
      <c r="D5429" s="5" t="s">
        <v>464</v>
      </c>
      <c r="G5429" s="57" t="s">
        <v>465</v>
      </c>
      <c r="H5429" s="19" t="s">
        <v>465</v>
      </c>
      <c r="I5429" s="19">
        <v>92500</v>
      </c>
    </row>
    <row r="5430" spans="1:10" x14ac:dyDescent="0.2">
      <c r="A5430" s="1" t="s">
        <v>6</v>
      </c>
      <c r="B5430" s="2" t="s">
        <v>218</v>
      </c>
      <c r="D5430" s="5" t="s">
        <v>464</v>
      </c>
      <c r="G5430" s="57" t="s">
        <v>465</v>
      </c>
      <c r="H5430" s="19" t="s">
        <v>465</v>
      </c>
      <c r="I5430" s="19">
        <v>92500</v>
      </c>
    </row>
    <row r="5431" spans="1:10" x14ac:dyDescent="0.2">
      <c r="A5431" s="1" t="s">
        <v>6</v>
      </c>
      <c r="B5431" s="2" t="s">
        <v>218</v>
      </c>
      <c r="D5431" s="5" t="s">
        <v>464</v>
      </c>
      <c r="G5431" s="57" t="s">
        <v>465</v>
      </c>
      <c r="H5431" s="19" t="s">
        <v>465</v>
      </c>
      <c r="I5431" s="19">
        <v>97500</v>
      </c>
    </row>
    <row r="5432" spans="1:10" x14ac:dyDescent="0.2">
      <c r="A5432" s="1" t="s">
        <v>6</v>
      </c>
      <c r="B5432" s="2" t="s">
        <v>218</v>
      </c>
      <c r="D5432" s="5" t="s">
        <v>464</v>
      </c>
      <c r="G5432" s="57" t="s">
        <v>465</v>
      </c>
      <c r="H5432" s="19" t="s">
        <v>465</v>
      </c>
      <c r="I5432" s="19">
        <v>97500</v>
      </c>
    </row>
    <row r="5433" spans="1:10" x14ac:dyDescent="0.2">
      <c r="A5433" s="1" t="s">
        <v>6</v>
      </c>
      <c r="B5433" s="2" t="s">
        <v>218</v>
      </c>
      <c r="D5433" s="5" t="s">
        <v>464</v>
      </c>
      <c r="G5433" s="57" t="s">
        <v>465</v>
      </c>
      <c r="H5433" s="19" t="s">
        <v>465</v>
      </c>
      <c r="I5433" s="19">
        <v>97500</v>
      </c>
    </row>
    <row r="5434" spans="1:10" x14ac:dyDescent="0.2">
      <c r="A5434" s="1" t="s">
        <v>6</v>
      </c>
      <c r="B5434" s="2" t="s">
        <v>218</v>
      </c>
      <c r="D5434" s="5" t="s">
        <v>464</v>
      </c>
      <c r="G5434" s="57" t="s">
        <v>465</v>
      </c>
      <c r="H5434" s="19" t="s">
        <v>465</v>
      </c>
      <c r="I5434" s="19">
        <v>97500</v>
      </c>
    </row>
    <row r="5435" spans="1:10" x14ac:dyDescent="0.2">
      <c r="A5435" s="1" t="s">
        <v>6</v>
      </c>
      <c r="B5435" s="2" t="s">
        <v>218</v>
      </c>
      <c r="D5435" s="5" t="s">
        <v>464</v>
      </c>
      <c r="G5435" s="57" t="s">
        <v>465</v>
      </c>
      <c r="H5435" s="19" t="s">
        <v>465</v>
      </c>
      <c r="I5435" s="19">
        <v>97500</v>
      </c>
    </row>
    <row r="5436" spans="1:10" x14ac:dyDescent="0.2">
      <c r="A5436" s="1" t="s">
        <v>6</v>
      </c>
      <c r="B5436" s="2" t="s">
        <v>218</v>
      </c>
      <c r="D5436" s="5" t="s">
        <v>464</v>
      </c>
      <c r="G5436" s="57" t="s">
        <v>465</v>
      </c>
      <c r="H5436" s="19" t="s">
        <v>465</v>
      </c>
      <c r="I5436" s="19">
        <v>97500</v>
      </c>
    </row>
    <row r="5437" spans="1:10" x14ac:dyDescent="0.2">
      <c r="A5437" s="1" t="s">
        <v>6</v>
      </c>
      <c r="B5437" s="2" t="s">
        <v>218</v>
      </c>
      <c r="D5437" s="5" t="s">
        <v>464</v>
      </c>
      <c r="G5437" s="57" t="s">
        <v>465</v>
      </c>
      <c r="H5437" s="19" t="s">
        <v>465</v>
      </c>
      <c r="I5437" s="19">
        <v>97500</v>
      </c>
    </row>
    <row r="5438" spans="1:10" x14ac:dyDescent="0.2">
      <c r="A5438" s="1" t="s">
        <v>6</v>
      </c>
      <c r="B5438" s="2" t="s">
        <v>218</v>
      </c>
      <c r="D5438" s="5" t="s">
        <v>464</v>
      </c>
      <c r="G5438" s="57" t="s">
        <v>465</v>
      </c>
      <c r="H5438" s="19" t="s">
        <v>465</v>
      </c>
      <c r="I5438" s="19">
        <v>97500</v>
      </c>
    </row>
    <row r="5439" spans="1:10" x14ac:dyDescent="0.2">
      <c r="A5439" s="1" t="s">
        <v>6</v>
      </c>
      <c r="B5439" s="2" t="s">
        <v>218</v>
      </c>
      <c r="D5439" s="5" t="s">
        <v>464</v>
      </c>
      <c r="G5439" s="57" t="s">
        <v>465</v>
      </c>
      <c r="H5439" s="19">
        <v>92500</v>
      </c>
      <c r="I5439" s="19" t="s">
        <v>465</v>
      </c>
      <c r="J5439" s="1"/>
    </row>
    <row r="5440" spans="1:10" x14ac:dyDescent="0.2">
      <c r="A5440" s="1" t="s">
        <v>6</v>
      </c>
      <c r="B5440" s="2" t="s">
        <v>218</v>
      </c>
      <c r="D5440" s="5" t="s">
        <v>464</v>
      </c>
      <c r="G5440" s="57" t="s">
        <v>465</v>
      </c>
      <c r="H5440" s="19">
        <v>92500</v>
      </c>
      <c r="I5440" s="19" t="s">
        <v>465</v>
      </c>
      <c r="J5440" s="1"/>
    </row>
    <row r="5441" spans="1:10" x14ac:dyDescent="0.2">
      <c r="A5441" s="1" t="s">
        <v>6</v>
      </c>
      <c r="B5441" s="2" t="s">
        <v>218</v>
      </c>
      <c r="D5441" s="5" t="s">
        <v>464</v>
      </c>
      <c r="G5441" s="57" t="s">
        <v>465</v>
      </c>
      <c r="H5441" s="19">
        <v>92500</v>
      </c>
      <c r="I5441" s="19" t="s">
        <v>465</v>
      </c>
      <c r="J5441" s="1"/>
    </row>
    <row r="5442" spans="1:10" x14ac:dyDescent="0.2">
      <c r="A5442" s="1" t="s">
        <v>6</v>
      </c>
      <c r="B5442" s="2" t="s">
        <v>218</v>
      </c>
      <c r="D5442" s="5" t="s">
        <v>464</v>
      </c>
      <c r="G5442" s="57" t="s">
        <v>465</v>
      </c>
      <c r="H5442" s="19">
        <v>92500</v>
      </c>
      <c r="I5442" s="19" t="s">
        <v>465</v>
      </c>
      <c r="J5442" s="1"/>
    </row>
    <row r="5443" spans="1:10" x14ac:dyDescent="0.2">
      <c r="A5443" s="1" t="s">
        <v>6</v>
      </c>
      <c r="B5443" s="2" t="s">
        <v>218</v>
      </c>
      <c r="D5443" s="5" t="s">
        <v>464</v>
      </c>
      <c r="G5443" s="57" t="s">
        <v>465</v>
      </c>
      <c r="H5443" s="19">
        <v>92500</v>
      </c>
      <c r="I5443" s="19" t="s">
        <v>465</v>
      </c>
      <c r="J5443" s="1"/>
    </row>
    <row r="5444" spans="1:10" x14ac:dyDescent="0.2">
      <c r="A5444" s="1" t="s">
        <v>6</v>
      </c>
      <c r="B5444" s="2" t="s">
        <v>218</v>
      </c>
      <c r="D5444" s="5" t="s">
        <v>464</v>
      </c>
      <c r="G5444" s="57" t="s">
        <v>465</v>
      </c>
      <c r="H5444" s="19">
        <v>92500</v>
      </c>
      <c r="I5444" s="19" t="s">
        <v>465</v>
      </c>
      <c r="J5444" s="1"/>
    </row>
    <row r="5445" spans="1:10" x14ac:dyDescent="0.2">
      <c r="A5445" s="1" t="s">
        <v>6</v>
      </c>
      <c r="B5445" s="2" t="s">
        <v>218</v>
      </c>
      <c r="D5445" s="5" t="s">
        <v>464</v>
      </c>
      <c r="G5445" s="57" t="s">
        <v>465</v>
      </c>
      <c r="H5445" s="19">
        <v>92500</v>
      </c>
      <c r="I5445" s="19" t="s">
        <v>465</v>
      </c>
      <c r="J5445" s="1"/>
    </row>
    <row r="5446" spans="1:10" x14ac:dyDescent="0.2">
      <c r="A5446" s="1" t="s">
        <v>6</v>
      </c>
      <c r="B5446" s="2" t="s">
        <v>218</v>
      </c>
      <c r="D5446" s="5" t="s">
        <v>464</v>
      </c>
      <c r="G5446" s="57" t="s">
        <v>465</v>
      </c>
      <c r="H5446" s="19">
        <v>97500</v>
      </c>
      <c r="I5446" s="19" t="s">
        <v>465</v>
      </c>
      <c r="J5446" s="1"/>
    </row>
    <row r="5447" spans="1:10" x14ac:dyDescent="0.2">
      <c r="A5447" s="1" t="s">
        <v>6</v>
      </c>
      <c r="B5447" s="2" t="s">
        <v>218</v>
      </c>
      <c r="D5447" s="5" t="s">
        <v>464</v>
      </c>
      <c r="G5447" s="57" t="s">
        <v>465</v>
      </c>
      <c r="H5447" s="19">
        <v>97500</v>
      </c>
      <c r="I5447" s="19" t="s">
        <v>465</v>
      </c>
      <c r="J5447" s="1"/>
    </row>
    <row r="5448" spans="1:10" x14ac:dyDescent="0.2">
      <c r="A5448" s="1" t="s">
        <v>6</v>
      </c>
      <c r="B5448" s="2" t="s">
        <v>218</v>
      </c>
      <c r="D5448" s="5" t="s">
        <v>464</v>
      </c>
      <c r="G5448" s="57" t="s">
        <v>465</v>
      </c>
      <c r="H5448" s="19">
        <v>97500</v>
      </c>
      <c r="I5448" s="19" t="s">
        <v>465</v>
      </c>
      <c r="J5448" s="1"/>
    </row>
    <row r="5449" spans="1:10" x14ac:dyDescent="0.2">
      <c r="A5449" s="1" t="s">
        <v>6</v>
      </c>
      <c r="B5449" s="2" t="s">
        <v>218</v>
      </c>
      <c r="D5449" s="5" t="s">
        <v>464</v>
      </c>
      <c r="G5449" s="57" t="s">
        <v>465</v>
      </c>
      <c r="H5449" s="19">
        <v>97500</v>
      </c>
      <c r="I5449" s="19" t="s">
        <v>465</v>
      </c>
      <c r="J5449" s="1"/>
    </row>
    <row r="5450" spans="1:10" x14ac:dyDescent="0.2">
      <c r="A5450" s="1" t="s">
        <v>6</v>
      </c>
      <c r="B5450" s="2" t="s">
        <v>218</v>
      </c>
      <c r="D5450" s="5" t="s">
        <v>464</v>
      </c>
      <c r="G5450" s="57" t="s">
        <v>465</v>
      </c>
      <c r="H5450" s="19">
        <v>97500</v>
      </c>
      <c r="I5450" s="19" t="s">
        <v>465</v>
      </c>
      <c r="J5450" s="1"/>
    </row>
    <row r="5451" spans="1:10" x14ac:dyDescent="0.2">
      <c r="A5451" s="1" t="s">
        <v>6</v>
      </c>
      <c r="B5451" s="2" t="s">
        <v>218</v>
      </c>
      <c r="D5451" s="5" t="s">
        <v>464</v>
      </c>
      <c r="G5451" s="57" t="s">
        <v>465</v>
      </c>
      <c r="H5451" s="19">
        <v>97500</v>
      </c>
      <c r="I5451" s="32" t="s">
        <v>465</v>
      </c>
      <c r="J5451" s="1"/>
    </row>
    <row r="5452" spans="1:10" x14ac:dyDescent="0.2">
      <c r="A5452" s="1" t="s">
        <v>6</v>
      </c>
      <c r="B5452" s="2" t="s">
        <v>218</v>
      </c>
      <c r="D5452" s="5" t="s">
        <v>464</v>
      </c>
      <c r="G5452" s="57" t="s">
        <v>465</v>
      </c>
      <c r="H5452" s="19">
        <v>97500</v>
      </c>
      <c r="I5452" s="19" t="s">
        <v>465</v>
      </c>
      <c r="J5452" s="1"/>
    </row>
    <row r="5453" spans="1:10" x14ac:dyDescent="0.2">
      <c r="A5453" s="1" t="s">
        <v>6</v>
      </c>
      <c r="B5453" s="2" t="s">
        <v>218</v>
      </c>
      <c r="D5453" s="5" t="s">
        <v>464</v>
      </c>
      <c r="G5453" s="57" t="s">
        <v>465</v>
      </c>
      <c r="H5453" s="19">
        <v>97500</v>
      </c>
      <c r="I5453" s="19" t="s">
        <v>465</v>
      </c>
      <c r="J5453" s="1"/>
    </row>
    <row r="5454" spans="1:10" ht="25.5" x14ac:dyDescent="0.2">
      <c r="A5454" s="1" t="s">
        <v>11</v>
      </c>
      <c r="B5454" s="2" t="s">
        <v>220</v>
      </c>
      <c r="C5454" s="29" t="s">
        <v>2697</v>
      </c>
      <c r="G5454" s="57" t="s">
        <v>465</v>
      </c>
    </row>
    <row r="5455" spans="1:10" ht="38.25" x14ac:dyDescent="0.2">
      <c r="A5455" s="1" t="s">
        <v>28</v>
      </c>
      <c r="B5455" s="2" t="s">
        <v>221</v>
      </c>
      <c r="D5455" s="5" t="s">
        <v>464</v>
      </c>
      <c r="G5455" s="57" t="s">
        <v>465</v>
      </c>
      <c r="H5455" s="19">
        <v>92500</v>
      </c>
      <c r="I5455" s="19" t="s">
        <v>465</v>
      </c>
      <c r="J5455" s="5" t="s">
        <v>3276</v>
      </c>
    </row>
    <row r="5456" spans="1:10" x14ac:dyDescent="0.2">
      <c r="A5456" s="1" t="s">
        <v>28</v>
      </c>
      <c r="B5456" s="2" t="s">
        <v>221</v>
      </c>
      <c r="D5456" s="5" t="s">
        <v>464</v>
      </c>
      <c r="G5456" s="57" t="s">
        <v>465</v>
      </c>
      <c r="H5456" s="19">
        <v>92500</v>
      </c>
      <c r="I5456" s="19" t="s">
        <v>465</v>
      </c>
    </row>
    <row r="5457" spans="1:10" x14ac:dyDescent="0.2">
      <c r="A5457" s="1" t="s">
        <v>28</v>
      </c>
      <c r="B5457" s="2" t="s">
        <v>221</v>
      </c>
      <c r="D5457" s="5" t="s">
        <v>464</v>
      </c>
      <c r="G5457" s="57" t="s">
        <v>465</v>
      </c>
      <c r="H5457" s="19">
        <v>92500</v>
      </c>
      <c r="I5457" s="19" t="s">
        <v>465</v>
      </c>
    </row>
    <row r="5458" spans="1:10" x14ac:dyDescent="0.2">
      <c r="A5458" s="1" t="s">
        <v>28</v>
      </c>
      <c r="B5458" s="2" t="s">
        <v>221</v>
      </c>
      <c r="D5458" s="5" t="s">
        <v>464</v>
      </c>
      <c r="G5458" s="57" t="s">
        <v>465</v>
      </c>
      <c r="H5458" s="19">
        <v>92500</v>
      </c>
      <c r="I5458" s="19" t="s">
        <v>465</v>
      </c>
    </row>
    <row r="5459" spans="1:10" x14ac:dyDescent="0.2">
      <c r="A5459" s="1" t="s">
        <v>28</v>
      </c>
      <c r="B5459" s="2" t="s">
        <v>221</v>
      </c>
      <c r="D5459" s="5" t="s">
        <v>464</v>
      </c>
      <c r="G5459" s="57" t="s">
        <v>465</v>
      </c>
      <c r="H5459" s="19" t="s">
        <v>465</v>
      </c>
      <c r="I5459" s="19">
        <v>92500</v>
      </c>
    </row>
    <row r="5460" spans="1:10" x14ac:dyDescent="0.2">
      <c r="A5460" s="1" t="s">
        <v>28</v>
      </c>
      <c r="B5460" s="2" t="s">
        <v>221</v>
      </c>
      <c r="D5460" s="5" t="s">
        <v>464</v>
      </c>
      <c r="G5460" s="57" t="s">
        <v>465</v>
      </c>
      <c r="H5460" s="19" t="s">
        <v>465</v>
      </c>
      <c r="I5460" s="19">
        <v>92500</v>
      </c>
      <c r="J5460" s="1"/>
    </row>
    <row r="5461" spans="1:10" x14ac:dyDescent="0.2">
      <c r="A5461" s="1" t="s">
        <v>28</v>
      </c>
      <c r="B5461" s="2" t="s">
        <v>221</v>
      </c>
      <c r="D5461" s="5" t="s">
        <v>464</v>
      </c>
      <c r="G5461" s="57" t="s">
        <v>465</v>
      </c>
      <c r="H5461" s="19" t="s">
        <v>465</v>
      </c>
      <c r="I5461" s="19">
        <v>92500</v>
      </c>
      <c r="J5461" s="1"/>
    </row>
    <row r="5462" spans="1:10" x14ac:dyDescent="0.2">
      <c r="A5462" s="1" t="s">
        <v>28</v>
      </c>
      <c r="B5462" s="2" t="s">
        <v>221</v>
      </c>
      <c r="D5462" s="5" t="s">
        <v>464</v>
      </c>
      <c r="G5462" s="57" t="s">
        <v>465</v>
      </c>
      <c r="H5462" s="19" t="s">
        <v>465</v>
      </c>
      <c r="I5462" s="19">
        <v>92500</v>
      </c>
      <c r="J5462" s="1"/>
    </row>
    <row r="5463" spans="1:10" x14ac:dyDescent="0.2">
      <c r="A5463" s="1" t="s">
        <v>28</v>
      </c>
      <c r="B5463" s="2" t="s">
        <v>221</v>
      </c>
      <c r="D5463" s="5" t="s">
        <v>464</v>
      </c>
      <c r="G5463" s="57" t="s">
        <v>465</v>
      </c>
      <c r="H5463" s="19" t="s">
        <v>465</v>
      </c>
      <c r="I5463" s="19">
        <v>92500</v>
      </c>
      <c r="J5463" s="1"/>
    </row>
    <row r="5464" spans="1:10" x14ac:dyDescent="0.2">
      <c r="A5464" s="1" t="s">
        <v>28</v>
      </c>
      <c r="B5464" s="2" t="s">
        <v>221</v>
      </c>
      <c r="D5464" s="5" t="s">
        <v>464</v>
      </c>
      <c r="G5464" s="57" t="s">
        <v>465</v>
      </c>
      <c r="H5464" s="19" t="s">
        <v>465</v>
      </c>
      <c r="I5464" s="19">
        <v>92500</v>
      </c>
      <c r="J5464" s="1"/>
    </row>
    <row r="5465" spans="1:10" x14ac:dyDescent="0.2">
      <c r="A5465" s="1" t="s">
        <v>28</v>
      </c>
      <c r="B5465" s="2" t="s">
        <v>221</v>
      </c>
      <c r="D5465" s="5" t="s">
        <v>464</v>
      </c>
      <c r="G5465" s="57" t="s">
        <v>465</v>
      </c>
      <c r="H5465" s="19" t="s">
        <v>465</v>
      </c>
      <c r="I5465" s="19">
        <v>92500</v>
      </c>
      <c r="J5465" s="1"/>
    </row>
    <row r="5466" spans="1:10" x14ac:dyDescent="0.2">
      <c r="A5466" s="1" t="s">
        <v>28</v>
      </c>
      <c r="B5466" s="2" t="s">
        <v>221</v>
      </c>
      <c r="D5466" s="5" t="s">
        <v>464</v>
      </c>
      <c r="G5466" s="57" t="s">
        <v>465</v>
      </c>
      <c r="H5466" s="19" t="s">
        <v>465</v>
      </c>
      <c r="I5466" s="19">
        <v>92500</v>
      </c>
      <c r="J5466" s="1"/>
    </row>
    <row r="5467" spans="1:10" x14ac:dyDescent="0.2">
      <c r="A5467" s="1" t="s">
        <v>28</v>
      </c>
      <c r="B5467" s="2" t="s">
        <v>221</v>
      </c>
      <c r="D5467" s="5" t="s">
        <v>464</v>
      </c>
      <c r="G5467" s="57" t="s">
        <v>465</v>
      </c>
      <c r="H5467" s="19" t="s">
        <v>465</v>
      </c>
      <c r="I5467" s="19">
        <v>92500</v>
      </c>
      <c r="J5467" s="1"/>
    </row>
    <row r="5468" spans="1:10" x14ac:dyDescent="0.2">
      <c r="A5468" s="1" t="s">
        <v>28</v>
      </c>
      <c r="B5468" s="2" t="s">
        <v>221</v>
      </c>
      <c r="D5468" s="5" t="s">
        <v>464</v>
      </c>
      <c r="G5468" s="57" t="s">
        <v>465</v>
      </c>
      <c r="H5468" s="19">
        <v>97500</v>
      </c>
      <c r="I5468" s="19" t="s">
        <v>465</v>
      </c>
      <c r="J5468" s="1"/>
    </row>
    <row r="5469" spans="1:10" x14ac:dyDescent="0.2">
      <c r="A5469" s="1" t="s">
        <v>28</v>
      </c>
      <c r="B5469" s="2" t="s">
        <v>221</v>
      </c>
      <c r="D5469" s="5" t="s">
        <v>464</v>
      </c>
      <c r="G5469" s="57" t="s">
        <v>465</v>
      </c>
      <c r="H5469" s="19">
        <v>97500</v>
      </c>
      <c r="I5469" s="19" t="s">
        <v>465</v>
      </c>
      <c r="J5469" s="1"/>
    </row>
    <row r="5470" spans="1:10" x14ac:dyDescent="0.2">
      <c r="A5470" s="1" t="s">
        <v>28</v>
      </c>
      <c r="B5470" s="2" t="s">
        <v>221</v>
      </c>
      <c r="D5470" s="5" t="s">
        <v>464</v>
      </c>
      <c r="G5470" s="57" t="s">
        <v>465</v>
      </c>
      <c r="H5470" s="19">
        <v>97500</v>
      </c>
      <c r="I5470" s="19" t="s">
        <v>465</v>
      </c>
      <c r="J5470" s="1"/>
    </row>
    <row r="5471" spans="1:10" x14ac:dyDescent="0.2">
      <c r="A5471" s="1" t="s">
        <v>28</v>
      </c>
      <c r="B5471" s="2" t="s">
        <v>221</v>
      </c>
      <c r="D5471" s="5" t="s">
        <v>464</v>
      </c>
      <c r="G5471" s="57" t="s">
        <v>465</v>
      </c>
      <c r="H5471" s="19" t="s">
        <v>465</v>
      </c>
      <c r="I5471" s="19">
        <v>97500</v>
      </c>
      <c r="J5471" s="1"/>
    </row>
    <row r="5472" spans="1:10" x14ac:dyDescent="0.2">
      <c r="A5472" s="1" t="s">
        <v>28</v>
      </c>
      <c r="B5472" s="2" t="s">
        <v>221</v>
      </c>
      <c r="D5472" s="5" t="s">
        <v>464</v>
      </c>
      <c r="G5472" s="57" t="s">
        <v>465</v>
      </c>
      <c r="H5472" s="19" t="s">
        <v>465</v>
      </c>
      <c r="I5472" s="19">
        <v>97500</v>
      </c>
      <c r="J5472" s="1"/>
    </row>
    <row r="5473" spans="1:10" x14ac:dyDescent="0.2">
      <c r="A5473" s="1" t="s">
        <v>28</v>
      </c>
      <c r="B5473" s="2" t="s">
        <v>221</v>
      </c>
      <c r="D5473" s="5" t="s">
        <v>464</v>
      </c>
      <c r="G5473" s="57" t="s">
        <v>465</v>
      </c>
      <c r="H5473" s="19" t="s">
        <v>465</v>
      </c>
      <c r="I5473" s="19">
        <v>97500</v>
      </c>
      <c r="J5473" s="1"/>
    </row>
    <row r="5474" spans="1:10" x14ac:dyDescent="0.2">
      <c r="A5474" s="1" t="s">
        <v>28</v>
      </c>
      <c r="B5474" s="2" t="s">
        <v>221</v>
      </c>
      <c r="D5474" s="5" t="s">
        <v>464</v>
      </c>
      <c r="G5474" s="57" t="s">
        <v>465</v>
      </c>
      <c r="H5474" s="19" t="s">
        <v>465</v>
      </c>
      <c r="I5474" s="19">
        <v>97500</v>
      </c>
      <c r="J5474" s="1"/>
    </row>
    <row r="5475" spans="1:10" x14ac:dyDescent="0.2">
      <c r="A5475" s="1" t="s">
        <v>28</v>
      </c>
      <c r="B5475" s="2" t="s">
        <v>221</v>
      </c>
      <c r="D5475" s="5" t="s">
        <v>464</v>
      </c>
      <c r="G5475" s="57" t="s">
        <v>465</v>
      </c>
      <c r="H5475" s="19" t="s">
        <v>465</v>
      </c>
      <c r="I5475" s="19">
        <v>97500</v>
      </c>
      <c r="J5475" s="1"/>
    </row>
    <row r="5476" spans="1:10" x14ac:dyDescent="0.2">
      <c r="A5476" s="1" t="s">
        <v>28</v>
      </c>
      <c r="B5476" s="2" t="s">
        <v>221</v>
      </c>
      <c r="D5476" s="5" t="s">
        <v>464</v>
      </c>
      <c r="G5476" s="57" t="s">
        <v>465</v>
      </c>
      <c r="H5476" s="19" t="s">
        <v>465</v>
      </c>
      <c r="I5476" s="19">
        <v>97500</v>
      </c>
    </row>
    <row r="5477" spans="1:10" x14ac:dyDescent="0.2">
      <c r="A5477" s="1" t="s">
        <v>28</v>
      </c>
      <c r="B5477" s="2" t="s">
        <v>221</v>
      </c>
      <c r="D5477" s="5" t="s">
        <v>464</v>
      </c>
      <c r="G5477" s="57" t="s">
        <v>465</v>
      </c>
      <c r="H5477" s="19" t="s">
        <v>465</v>
      </c>
      <c r="I5477" s="19">
        <v>97500</v>
      </c>
    </row>
    <row r="5478" spans="1:10" x14ac:dyDescent="0.2">
      <c r="A5478" s="1" t="s">
        <v>8</v>
      </c>
      <c r="B5478" s="2" t="s">
        <v>222</v>
      </c>
      <c r="D5478" s="5" t="s">
        <v>464</v>
      </c>
      <c r="G5478" s="57" t="s">
        <v>465</v>
      </c>
      <c r="H5478" s="19">
        <v>92500</v>
      </c>
      <c r="I5478" s="19" t="s">
        <v>465</v>
      </c>
    </row>
    <row r="5479" spans="1:10" x14ac:dyDescent="0.2">
      <c r="A5479" s="1" t="s">
        <v>8</v>
      </c>
      <c r="B5479" s="2" t="s">
        <v>222</v>
      </c>
      <c r="D5479" s="5" t="s">
        <v>464</v>
      </c>
      <c r="G5479" s="57" t="s">
        <v>465</v>
      </c>
      <c r="H5479" s="19">
        <v>92500</v>
      </c>
      <c r="I5479" s="19" t="s">
        <v>465</v>
      </c>
    </row>
    <row r="5480" spans="1:10" x14ac:dyDescent="0.2">
      <c r="A5480" s="1" t="s">
        <v>8</v>
      </c>
      <c r="B5480" s="2" t="s">
        <v>222</v>
      </c>
      <c r="D5480" s="5" t="s">
        <v>464</v>
      </c>
      <c r="G5480" s="57" t="s">
        <v>465</v>
      </c>
      <c r="H5480" s="19">
        <v>92500</v>
      </c>
      <c r="I5480" s="19" t="s">
        <v>465</v>
      </c>
    </row>
    <row r="5481" spans="1:10" x14ac:dyDescent="0.2">
      <c r="A5481" s="1" t="s">
        <v>8</v>
      </c>
      <c r="B5481" s="2" t="s">
        <v>222</v>
      </c>
      <c r="D5481" s="5" t="s">
        <v>464</v>
      </c>
      <c r="G5481" s="57" t="s">
        <v>465</v>
      </c>
      <c r="H5481" s="19">
        <v>92500</v>
      </c>
      <c r="I5481" s="19" t="s">
        <v>465</v>
      </c>
    </row>
    <row r="5482" spans="1:10" x14ac:dyDescent="0.2">
      <c r="A5482" s="1" t="s">
        <v>8</v>
      </c>
      <c r="B5482" s="2" t="s">
        <v>222</v>
      </c>
      <c r="D5482" s="5" t="s">
        <v>464</v>
      </c>
      <c r="G5482" s="57" t="s">
        <v>465</v>
      </c>
      <c r="H5482" s="19">
        <v>92500</v>
      </c>
      <c r="I5482" s="19" t="s">
        <v>465</v>
      </c>
    </row>
    <row r="5483" spans="1:10" x14ac:dyDescent="0.2">
      <c r="A5483" s="1" t="s">
        <v>8</v>
      </c>
      <c r="B5483" s="2" t="s">
        <v>222</v>
      </c>
      <c r="D5483" s="5" t="s">
        <v>464</v>
      </c>
      <c r="G5483" s="57" t="s">
        <v>465</v>
      </c>
      <c r="H5483" s="19">
        <v>92500</v>
      </c>
      <c r="I5483" s="19" t="s">
        <v>465</v>
      </c>
    </row>
    <row r="5484" spans="1:10" x14ac:dyDescent="0.2">
      <c r="A5484" s="1" t="s">
        <v>8</v>
      </c>
      <c r="B5484" s="2" t="s">
        <v>222</v>
      </c>
      <c r="D5484" s="5" t="s">
        <v>464</v>
      </c>
      <c r="G5484" s="57" t="s">
        <v>465</v>
      </c>
      <c r="H5484" s="19" t="s">
        <v>465</v>
      </c>
      <c r="I5484" s="19">
        <v>92500</v>
      </c>
    </row>
    <row r="5485" spans="1:10" x14ac:dyDescent="0.2">
      <c r="A5485" s="1" t="s">
        <v>8</v>
      </c>
      <c r="B5485" s="2" t="s">
        <v>222</v>
      </c>
      <c r="D5485" s="5" t="s">
        <v>464</v>
      </c>
      <c r="G5485" s="57" t="s">
        <v>465</v>
      </c>
      <c r="H5485" s="19" t="s">
        <v>465</v>
      </c>
      <c r="I5485" s="19">
        <v>92500</v>
      </c>
    </row>
    <row r="5486" spans="1:10" x14ac:dyDescent="0.2">
      <c r="A5486" s="1" t="s">
        <v>8</v>
      </c>
      <c r="B5486" s="2" t="s">
        <v>222</v>
      </c>
      <c r="D5486" s="5" t="s">
        <v>464</v>
      </c>
      <c r="G5486" s="57" t="s">
        <v>465</v>
      </c>
      <c r="H5486" s="19" t="s">
        <v>465</v>
      </c>
      <c r="I5486" s="19">
        <v>92500</v>
      </c>
    </row>
    <row r="5487" spans="1:10" x14ac:dyDescent="0.2">
      <c r="A5487" s="1" t="s">
        <v>8</v>
      </c>
      <c r="B5487" s="2" t="s">
        <v>222</v>
      </c>
      <c r="D5487" s="5" t="s">
        <v>464</v>
      </c>
      <c r="G5487" s="57" t="s">
        <v>465</v>
      </c>
      <c r="H5487" s="19" t="s">
        <v>465</v>
      </c>
      <c r="I5487" s="19">
        <v>92500</v>
      </c>
      <c r="J5487" s="1"/>
    </row>
    <row r="5488" spans="1:10" x14ac:dyDescent="0.2">
      <c r="A5488" s="1" t="s">
        <v>8</v>
      </c>
      <c r="B5488" s="2" t="s">
        <v>222</v>
      </c>
      <c r="D5488" s="5" t="s">
        <v>464</v>
      </c>
      <c r="G5488" s="57" t="s">
        <v>465</v>
      </c>
      <c r="H5488" s="19" t="s">
        <v>465</v>
      </c>
      <c r="I5488" s="19">
        <v>92500</v>
      </c>
      <c r="J5488" s="1"/>
    </row>
    <row r="5489" spans="1:10" x14ac:dyDescent="0.2">
      <c r="A5489" s="1" t="s">
        <v>8</v>
      </c>
      <c r="B5489" s="2" t="s">
        <v>222</v>
      </c>
      <c r="D5489" s="5" t="s">
        <v>464</v>
      </c>
      <c r="G5489" s="57" t="s">
        <v>465</v>
      </c>
      <c r="H5489" s="19" t="s">
        <v>465</v>
      </c>
      <c r="I5489" s="19">
        <v>92500</v>
      </c>
      <c r="J5489" s="1"/>
    </row>
    <row r="5490" spans="1:10" x14ac:dyDescent="0.2">
      <c r="A5490" s="1" t="s">
        <v>8</v>
      </c>
      <c r="B5490" s="2" t="s">
        <v>222</v>
      </c>
      <c r="D5490" s="5" t="s">
        <v>464</v>
      </c>
      <c r="G5490" s="57" t="s">
        <v>465</v>
      </c>
      <c r="H5490" s="19" t="s">
        <v>465</v>
      </c>
      <c r="I5490" s="19">
        <v>92500</v>
      </c>
      <c r="J5490" s="1"/>
    </row>
    <row r="5491" spans="1:10" x14ac:dyDescent="0.2">
      <c r="A5491" s="1" t="s">
        <v>8</v>
      </c>
      <c r="B5491" s="2" t="s">
        <v>222</v>
      </c>
      <c r="D5491" s="5" t="s">
        <v>464</v>
      </c>
      <c r="G5491" s="57" t="s">
        <v>465</v>
      </c>
      <c r="H5491" s="19">
        <v>97500</v>
      </c>
      <c r="I5491" s="19" t="s">
        <v>465</v>
      </c>
      <c r="J5491" s="1"/>
    </row>
    <row r="5492" spans="1:10" x14ac:dyDescent="0.2">
      <c r="A5492" s="1" t="s">
        <v>8</v>
      </c>
      <c r="B5492" s="2" t="s">
        <v>222</v>
      </c>
      <c r="D5492" s="5" t="s">
        <v>464</v>
      </c>
      <c r="G5492" s="57" t="s">
        <v>465</v>
      </c>
      <c r="H5492" s="19">
        <v>97500</v>
      </c>
      <c r="I5492" s="19" t="s">
        <v>465</v>
      </c>
      <c r="J5492" s="1"/>
    </row>
    <row r="5493" spans="1:10" x14ac:dyDescent="0.2">
      <c r="A5493" s="1" t="s">
        <v>8</v>
      </c>
      <c r="B5493" s="2" t="s">
        <v>222</v>
      </c>
      <c r="D5493" s="5" t="s">
        <v>464</v>
      </c>
      <c r="G5493" s="57" t="s">
        <v>465</v>
      </c>
      <c r="H5493" s="19">
        <v>97500</v>
      </c>
      <c r="I5493" s="19" t="s">
        <v>465</v>
      </c>
      <c r="J5493" s="1"/>
    </row>
    <row r="5494" spans="1:10" x14ac:dyDescent="0.2">
      <c r="A5494" s="1" t="s">
        <v>8</v>
      </c>
      <c r="B5494" s="2" t="s">
        <v>222</v>
      </c>
      <c r="D5494" s="5" t="s">
        <v>464</v>
      </c>
      <c r="G5494" s="57" t="s">
        <v>465</v>
      </c>
      <c r="H5494" s="19" t="s">
        <v>465</v>
      </c>
      <c r="I5494" s="19">
        <v>97500</v>
      </c>
      <c r="J5494" s="1"/>
    </row>
    <row r="5495" spans="1:10" x14ac:dyDescent="0.2">
      <c r="A5495" s="1" t="s">
        <v>8</v>
      </c>
      <c r="B5495" s="2" t="s">
        <v>222</v>
      </c>
      <c r="D5495" s="5" t="s">
        <v>464</v>
      </c>
      <c r="G5495" s="57" t="s">
        <v>465</v>
      </c>
      <c r="H5495" s="19" t="s">
        <v>465</v>
      </c>
      <c r="I5495" s="19">
        <v>97500</v>
      </c>
      <c r="J5495" s="1"/>
    </row>
    <row r="5496" spans="1:10" x14ac:dyDescent="0.2">
      <c r="A5496" s="1" t="s">
        <v>8</v>
      </c>
      <c r="B5496" s="2" t="s">
        <v>222</v>
      </c>
      <c r="D5496" s="5" t="s">
        <v>464</v>
      </c>
      <c r="G5496" s="57" t="s">
        <v>465</v>
      </c>
      <c r="H5496" s="19" t="s">
        <v>465</v>
      </c>
      <c r="I5496" s="19">
        <v>97500</v>
      </c>
      <c r="J5496" s="1"/>
    </row>
    <row r="5497" spans="1:10" x14ac:dyDescent="0.2">
      <c r="A5497" s="1" t="s">
        <v>8</v>
      </c>
      <c r="B5497" s="2" t="s">
        <v>222</v>
      </c>
      <c r="D5497" s="5" t="s">
        <v>464</v>
      </c>
      <c r="G5497" s="57" t="s">
        <v>465</v>
      </c>
      <c r="H5497" s="19" t="s">
        <v>465</v>
      </c>
      <c r="I5497" s="19">
        <v>97500</v>
      </c>
      <c r="J5497" s="1"/>
    </row>
    <row r="5498" spans="1:10" x14ac:dyDescent="0.2">
      <c r="A5498" s="1" t="s">
        <v>8</v>
      </c>
      <c r="B5498" s="2" t="s">
        <v>222</v>
      </c>
      <c r="D5498" s="5" t="s">
        <v>464</v>
      </c>
      <c r="G5498" s="57" t="s">
        <v>465</v>
      </c>
      <c r="H5498" s="19" t="s">
        <v>465</v>
      </c>
      <c r="I5498" s="19">
        <v>97500</v>
      </c>
      <c r="J5498" s="1"/>
    </row>
    <row r="5499" spans="1:10" x14ac:dyDescent="0.2">
      <c r="A5499" s="1" t="s">
        <v>8</v>
      </c>
      <c r="B5499" s="2" t="s">
        <v>222</v>
      </c>
      <c r="D5499" s="5" t="s">
        <v>464</v>
      </c>
      <c r="G5499" s="57" t="s">
        <v>465</v>
      </c>
      <c r="H5499" s="19" t="s">
        <v>465</v>
      </c>
      <c r="I5499" s="19">
        <v>97500</v>
      </c>
      <c r="J5499" s="1"/>
    </row>
    <row r="5500" spans="1:10" x14ac:dyDescent="0.2">
      <c r="A5500" s="1" t="s">
        <v>8</v>
      </c>
      <c r="B5500" s="2" t="s">
        <v>223</v>
      </c>
      <c r="D5500" s="5" t="s">
        <v>464</v>
      </c>
      <c r="G5500" s="57" t="s">
        <v>465</v>
      </c>
      <c r="H5500" s="19">
        <v>92500</v>
      </c>
      <c r="I5500" s="19" t="s">
        <v>465</v>
      </c>
    </row>
    <row r="5501" spans="1:10" x14ac:dyDescent="0.2">
      <c r="A5501" s="1" t="s">
        <v>8</v>
      </c>
      <c r="B5501" s="2" t="s">
        <v>223</v>
      </c>
      <c r="D5501" s="5" t="s">
        <v>464</v>
      </c>
      <c r="G5501" s="57" t="s">
        <v>465</v>
      </c>
      <c r="H5501" s="19">
        <v>92500</v>
      </c>
      <c r="I5501" s="19" t="s">
        <v>465</v>
      </c>
    </row>
    <row r="5502" spans="1:10" x14ac:dyDescent="0.2">
      <c r="A5502" s="1" t="s">
        <v>8</v>
      </c>
      <c r="B5502" s="2" t="s">
        <v>223</v>
      </c>
      <c r="D5502" s="5" t="s">
        <v>464</v>
      </c>
      <c r="G5502" s="57" t="s">
        <v>465</v>
      </c>
      <c r="H5502" s="19">
        <v>92500</v>
      </c>
      <c r="I5502" s="19" t="s">
        <v>465</v>
      </c>
    </row>
    <row r="5503" spans="1:10" x14ac:dyDescent="0.2">
      <c r="A5503" s="1" t="s">
        <v>8</v>
      </c>
      <c r="B5503" s="2" t="s">
        <v>223</v>
      </c>
      <c r="D5503" s="5" t="s">
        <v>464</v>
      </c>
      <c r="G5503" s="57" t="s">
        <v>465</v>
      </c>
      <c r="H5503" s="19">
        <v>92500</v>
      </c>
      <c r="I5503" s="19" t="s">
        <v>465</v>
      </c>
    </row>
    <row r="5504" spans="1:10" x14ac:dyDescent="0.2">
      <c r="A5504" s="1" t="s">
        <v>8</v>
      </c>
      <c r="B5504" s="2" t="s">
        <v>223</v>
      </c>
      <c r="D5504" s="5" t="s">
        <v>464</v>
      </c>
      <c r="G5504" s="57" t="s">
        <v>465</v>
      </c>
      <c r="H5504" s="19">
        <v>92500</v>
      </c>
      <c r="I5504" s="19" t="s">
        <v>465</v>
      </c>
    </row>
    <row r="5505" spans="1:10" x14ac:dyDescent="0.2">
      <c r="A5505" s="1" t="s">
        <v>8</v>
      </c>
      <c r="B5505" s="2" t="s">
        <v>223</v>
      </c>
      <c r="D5505" s="5" t="s">
        <v>464</v>
      </c>
      <c r="G5505" s="57" t="s">
        <v>465</v>
      </c>
      <c r="H5505" s="19" t="s">
        <v>465</v>
      </c>
      <c r="I5505" s="19">
        <v>92500</v>
      </c>
    </row>
    <row r="5506" spans="1:10" x14ac:dyDescent="0.2">
      <c r="A5506" s="1" t="s">
        <v>8</v>
      </c>
      <c r="B5506" s="2" t="s">
        <v>223</v>
      </c>
      <c r="D5506" s="5" t="s">
        <v>464</v>
      </c>
      <c r="G5506" s="57" t="s">
        <v>465</v>
      </c>
      <c r="H5506" s="19" t="s">
        <v>465</v>
      </c>
      <c r="I5506" s="19">
        <v>92500</v>
      </c>
    </row>
    <row r="5507" spans="1:10" x14ac:dyDescent="0.2">
      <c r="A5507" s="1" t="s">
        <v>8</v>
      </c>
      <c r="B5507" s="2" t="s">
        <v>223</v>
      </c>
      <c r="D5507" s="5" t="s">
        <v>464</v>
      </c>
      <c r="G5507" s="57" t="s">
        <v>465</v>
      </c>
      <c r="H5507" s="19" t="s">
        <v>465</v>
      </c>
      <c r="I5507" s="19">
        <v>92500</v>
      </c>
      <c r="J5507" s="1"/>
    </row>
    <row r="5508" spans="1:10" x14ac:dyDescent="0.2">
      <c r="A5508" s="1" t="s">
        <v>8</v>
      </c>
      <c r="B5508" s="2" t="s">
        <v>223</v>
      </c>
      <c r="D5508" s="5" t="s">
        <v>464</v>
      </c>
      <c r="G5508" s="57" t="s">
        <v>465</v>
      </c>
      <c r="H5508" s="19" t="s">
        <v>465</v>
      </c>
      <c r="I5508" s="19">
        <v>92500</v>
      </c>
      <c r="J5508" s="1"/>
    </row>
    <row r="5509" spans="1:10" x14ac:dyDescent="0.2">
      <c r="A5509" s="1" t="s">
        <v>8</v>
      </c>
      <c r="B5509" s="2" t="s">
        <v>223</v>
      </c>
      <c r="D5509" s="5" t="s">
        <v>464</v>
      </c>
      <c r="G5509" s="57" t="s">
        <v>465</v>
      </c>
      <c r="H5509" s="19" t="s">
        <v>465</v>
      </c>
      <c r="I5509" s="19">
        <v>92500</v>
      </c>
      <c r="J5509" s="1"/>
    </row>
    <row r="5510" spans="1:10" x14ac:dyDescent="0.2">
      <c r="A5510" s="1" t="s">
        <v>8</v>
      </c>
      <c r="B5510" s="2" t="s">
        <v>223</v>
      </c>
      <c r="D5510" s="5" t="s">
        <v>464</v>
      </c>
      <c r="G5510" s="57" t="s">
        <v>465</v>
      </c>
      <c r="H5510" s="19" t="s">
        <v>465</v>
      </c>
      <c r="I5510" s="19">
        <v>92500</v>
      </c>
      <c r="J5510" s="1"/>
    </row>
    <row r="5511" spans="1:10" x14ac:dyDescent="0.2">
      <c r="A5511" s="1" t="s">
        <v>8</v>
      </c>
      <c r="B5511" s="2" t="s">
        <v>223</v>
      </c>
      <c r="D5511" s="5" t="s">
        <v>464</v>
      </c>
      <c r="G5511" s="57" t="s">
        <v>465</v>
      </c>
      <c r="H5511" s="19">
        <v>97500</v>
      </c>
      <c r="I5511" s="19" t="s">
        <v>465</v>
      </c>
      <c r="J5511" s="1"/>
    </row>
    <row r="5512" spans="1:10" x14ac:dyDescent="0.2">
      <c r="A5512" s="1" t="s">
        <v>8</v>
      </c>
      <c r="B5512" s="2" t="s">
        <v>223</v>
      </c>
      <c r="D5512" s="5" t="s">
        <v>464</v>
      </c>
      <c r="G5512" s="57" t="s">
        <v>465</v>
      </c>
      <c r="H5512" s="19">
        <v>97500</v>
      </c>
      <c r="I5512" s="19" t="s">
        <v>465</v>
      </c>
      <c r="J5512" s="1"/>
    </row>
    <row r="5513" spans="1:10" x14ac:dyDescent="0.2">
      <c r="A5513" s="1" t="s">
        <v>8</v>
      </c>
      <c r="B5513" s="2" t="s">
        <v>223</v>
      </c>
      <c r="D5513" s="5" t="s">
        <v>464</v>
      </c>
      <c r="G5513" s="57" t="s">
        <v>465</v>
      </c>
      <c r="H5513" s="19">
        <v>97500</v>
      </c>
      <c r="I5513" s="19" t="s">
        <v>465</v>
      </c>
      <c r="J5513" s="1"/>
    </row>
    <row r="5514" spans="1:10" x14ac:dyDescent="0.2">
      <c r="A5514" s="1" t="s">
        <v>8</v>
      </c>
      <c r="B5514" s="2" t="s">
        <v>223</v>
      </c>
      <c r="D5514" s="5" t="s">
        <v>464</v>
      </c>
      <c r="G5514" s="57" t="s">
        <v>465</v>
      </c>
      <c r="H5514" s="19">
        <v>97500</v>
      </c>
      <c r="I5514" s="19" t="s">
        <v>465</v>
      </c>
      <c r="J5514" s="1"/>
    </row>
    <row r="5515" spans="1:10" x14ac:dyDescent="0.2">
      <c r="A5515" s="1" t="s">
        <v>8</v>
      </c>
      <c r="B5515" s="2" t="s">
        <v>223</v>
      </c>
      <c r="D5515" s="5" t="s">
        <v>464</v>
      </c>
      <c r="G5515" s="57" t="s">
        <v>465</v>
      </c>
      <c r="H5515" s="19" t="s">
        <v>465</v>
      </c>
      <c r="I5515" s="19">
        <v>97500</v>
      </c>
      <c r="J5515" s="1"/>
    </row>
    <row r="5516" spans="1:10" x14ac:dyDescent="0.2">
      <c r="A5516" s="1" t="s">
        <v>8</v>
      </c>
      <c r="B5516" s="2" t="s">
        <v>223</v>
      </c>
      <c r="D5516" s="5" t="s">
        <v>464</v>
      </c>
      <c r="G5516" s="57" t="s">
        <v>465</v>
      </c>
      <c r="H5516" s="19" t="s">
        <v>465</v>
      </c>
      <c r="I5516" s="19">
        <v>97500</v>
      </c>
      <c r="J5516" s="1"/>
    </row>
    <row r="5517" spans="1:10" x14ac:dyDescent="0.2">
      <c r="A5517" s="1" t="s">
        <v>8</v>
      </c>
      <c r="B5517" s="2" t="s">
        <v>223</v>
      </c>
      <c r="D5517" s="5" t="s">
        <v>464</v>
      </c>
      <c r="G5517" s="57" t="s">
        <v>465</v>
      </c>
      <c r="H5517" s="19" t="s">
        <v>465</v>
      </c>
      <c r="I5517" s="19">
        <v>97500</v>
      </c>
      <c r="J5517" s="1"/>
    </row>
    <row r="5518" spans="1:10" x14ac:dyDescent="0.2">
      <c r="A5518" s="1" t="s">
        <v>8</v>
      </c>
      <c r="B5518" s="2" t="s">
        <v>223</v>
      </c>
      <c r="D5518" s="5" t="s">
        <v>464</v>
      </c>
      <c r="G5518" s="57" t="s">
        <v>465</v>
      </c>
      <c r="H5518" s="19" t="s">
        <v>465</v>
      </c>
      <c r="I5518" s="19">
        <v>97500</v>
      </c>
      <c r="J5518" s="1"/>
    </row>
    <row r="5519" spans="1:10" x14ac:dyDescent="0.2">
      <c r="A5519" s="1" t="s">
        <v>25</v>
      </c>
      <c r="B5519" s="2" t="s">
        <v>225</v>
      </c>
      <c r="D5519" s="5" t="s">
        <v>464</v>
      </c>
      <c r="G5519" s="57" t="s">
        <v>465</v>
      </c>
      <c r="H5519" s="19" t="s">
        <v>465</v>
      </c>
      <c r="I5519" s="19">
        <v>92500</v>
      </c>
      <c r="J5519" s="5" t="s">
        <v>1241</v>
      </c>
    </row>
    <row r="5520" spans="1:10" x14ac:dyDescent="0.2">
      <c r="A5520" s="1" t="s">
        <v>25</v>
      </c>
      <c r="B5520" s="2" t="s">
        <v>225</v>
      </c>
      <c r="D5520" s="5" t="s">
        <v>464</v>
      </c>
      <c r="G5520" s="57" t="s">
        <v>465</v>
      </c>
      <c r="H5520" s="19" t="s">
        <v>465</v>
      </c>
      <c r="I5520" s="19">
        <v>92500</v>
      </c>
      <c r="J5520" s="5" t="s">
        <v>1241</v>
      </c>
    </row>
    <row r="5521" spans="1:10" x14ac:dyDescent="0.2">
      <c r="A5521" s="1" t="s">
        <v>25</v>
      </c>
      <c r="B5521" s="2" t="s">
        <v>225</v>
      </c>
      <c r="D5521" s="5" t="s">
        <v>464</v>
      </c>
      <c r="G5521" s="57" t="s">
        <v>465</v>
      </c>
      <c r="H5521" s="19" t="s">
        <v>465</v>
      </c>
      <c r="I5521" s="19">
        <v>92500</v>
      </c>
    </row>
    <row r="5522" spans="1:10" x14ac:dyDescent="0.2">
      <c r="A5522" s="1" t="s">
        <v>25</v>
      </c>
      <c r="B5522" s="2" t="s">
        <v>225</v>
      </c>
      <c r="D5522" s="5" t="s">
        <v>464</v>
      </c>
      <c r="G5522" s="57" t="s">
        <v>465</v>
      </c>
      <c r="H5522" s="19" t="s">
        <v>465</v>
      </c>
      <c r="I5522" s="19">
        <v>92500</v>
      </c>
    </row>
    <row r="5523" spans="1:10" x14ac:dyDescent="0.2">
      <c r="A5523" s="1" t="s">
        <v>25</v>
      </c>
      <c r="B5523" s="2" t="s">
        <v>225</v>
      </c>
      <c r="D5523" s="5" t="s">
        <v>464</v>
      </c>
      <c r="G5523" s="57" t="s">
        <v>465</v>
      </c>
      <c r="H5523" s="19" t="s">
        <v>465</v>
      </c>
      <c r="I5523" s="19">
        <v>92500</v>
      </c>
      <c r="J5523" s="1"/>
    </row>
    <row r="5524" spans="1:10" x14ac:dyDescent="0.2">
      <c r="A5524" s="1" t="s">
        <v>25</v>
      </c>
      <c r="B5524" s="2" t="s">
        <v>225</v>
      </c>
      <c r="D5524" s="5" t="s">
        <v>464</v>
      </c>
      <c r="G5524" s="57" t="s">
        <v>465</v>
      </c>
      <c r="H5524" s="19" t="s">
        <v>465</v>
      </c>
      <c r="I5524" s="19">
        <v>92500</v>
      </c>
      <c r="J5524" s="1"/>
    </row>
    <row r="5525" spans="1:10" x14ac:dyDescent="0.2">
      <c r="A5525" s="1" t="s">
        <v>25</v>
      </c>
      <c r="B5525" s="2" t="s">
        <v>225</v>
      </c>
      <c r="D5525" s="5" t="s">
        <v>464</v>
      </c>
      <c r="G5525" s="57" t="s">
        <v>465</v>
      </c>
      <c r="H5525" s="19" t="s">
        <v>465</v>
      </c>
      <c r="I5525" s="19">
        <v>92500</v>
      </c>
      <c r="J5525" s="1"/>
    </row>
    <row r="5526" spans="1:10" x14ac:dyDescent="0.2">
      <c r="A5526" s="1" t="s">
        <v>25</v>
      </c>
      <c r="B5526" s="2" t="s">
        <v>225</v>
      </c>
      <c r="D5526" s="5" t="s">
        <v>464</v>
      </c>
      <c r="G5526" s="57" t="s">
        <v>465</v>
      </c>
      <c r="H5526" s="19" t="s">
        <v>465</v>
      </c>
      <c r="I5526" s="19">
        <v>92500</v>
      </c>
      <c r="J5526" s="1"/>
    </row>
    <row r="5527" spans="1:10" x14ac:dyDescent="0.2">
      <c r="A5527" s="1" t="s">
        <v>25</v>
      </c>
      <c r="B5527" s="2" t="s">
        <v>225</v>
      </c>
      <c r="D5527" s="5" t="s">
        <v>464</v>
      </c>
      <c r="G5527" s="57" t="s">
        <v>465</v>
      </c>
      <c r="H5527" s="19">
        <v>92500</v>
      </c>
      <c r="I5527" s="19" t="s">
        <v>465</v>
      </c>
      <c r="J5527" s="1"/>
    </row>
    <row r="5528" spans="1:10" x14ac:dyDescent="0.2">
      <c r="A5528" s="1" t="s">
        <v>25</v>
      </c>
      <c r="B5528" s="2" t="s">
        <v>225</v>
      </c>
      <c r="D5528" s="5" t="s">
        <v>464</v>
      </c>
      <c r="G5528" s="57" t="s">
        <v>465</v>
      </c>
      <c r="H5528" s="19">
        <v>92500</v>
      </c>
      <c r="I5528" s="19" t="s">
        <v>465</v>
      </c>
      <c r="J5528" s="1"/>
    </row>
    <row r="5529" spans="1:10" x14ac:dyDescent="0.2">
      <c r="A5529" s="1" t="s">
        <v>25</v>
      </c>
      <c r="B5529" s="2" t="s">
        <v>225</v>
      </c>
      <c r="D5529" s="5" t="s">
        <v>464</v>
      </c>
      <c r="G5529" s="57" t="s">
        <v>465</v>
      </c>
      <c r="H5529" s="19">
        <v>92500</v>
      </c>
      <c r="I5529" s="19" t="s">
        <v>465</v>
      </c>
      <c r="J5529" s="1"/>
    </row>
    <row r="5530" spans="1:10" x14ac:dyDescent="0.2">
      <c r="A5530" s="1" t="s">
        <v>25</v>
      </c>
      <c r="B5530" s="2" t="s">
        <v>225</v>
      </c>
      <c r="D5530" s="5" t="s">
        <v>464</v>
      </c>
      <c r="G5530" s="57" t="s">
        <v>465</v>
      </c>
      <c r="H5530" s="19">
        <v>92500</v>
      </c>
      <c r="I5530" s="19" t="s">
        <v>465</v>
      </c>
      <c r="J5530" s="1"/>
    </row>
    <row r="5531" spans="1:10" x14ac:dyDescent="0.2">
      <c r="A5531" s="1" t="s">
        <v>25</v>
      </c>
      <c r="B5531" s="2" t="s">
        <v>225</v>
      </c>
      <c r="D5531" s="5" t="s">
        <v>464</v>
      </c>
      <c r="G5531" s="57" t="s">
        <v>465</v>
      </c>
      <c r="H5531" s="19">
        <v>92500</v>
      </c>
      <c r="I5531" s="19" t="s">
        <v>465</v>
      </c>
      <c r="J5531" s="1"/>
    </row>
    <row r="5532" spans="1:10" x14ac:dyDescent="0.2">
      <c r="A5532" s="1" t="s">
        <v>25</v>
      </c>
      <c r="B5532" s="2" t="s">
        <v>225</v>
      </c>
      <c r="D5532" s="5" t="s">
        <v>464</v>
      </c>
      <c r="G5532" s="57" t="s">
        <v>465</v>
      </c>
      <c r="H5532" s="19" t="s">
        <v>465</v>
      </c>
      <c r="I5532" s="19">
        <v>97500</v>
      </c>
      <c r="J5532" s="1"/>
    </row>
    <row r="5533" spans="1:10" x14ac:dyDescent="0.2">
      <c r="A5533" s="1" t="s">
        <v>25</v>
      </c>
      <c r="B5533" s="2" t="s">
        <v>225</v>
      </c>
      <c r="D5533" s="5" t="s">
        <v>464</v>
      </c>
      <c r="G5533" s="57" t="s">
        <v>465</v>
      </c>
      <c r="H5533" s="19" t="s">
        <v>465</v>
      </c>
      <c r="I5533" s="19">
        <v>97500</v>
      </c>
      <c r="J5533" s="1"/>
    </row>
    <row r="5534" spans="1:10" x14ac:dyDescent="0.2">
      <c r="A5534" s="1" t="s">
        <v>25</v>
      </c>
      <c r="B5534" s="2" t="s">
        <v>225</v>
      </c>
      <c r="D5534" s="5" t="s">
        <v>464</v>
      </c>
      <c r="G5534" s="57" t="s">
        <v>465</v>
      </c>
      <c r="H5534" s="19">
        <v>97500</v>
      </c>
      <c r="I5534" s="19" t="s">
        <v>465</v>
      </c>
      <c r="J5534" s="1"/>
    </row>
    <row r="5535" spans="1:10" x14ac:dyDescent="0.2">
      <c r="A5535" s="1" t="s">
        <v>25</v>
      </c>
      <c r="B5535" s="2" t="s">
        <v>225</v>
      </c>
      <c r="D5535" s="5" t="s">
        <v>464</v>
      </c>
      <c r="G5535" s="57" t="s">
        <v>465</v>
      </c>
      <c r="H5535" s="19">
        <v>97500</v>
      </c>
      <c r="I5535" s="19" t="s">
        <v>465</v>
      </c>
      <c r="J5535" s="1"/>
    </row>
    <row r="5536" spans="1:10" x14ac:dyDescent="0.2">
      <c r="A5536" s="1" t="s">
        <v>8</v>
      </c>
      <c r="B5536" s="2" t="s">
        <v>229</v>
      </c>
      <c r="D5536" s="5" t="s">
        <v>464</v>
      </c>
      <c r="G5536" s="57" t="s">
        <v>465</v>
      </c>
      <c r="H5536" s="19">
        <v>92500</v>
      </c>
      <c r="I5536" s="19" t="s">
        <v>465</v>
      </c>
    </row>
    <row r="5537" spans="1:10" x14ac:dyDescent="0.2">
      <c r="A5537" s="1" t="s">
        <v>8</v>
      </c>
      <c r="B5537" s="2" t="s">
        <v>229</v>
      </c>
      <c r="D5537" s="5" t="s">
        <v>464</v>
      </c>
      <c r="G5537" s="57" t="s">
        <v>465</v>
      </c>
      <c r="H5537" s="19" t="s">
        <v>465</v>
      </c>
      <c r="I5537" s="19">
        <v>92500</v>
      </c>
    </row>
    <row r="5538" spans="1:10" x14ac:dyDescent="0.2">
      <c r="A5538" s="1" t="s">
        <v>8</v>
      </c>
      <c r="B5538" s="2" t="s">
        <v>229</v>
      </c>
      <c r="D5538" s="5" t="s">
        <v>464</v>
      </c>
      <c r="G5538" s="57" t="s">
        <v>465</v>
      </c>
      <c r="H5538" s="19" t="s">
        <v>465</v>
      </c>
      <c r="I5538" s="19">
        <v>92500</v>
      </c>
      <c r="J5538" s="5" t="s">
        <v>539</v>
      </c>
    </row>
    <row r="5539" spans="1:10" x14ac:dyDescent="0.2">
      <c r="A5539" s="1" t="s">
        <v>8</v>
      </c>
      <c r="B5539" s="2" t="s">
        <v>229</v>
      </c>
      <c r="D5539" s="5" t="s">
        <v>464</v>
      </c>
      <c r="G5539" s="57" t="s">
        <v>465</v>
      </c>
      <c r="H5539" s="19" t="s">
        <v>465</v>
      </c>
      <c r="I5539" s="19">
        <v>97500</v>
      </c>
      <c r="J5539" s="5" t="s">
        <v>539</v>
      </c>
    </row>
    <row r="5540" spans="1:10" x14ac:dyDescent="0.2">
      <c r="A5540" s="1" t="s">
        <v>8</v>
      </c>
      <c r="B5540" s="2" t="s">
        <v>229</v>
      </c>
      <c r="D5540" s="5" t="s">
        <v>464</v>
      </c>
      <c r="G5540" s="57" t="s">
        <v>465</v>
      </c>
      <c r="H5540" s="19" t="s">
        <v>465</v>
      </c>
      <c r="I5540" s="19">
        <v>97500</v>
      </c>
      <c r="J5540" s="5" t="s">
        <v>539</v>
      </c>
    </row>
    <row r="5541" spans="1:10" x14ac:dyDescent="0.2">
      <c r="A5541" s="1" t="s">
        <v>6</v>
      </c>
      <c r="B5541" s="12" t="s">
        <v>231</v>
      </c>
      <c r="D5541" s="5" t="s">
        <v>464</v>
      </c>
      <c r="G5541" s="57" t="s">
        <v>465</v>
      </c>
      <c r="H5541" s="19">
        <v>92500</v>
      </c>
      <c r="I5541" s="19" t="s">
        <v>465</v>
      </c>
    </row>
    <row r="5542" spans="1:10" x14ac:dyDescent="0.2">
      <c r="A5542" s="1" t="s">
        <v>6</v>
      </c>
      <c r="B5542" s="12" t="s">
        <v>231</v>
      </c>
      <c r="D5542" s="5" t="s">
        <v>464</v>
      </c>
      <c r="G5542" s="57" t="s">
        <v>465</v>
      </c>
      <c r="H5542" s="19">
        <v>92500</v>
      </c>
      <c r="I5542" s="19" t="s">
        <v>465</v>
      </c>
    </row>
    <row r="5543" spans="1:10" x14ac:dyDescent="0.2">
      <c r="A5543" s="1" t="s">
        <v>6</v>
      </c>
      <c r="B5543" s="12" t="s">
        <v>231</v>
      </c>
      <c r="D5543" s="5" t="s">
        <v>464</v>
      </c>
      <c r="G5543" s="57" t="s">
        <v>465</v>
      </c>
      <c r="H5543" s="19">
        <v>92500</v>
      </c>
      <c r="I5543" s="19" t="s">
        <v>465</v>
      </c>
    </row>
    <row r="5544" spans="1:10" x14ac:dyDescent="0.2">
      <c r="A5544" s="1" t="s">
        <v>6</v>
      </c>
      <c r="B5544" s="12" t="s">
        <v>231</v>
      </c>
      <c r="D5544" s="5" t="s">
        <v>464</v>
      </c>
      <c r="G5544" s="57" t="s">
        <v>465</v>
      </c>
      <c r="H5544" s="19">
        <v>92500</v>
      </c>
      <c r="I5544" s="19" t="s">
        <v>465</v>
      </c>
    </row>
    <row r="5545" spans="1:10" x14ac:dyDescent="0.2">
      <c r="A5545" s="1" t="s">
        <v>6</v>
      </c>
      <c r="B5545" s="12" t="s">
        <v>231</v>
      </c>
      <c r="D5545" s="5" t="s">
        <v>464</v>
      </c>
      <c r="G5545" s="57" t="s">
        <v>465</v>
      </c>
      <c r="H5545" s="19">
        <v>92500</v>
      </c>
      <c r="I5545" s="19" t="s">
        <v>465</v>
      </c>
    </row>
    <row r="5546" spans="1:10" x14ac:dyDescent="0.2">
      <c r="A5546" s="1" t="s">
        <v>6</v>
      </c>
      <c r="B5546" s="12" t="s">
        <v>231</v>
      </c>
      <c r="D5546" s="5" t="s">
        <v>464</v>
      </c>
      <c r="G5546" s="57" t="s">
        <v>465</v>
      </c>
      <c r="H5546" s="19">
        <v>92500</v>
      </c>
      <c r="I5546" s="19" t="s">
        <v>465</v>
      </c>
    </row>
    <row r="5547" spans="1:10" x14ac:dyDescent="0.2">
      <c r="A5547" s="1" t="s">
        <v>6</v>
      </c>
      <c r="B5547" s="12" t="s">
        <v>231</v>
      </c>
      <c r="D5547" s="5" t="s">
        <v>464</v>
      </c>
      <c r="G5547" s="57" t="s">
        <v>465</v>
      </c>
      <c r="H5547" s="19" t="s">
        <v>465</v>
      </c>
      <c r="I5547" s="19">
        <v>92500</v>
      </c>
    </row>
    <row r="5548" spans="1:10" x14ac:dyDescent="0.2">
      <c r="A5548" s="1" t="s">
        <v>6</v>
      </c>
      <c r="B5548" s="12" t="s">
        <v>231</v>
      </c>
      <c r="D5548" s="5" t="s">
        <v>464</v>
      </c>
      <c r="G5548" s="57" t="s">
        <v>465</v>
      </c>
      <c r="H5548" s="19" t="s">
        <v>465</v>
      </c>
      <c r="I5548" s="19">
        <v>92500</v>
      </c>
      <c r="J5548" s="1"/>
    </row>
    <row r="5549" spans="1:10" x14ac:dyDescent="0.2">
      <c r="A5549" s="1" t="s">
        <v>6</v>
      </c>
      <c r="B5549" s="12" t="s">
        <v>231</v>
      </c>
      <c r="D5549" s="5" t="s">
        <v>464</v>
      </c>
      <c r="G5549" s="57" t="s">
        <v>465</v>
      </c>
      <c r="H5549" s="19" t="s">
        <v>465</v>
      </c>
      <c r="I5549" s="19">
        <v>92500</v>
      </c>
      <c r="J5549" s="1"/>
    </row>
    <row r="5550" spans="1:10" x14ac:dyDescent="0.2">
      <c r="A5550" s="1" t="s">
        <v>6</v>
      </c>
      <c r="B5550" s="12" t="s">
        <v>231</v>
      </c>
      <c r="D5550" s="5" t="s">
        <v>464</v>
      </c>
      <c r="G5550" s="57" t="s">
        <v>465</v>
      </c>
      <c r="H5550" s="19" t="s">
        <v>465</v>
      </c>
      <c r="I5550" s="19">
        <v>92500</v>
      </c>
      <c r="J5550" s="1"/>
    </row>
    <row r="5551" spans="1:10" x14ac:dyDescent="0.2">
      <c r="A5551" s="1" t="s">
        <v>6</v>
      </c>
      <c r="B5551" s="12" t="s">
        <v>231</v>
      </c>
      <c r="D5551" s="5" t="s">
        <v>464</v>
      </c>
      <c r="G5551" s="57" t="s">
        <v>465</v>
      </c>
      <c r="H5551" s="19" t="s">
        <v>465</v>
      </c>
      <c r="I5551" s="19">
        <v>92500</v>
      </c>
      <c r="J5551" s="1"/>
    </row>
    <row r="5552" spans="1:10" x14ac:dyDescent="0.2">
      <c r="A5552" s="1" t="s">
        <v>6</v>
      </c>
      <c r="B5552" s="12" t="s">
        <v>231</v>
      </c>
      <c r="D5552" s="5" t="s">
        <v>464</v>
      </c>
      <c r="G5552" s="57" t="s">
        <v>465</v>
      </c>
      <c r="H5552" s="19" t="s">
        <v>465</v>
      </c>
      <c r="I5552" s="19">
        <v>92500</v>
      </c>
      <c r="J5552" s="1"/>
    </row>
    <row r="5553" spans="1:12" x14ac:dyDescent="0.2">
      <c r="A5553" s="1" t="s">
        <v>6</v>
      </c>
      <c r="B5553" s="12" t="s">
        <v>231</v>
      </c>
      <c r="D5553" s="5" t="s">
        <v>464</v>
      </c>
      <c r="G5553" s="57" t="s">
        <v>465</v>
      </c>
      <c r="H5553" s="19" t="s">
        <v>465</v>
      </c>
      <c r="I5553" s="19">
        <v>92500</v>
      </c>
      <c r="J5553" s="1"/>
    </row>
    <row r="5554" spans="1:12" x14ac:dyDescent="0.2">
      <c r="A5554" s="1" t="s">
        <v>6</v>
      </c>
      <c r="B5554" s="12" t="s">
        <v>231</v>
      </c>
      <c r="D5554" s="5" t="s">
        <v>464</v>
      </c>
      <c r="G5554" s="57" t="s">
        <v>465</v>
      </c>
      <c r="H5554" s="19" t="s">
        <v>465</v>
      </c>
      <c r="I5554" s="19">
        <v>92500</v>
      </c>
      <c r="J5554" s="1"/>
    </row>
    <row r="5555" spans="1:12" x14ac:dyDescent="0.2">
      <c r="A5555" s="1" t="s">
        <v>6</v>
      </c>
      <c r="B5555" s="12" t="s">
        <v>231</v>
      </c>
      <c r="D5555" s="5" t="s">
        <v>464</v>
      </c>
      <c r="G5555" s="57" t="s">
        <v>465</v>
      </c>
      <c r="H5555" s="19" t="s">
        <v>465</v>
      </c>
      <c r="I5555" s="19">
        <v>92500</v>
      </c>
      <c r="J5555" s="1"/>
    </row>
    <row r="5556" spans="1:12" x14ac:dyDescent="0.2">
      <c r="A5556" s="1" t="s">
        <v>6</v>
      </c>
      <c r="B5556" s="12" t="s">
        <v>231</v>
      </c>
      <c r="D5556" s="5" t="s">
        <v>464</v>
      </c>
      <c r="G5556" s="57" t="s">
        <v>465</v>
      </c>
      <c r="H5556" s="19">
        <v>97500</v>
      </c>
      <c r="I5556" s="19" t="s">
        <v>465</v>
      </c>
      <c r="J5556" s="1"/>
    </row>
    <row r="5557" spans="1:12" x14ac:dyDescent="0.2">
      <c r="A5557" s="1" t="s">
        <v>6</v>
      </c>
      <c r="B5557" s="12" t="s">
        <v>231</v>
      </c>
      <c r="D5557" s="5" t="s">
        <v>464</v>
      </c>
      <c r="G5557" s="57" t="s">
        <v>465</v>
      </c>
      <c r="H5557" s="19" t="s">
        <v>465</v>
      </c>
      <c r="I5557" s="19">
        <v>97500</v>
      </c>
      <c r="J5557" s="1"/>
    </row>
    <row r="5558" spans="1:12" x14ac:dyDescent="0.2">
      <c r="A5558" s="1" t="s">
        <v>6</v>
      </c>
      <c r="B5558" s="12" t="s">
        <v>231</v>
      </c>
      <c r="D5558" s="5" t="s">
        <v>464</v>
      </c>
      <c r="G5558" s="57" t="s">
        <v>465</v>
      </c>
      <c r="H5558" s="19" t="s">
        <v>465</v>
      </c>
      <c r="I5558" s="19">
        <v>97500</v>
      </c>
      <c r="J5558" s="1"/>
    </row>
    <row r="5559" spans="1:12" x14ac:dyDescent="0.2">
      <c r="A5559" s="1" t="s">
        <v>6</v>
      </c>
      <c r="B5559" s="12" t="s">
        <v>231</v>
      </c>
      <c r="D5559" s="5" t="s">
        <v>464</v>
      </c>
      <c r="G5559" s="57" t="s">
        <v>465</v>
      </c>
      <c r="H5559" s="19" t="s">
        <v>465</v>
      </c>
      <c r="I5559" s="19">
        <v>97500</v>
      </c>
      <c r="J5559" s="1"/>
    </row>
    <row r="5560" spans="1:12" x14ac:dyDescent="0.2">
      <c r="A5560" s="1" t="s">
        <v>6</v>
      </c>
      <c r="B5560" s="12" t="s">
        <v>231</v>
      </c>
      <c r="D5560" s="5" t="s">
        <v>464</v>
      </c>
      <c r="G5560" s="57" t="s">
        <v>465</v>
      </c>
      <c r="H5560" s="19" t="s">
        <v>465</v>
      </c>
      <c r="I5560" s="19">
        <v>97500</v>
      </c>
      <c r="J5560" s="1"/>
    </row>
    <row r="5561" spans="1:12" x14ac:dyDescent="0.2">
      <c r="A5561" s="1" t="s">
        <v>6</v>
      </c>
      <c r="B5561" s="12" t="s">
        <v>231</v>
      </c>
      <c r="D5561" s="5" t="s">
        <v>464</v>
      </c>
      <c r="G5561" s="57" t="s">
        <v>465</v>
      </c>
      <c r="H5561" s="19" t="s">
        <v>465</v>
      </c>
      <c r="I5561" s="19">
        <v>97500</v>
      </c>
      <c r="J5561" s="1"/>
    </row>
    <row r="5562" spans="1:12" x14ac:dyDescent="0.2">
      <c r="A5562" s="1" t="s">
        <v>20</v>
      </c>
      <c r="B5562" s="12" t="s">
        <v>232</v>
      </c>
      <c r="C5562" s="7"/>
      <c r="D5562" s="7" t="s">
        <v>464</v>
      </c>
      <c r="E5562" s="6"/>
      <c r="F5562" s="6"/>
      <c r="G5562" s="57" t="s">
        <v>465</v>
      </c>
      <c r="H5562" s="21">
        <v>97500</v>
      </c>
      <c r="I5562" s="21" t="s">
        <v>465</v>
      </c>
      <c r="J5562" s="7"/>
      <c r="K5562" s="13"/>
      <c r="L5562" s="13"/>
    </row>
    <row r="5563" spans="1:12" x14ac:dyDescent="0.2">
      <c r="A5563" s="1" t="s">
        <v>20</v>
      </c>
      <c r="B5563" s="12" t="s">
        <v>232</v>
      </c>
      <c r="C5563" s="7"/>
      <c r="D5563" s="7" t="s">
        <v>464</v>
      </c>
      <c r="E5563" s="6"/>
      <c r="F5563" s="6"/>
      <c r="G5563" s="57" t="s">
        <v>465</v>
      </c>
      <c r="H5563" s="21">
        <v>97500</v>
      </c>
      <c r="I5563" s="21" t="s">
        <v>465</v>
      </c>
      <c r="J5563" s="7"/>
      <c r="K5563" s="13"/>
      <c r="L5563" s="13"/>
    </row>
    <row r="5564" spans="1:12" x14ac:dyDescent="0.2">
      <c r="A5564" s="1" t="s">
        <v>20</v>
      </c>
      <c r="B5564" s="12" t="s">
        <v>232</v>
      </c>
      <c r="C5564" s="7"/>
      <c r="D5564" s="7" t="s">
        <v>464</v>
      </c>
      <c r="E5564" s="21">
        <v>102500</v>
      </c>
      <c r="F5564" s="6"/>
      <c r="G5564" s="57" t="s">
        <v>465</v>
      </c>
      <c r="H5564" s="8"/>
      <c r="I5564" s="21"/>
      <c r="J5564" s="7"/>
      <c r="K5564" s="13"/>
      <c r="L5564" s="13"/>
    </row>
    <row r="5565" spans="1:12" ht="25.5" x14ac:dyDescent="0.2">
      <c r="A5565" s="1" t="s">
        <v>11</v>
      </c>
      <c r="B5565" s="2" t="s">
        <v>233</v>
      </c>
      <c r="C5565" s="29" t="s">
        <v>2697</v>
      </c>
      <c r="G5565" s="57" t="s">
        <v>465</v>
      </c>
    </row>
    <row r="5566" spans="1:12" x14ac:dyDescent="0.2">
      <c r="A5566" s="1" t="s">
        <v>4</v>
      </c>
      <c r="B5566" s="2" t="s">
        <v>234</v>
      </c>
      <c r="D5566" s="5" t="s">
        <v>464</v>
      </c>
      <c r="G5566" s="57" t="s">
        <v>465</v>
      </c>
      <c r="H5566" s="19">
        <v>92500</v>
      </c>
      <c r="I5566" s="19" t="s">
        <v>465</v>
      </c>
    </row>
    <row r="5567" spans="1:12" x14ac:dyDescent="0.2">
      <c r="A5567" s="1" t="s">
        <v>6</v>
      </c>
      <c r="B5567" s="2" t="s">
        <v>237</v>
      </c>
      <c r="D5567" s="7" t="s">
        <v>464</v>
      </c>
      <c r="E5567" s="6"/>
      <c r="F5567" s="6"/>
      <c r="G5567" s="57" t="s">
        <v>465</v>
      </c>
      <c r="H5567" s="21">
        <v>92500</v>
      </c>
      <c r="I5567" s="21" t="s">
        <v>465</v>
      </c>
      <c r="J5567" s="7"/>
    </row>
    <row r="5568" spans="1:12" x14ac:dyDescent="0.2">
      <c r="A5568" s="1" t="s">
        <v>6</v>
      </c>
      <c r="B5568" s="2" t="s">
        <v>237</v>
      </c>
      <c r="D5568" s="7" t="s">
        <v>464</v>
      </c>
      <c r="E5568" s="6"/>
      <c r="F5568" s="6"/>
      <c r="G5568" s="57" t="s">
        <v>465</v>
      </c>
      <c r="H5568" s="21">
        <v>97500</v>
      </c>
      <c r="I5568" s="21" t="s">
        <v>465</v>
      </c>
      <c r="J5568" s="7"/>
    </row>
    <row r="5569" spans="1:10" x14ac:dyDescent="0.2">
      <c r="A5569" s="1" t="s">
        <v>6</v>
      </c>
      <c r="B5569" s="2" t="s">
        <v>237</v>
      </c>
      <c r="D5569" s="7" t="s">
        <v>464</v>
      </c>
      <c r="E5569" s="6"/>
      <c r="F5569" s="6"/>
      <c r="G5569" s="57" t="s">
        <v>465</v>
      </c>
      <c r="H5569" s="21" t="s">
        <v>465</v>
      </c>
      <c r="I5569" s="21">
        <v>92500</v>
      </c>
      <c r="J5569" s="7"/>
    </row>
    <row r="5570" spans="1:10" x14ac:dyDescent="0.2">
      <c r="A5570" s="1" t="s">
        <v>6</v>
      </c>
      <c r="B5570" s="2" t="s">
        <v>237</v>
      </c>
      <c r="D5570" s="7" t="s">
        <v>464</v>
      </c>
      <c r="E5570" s="6"/>
      <c r="F5570" s="6"/>
      <c r="G5570" s="57" t="s">
        <v>465</v>
      </c>
      <c r="H5570" s="21" t="s">
        <v>465</v>
      </c>
      <c r="I5570" s="21">
        <v>92500</v>
      </c>
      <c r="J5570" s="7"/>
    </row>
    <row r="5571" spans="1:10" x14ac:dyDescent="0.2">
      <c r="A5571" s="1" t="s">
        <v>6</v>
      </c>
      <c r="B5571" s="2" t="s">
        <v>237</v>
      </c>
      <c r="D5571" s="7" t="s">
        <v>464</v>
      </c>
      <c r="E5571" s="6"/>
      <c r="F5571" s="6"/>
      <c r="G5571" s="57" t="s">
        <v>465</v>
      </c>
      <c r="H5571" s="21" t="s">
        <v>465</v>
      </c>
      <c r="I5571" s="21">
        <v>92500</v>
      </c>
      <c r="J5571" s="7"/>
    </row>
    <row r="5572" spans="1:10" x14ac:dyDescent="0.2">
      <c r="A5572" s="1" t="s">
        <v>6</v>
      </c>
      <c r="B5572" s="2" t="s">
        <v>237</v>
      </c>
      <c r="D5572" s="7" t="s">
        <v>464</v>
      </c>
      <c r="E5572" s="6"/>
      <c r="F5572" s="6"/>
      <c r="G5572" s="57" t="s">
        <v>465</v>
      </c>
      <c r="H5572" s="21" t="s">
        <v>465</v>
      </c>
      <c r="I5572" s="21">
        <v>92500</v>
      </c>
      <c r="J5572" s="7"/>
    </row>
    <row r="5573" spans="1:10" x14ac:dyDescent="0.2">
      <c r="A5573" s="1" t="s">
        <v>6</v>
      </c>
      <c r="B5573" s="2" t="s">
        <v>237</v>
      </c>
      <c r="D5573" s="7" t="s">
        <v>464</v>
      </c>
      <c r="E5573" s="6"/>
      <c r="F5573" s="6"/>
      <c r="G5573" s="57" t="s">
        <v>465</v>
      </c>
      <c r="H5573" s="21" t="s">
        <v>465</v>
      </c>
      <c r="I5573" s="21">
        <v>92500</v>
      </c>
      <c r="J5573" s="7"/>
    </row>
    <row r="5574" spans="1:10" x14ac:dyDescent="0.2">
      <c r="A5574" s="1" t="s">
        <v>6</v>
      </c>
      <c r="B5574" s="2" t="s">
        <v>237</v>
      </c>
      <c r="D5574" s="7" t="s">
        <v>464</v>
      </c>
      <c r="E5574" s="6"/>
      <c r="F5574" s="6"/>
      <c r="G5574" s="57" t="s">
        <v>465</v>
      </c>
      <c r="H5574" s="21" t="s">
        <v>465</v>
      </c>
      <c r="I5574" s="21">
        <v>97500</v>
      </c>
      <c r="J5574" s="7"/>
    </row>
    <row r="5575" spans="1:10" x14ac:dyDescent="0.2">
      <c r="A5575" s="1" t="s">
        <v>6</v>
      </c>
      <c r="B5575" s="2" t="s">
        <v>237</v>
      </c>
      <c r="D5575" s="7" t="s">
        <v>464</v>
      </c>
      <c r="E5575" s="6"/>
      <c r="F5575" s="6"/>
      <c r="G5575" s="57" t="s">
        <v>465</v>
      </c>
      <c r="H5575" s="21" t="s">
        <v>465</v>
      </c>
      <c r="I5575" s="21">
        <v>97500</v>
      </c>
      <c r="J5575" s="7"/>
    </row>
    <row r="5576" spans="1:10" x14ac:dyDescent="0.2">
      <c r="A5576" s="1" t="s">
        <v>6</v>
      </c>
      <c r="B5576" s="2" t="s">
        <v>237</v>
      </c>
      <c r="D5576" s="7" t="s">
        <v>464</v>
      </c>
      <c r="E5576" s="6"/>
      <c r="F5576" s="6"/>
      <c r="G5576" s="57" t="s">
        <v>465</v>
      </c>
      <c r="H5576" s="21" t="s">
        <v>465</v>
      </c>
      <c r="I5576" s="21">
        <v>97500</v>
      </c>
      <c r="J5576" s="7"/>
    </row>
    <row r="5577" spans="1:10" x14ac:dyDescent="0.2">
      <c r="A5577" s="1" t="s">
        <v>6</v>
      </c>
      <c r="B5577" s="2" t="s">
        <v>237</v>
      </c>
      <c r="D5577" s="7" t="s">
        <v>464</v>
      </c>
      <c r="E5577" s="6"/>
      <c r="F5577" s="6"/>
      <c r="G5577" s="57" t="s">
        <v>465</v>
      </c>
      <c r="H5577" s="21" t="s">
        <v>465</v>
      </c>
      <c r="I5577" s="21">
        <v>97500</v>
      </c>
      <c r="J5577" s="7"/>
    </row>
    <row r="5578" spans="1:10" x14ac:dyDescent="0.2">
      <c r="A5578" s="1" t="s">
        <v>6</v>
      </c>
      <c r="B5578" s="2" t="s">
        <v>237</v>
      </c>
      <c r="D5578" s="7" t="s">
        <v>464</v>
      </c>
      <c r="E5578" s="6"/>
      <c r="F5578" s="6"/>
      <c r="G5578" s="57" t="s">
        <v>465</v>
      </c>
      <c r="H5578" s="21" t="s">
        <v>465</v>
      </c>
      <c r="I5578" s="21">
        <v>92500</v>
      </c>
      <c r="J5578" s="7" t="s">
        <v>539</v>
      </c>
    </row>
    <row r="5579" spans="1:10" x14ac:dyDescent="0.2">
      <c r="A5579" s="1" t="s">
        <v>6</v>
      </c>
      <c r="B5579" s="2" t="s">
        <v>237</v>
      </c>
      <c r="D5579" s="7" t="s">
        <v>464</v>
      </c>
      <c r="E5579" s="6"/>
      <c r="F5579" s="6"/>
      <c r="G5579" s="57" t="s">
        <v>465</v>
      </c>
      <c r="H5579" s="21" t="s">
        <v>465</v>
      </c>
      <c r="I5579" s="21">
        <v>92500</v>
      </c>
      <c r="J5579" s="7" t="s">
        <v>539</v>
      </c>
    </row>
    <row r="5580" spans="1:10" x14ac:dyDescent="0.2">
      <c r="A5580" s="1" t="s">
        <v>6</v>
      </c>
      <c r="B5580" s="2" t="s">
        <v>237</v>
      </c>
      <c r="D5580" s="7" t="s">
        <v>464</v>
      </c>
      <c r="E5580" s="6"/>
      <c r="F5580" s="6"/>
      <c r="G5580" s="57" t="s">
        <v>465</v>
      </c>
      <c r="H5580" s="21" t="s">
        <v>465</v>
      </c>
      <c r="I5580" s="21">
        <v>92500</v>
      </c>
      <c r="J5580" s="7" t="s">
        <v>539</v>
      </c>
    </row>
    <row r="5581" spans="1:10" x14ac:dyDescent="0.2">
      <c r="A5581" s="1" t="s">
        <v>6</v>
      </c>
      <c r="B5581" s="2" t="s">
        <v>237</v>
      </c>
      <c r="D5581" s="7" t="s">
        <v>464</v>
      </c>
      <c r="E5581" s="6"/>
      <c r="F5581" s="6"/>
      <c r="G5581" s="57" t="s">
        <v>465</v>
      </c>
      <c r="H5581" s="21" t="s">
        <v>465</v>
      </c>
      <c r="I5581" s="21">
        <v>92500</v>
      </c>
      <c r="J5581" s="7" t="s">
        <v>539</v>
      </c>
    </row>
    <row r="5582" spans="1:10" x14ac:dyDescent="0.2">
      <c r="A5582" s="1" t="s">
        <v>6</v>
      </c>
      <c r="B5582" s="2" t="s">
        <v>237</v>
      </c>
      <c r="D5582" s="7" t="s">
        <v>464</v>
      </c>
      <c r="E5582" s="6"/>
      <c r="F5582" s="6"/>
      <c r="G5582" s="57" t="s">
        <v>465</v>
      </c>
      <c r="H5582" s="21" t="s">
        <v>465</v>
      </c>
      <c r="I5582" s="21">
        <v>92500</v>
      </c>
      <c r="J5582" s="7" t="s">
        <v>539</v>
      </c>
    </row>
    <row r="5583" spans="1:10" x14ac:dyDescent="0.2">
      <c r="A5583" s="1" t="s">
        <v>6</v>
      </c>
      <c r="B5583" s="2" t="s">
        <v>237</v>
      </c>
      <c r="D5583" s="7" t="s">
        <v>464</v>
      </c>
      <c r="E5583" s="6"/>
      <c r="F5583" s="6"/>
      <c r="G5583" s="57" t="s">
        <v>465</v>
      </c>
      <c r="H5583" s="21" t="s">
        <v>465</v>
      </c>
      <c r="I5583" s="21">
        <v>92500</v>
      </c>
      <c r="J5583" s="7" t="s">
        <v>539</v>
      </c>
    </row>
    <row r="5584" spans="1:10" x14ac:dyDescent="0.2">
      <c r="A5584" s="1" t="s">
        <v>6</v>
      </c>
      <c r="B5584" s="2" t="s">
        <v>237</v>
      </c>
      <c r="D5584" s="7" t="s">
        <v>464</v>
      </c>
      <c r="E5584" s="6"/>
      <c r="F5584" s="6"/>
      <c r="G5584" s="57" t="s">
        <v>465</v>
      </c>
      <c r="H5584" s="21" t="s">
        <v>465</v>
      </c>
      <c r="I5584" s="21">
        <v>97500</v>
      </c>
      <c r="J5584" s="7" t="s">
        <v>539</v>
      </c>
    </row>
    <row r="5585" spans="1:12" x14ac:dyDescent="0.2">
      <c r="A5585" s="1" t="s">
        <v>6</v>
      </c>
      <c r="B5585" s="2" t="s">
        <v>237</v>
      </c>
      <c r="D5585" s="7" t="s">
        <v>464</v>
      </c>
      <c r="E5585" s="6"/>
      <c r="F5585" s="6"/>
      <c r="G5585" s="57" t="s">
        <v>465</v>
      </c>
      <c r="H5585" s="21" t="s">
        <v>465</v>
      </c>
      <c r="I5585" s="21">
        <v>97500</v>
      </c>
      <c r="J5585" s="7" t="s">
        <v>539</v>
      </c>
    </row>
    <row r="5586" spans="1:12" x14ac:dyDescent="0.2">
      <c r="A5586" s="1" t="s">
        <v>6</v>
      </c>
      <c r="B5586" s="2" t="s">
        <v>237</v>
      </c>
      <c r="D5586" s="7" t="s">
        <v>464</v>
      </c>
      <c r="E5586" s="6"/>
      <c r="F5586" s="6"/>
      <c r="G5586" s="57" t="s">
        <v>465</v>
      </c>
      <c r="H5586" s="21" t="s">
        <v>465</v>
      </c>
      <c r="I5586" s="21">
        <v>97500</v>
      </c>
      <c r="J5586" s="7" t="s">
        <v>539</v>
      </c>
    </row>
    <row r="5587" spans="1:12" x14ac:dyDescent="0.2">
      <c r="A5587" s="1" t="s">
        <v>6</v>
      </c>
      <c r="B5587" s="2" t="s">
        <v>237</v>
      </c>
      <c r="D5587" s="7" t="s">
        <v>464</v>
      </c>
      <c r="E5587" s="6"/>
      <c r="F5587" s="6"/>
      <c r="G5587" s="57" t="s">
        <v>465</v>
      </c>
      <c r="H5587" s="21" t="s">
        <v>465</v>
      </c>
      <c r="I5587" s="21">
        <v>97500</v>
      </c>
      <c r="J5587" s="7" t="s">
        <v>539</v>
      </c>
    </row>
    <row r="5588" spans="1:12" x14ac:dyDescent="0.2">
      <c r="A5588" s="1" t="s">
        <v>6</v>
      </c>
      <c r="B5588" s="2" t="s">
        <v>237</v>
      </c>
      <c r="D5588" s="7" t="s">
        <v>464</v>
      </c>
      <c r="E5588" s="6"/>
      <c r="F5588" s="6"/>
      <c r="G5588" s="57" t="s">
        <v>465</v>
      </c>
      <c r="H5588" s="21" t="s">
        <v>465</v>
      </c>
      <c r="I5588" s="21">
        <v>97500</v>
      </c>
      <c r="J5588" s="7" t="s">
        <v>539</v>
      </c>
    </row>
    <row r="5589" spans="1:12" x14ac:dyDescent="0.2">
      <c r="A5589" s="1" t="s">
        <v>6</v>
      </c>
      <c r="B5589" s="2" t="s">
        <v>237</v>
      </c>
      <c r="D5589" s="7" t="s">
        <v>464</v>
      </c>
      <c r="E5589" s="6"/>
      <c r="F5589" s="6"/>
      <c r="G5589" s="57" t="s">
        <v>465</v>
      </c>
      <c r="H5589" s="21" t="s">
        <v>465</v>
      </c>
      <c r="I5589" s="21">
        <v>97500</v>
      </c>
      <c r="J5589" s="7" t="s">
        <v>539</v>
      </c>
    </row>
    <row r="5590" spans="1:12" x14ac:dyDescent="0.2">
      <c r="A5590" s="1" t="s">
        <v>25</v>
      </c>
      <c r="B5590" s="2" t="s">
        <v>243</v>
      </c>
      <c r="D5590" s="7" t="s">
        <v>464</v>
      </c>
      <c r="E5590" s="6"/>
      <c r="F5590" s="6"/>
      <c r="G5590" s="57" t="s">
        <v>465</v>
      </c>
      <c r="H5590" s="21">
        <v>92500</v>
      </c>
      <c r="I5590" s="21" t="s">
        <v>465</v>
      </c>
      <c r="J5590" s="7"/>
    </row>
    <row r="5591" spans="1:12" x14ac:dyDescent="0.2">
      <c r="A5591" s="1" t="s">
        <v>25</v>
      </c>
      <c r="B5591" s="2" t="s">
        <v>243</v>
      </c>
      <c r="D5591" s="7" t="s">
        <v>464</v>
      </c>
      <c r="E5591" s="6"/>
      <c r="F5591" s="6"/>
      <c r="G5591" s="57" t="s">
        <v>465</v>
      </c>
      <c r="H5591" s="21">
        <v>92500</v>
      </c>
      <c r="I5591" s="21" t="s">
        <v>465</v>
      </c>
      <c r="J5591" s="7"/>
    </row>
    <row r="5592" spans="1:12" x14ac:dyDescent="0.2">
      <c r="A5592" s="1" t="s">
        <v>25</v>
      </c>
      <c r="B5592" s="2" t="s">
        <v>243</v>
      </c>
      <c r="D5592" s="7" t="s">
        <v>464</v>
      </c>
      <c r="E5592" s="6"/>
      <c r="F5592" s="6"/>
      <c r="G5592" s="57" t="s">
        <v>465</v>
      </c>
      <c r="H5592" s="21">
        <v>92500</v>
      </c>
      <c r="I5592" s="21" t="s">
        <v>465</v>
      </c>
      <c r="J5592" s="7" t="s">
        <v>539</v>
      </c>
    </row>
    <row r="5593" spans="1:12" x14ac:dyDescent="0.2">
      <c r="A5593" s="1" t="s">
        <v>25</v>
      </c>
      <c r="B5593" s="2" t="s">
        <v>243</v>
      </c>
      <c r="D5593" s="7" t="s">
        <v>464</v>
      </c>
      <c r="E5593" s="6"/>
      <c r="F5593" s="6"/>
      <c r="G5593" s="57" t="s">
        <v>465</v>
      </c>
      <c r="H5593" s="21">
        <v>92500</v>
      </c>
      <c r="I5593" s="21" t="s">
        <v>465</v>
      </c>
      <c r="J5593" s="7" t="s">
        <v>539</v>
      </c>
    </row>
    <row r="5594" spans="1:12" x14ac:dyDescent="0.2">
      <c r="A5594" s="1" t="s">
        <v>25</v>
      </c>
      <c r="B5594" s="2" t="s">
        <v>243</v>
      </c>
      <c r="D5594" s="7" t="s">
        <v>464</v>
      </c>
      <c r="E5594" s="6"/>
      <c r="F5594" s="6"/>
      <c r="G5594" s="57" t="s">
        <v>465</v>
      </c>
      <c r="H5594" s="21">
        <v>92500</v>
      </c>
      <c r="I5594" s="21" t="s">
        <v>465</v>
      </c>
      <c r="J5594" s="7" t="s">
        <v>539</v>
      </c>
    </row>
    <row r="5595" spans="1:12" x14ac:dyDescent="0.2">
      <c r="A5595" s="1" t="s">
        <v>25</v>
      </c>
      <c r="B5595" s="2" t="s">
        <v>243</v>
      </c>
      <c r="D5595" s="7" t="s">
        <v>464</v>
      </c>
      <c r="E5595" s="6"/>
      <c r="F5595" s="6"/>
      <c r="G5595" s="57" t="s">
        <v>465</v>
      </c>
      <c r="H5595" s="21" t="s">
        <v>465</v>
      </c>
      <c r="I5595" s="21">
        <v>92500</v>
      </c>
      <c r="J5595" s="7" t="s">
        <v>539</v>
      </c>
    </row>
    <row r="5596" spans="1:12" x14ac:dyDescent="0.2">
      <c r="A5596" s="1" t="s">
        <v>25</v>
      </c>
      <c r="B5596" s="2" t="s">
        <v>243</v>
      </c>
      <c r="D5596" s="7" t="s">
        <v>464</v>
      </c>
      <c r="E5596" s="6"/>
      <c r="F5596" s="6"/>
      <c r="G5596" s="57" t="s">
        <v>465</v>
      </c>
      <c r="H5596" s="21">
        <v>97500</v>
      </c>
      <c r="I5596" s="21" t="s">
        <v>465</v>
      </c>
      <c r="J5596" s="7" t="s">
        <v>539</v>
      </c>
    </row>
    <row r="5597" spans="1:12" x14ac:dyDescent="0.2">
      <c r="A5597" s="1" t="s">
        <v>25</v>
      </c>
      <c r="B5597" s="2" t="s">
        <v>243</v>
      </c>
      <c r="D5597" s="7" t="s">
        <v>464</v>
      </c>
      <c r="E5597" s="6"/>
      <c r="F5597" s="6"/>
      <c r="G5597" s="57" t="s">
        <v>465</v>
      </c>
      <c r="H5597" s="21" t="s">
        <v>465</v>
      </c>
      <c r="I5597" s="21">
        <v>97500</v>
      </c>
      <c r="J5597" s="7" t="s">
        <v>539</v>
      </c>
    </row>
    <row r="5598" spans="1:12" x14ac:dyDescent="0.2">
      <c r="A5598" s="1" t="s">
        <v>25</v>
      </c>
      <c r="B5598" s="2" t="s">
        <v>243</v>
      </c>
      <c r="D5598" s="7" t="s">
        <v>464</v>
      </c>
      <c r="E5598" s="6"/>
      <c r="F5598" s="6"/>
      <c r="G5598" s="57" t="s">
        <v>465</v>
      </c>
      <c r="H5598" s="21" t="s">
        <v>465</v>
      </c>
      <c r="I5598" s="21">
        <v>97500</v>
      </c>
      <c r="J5598" s="7"/>
    </row>
    <row r="5599" spans="1:12" x14ac:dyDescent="0.2">
      <c r="A5599" s="13" t="s">
        <v>111</v>
      </c>
      <c r="B5599" s="12" t="s">
        <v>247</v>
      </c>
      <c r="C5599" s="7"/>
      <c r="D5599" s="7" t="s">
        <v>464</v>
      </c>
      <c r="E5599" s="6"/>
      <c r="F5599" s="6"/>
      <c r="G5599" s="57" t="s">
        <v>465</v>
      </c>
      <c r="H5599" s="21">
        <v>92500</v>
      </c>
      <c r="I5599" s="21" t="s">
        <v>465</v>
      </c>
      <c r="J5599" s="7"/>
      <c r="K5599" s="13"/>
      <c r="L5599" s="13"/>
    </row>
    <row r="5600" spans="1:12" x14ac:dyDescent="0.2">
      <c r="A5600" s="13" t="s">
        <v>111</v>
      </c>
      <c r="B5600" s="12" t="s">
        <v>247</v>
      </c>
      <c r="C5600" s="7"/>
      <c r="D5600" s="7" t="s">
        <v>464</v>
      </c>
      <c r="E5600" s="6"/>
      <c r="F5600" s="6"/>
      <c r="G5600" s="57" t="s">
        <v>465</v>
      </c>
      <c r="H5600" s="21" t="s">
        <v>465</v>
      </c>
      <c r="I5600" s="21">
        <v>92500</v>
      </c>
      <c r="J5600" s="7"/>
      <c r="K5600" s="13"/>
      <c r="L5600" s="13"/>
    </row>
    <row r="5601" spans="1:12" x14ac:dyDescent="0.2">
      <c r="A5601" s="1" t="s">
        <v>4</v>
      </c>
      <c r="B5601" s="12" t="s">
        <v>249</v>
      </c>
      <c r="D5601" s="7" t="s">
        <v>464</v>
      </c>
      <c r="G5601" s="57" t="s">
        <v>465</v>
      </c>
      <c r="H5601" s="19">
        <v>92500</v>
      </c>
      <c r="I5601" s="19" t="s">
        <v>465</v>
      </c>
    </row>
    <row r="5602" spans="1:12" x14ac:dyDescent="0.2">
      <c r="A5602" s="1" t="s">
        <v>4</v>
      </c>
      <c r="B5602" s="12" t="s">
        <v>249</v>
      </c>
      <c r="D5602" s="7" t="s">
        <v>464</v>
      </c>
      <c r="G5602" s="57" t="s">
        <v>465</v>
      </c>
      <c r="H5602" s="19">
        <v>92500</v>
      </c>
      <c r="I5602" s="19" t="s">
        <v>465</v>
      </c>
    </row>
    <row r="5603" spans="1:12" x14ac:dyDescent="0.2">
      <c r="A5603" s="1" t="s">
        <v>4</v>
      </c>
      <c r="B5603" s="12" t="s">
        <v>249</v>
      </c>
      <c r="D5603" s="7" t="s">
        <v>464</v>
      </c>
      <c r="G5603" s="57" t="s">
        <v>465</v>
      </c>
      <c r="H5603" s="19">
        <v>92500</v>
      </c>
      <c r="I5603" s="19" t="s">
        <v>465</v>
      </c>
    </row>
    <row r="5604" spans="1:12" x14ac:dyDescent="0.2">
      <c r="A5604" s="1" t="s">
        <v>4</v>
      </c>
      <c r="B5604" s="12" t="s">
        <v>249</v>
      </c>
      <c r="D5604" s="7" t="s">
        <v>464</v>
      </c>
      <c r="G5604" s="57" t="s">
        <v>465</v>
      </c>
      <c r="H5604" s="19">
        <v>92500</v>
      </c>
      <c r="I5604" s="19" t="s">
        <v>465</v>
      </c>
    </row>
    <row r="5605" spans="1:12" x14ac:dyDescent="0.2">
      <c r="A5605" s="1" t="s">
        <v>4</v>
      </c>
      <c r="B5605" s="12" t="s">
        <v>249</v>
      </c>
      <c r="D5605" s="7" t="s">
        <v>464</v>
      </c>
      <c r="G5605" s="57" t="s">
        <v>465</v>
      </c>
      <c r="H5605" s="19" t="s">
        <v>465</v>
      </c>
      <c r="I5605" s="19">
        <v>92500</v>
      </c>
    </row>
    <row r="5606" spans="1:12" x14ac:dyDescent="0.2">
      <c r="A5606" s="1" t="s">
        <v>4</v>
      </c>
      <c r="B5606" s="12" t="s">
        <v>249</v>
      </c>
      <c r="D5606" s="7" t="s">
        <v>464</v>
      </c>
      <c r="G5606" s="57" t="s">
        <v>465</v>
      </c>
      <c r="H5606" s="19" t="s">
        <v>465</v>
      </c>
      <c r="I5606" s="19">
        <v>92500</v>
      </c>
    </row>
    <row r="5607" spans="1:12" x14ac:dyDescent="0.2">
      <c r="A5607" s="1" t="s">
        <v>4</v>
      </c>
      <c r="B5607" s="12" t="s">
        <v>249</v>
      </c>
      <c r="D5607" s="7" t="s">
        <v>464</v>
      </c>
      <c r="G5607" s="57" t="s">
        <v>465</v>
      </c>
      <c r="H5607" s="19" t="s">
        <v>465</v>
      </c>
      <c r="I5607" s="19">
        <v>92500</v>
      </c>
    </row>
    <row r="5608" spans="1:12" x14ac:dyDescent="0.2">
      <c r="A5608" s="1" t="s">
        <v>4</v>
      </c>
      <c r="B5608" s="12" t="s">
        <v>249</v>
      </c>
      <c r="D5608" s="7" t="s">
        <v>464</v>
      </c>
      <c r="G5608" s="57" t="s">
        <v>465</v>
      </c>
      <c r="H5608" s="19" t="s">
        <v>465</v>
      </c>
      <c r="I5608" s="19">
        <v>92500</v>
      </c>
    </row>
    <row r="5609" spans="1:12" x14ac:dyDescent="0.2">
      <c r="A5609" s="1" t="s">
        <v>4</v>
      </c>
      <c r="B5609" s="12" t="s">
        <v>249</v>
      </c>
      <c r="D5609" s="7" t="s">
        <v>464</v>
      </c>
      <c r="G5609" s="57" t="s">
        <v>465</v>
      </c>
      <c r="H5609" s="19" t="s">
        <v>465</v>
      </c>
      <c r="I5609" s="19">
        <v>92500</v>
      </c>
    </row>
    <row r="5610" spans="1:12" x14ac:dyDescent="0.2">
      <c r="A5610" s="1" t="s">
        <v>4</v>
      </c>
      <c r="B5610" s="12" t="s">
        <v>249</v>
      </c>
      <c r="D5610" s="7" t="s">
        <v>464</v>
      </c>
      <c r="G5610" s="57" t="s">
        <v>465</v>
      </c>
      <c r="H5610" s="19">
        <v>97500</v>
      </c>
      <c r="I5610" s="19" t="s">
        <v>465</v>
      </c>
    </row>
    <row r="5611" spans="1:12" x14ac:dyDescent="0.2">
      <c r="A5611" s="1" t="s">
        <v>4</v>
      </c>
      <c r="B5611" s="12" t="s">
        <v>249</v>
      </c>
      <c r="D5611" s="7" t="s">
        <v>464</v>
      </c>
      <c r="G5611" s="57" t="s">
        <v>465</v>
      </c>
      <c r="H5611" s="19">
        <v>97500</v>
      </c>
      <c r="I5611" s="19" t="s">
        <v>465</v>
      </c>
    </row>
    <row r="5612" spans="1:12" x14ac:dyDescent="0.2">
      <c r="A5612" s="1" t="s">
        <v>4</v>
      </c>
      <c r="B5612" s="12" t="s">
        <v>249</v>
      </c>
      <c r="D5612" s="7" t="s">
        <v>464</v>
      </c>
      <c r="G5612" s="57" t="s">
        <v>465</v>
      </c>
      <c r="H5612" s="19">
        <v>97500</v>
      </c>
      <c r="I5612" s="19" t="s">
        <v>465</v>
      </c>
    </row>
    <row r="5613" spans="1:12" x14ac:dyDescent="0.2">
      <c r="A5613" s="1" t="s">
        <v>4</v>
      </c>
      <c r="B5613" s="12" t="s">
        <v>249</v>
      </c>
      <c r="D5613" s="7" t="s">
        <v>464</v>
      </c>
      <c r="G5613" s="57" t="s">
        <v>465</v>
      </c>
      <c r="H5613" s="19">
        <v>97500</v>
      </c>
      <c r="I5613" s="19" t="s">
        <v>465</v>
      </c>
    </row>
    <row r="5614" spans="1:12" x14ac:dyDescent="0.2">
      <c r="A5614" s="1" t="s">
        <v>4</v>
      </c>
      <c r="B5614" s="12" t="s">
        <v>249</v>
      </c>
      <c r="D5614" s="7" t="s">
        <v>464</v>
      </c>
      <c r="G5614" s="57" t="s">
        <v>465</v>
      </c>
      <c r="H5614" s="19">
        <v>97500</v>
      </c>
      <c r="I5614" s="19" t="s">
        <v>465</v>
      </c>
    </row>
    <row r="5615" spans="1:12" x14ac:dyDescent="0.2">
      <c r="A5615" s="1" t="s">
        <v>4</v>
      </c>
      <c r="B5615" s="12" t="s">
        <v>249</v>
      </c>
      <c r="D5615" s="7" t="s">
        <v>464</v>
      </c>
      <c r="G5615" s="57" t="s">
        <v>465</v>
      </c>
      <c r="H5615" s="19" t="s">
        <v>465</v>
      </c>
      <c r="I5615" s="19">
        <v>97500</v>
      </c>
    </row>
    <row r="5616" spans="1:12" x14ac:dyDescent="0.2">
      <c r="A5616" s="13" t="s">
        <v>4</v>
      </c>
      <c r="B5616" s="12" t="s">
        <v>250</v>
      </c>
      <c r="C5616" s="7"/>
      <c r="D5616" s="7" t="s">
        <v>464</v>
      </c>
      <c r="E5616" s="6"/>
      <c r="F5616" s="6"/>
      <c r="G5616" s="57" t="s">
        <v>465</v>
      </c>
      <c r="H5616" s="21" t="s">
        <v>465</v>
      </c>
      <c r="I5616" s="21">
        <v>92500</v>
      </c>
      <c r="J5616" s="7"/>
      <c r="K5616" s="13"/>
      <c r="L5616" s="13"/>
    </row>
    <row r="5617" spans="1:12" x14ac:dyDescent="0.2">
      <c r="A5617" s="13" t="s">
        <v>4</v>
      </c>
      <c r="B5617" s="12" t="s">
        <v>250</v>
      </c>
      <c r="C5617" s="7"/>
      <c r="D5617" s="7" t="s">
        <v>464</v>
      </c>
      <c r="E5617" s="6"/>
      <c r="F5617" s="6"/>
      <c r="G5617" s="57" t="s">
        <v>465</v>
      </c>
      <c r="H5617" s="21" t="s">
        <v>465</v>
      </c>
      <c r="I5617" s="21">
        <v>92500</v>
      </c>
      <c r="J5617" s="7"/>
      <c r="K5617" s="13"/>
      <c r="L5617" s="13"/>
    </row>
    <row r="5618" spans="1:12" x14ac:dyDescent="0.2">
      <c r="A5618" s="1" t="s">
        <v>1</v>
      </c>
      <c r="B5618" s="12" t="s">
        <v>252</v>
      </c>
      <c r="D5618" s="5" t="s">
        <v>464</v>
      </c>
      <c r="G5618" s="57" t="s">
        <v>465</v>
      </c>
      <c r="H5618" s="19">
        <v>97500</v>
      </c>
      <c r="I5618" s="19" t="s">
        <v>465</v>
      </c>
    </row>
    <row r="5619" spans="1:12" ht="25.5" x14ac:dyDescent="0.2">
      <c r="A5619" s="1" t="s">
        <v>11</v>
      </c>
      <c r="B5619" s="12" t="s">
        <v>253</v>
      </c>
      <c r="C5619" s="29" t="s">
        <v>2697</v>
      </c>
      <c r="G5619" s="57" t="s">
        <v>465</v>
      </c>
    </row>
    <row r="5620" spans="1:12" x14ac:dyDescent="0.2">
      <c r="A5620" s="1" t="s">
        <v>111</v>
      </c>
      <c r="B5620" s="12" t="s">
        <v>257</v>
      </c>
      <c r="D5620" s="5" t="s">
        <v>464</v>
      </c>
      <c r="G5620" s="57" t="s">
        <v>465</v>
      </c>
      <c r="H5620" s="19">
        <v>92500</v>
      </c>
      <c r="I5620" s="19" t="s">
        <v>465</v>
      </c>
      <c r="K5620" s="33"/>
      <c r="L5620" s="33"/>
    </row>
    <row r="5621" spans="1:12" x14ac:dyDescent="0.2">
      <c r="A5621" s="1" t="s">
        <v>111</v>
      </c>
      <c r="B5621" s="12" t="s">
        <v>257</v>
      </c>
      <c r="D5621" s="5" t="s">
        <v>464</v>
      </c>
      <c r="G5621" s="57" t="s">
        <v>465</v>
      </c>
      <c r="H5621" s="19">
        <v>92500</v>
      </c>
      <c r="I5621" s="19" t="s">
        <v>465</v>
      </c>
      <c r="K5621" s="33"/>
      <c r="L5621" s="33"/>
    </row>
    <row r="5622" spans="1:12" x14ac:dyDescent="0.2">
      <c r="A5622" s="1" t="s">
        <v>111</v>
      </c>
      <c r="B5622" s="12" t="s">
        <v>257</v>
      </c>
      <c r="D5622" s="5" t="s">
        <v>464</v>
      </c>
      <c r="G5622" s="57" t="s">
        <v>465</v>
      </c>
      <c r="H5622" s="19">
        <v>92500</v>
      </c>
      <c r="I5622" s="19" t="s">
        <v>465</v>
      </c>
      <c r="K5622" s="33"/>
      <c r="L5622" s="33"/>
    </row>
    <row r="5623" spans="1:12" x14ac:dyDescent="0.2">
      <c r="A5623" s="1" t="s">
        <v>111</v>
      </c>
      <c r="B5623" s="12" t="s">
        <v>257</v>
      </c>
      <c r="D5623" s="5" t="s">
        <v>464</v>
      </c>
      <c r="G5623" s="57" t="s">
        <v>465</v>
      </c>
      <c r="H5623" s="19">
        <v>92500</v>
      </c>
      <c r="I5623" s="19" t="s">
        <v>465</v>
      </c>
      <c r="K5623" s="33"/>
      <c r="L5623" s="33"/>
    </row>
    <row r="5624" spans="1:12" x14ac:dyDescent="0.2">
      <c r="A5624" s="1" t="s">
        <v>111</v>
      </c>
      <c r="B5624" s="12" t="s">
        <v>257</v>
      </c>
      <c r="D5624" s="5" t="s">
        <v>464</v>
      </c>
      <c r="G5624" s="57" t="s">
        <v>465</v>
      </c>
      <c r="H5624" s="19" t="s">
        <v>465</v>
      </c>
      <c r="I5624" s="19">
        <v>92500</v>
      </c>
      <c r="K5624" s="33"/>
      <c r="L5624" s="33"/>
    </row>
    <row r="5625" spans="1:12" x14ac:dyDescent="0.2">
      <c r="A5625" s="1" t="s">
        <v>111</v>
      </c>
      <c r="B5625" s="12" t="s">
        <v>257</v>
      </c>
      <c r="D5625" s="5" t="s">
        <v>464</v>
      </c>
      <c r="G5625" s="57" t="s">
        <v>465</v>
      </c>
      <c r="H5625" s="19" t="s">
        <v>465</v>
      </c>
      <c r="I5625" s="19">
        <v>92500</v>
      </c>
      <c r="K5625" s="33"/>
      <c r="L5625" s="33"/>
    </row>
    <row r="5626" spans="1:12" x14ac:dyDescent="0.2">
      <c r="A5626" s="1" t="s">
        <v>111</v>
      </c>
      <c r="B5626" s="12" t="s">
        <v>257</v>
      </c>
      <c r="D5626" s="5" t="s">
        <v>464</v>
      </c>
      <c r="G5626" s="57" t="s">
        <v>465</v>
      </c>
      <c r="H5626" s="19" t="s">
        <v>465</v>
      </c>
      <c r="I5626" s="19">
        <v>92500</v>
      </c>
      <c r="K5626" s="33"/>
      <c r="L5626" s="33"/>
    </row>
    <row r="5627" spans="1:12" x14ac:dyDescent="0.2">
      <c r="A5627" s="1" t="s">
        <v>111</v>
      </c>
      <c r="B5627" s="12" t="s">
        <v>257</v>
      </c>
      <c r="D5627" s="5" t="s">
        <v>464</v>
      </c>
      <c r="G5627" s="57" t="s">
        <v>465</v>
      </c>
      <c r="H5627" s="19" t="s">
        <v>465</v>
      </c>
      <c r="I5627" s="19">
        <v>92500</v>
      </c>
      <c r="K5627" s="33"/>
      <c r="L5627" s="33"/>
    </row>
    <row r="5628" spans="1:12" x14ac:dyDescent="0.2">
      <c r="A5628" s="1" t="s">
        <v>111</v>
      </c>
      <c r="B5628" s="12" t="s">
        <v>257</v>
      </c>
      <c r="D5628" s="5" t="s">
        <v>464</v>
      </c>
      <c r="G5628" s="57" t="s">
        <v>465</v>
      </c>
      <c r="H5628" s="19">
        <v>97500</v>
      </c>
      <c r="I5628" s="19" t="s">
        <v>465</v>
      </c>
      <c r="K5628" s="33"/>
      <c r="L5628" s="33"/>
    </row>
    <row r="5629" spans="1:12" x14ac:dyDescent="0.2">
      <c r="A5629" s="1" t="s">
        <v>111</v>
      </c>
      <c r="B5629" s="12" t="s">
        <v>257</v>
      </c>
      <c r="D5629" s="5" t="s">
        <v>464</v>
      </c>
      <c r="G5629" s="57" t="s">
        <v>465</v>
      </c>
      <c r="H5629" s="19">
        <v>97500</v>
      </c>
      <c r="I5629" s="19" t="s">
        <v>465</v>
      </c>
      <c r="K5629" s="33"/>
      <c r="L5629" s="33"/>
    </row>
    <row r="5630" spans="1:12" x14ac:dyDescent="0.2">
      <c r="A5630" s="1" t="s">
        <v>111</v>
      </c>
      <c r="B5630" s="12" t="s">
        <v>257</v>
      </c>
      <c r="D5630" s="5" t="s">
        <v>464</v>
      </c>
      <c r="G5630" s="57" t="s">
        <v>465</v>
      </c>
      <c r="H5630" s="19">
        <v>97500</v>
      </c>
      <c r="I5630" s="19" t="s">
        <v>465</v>
      </c>
      <c r="K5630" s="33"/>
      <c r="L5630" s="33"/>
    </row>
    <row r="5631" spans="1:12" x14ac:dyDescent="0.2">
      <c r="A5631" s="1" t="s">
        <v>111</v>
      </c>
      <c r="B5631" s="12" t="s">
        <v>257</v>
      </c>
      <c r="D5631" s="5" t="s">
        <v>464</v>
      </c>
      <c r="G5631" s="57" t="s">
        <v>465</v>
      </c>
      <c r="H5631" s="19">
        <v>97500</v>
      </c>
      <c r="I5631" s="19" t="s">
        <v>465</v>
      </c>
      <c r="K5631" s="33"/>
      <c r="L5631" s="33"/>
    </row>
    <row r="5632" spans="1:12" x14ac:dyDescent="0.2">
      <c r="A5632" s="1" t="s">
        <v>111</v>
      </c>
      <c r="B5632" s="12" t="s">
        <v>257</v>
      </c>
      <c r="D5632" s="5" t="s">
        <v>464</v>
      </c>
      <c r="G5632" s="57" t="s">
        <v>465</v>
      </c>
      <c r="H5632" s="19">
        <v>97500</v>
      </c>
      <c r="I5632" s="19" t="s">
        <v>465</v>
      </c>
      <c r="K5632" s="33"/>
      <c r="L5632" s="33"/>
    </row>
    <row r="5633" spans="1:12" x14ac:dyDescent="0.2">
      <c r="A5633" s="1" t="s">
        <v>111</v>
      </c>
      <c r="B5633" s="12" t="s">
        <v>257</v>
      </c>
      <c r="D5633" s="5" t="s">
        <v>464</v>
      </c>
      <c r="G5633" s="57" t="s">
        <v>465</v>
      </c>
      <c r="H5633" s="19">
        <v>97500</v>
      </c>
      <c r="I5633" s="19" t="s">
        <v>465</v>
      </c>
      <c r="K5633" s="33"/>
      <c r="L5633" s="33"/>
    </row>
    <row r="5634" spans="1:12" x14ac:dyDescent="0.2">
      <c r="A5634" s="1" t="s">
        <v>111</v>
      </c>
      <c r="B5634" s="12" t="s">
        <v>257</v>
      </c>
      <c r="D5634" s="5" t="s">
        <v>464</v>
      </c>
      <c r="G5634" s="57" t="s">
        <v>465</v>
      </c>
      <c r="H5634" s="19">
        <v>97500</v>
      </c>
      <c r="I5634" s="19" t="s">
        <v>465</v>
      </c>
      <c r="K5634" s="33"/>
      <c r="L5634" s="33"/>
    </row>
    <row r="5635" spans="1:12" x14ac:dyDescent="0.2">
      <c r="A5635" s="1" t="s">
        <v>111</v>
      </c>
      <c r="B5635" s="12" t="s">
        <v>257</v>
      </c>
      <c r="D5635" s="5" t="s">
        <v>464</v>
      </c>
      <c r="G5635" s="57" t="s">
        <v>465</v>
      </c>
      <c r="H5635" s="19">
        <v>97500</v>
      </c>
      <c r="I5635" s="19" t="s">
        <v>465</v>
      </c>
      <c r="K5635" s="33"/>
      <c r="L5635" s="33"/>
    </row>
    <row r="5636" spans="1:12" x14ac:dyDescent="0.2">
      <c r="A5636" s="1" t="s">
        <v>111</v>
      </c>
      <c r="B5636" s="12" t="s">
        <v>257</v>
      </c>
      <c r="D5636" s="5" t="s">
        <v>464</v>
      </c>
      <c r="G5636" s="57" t="s">
        <v>465</v>
      </c>
      <c r="H5636" s="19">
        <v>97500</v>
      </c>
      <c r="I5636" s="19" t="s">
        <v>465</v>
      </c>
      <c r="K5636" s="33"/>
      <c r="L5636" s="33"/>
    </row>
    <row r="5637" spans="1:12" x14ac:dyDescent="0.2">
      <c r="A5637" s="1" t="s">
        <v>111</v>
      </c>
      <c r="B5637" s="12" t="s">
        <v>257</v>
      </c>
      <c r="D5637" s="5" t="s">
        <v>464</v>
      </c>
      <c r="G5637" s="57" t="s">
        <v>465</v>
      </c>
      <c r="H5637" s="19" t="s">
        <v>465</v>
      </c>
      <c r="I5637" s="19">
        <v>97500</v>
      </c>
      <c r="K5637" s="33"/>
      <c r="L5637" s="33"/>
    </row>
    <row r="5638" spans="1:12" x14ac:dyDescent="0.2">
      <c r="A5638" s="1" t="s">
        <v>25</v>
      </c>
      <c r="B5638" s="12" t="s">
        <v>259</v>
      </c>
      <c r="D5638" s="5" t="s">
        <v>464</v>
      </c>
      <c r="G5638" s="57" t="s">
        <v>465</v>
      </c>
      <c r="H5638" s="19">
        <v>92500</v>
      </c>
      <c r="I5638" s="19" t="s">
        <v>465</v>
      </c>
    </row>
    <row r="5639" spans="1:12" x14ac:dyDescent="0.2">
      <c r="A5639" s="1" t="s">
        <v>25</v>
      </c>
      <c r="B5639" s="12" t="s">
        <v>259</v>
      </c>
      <c r="D5639" s="5" t="s">
        <v>464</v>
      </c>
      <c r="G5639" s="57" t="s">
        <v>465</v>
      </c>
      <c r="H5639" s="19">
        <v>92500</v>
      </c>
      <c r="I5639" s="19" t="s">
        <v>465</v>
      </c>
    </row>
    <row r="5640" spans="1:12" x14ac:dyDescent="0.2">
      <c r="A5640" s="1" t="s">
        <v>25</v>
      </c>
      <c r="B5640" s="12" t="s">
        <v>259</v>
      </c>
      <c r="D5640" s="5" t="s">
        <v>464</v>
      </c>
      <c r="G5640" s="57" t="s">
        <v>465</v>
      </c>
      <c r="H5640" s="19">
        <v>92500</v>
      </c>
      <c r="I5640" s="19" t="s">
        <v>465</v>
      </c>
    </row>
    <row r="5641" spans="1:12" x14ac:dyDescent="0.2">
      <c r="A5641" s="1" t="s">
        <v>25</v>
      </c>
      <c r="B5641" s="12" t="s">
        <v>259</v>
      </c>
      <c r="D5641" s="5" t="s">
        <v>464</v>
      </c>
      <c r="G5641" s="57" t="s">
        <v>465</v>
      </c>
      <c r="H5641" s="19">
        <v>92500</v>
      </c>
      <c r="I5641" s="19" t="s">
        <v>465</v>
      </c>
    </row>
    <row r="5642" spans="1:12" x14ac:dyDescent="0.2">
      <c r="A5642" s="1" t="s">
        <v>25</v>
      </c>
      <c r="B5642" s="12" t="s">
        <v>259</v>
      </c>
      <c r="D5642" s="5" t="s">
        <v>464</v>
      </c>
      <c r="G5642" s="57" t="s">
        <v>465</v>
      </c>
      <c r="H5642" s="19">
        <v>92500</v>
      </c>
      <c r="I5642" s="19" t="s">
        <v>465</v>
      </c>
    </row>
    <row r="5643" spans="1:12" x14ac:dyDescent="0.2">
      <c r="A5643" s="1" t="s">
        <v>25</v>
      </c>
      <c r="B5643" s="12" t="s">
        <v>259</v>
      </c>
      <c r="D5643" s="5" t="s">
        <v>464</v>
      </c>
      <c r="G5643" s="57" t="s">
        <v>465</v>
      </c>
      <c r="H5643" s="19">
        <v>92500</v>
      </c>
      <c r="I5643" s="19" t="s">
        <v>465</v>
      </c>
    </row>
    <row r="5644" spans="1:12" x14ac:dyDescent="0.2">
      <c r="A5644" s="1" t="s">
        <v>25</v>
      </c>
      <c r="B5644" s="12" t="s">
        <v>259</v>
      </c>
      <c r="D5644" s="5" t="s">
        <v>464</v>
      </c>
      <c r="G5644" s="57" t="s">
        <v>465</v>
      </c>
      <c r="H5644" s="19">
        <v>92500</v>
      </c>
      <c r="I5644" s="19" t="s">
        <v>465</v>
      </c>
    </row>
    <row r="5645" spans="1:12" x14ac:dyDescent="0.2">
      <c r="A5645" s="1" t="s">
        <v>25</v>
      </c>
      <c r="B5645" s="12" t="s">
        <v>259</v>
      </c>
      <c r="D5645" s="5" t="s">
        <v>464</v>
      </c>
      <c r="G5645" s="57" t="s">
        <v>465</v>
      </c>
      <c r="H5645" s="19">
        <v>92500</v>
      </c>
      <c r="I5645" s="19" t="s">
        <v>465</v>
      </c>
    </row>
    <row r="5646" spans="1:12" x14ac:dyDescent="0.2">
      <c r="A5646" s="1" t="s">
        <v>25</v>
      </c>
      <c r="B5646" s="12" t="s">
        <v>259</v>
      </c>
      <c r="D5646" s="5" t="s">
        <v>464</v>
      </c>
      <c r="G5646" s="57" t="s">
        <v>465</v>
      </c>
      <c r="H5646" s="19">
        <v>92500</v>
      </c>
      <c r="I5646" s="19" t="s">
        <v>465</v>
      </c>
    </row>
    <row r="5647" spans="1:12" x14ac:dyDescent="0.2">
      <c r="A5647" s="1" t="s">
        <v>25</v>
      </c>
      <c r="B5647" s="12" t="s">
        <v>259</v>
      </c>
      <c r="D5647" s="5" t="s">
        <v>464</v>
      </c>
      <c r="G5647" s="57" t="s">
        <v>465</v>
      </c>
      <c r="H5647" s="19" t="s">
        <v>465</v>
      </c>
      <c r="I5647" s="19">
        <v>92500</v>
      </c>
    </row>
    <row r="5648" spans="1:12" x14ac:dyDescent="0.2">
      <c r="A5648" s="1" t="s">
        <v>25</v>
      </c>
      <c r="B5648" s="12" t="s">
        <v>259</v>
      </c>
      <c r="D5648" s="5" t="s">
        <v>464</v>
      </c>
      <c r="G5648" s="57" t="s">
        <v>465</v>
      </c>
      <c r="H5648" s="19" t="s">
        <v>465</v>
      </c>
      <c r="I5648" s="19">
        <v>92500</v>
      </c>
    </row>
    <row r="5649" spans="1:12" x14ac:dyDescent="0.2">
      <c r="A5649" s="1" t="s">
        <v>25</v>
      </c>
      <c r="B5649" s="12" t="s">
        <v>259</v>
      </c>
      <c r="D5649" s="5" t="s">
        <v>464</v>
      </c>
      <c r="G5649" s="57" t="s">
        <v>465</v>
      </c>
      <c r="H5649" s="19" t="s">
        <v>465</v>
      </c>
      <c r="I5649" s="19">
        <v>92500</v>
      </c>
    </row>
    <row r="5650" spans="1:12" x14ac:dyDescent="0.2">
      <c r="A5650" s="1" t="s">
        <v>25</v>
      </c>
      <c r="B5650" s="12" t="s">
        <v>259</v>
      </c>
      <c r="D5650" s="5" t="s">
        <v>464</v>
      </c>
      <c r="G5650" s="57" t="s">
        <v>465</v>
      </c>
      <c r="H5650" s="19" t="s">
        <v>465</v>
      </c>
      <c r="I5650" s="19">
        <v>92500</v>
      </c>
    </row>
    <row r="5651" spans="1:12" x14ac:dyDescent="0.2">
      <c r="A5651" s="1" t="s">
        <v>25</v>
      </c>
      <c r="B5651" s="12" t="s">
        <v>259</v>
      </c>
      <c r="D5651" s="5" t="s">
        <v>464</v>
      </c>
      <c r="G5651" s="57" t="s">
        <v>465</v>
      </c>
      <c r="H5651" s="19" t="s">
        <v>465</v>
      </c>
      <c r="I5651" s="19">
        <v>92500</v>
      </c>
      <c r="J5651" s="1"/>
    </row>
    <row r="5652" spans="1:12" x14ac:dyDescent="0.2">
      <c r="A5652" s="1" t="s">
        <v>25</v>
      </c>
      <c r="B5652" s="12" t="s">
        <v>259</v>
      </c>
      <c r="D5652" s="5" t="s">
        <v>464</v>
      </c>
      <c r="G5652" s="57" t="s">
        <v>465</v>
      </c>
      <c r="H5652" s="19" t="s">
        <v>465</v>
      </c>
      <c r="I5652" s="19">
        <v>92500</v>
      </c>
      <c r="J5652" s="1"/>
    </row>
    <row r="5653" spans="1:12" x14ac:dyDescent="0.2">
      <c r="A5653" s="1" t="s">
        <v>25</v>
      </c>
      <c r="B5653" s="12" t="s">
        <v>259</v>
      </c>
      <c r="D5653" s="5" t="s">
        <v>464</v>
      </c>
      <c r="G5653" s="57" t="s">
        <v>465</v>
      </c>
      <c r="H5653" s="19" t="s">
        <v>465</v>
      </c>
      <c r="I5653" s="19">
        <v>92500</v>
      </c>
      <c r="J5653" s="1"/>
    </row>
    <row r="5654" spans="1:12" x14ac:dyDescent="0.2">
      <c r="A5654" s="1" t="s">
        <v>25</v>
      </c>
      <c r="B5654" s="12" t="s">
        <v>259</v>
      </c>
      <c r="D5654" s="5" t="s">
        <v>464</v>
      </c>
      <c r="G5654" s="57" t="s">
        <v>465</v>
      </c>
      <c r="H5654" s="19" t="s">
        <v>465</v>
      </c>
      <c r="I5654" s="19">
        <v>92500</v>
      </c>
      <c r="J5654" s="1"/>
    </row>
    <row r="5655" spans="1:12" x14ac:dyDescent="0.2">
      <c r="A5655" s="1" t="s">
        <v>25</v>
      </c>
      <c r="B5655" s="12" t="s">
        <v>259</v>
      </c>
      <c r="D5655" s="5" t="s">
        <v>464</v>
      </c>
      <c r="G5655" s="57" t="s">
        <v>465</v>
      </c>
      <c r="H5655" s="19" t="s">
        <v>465</v>
      </c>
      <c r="I5655" s="19">
        <v>92500</v>
      </c>
      <c r="J5655" s="1"/>
    </row>
    <row r="5656" spans="1:12" x14ac:dyDescent="0.2">
      <c r="A5656" s="1" t="s">
        <v>25</v>
      </c>
      <c r="B5656" s="12" t="s">
        <v>259</v>
      </c>
      <c r="D5656" s="5" t="s">
        <v>464</v>
      </c>
      <c r="G5656" s="57" t="s">
        <v>465</v>
      </c>
      <c r="H5656" s="19" t="s">
        <v>465</v>
      </c>
      <c r="I5656" s="19">
        <v>92500</v>
      </c>
      <c r="J5656" s="1"/>
    </row>
    <row r="5657" spans="1:12" x14ac:dyDescent="0.2">
      <c r="A5657" s="1" t="s">
        <v>25</v>
      </c>
      <c r="B5657" s="12" t="s">
        <v>259</v>
      </c>
      <c r="D5657" s="5" t="s">
        <v>464</v>
      </c>
      <c r="G5657" s="57" t="s">
        <v>465</v>
      </c>
      <c r="H5657" s="19">
        <v>97500</v>
      </c>
      <c r="I5657" s="19" t="s">
        <v>465</v>
      </c>
      <c r="J5657" s="1"/>
    </row>
    <row r="5658" spans="1:12" x14ac:dyDescent="0.2">
      <c r="A5658" s="1" t="s">
        <v>25</v>
      </c>
      <c r="B5658" s="12" t="s">
        <v>259</v>
      </c>
      <c r="D5658" s="5" t="s">
        <v>464</v>
      </c>
      <c r="G5658" s="57" t="s">
        <v>465</v>
      </c>
      <c r="H5658" s="19">
        <v>97500</v>
      </c>
      <c r="I5658" s="19" t="s">
        <v>465</v>
      </c>
      <c r="J5658" s="1"/>
    </row>
    <row r="5659" spans="1:12" x14ac:dyDescent="0.2">
      <c r="A5659" s="1" t="s">
        <v>25</v>
      </c>
      <c r="B5659" s="12" t="s">
        <v>259</v>
      </c>
      <c r="D5659" s="5" t="s">
        <v>464</v>
      </c>
      <c r="G5659" s="57" t="s">
        <v>465</v>
      </c>
      <c r="H5659" s="19" t="s">
        <v>465</v>
      </c>
      <c r="I5659" s="19">
        <v>97500</v>
      </c>
      <c r="J5659" s="1"/>
    </row>
    <row r="5660" spans="1:12" x14ac:dyDescent="0.2">
      <c r="A5660" s="1" t="s">
        <v>25</v>
      </c>
      <c r="B5660" s="12" t="s">
        <v>259</v>
      </c>
      <c r="D5660" s="5" t="s">
        <v>464</v>
      </c>
      <c r="G5660" s="57" t="s">
        <v>465</v>
      </c>
      <c r="H5660" s="19" t="s">
        <v>465</v>
      </c>
      <c r="I5660" s="19">
        <v>97500</v>
      </c>
      <c r="J5660" s="1"/>
    </row>
    <row r="5661" spans="1:12" x14ac:dyDescent="0.2">
      <c r="A5661" s="1" t="s">
        <v>44</v>
      </c>
      <c r="B5661" s="12" t="s">
        <v>260</v>
      </c>
      <c r="C5661" s="7"/>
      <c r="D5661" s="7" t="s">
        <v>464</v>
      </c>
      <c r="E5661" s="6"/>
      <c r="F5661" s="6"/>
      <c r="G5661" s="57" t="s">
        <v>465</v>
      </c>
      <c r="H5661" s="21" t="s">
        <v>465</v>
      </c>
      <c r="I5661" s="21">
        <v>97500</v>
      </c>
      <c r="J5661" s="7" t="s">
        <v>539</v>
      </c>
      <c r="K5661" s="13"/>
      <c r="L5661" s="13"/>
    </row>
    <row r="5662" spans="1:12" x14ac:dyDescent="0.2">
      <c r="A5662" s="1" t="s">
        <v>44</v>
      </c>
      <c r="B5662" s="12" t="s">
        <v>260</v>
      </c>
      <c r="C5662" s="7"/>
      <c r="D5662" s="7" t="s">
        <v>464</v>
      </c>
      <c r="E5662" s="6"/>
      <c r="F5662" s="6"/>
      <c r="G5662" s="57" t="s">
        <v>465</v>
      </c>
      <c r="H5662" s="21" t="s">
        <v>465</v>
      </c>
      <c r="I5662" s="21">
        <v>97500</v>
      </c>
      <c r="J5662" s="7" t="s">
        <v>539</v>
      </c>
      <c r="K5662" s="13"/>
      <c r="L5662" s="13"/>
    </row>
    <row r="5663" spans="1:12" x14ac:dyDescent="0.2">
      <c r="A5663" s="1" t="s">
        <v>20</v>
      </c>
      <c r="B5663" s="2" t="s">
        <v>263</v>
      </c>
      <c r="D5663" s="7" t="s">
        <v>464</v>
      </c>
      <c r="E5663" s="6"/>
      <c r="F5663" s="6"/>
      <c r="G5663" s="57" t="s">
        <v>465</v>
      </c>
      <c r="H5663" s="21">
        <v>92500</v>
      </c>
      <c r="I5663" s="21" t="s">
        <v>465</v>
      </c>
    </row>
    <row r="5664" spans="1:12" x14ac:dyDescent="0.2">
      <c r="A5664" s="1" t="s">
        <v>20</v>
      </c>
      <c r="B5664" s="2" t="s">
        <v>263</v>
      </c>
      <c r="D5664" s="7" t="s">
        <v>464</v>
      </c>
      <c r="E5664" s="6"/>
      <c r="F5664" s="6"/>
      <c r="G5664" s="57" t="s">
        <v>465</v>
      </c>
      <c r="H5664" s="21">
        <v>92500</v>
      </c>
      <c r="I5664" s="21" t="s">
        <v>465</v>
      </c>
    </row>
    <row r="5665" spans="1:10" x14ac:dyDescent="0.2">
      <c r="A5665" s="1" t="s">
        <v>20</v>
      </c>
      <c r="B5665" s="2" t="s">
        <v>263</v>
      </c>
      <c r="D5665" s="7" t="s">
        <v>464</v>
      </c>
      <c r="E5665" s="6"/>
      <c r="F5665" s="6"/>
      <c r="G5665" s="57" t="s">
        <v>465</v>
      </c>
      <c r="H5665" s="21">
        <v>92500</v>
      </c>
      <c r="I5665" s="21" t="s">
        <v>465</v>
      </c>
    </row>
    <row r="5666" spans="1:10" x14ac:dyDescent="0.2">
      <c r="A5666" s="1" t="s">
        <v>20</v>
      </c>
      <c r="B5666" s="2" t="s">
        <v>263</v>
      </c>
      <c r="D5666" s="7" t="s">
        <v>464</v>
      </c>
      <c r="E5666" s="6"/>
      <c r="F5666" s="6"/>
      <c r="G5666" s="57" t="s">
        <v>465</v>
      </c>
      <c r="H5666" s="21">
        <v>92500</v>
      </c>
      <c r="I5666" s="21" t="s">
        <v>465</v>
      </c>
    </row>
    <row r="5667" spans="1:10" x14ac:dyDescent="0.2">
      <c r="A5667" s="1" t="s">
        <v>20</v>
      </c>
      <c r="B5667" s="2" t="s">
        <v>263</v>
      </c>
      <c r="D5667" s="7" t="s">
        <v>464</v>
      </c>
      <c r="E5667" s="6"/>
      <c r="F5667" s="6"/>
      <c r="G5667" s="57" t="s">
        <v>465</v>
      </c>
      <c r="H5667" s="21">
        <v>92500</v>
      </c>
      <c r="I5667" s="21" t="s">
        <v>465</v>
      </c>
    </row>
    <row r="5668" spans="1:10" x14ac:dyDescent="0.2">
      <c r="A5668" s="1" t="s">
        <v>20</v>
      </c>
      <c r="B5668" s="2" t="s">
        <v>263</v>
      </c>
      <c r="D5668" s="7" t="s">
        <v>464</v>
      </c>
      <c r="E5668" s="6"/>
      <c r="F5668" s="6"/>
      <c r="G5668" s="57" t="s">
        <v>465</v>
      </c>
      <c r="H5668" s="21" t="s">
        <v>465</v>
      </c>
      <c r="I5668" s="21">
        <v>92500</v>
      </c>
    </row>
    <row r="5669" spans="1:10" x14ac:dyDescent="0.2">
      <c r="A5669" s="1" t="s">
        <v>20</v>
      </c>
      <c r="B5669" s="2" t="s">
        <v>263</v>
      </c>
      <c r="D5669" s="7" t="s">
        <v>464</v>
      </c>
      <c r="E5669" s="6"/>
      <c r="F5669" s="6"/>
      <c r="G5669" s="57" t="s">
        <v>465</v>
      </c>
      <c r="H5669" s="21" t="s">
        <v>465</v>
      </c>
      <c r="I5669" s="21">
        <v>92500</v>
      </c>
    </row>
    <row r="5670" spans="1:10" x14ac:dyDescent="0.2">
      <c r="A5670" s="1" t="s">
        <v>20</v>
      </c>
      <c r="B5670" s="2" t="s">
        <v>263</v>
      </c>
      <c r="D5670" s="7" t="s">
        <v>464</v>
      </c>
      <c r="E5670" s="6"/>
      <c r="F5670" s="6"/>
      <c r="G5670" s="57" t="s">
        <v>465</v>
      </c>
      <c r="H5670" s="21" t="s">
        <v>465</v>
      </c>
      <c r="I5670" s="21">
        <v>92500</v>
      </c>
    </row>
    <row r="5671" spans="1:10" x14ac:dyDescent="0.2">
      <c r="A5671" s="1" t="s">
        <v>20</v>
      </c>
      <c r="B5671" s="2" t="s">
        <v>263</v>
      </c>
      <c r="D5671" s="7" t="s">
        <v>464</v>
      </c>
      <c r="E5671" s="6"/>
      <c r="F5671" s="6"/>
      <c r="G5671" s="57" t="s">
        <v>465</v>
      </c>
      <c r="H5671" s="21" t="s">
        <v>465</v>
      </c>
      <c r="I5671" s="21">
        <v>92500</v>
      </c>
    </row>
    <row r="5672" spans="1:10" x14ac:dyDescent="0.2">
      <c r="A5672" s="1" t="s">
        <v>20</v>
      </c>
      <c r="B5672" s="2" t="s">
        <v>263</v>
      </c>
      <c r="D5672" s="7" t="s">
        <v>464</v>
      </c>
      <c r="E5672" s="6"/>
      <c r="F5672" s="6"/>
      <c r="G5672" s="57" t="s">
        <v>465</v>
      </c>
      <c r="H5672" s="21" t="s">
        <v>465</v>
      </c>
      <c r="I5672" s="21">
        <v>92500</v>
      </c>
    </row>
    <row r="5673" spans="1:10" x14ac:dyDescent="0.2">
      <c r="A5673" s="1" t="s">
        <v>20</v>
      </c>
      <c r="B5673" s="2" t="s">
        <v>263</v>
      </c>
      <c r="D5673" s="7" t="s">
        <v>464</v>
      </c>
      <c r="E5673" s="6"/>
      <c r="F5673" s="6"/>
      <c r="G5673" s="57" t="s">
        <v>465</v>
      </c>
      <c r="H5673" s="21" t="s">
        <v>465</v>
      </c>
      <c r="I5673" s="21">
        <v>92500</v>
      </c>
    </row>
    <row r="5674" spans="1:10" x14ac:dyDescent="0.2">
      <c r="A5674" s="1" t="s">
        <v>20</v>
      </c>
      <c r="B5674" s="2" t="s">
        <v>263</v>
      </c>
      <c r="D5674" s="7" t="s">
        <v>464</v>
      </c>
      <c r="E5674" s="6"/>
      <c r="F5674" s="6"/>
      <c r="G5674" s="57" t="s">
        <v>465</v>
      </c>
      <c r="H5674" s="21">
        <v>97500</v>
      </c>
      <c r="I5674" s="21" t="s">
        <v>465</v>
      </c>
    </row>
    <row r="5675" spans="1:10" x14ac:dyDescent="0.2">
      <c r="A5675" s="1" t="s">
        <v>20</v>
      </c>
      <c r="B5675" s="2" t="s">
        <v>263</v>
      </c>
      <c r="D5675" s="7" t="s">
        <v>464</v>
      </c>
      <c r="E5675" s="6"/>
      <c r="F5675" s="6"/>
      <c r="G5675" s="57" t="s">
        <v>465</v>
      </c>
      <c r="H5675" s="21">
        <v>97500</v>
      </c>
      <c r="I5675" s="21" t="s">
        <v>465</v>
      </c>
    </row>
    <row r="5676" spans="1:10" x14ac:dyDescent="0.2">
      <c r="A5676" s="1" t="s">
        <v>20</v>
      </c>
      <c r="B5676" s="2" t="s">
        <v>263</v>
      </c>
      <c r="D5676" s="7" t="s">
        <v>464</v>
      </c>
      <c r="E5676" s="6"/>
      <c r="F5676" s="6"/>
      <c r="G5676" s="57" t="s">
        <v>465</v>
      </c>
      <c r="H5676" s="21" t="s">
        <v>465</v>
      </c>
      <c r="I5676" s="21">
        <v>97500</v>
      </c>
      <c r="J5676" s="1"/>
    </row>
    <row r="5677" spans="1:10" x14ac:dyDescent="0.2">
      <c r="A5677" s="1" t="s">
        <v>20</v>
      </c>
      <c r="B5677" s="2" t="s">
        <v>263</v>
      </c>
      <c r="D5677" s="7" t="s">
        <v>464</v>
      </c>
      <c r="E5677" s="6"/>
      <c r="F5677" s="6"/>
      <c r="G5677" s="57" t="s">
        <v>465</v>
      </c>
      <c r="H5677" s="21" t="s">
        <v>465</v>
      </c>
      <c r="I5677" s="21">
        <v>97500</v>
      </c>
      <c r="J5677" s="1"/>
    </row>
    <row r="5678" spans="1:10" x14ac:dyDescent="0.2">
      <c r="A5678" s="1" t="s">
        <v>20</v>
      </c>
      <c r="B5678" s="2" t="s">
        <v>263</v>
      </c>
      <c r="D5678" s="7" t="s">
        <v>464</v>
      </c>
      <c r="E5678" s="6"/>
      <c r="F5678" s="6"/>
      <c r="G5678" s="57" t="s">
        <v>465</v>
      </c>
      <c r="H5678" s="21" t="s">
        <v>465</v>
      </c>
      <c r="I5678" s="21">
        <v>97500</v>
      </c>
      <c r="J5678" s="1"/>
    </row>
    <row r="5679" spans="1:10" x14ac:dyDescent="0.2">
      <c r="A5679" s="1" t="s">
        <v>11</v>
      </c>
      <c r="B5679" s="2" t="s">
        <v>267</v>
      </c>
      <c r="D5679" s="5" t="s">
        <v>464</v>
      </c>
      <c r="G5679" s="57" t="s">
        <v>465</v>
      </c>
      <c r="H5679" s="19">
        <v>95000</v>
      </c>
      <c r="I5679" s="19" t="s">
        <v>465</v>
      </c>
    </row>
    <row r="5680" spans="1:10" x14ac:dyDescent="0.2">
      <c r="A5680" s="1" t="s">
        <v>11</v>
      </c>
      <c r="B5680" s="2" t="s">
        <v>267</v>
      </c>
      <c r="D5680" s="5" t="s">
        <v>464</v>
      </c>
      <c r="G5680" s="57" t="s">
        <v>465</v>
      </c>
      <c r="H5680" s="19" t="s">
        <v>465</v>
      </c>
      <c r="I5680" s="19">
        <v>95000</v>
      </c>
    </row>
    <row r="5681" spans="1:9" x14ac:dyDescent="0.2">
      <c r="A5681" s="1" t="s">
        <v>1</v>
      </c>
      <c r="B5681" s="2" t="s">
        <v>272</v>
      </c>
      <c r="D5681" s="5" t="s">
        <v>464</v>
      </c>
      <c r="G5681" s="57" t="s">
        <v>465</v>
      </c>
      <c r="H5681" s="19">
        <v>92500</v>
      </c>
      <c r="I5681" s="19" t="s">
        <v>465</v>
      </c>
    </row>
    <row r="5682" spans="1:9" x14ac:dyDescent="0.2">
      <c r="A5682" s="1" t="s">
        <v>1</v>
      </c>
      <c r="B5682" s="2" t="s">
        <v>272</v>
      </c>
      <c r="D5682" s="5" t="s">
        <v>464</v>
      </c>
      <c r="G5682" s="57" t="s">
        <v>465</v>
      </c>
      <c r="H5682" s="19">
        <v>92500</v>
      </c>
      <c r="I5682" s="19" t="s">
        <v>465</v>
      </c>
    </row>
    <row r="5683" spans="1:9" x14ac:dyDescent="0.2">
      <c r="A5683" s="1" t="s">
        <v>1</v>
      </c>
      <c r="B5683" s="2" t="s">
        <v>272</v>
      </c>
      <c r="D5683" s="5" t="s">
        <v>464</v>
      </c>
      <c r="G5683" s="57" t="s">
        <v>465</v>
      </c>
      <c r="H5683" s="19">
        <v>92500</v>
      </c>
      <c r="I5683" s="19" t="s">
        <v>465</v>
      </c>
    </row>
    <row r="5684" spans="1:9" x14ac:dyDescent="0.2">
      <c r="A5684" s="1" t="s">
        <v>1</v>
      </c>
      <c r="B5684" s="2" t="s">
        <v>272</v>
      </c>
      <c r="D5684" s="5" t="s">
        <v>464</v>
      </c>
      <c r="G5684" s="57" t="s">
        <v>465</v>
      </c>
      <c r="H5684" s="19" t="s">
        <v>465</v>
      </c>
      <c r="I5684" s="19">
        <v>92500</v>
      </c>
    </row>
    <row r="5685" spans="1:9" x14ac:dyDescent="0.2">
      <c r="A5685" s="1" t="s">
        <v>1</v>
      </c>
      <c r="B5685" s="2" t="s">
        <v>272</v>
      </c>
      <c r="D5685" s="5" t="s">
        <v>464</v>
      </c>
      <c r="G5685" s="57" t="s">
        <v>465</v>
      </c>
      <c r="H5685" s="19" t="s">
        <v>465</v>
      </c>
      <c r="I5685" s="19">
        <v>92500</v>
      </c>
    </row>
    <row r="5686" spans="1:9" x14ac:dyDescent="0.2">
      <c r="A5686" s="1" t="s">
        <v>1</v>
      </c>
      <c r="B5686" s="2" t="s">
        <v>272</v>
      </c>
      <c r="D5686" s="5" t="s">
        <v>464</v>
      </c>
      <c r="G5686" s="57" t="s">
        <v>465</v>
      </c>
      <c r="H5686" s="19" t="s">
        <v>465</v>
      </c>
      <c r="I5686" s="19">
        <v>92500</v>
      </c>
    </row>
    <row r="5687" spans="1:9" x14ac:dyDescent="0.2">
      <c r="A5687" s="1" t="s">
        <v>1</v>
      </c>
      <c r="B5687" s="2" t="s">
        <v>272</v>
      </c>
      <c r="D5687" s="5" t="s">
        <v>464</v>
      </c>
      <c r="G5687" s="57" t="s">
        <v>465</v>
      </c>
      <c r="H5687" s="19" t="s">
        <v>465</v>
      </c>
      <c r="I5687" s="19">
        <v>92500</v>
      </c>
    </row>
    <row r="5688" spans="1:9" x14ac:dyDescent="0.2">
      <c r="A5688" s="1" t="s">
        <v>1</v>
      </c>
      <c r="B5688" s="2" t="s">
        <v>272</v>
      </c>
      <c r="D5688" s="5" t="s">
        <v>464</v>
      </c>
      <c r="G5688" s="57" t="s">
        <v>465</v>
      </c>
      <c r="H5688" s="19" t="s">
        <v>465</v>
      </c>
      <c r="I5688" s="19">
        <v>92500</v>
      </c>
    </row>
    <row r="5689" spans="1:9" x14ac:dyDescent="0.2">
      <c r="A5689" s="1" t="s">
        <v>1</v>
      </c>
      <c r="B5689" s="2" t="s">
        <v>272</v>
      </c>
      <c r="D5689" s="5" t="s">
        <v>464</v>
      </c>
      <c r="G5689" s="57" t="s">
        <v>465</v>
      </c>
      <c r="H5689" s="19" t="s">
        <v>465</v>
      </c>
      <c r="I5689" s="19">
        <v>92500</v>
      </c>
    </row>
    <row r="5690" spans="1:9" x14ac:dyDescent="0.2">
      <c r="A5690" s="1" t="s">
        <v>1</v>
      </c>
      <c r="B5690" s="2" t="s">
        <v>272</v>
      </c>
      <c r="D5690" s="5" t="s">
        <v>464</v>
      </c>
      <c r="G5690" s="57" t="s">
        <v>465</v>
      </c>
      <c r="H5690" s="19" t="s">
        <v>465</v>
      </c>
      <c r="I5690" s="19">
        <v>92500</v>
      </c>
    </row>
    <row r="5691" spans="1:9" x14ac:dyDescent="0.2">
      <c r="A5691" s="1" t="s">
        <v>1</v>
      </c>
      <c r="B5691" s="2" t="s">
        <v>272</v>
      </c>
      <c r="D5691" s="5" t="s">
        <v>464</v>
      </c>
      <c r="G5691" s="57" t="s">
        <v>465</v>
      </c>
      <c r="H5691" s="19" t="s">
        <v>465</v>
      </c>
      <c r="I5691" s="19">
        <v>92500</v>
      </c>
    </row>
    <row r="5692" spans="1:9" x14ac:dyDescent="0.2">
      <c r="A5692" s="1" t="s">
        <v>1</v>
      </c>
      <c r="B5692" s="2" t="s">
        <v>272</v>
      </c>
      <c r="D5692" s="5" t="s">
        <v>464</v>
      </c>
      <c r="G5692" s="57" t="s">
        <v>465</v>
      </c>
      <c r="H5692" s="19" t="s">
        <v>465</v>
      </c>
      <c r="I5692" s="19">
        <v>92500</v>
      </c>
    </row>
    <row r="5693" spans="1:9" x14ac:dyDescent="0.2">
      <c r="A5693" s="1" t="s">
        <v>1</v>
      </c>
      <c r="B5693" s="2" t="s">
        <v>272</v>
      </c>
      <c r="D5693" s="5" t="s">
        <v>464</v>
      </c>
      <c r="G5693" s="57" t="s">
        <v>465</v>
      </c>
      <c r="H5693" s="19" t="s">
        <v>465</v>
      </c>
      <c r="I5693" s="19">
        <v>92500</v>
      </c>
    </row>
    <row r="5694" spans="1:9" x14ac:dyDescent="0.2">
      <c r="A5694" s="1" t="s">
        <v>34</v>
      </c>
      <c r="B5694" s="2" t="s">
        <v>275</v>
      </c>
      <c r="D5694" s="5" t="s">
        <v>464</v>
      </c>
      <c r="G5694" s="57" t="s">
        <v>465</v>
      </c>
      <c r="H5694" s="19" t="s">
        <v>465</v>
      </c>
      <c r="I5694" s="19">
        <v>92500</v>
      </c>
    </row>
    <row r="5695" spans="1:9" x14ac:dyDescent="0.2">
      <c r="A5695" s="1" t="s">
        <v>34</v>
      </c>
      <c r="B5695" s="2" t="s">
        <v>275</v>
      </c>
      <c r="D5695" s="5" t="s">
        <v>464</v>
      </c>
      <c r="G5695" s="57" t="s">
        <v>465</v>
      </c>
      <c r="H5695" s="19" t="s">
        <v>465</v>
      </c>
      <c r="I5695" s="19">
        <v>97500</v>
      </c>
    </row>
    <row r="5696" spans="1:9" x14ac:dyDescent="0.2">
      <c r="A5696" s="1" t="s">
        <v>8</v>
      </c>
      <c r="B5696" s="2" t="s">
        <v>281</v>
      </c>
      <c r="D5696" s="5" t="s">
        <v>464</v>
      </c>
      <c r="G5696" s="57" t="s">
        <v>465</v>
      </c>
      <c r="H5696" s="19">
        <v>92500</v>
      </c>
      <c r="I5696" s="19" t="s">
        <v>465</v>
      </c>
    </row>
    <row r="5697" spans="1:10" x14ac:dyDescent="0.2">
      <c r="A5697" s="1" t="s">
        <v>8</v>
      </c>
      <c r="B5697" s="2" t="s">
        <v>281</v>
      </c>
      <c r="D5697" s="5" t="s">
        <v>464</v>
      </c>
      <c r="G5697" s="57" t="s">
        <v>465</v>
      </c>
      <c r="H5697" s="19">
        <v>92500</v>
      </c>
      <c r="I5697" s="19" t="s">
        <v>465</v>
      </c>
    </row>
    <row r="5698" spans="1:10" x14ac:dyDescent="0.2">
      <c r="A5698" s="1" t="s">
        <v>8</v>
      </c>
      <c r="B5698" s="2" t="s">
        <v>281</v>
      </c>
      <c r="D5698" s="5" t="s">
        <v>464</v>
      </c>
      <c r="G5698" s="57" t="s">
        <v>465</v>
      </c>
      <c r="H5698" s="19">
        <v>92500</v>
      </c>
      <c r="I5698" s="19" t="s">
        <v>465</v>
      </c>
    </row>
    <row r="5699" spans="1:10" x14ac:dyDescent="0.2">
      <c r="A5699" s="1" t="s">
        <v>8</v>
      </c>
      <c r="B5699" s="2" t="s">
        <v>281</v>
      </c>
      <c r="D5699" s="5" t="s">
        <v>464</v>
      </c>
      <c r="G5699" s="57" t="s">
        <v>465</v>
      </c>
      <c r="H5699" s="19">
        <v>92500</v>
      </c>
      <c r="I5699" s="19" t="s">
        <v>465</v>
      </c>
    </row>
    <row r="5700" spans="1:10" x14ac:dyDescent="0.2">
      <c r="A5700" s="1" t="s">
        <v>8</v>
      </c>
      <c r="B5700" s="2" t="s">
        <v>281</v>
      </c>
      <c r="D5700" s="5" t="s">
        <v>464</v>
      </c>
      <c r="G5700" s="57" t="s">
        <v>465</v>
      </c>
      <c r="H5700" s="19" t="s">
        <v>465</v>
      </c>
      <c r="I5700" s="19">
        <v>92500</v>
      </c>
      <c r="J5700" s="1"/>
    </row>
    <row r="5701" spans="1:10" x14ac:dyDescent="0.2">
      <c r="A5701" s="1" t="s">
        <v>8</v>
      </c>
      <c r="B5701" s="2" t="s">
        <v>281</v>
      </c>
      <c r="D5701" s="5" t="s">
        <v>464</v>
      </c>
      <c r="G5701" s="57" t="s">
        <v>465</v>
      </c>
      <c r="H5701" s="19" t="s">
        <v>465</v>
      </c>
      <c r="I5701" s="19">
        <v>92500</v>
      </c>
      <c r="J5701" s="1"/>
    </row>
    <row r="5702" spans="1:10" x14ac:dyDescent="0.2">
      <c r="A5702" s="1" t="s">
        <v>8</v>
      </c>
      <c r="B5702" s="2" t="s">
        <v>281</v>
      </c>
      <c r="D5702" s="5" t="s">
        <v>464</v>
      </c>
      <c r="G5702" s="57" t="s">
        <v>465</v>
      </c>
      <c r="H5702" s="19" t="s">
        <v>465</v>
      </c>
      <c r="I5702" s="19">
        <v>92500</v>
      </c>
      <c r="J5702" s="1"/>
    </row>
    <row r="5703" spans="1:10" x14ac:dyDescent="0.2">
      <c r="A5703" s="1" t="s">
        <v>8</v>
      </c>
      <c r="B5703" s="2" t="s">
        <v>281</v>
      </c>
      <c r="D5703" s="5" t="s">
        <v>464</v>
      </c>
      <c r="G5703" s="57" t="s">
        <v>465</v>
      </c>
      <c r="H5703" s="19">
        <v>97500</v>
      </c>
      <c r="I5703" s="19" t="s">
        <v>465</v>
      </c>
      <c r="J5703" s="1"/>
    </row>
    <row r="5704" spans="1:10" x14ac:dyDescent="0.2">
      <c r="A5704" s="1" t="s">
        <v>8</v>
      </c>
      <c r="B5704" s="2" t="s">
        <v>281</v>
      </c>
      <c r="D5704" s="5" t="s">
        <v>464</v>
      </c>
      <c r="G5704" s="57" t="s">
        <v>465</v>
      </c>
      <c r="H5704" s="19" t="s">
        <v>465</v>
      </c>
      <c r="I5704" s="19">
        <v>97500</v>
      </c>
      <c r="J5704" s="1"/>
    </row>
    <row r="5705" spans="1:10" x14ac:dyDescent="0.2">
      <c r="A5705" s="1" t="s">
        <v>111</v>
      </c>
      <c r="B5705" s="2" t="s">
        <v>282</v>
      </c>
      <c r="D5705" s="5" t="s">
        <v>464</v>
      </c>
      <c r="G5705" s="57" t="s">
        <v>465</v>
      </c>
      <c r="H5705" s="19" t="s">
        <v>465</v>
      </c>
      <c r="I5705" s="19">
        <v>92500</v>
      </c>
      <c r="J5705" s="5" t="s">
        <v>539</v>
      </c>
    </row>
    <row r="5706" spans="1:10" x14ac:dyDescent="0.2">
      <c r="A5706" s="1" t="s">
        <v>111</v>
      </c>
      <c r="B5706" s="2" t="s">
        <v>282</v>
      </c>
      <c r="D5706" s="5" t="s">
        <v>464</v>
      </c>
      <c r="G5706" s="57" t="s">
        <v>465</v>
      </c>
      <c r="H5706" s="19" t="s">
        <v>465</v>
      </c>
      <c r="I5706" s="19">
        <v>92500</v>
      </c>
      <c r="J5706" s="5" t="s">
        <v>539</v>
      </c>
    </row>
    <row r="5707" spans="1:10" x14ac:dyDescent="0.2">
      <c r="A5707" s="1" t="s">
        <v>111</v>
      </c>
      <c r="B5707" s="2" t="s">
        <v>282</v>
      </c>
      <c r="D5707" s="5" t="s">
        <v>464</v>
      </c>
      <c r="G5707" s="57" t="s">
        <v>465</v>
      </c>
      <c r="H5707" s="19" t="s">
        <v>465</v>
      </c>
      <c r="I5707" s="19">
        <v>92500</v>
      </c>
      <c r="J5707" s="5" t="s">
        <v>539</v>
      </c>
    </row>
    <row r="5708" spans="1:10" x14ac:dyDescent="0.2">
      <c r="A5708" s="1" t="s">
        <v>111</v>
      </c>
      <c r="B5708" s="2" t="s">
        <v>282</v>
      </c>
      <c r="D5708" s="5" t="s">
        <v>464</v>
      </c>
      <c r="G5708" s="57" t="s">
        <v>465</v>
      </c>
      <c r="H5708" s="19" t="s">
        <v>465</v>
      </c>
      <c r="I5708" s="19">
        <v>92500</v>
      </c>
      <c r="J5708" s="5" t="s">
        <v>539</v>
      </c>
    </row>
    <row r="5709" spans="1:10" x14ac:dyDescent="0.2">
      <c r="A5709" s="1" t="s">
        <v>111</v>
      </c>
      <c r="B5709" s="2" t="s">
        <v>282</v>
      </c>
      <c r="D5709" s="5" t="s">
        <v>464</v>
      </c>
      <c r="G5709" s="57" t="s">
        <v>465</v>
      </c>
      <c r="H5709" s="19" t="s">
        <v>465</v>
      </c>
      <c r="I5709" s="19">
        <v>92500</v>
      </c>
      <c r="J5709" s="5" t="s">
        <v>539</v>
      </c>
    </row>
    <row r="5710" spans="1:10" x14ac:dyDescent="0.2">
      <c r="A5710" s="1" t="s">
        <v>111</v>
      </c>
      <c r="B5710" s="2" t="s">
        <v>282</v>
      </c>
      <c r="D5710" s="5" t="s">
        <v>464</v>
      </c>
      <c r="G5710" s="57" t="s">
        <v>465</v>
      </c>
      <c r="H5710" s="19" t="s">
        <v>465</v>
      </c>
      <c r="I5710" s="19">
        <v>92500</v>
      </c>
      <c r="J5710" s="5" t="s">
        <v>539</v>
      </c>
    </row>
    <row r="5711" spans="1:10" x14ac:dyDescent="0.2">
      <c r="A5711" s="1" t="s">
        <v>111</v>
      </c>
      <c r="B5711" s="2" t="s">
        <v>282</v>
      </c>
      <c r="D5711" s="5" t="s">
        <v>464</v>
      </c>
      <c r="G5711" s="57" t="s">
        <v>465</v>
      </c>
      <c r="H5711" s="19" t="s">
        <v>465</v>
      </c>
      <c r="I5711" s="19">
        <v>92500</v>
      </c>
      <c r="J5711" s="5" t="s">
        <v>539</v>
      </c>
    </row>
    <row r="5712" spans="1:10" x14ac:dyDescent="0.2">
      <c r="A5712" s="1" t="s">
        <v>111</v>
      </c>
      <c r="B5712" s="2" t="s">
        <v>282</v>
      </c>
      <c r="D5712" s="5" t="s">
        <v>464</v>
      </c>
      <c r="G5712" s="57" t="s">
        <v>465</v>
      </c>
      <c r="H5712" s="19" t="s">
        <v>465</v>
      </c>
      <c r="I5712" s="19">
        <v>92500</v>
      </c>
    </row>
    <row r="5713" spans="1:10" x14ac:dyDescent="0.2">
      <c r="A5713" s="1" t="s">
        <v>111</v>
      </c>
      <c r="B5713" s="2" t="s">
        <v>282</v>
      </c>
      <c r="D5713" s="5" t="s">
        <v>464</v>
      </c>
      <c r="G5713" s="57" t="s">
        <v>465</v>
      </c>
      <c r="H5713" s="19" t="s">
        <v>465</v>
      </c>
      <c r="I5713" s="19">
        <v>92500</v>
      </c>
    </row>
    <row r="5714" spans="1:10" x14ac:dyDescent="0.2">
      <c r="A5714" s="1" t="s">
        <v>111</v>
      </c>
      <c r="B5714" s="2" t="s">
        <v>282</v>
      </c>
      <c r="D5714" s="5" t="s">
        <v>464</v>
      </c>
      <c r="G5714" s="57" t="s">
        <v>465</v>
      </c>
      <c r="H5714" s="19" t="s">
        <v>465</v>
      </c>
      <c r="I5714" s="19">
        <v>92500</v>
      </c>
    </row>
    <row r="5715" spans="1:10" x14ac:dyDescent="0.2">
      <c r="A5715" s="1" t="s">
        <v>111</v>
      </c>
      <c r="B5715" s="2" t="s">
        <v>282</v>
      </c>
      <c r="D5715" s="5" t="s">
        <v>464</v>
      </c>
      <c r="G5715" s="57" t="s">
        <v>465</v>
      </c>
      <c r="H5715" s="19">
        <v>92500</v>
      </c>
      <c r="I5715" s="19" t="s">
        <v>465</v>
      </c>
      <c r="J5715" s="5" t="s">
        <v>539</v>
      </c>
    </row>
    <row r="5716" spans="1:10" x14ac:dyDescent="0.2">
      <c r="A5716" s="1" t="s">
        <v>111</v>
      </c>
      <c r="B5716" s="2" t="s">
        <v>282</v>
      </c>
      <c r="D5716" s="5" t="s">
        <v>464</v>
      </c>
      <c r="G5716" s="57" t="s">
        <v>465</v>
      </c>
      <c r="H5716" s="19">
        <v>92500</v>
      </c>
      <c r="I5716" s="19" t="s">
        <v>465</v>
      </c>
      <c r="J5716" s="5" t="s">
        <v>539</v>
      </c>
    </row>
    <row r="5717" spans="1:10" x14ac:dyDescent="0.2">
      <c r="A5717" s="1" t="s">
        <v>111</v>
      </c>
      <c r="B5717" s="2" t="s">
        <v>282</v>
      </c>
      <c r="D5717" s="5" t="s">
        <v>464</v>
      </c>
      <c r="G5717" s="57" t="s">
        <v>465</v>
      </c>
      <c r="H5717" s="19">
        <v>92500</v>
      </c>
      <c r="I5717" s="19" t="s">
        <v>465</v>
      </c>
      <c r="J5717" s="5" t="s">
        <v>539</v>
      </c>
    </row>
    <row r="5718" spans="1:10" x14ac:dyDescent="0.2">
      <c r="A5718" s="1" t="s">
        <v>111</v>
      </c>
      <c r="B5718" s="2" t="s">
        <v>282</v>
      </c>
      <c r="D5718" s="5" t="s">
        <v>464</v>
      </c>
      <c r="G5718" s="57" t="s">
        <v>465</v>
      </c>
      <c r="H5718" s="19">
        <v>92500</v>
      </c>
      <c r="I5718" s="19" t="s">
        <v>465</v>
      </c>
      <c r="J5718" s="5" t="s">
        <v>539</v>
      </c>
    </row>
    <row r="5719" spans="1:10" x14ac:dyDescent="0.2">
      <c r="A5719" s="1" t="s">
        <v>111</v>
      </c>
      <c r="B5719" s="2" t="s">
        <v>282</v>
      </c>
      <c r="D5719" s="5" t="s">
        <v>464</v>
      </c>
      <c r="G5719" s="57" t="s">
        <v>465</v>
      </c>
      <c r="H5719" s="19">
        <v>92500</v>
      </c>
      <c r="I5719" s="19" t="s">
        <v>465</v>
      </c>
      <c r="J5719" s="5" t="s">
        <v>539</v>
      </c>
    </row>
    <row r="5720" spans="1:10" x14ac:dyDescent="0.2">
      <c r="A5720" s="1" t="s">
        <v>111</v>
      </c>
      <c r="B5720" s="2" t="s">
        <v>282</v>
      </c>
      <c r="D5720" s="5" t="s">
        <v>464</v>
      </c>
      <c r="G5720" s="57" t="s">
        <v>465</v>
      </c>
      <c r="H5720" s="19">
        <v>92500</v>
      </c>
      <c r="I5720" s="19" t="s">
        <v>465</v>
      </c>
      <c r="J5720" s="5" t="s">
        <v>539</v>
      </c>
    </row>
    <row r="5721" spans="1:10" x14ac:dyDescent="0.2">
      <c r="A5721" s="1" t="s">
        <v>111</v>
      </c>
      <c r="B5721" s="2" t="s">
        <v>282</v>
      </c>
      <c r="D5721" s="5" t="s">
        <v>464</v>
      </c>
      <c r="G5721" s="57" t="s">
        <v>465</v>
      </c>
      <c r="H5721" s="19" t="s">
        <v>465</v>
      </c>
      <c r="I5721" s="19">
        <v>97500</v>
      </c>
      <c r="J5721" s="5" t="s">
        <v>539</v>
      </c>
    </row>
    <row r="5722" spans="1:10" x14ac:dyDescent="0.2">
      <c r="A5722" s="1" t="s">
        <v>111</v>
      </c>
      <c r="B5722" s="2" t="s">
        <v>282</v>
      </c>
      <c r="D5722" s="5" t="s">
        <v>464</v>
      </c>
      <c r="G5722" s="57" t="s">
        <v>465</v>
      </c>
      <c r="H5722" s="19" t="s">
        <v>465</v>
      </c>
      <c r="I5722" s="19">
        <v>97500</v>
      </c>
      <c r="J5722" s="5" t="s">
        <v>539</v>
      </c>
    </row>
    <row r="5723" spans="1:10" x14ac:dyDescent="0.2">
      <c r="A5723" s="1" t="s">
        <v>111</v>
      </c>
      <c r="B5723" s="2" t="s">
        <v>282</v>
      </c>
      <c r="D5723" s="5" t="s">
        <v>464</v>
      </c>
      <c r="G5723" s="57" t="s">
        <v>465</v>
      </c>
      <c r="H5723" s="19">
        <v>97500</v>
      </c>
      <c r="I5723" s="19" t="s">
        <v>465</v>
      </c>
      <c r="J5723" s="5" t="s">
        <v>539</v>
      </c>
    </row>
    <row r="5724" spans="1:10" x14ac:dyDescent="0.2">
      <c r="A5724" s="1" t="s">
        <v>111</v>
      </c>
      <c r="B5724" s="2" t="s">
        <v>282</v>
      </c>
      <c r="D5724" s="5" t="s">
        <v>464</v>
      </c>
      <c r="G5724" s="57" t="s">
        <v>465</v>
      </c>
      <c r="H5724" s="19">
        <v>97500</v>
      </c>
      <c r="I5724" s="19" t="s">
        <v>465</v>
      </c>
      <c r="J5724" s="5" t="s">
        <v>539</v>
      </c>
    </row>
    <row r="5725" spans="1:10" x14ac:dyDescent="0.2">
      <c r="A5725" s="1" t="s">
        <v>111</v>
      </c>
      <c r="B5725" s="2" t="s">
        <v>282</v>
      </c>
      <c r="D5725" s="5" t="s">
        <v>464</v>
      </c>
      <c r="G5725" s="57" t="s">
        <v>465</v>
      </c>
      <c r="H5725" s="19">
        <v>97500</v>
      </c>
      <c r="I5725" s="19" t="s">
        <v>465</v>
      </c>
      <c r="J5725" s="5" t="s">
        <v>539</v>
      </c>
    </row>
    <row r="5726" spans="1:10" x14ac:dyDescent="0.2">
      <c r="A5726" s="1" t="s">
        <v>111</v>
      </c>
      <c r="B5726" s="2" t="s">
        <v>282</v>
      </c>
      <c r="D5726" s="5" t="s">
        <v>464</v>
      </c>
      <c r="G5726" s="57" t="s">
        <v>465</v>
      </c>
      <c r="H5726" s="19">
        <v>97500</v>
      </c>
      <c r="I5726" s="19" t="s">
        <v>465</v>
      </c>
    </row>
    <row r="5727" spans="1:10" x14ac:dyDescent="0.2">
      <c r="A5727" s="1" t="s">
        <v>111</v>
      </c>
      <c r="B5727" s="2" t="s">
        <v>282</v>
      </c>
      <c r="D5727" s="5" t="s">
        <v>464</v>
      </c>
      <c r="G5727" s="57" t="s">
        <v>465</v>
      </c>
      <c r="H5727" s="19">
        <v>97500</v>
      </c>
      <c r="I5727" s="19" t="s">
        <v>465</v>
      </c>
    </row>
    <row r="5728" spans="1:10" x14ac:dyDescent="0.2">
      <c r="A5728" s="1" t="s">
        <v>8</v>
      </c>
      <c r="B5728" s="2" t="s">
        <v>284</v>
      </c>
      <c r="D5728" s="5" t="s">
        <v>464</v>
      </c>
      <c r="G5728" s="57" t="s">
        <v>465</v>
      </c>
      <c r="H5728" s="19">
        <v>92500</v>
      </c>
      <c r="I5728" s="19" t="s">
        <v>465</v>
      </c>
    </row>
    <row r="5729" spans="1:10" x14ac:dyDescent="0.2">
      <c r="A5729" s="1" t="s">
        <v>8</v>
      </c>
      <c r="B5729" s="2" t="s">
        <v>284</v>
      </c>
      <c r="D5729" s="5" t="s">
        <v>464</v>
      </c>
      <c r="G5729" s="57" t="s">
        <v>465</v>
      </c>
      <c r="H5729" s="19">
        <v>92500</v>
      </c>
      <c r="I5729" s="19" t="s">
        <v>465</v>
      </c>
    </row>
    <row r="5730" spans="1:10" x14ac:dyDescent="0.2">
      <c r="A5730" s="1" t="s">
        <v>8</v>
      </c>
      <c r="B5730" s="2" t="s">
        <v>284</v>
      </c>
      <c r="D5730" s="5" t="s">
        <v>464</v>
      </c>
      <c r="G5730" s="57" t="s">
        <v>465</v>
      </c>
      <c r="H5730" s="19">
        <v>92500</v>
      </c>
      <c r="I5730" s="19" t="s">
        <v>465</v>
      </c>
      <c r="J5730" s="1"/>
    </row>
    <row r="5731" spans="1:10" x14ac:dyDescent="0.2">
      <c r="A5731" s="1" t="s">
        <v>8</v>
      </c>
      <c r="B5731" s="2" t="s">
        <v>284</v>
      </c>
      <c r="D5731" s="5" t="s">
        <v>464</v>
      </c>
      <c r="G5731" s="57" t="s">
        <v>465</v>
      </c>
      <c r="H5731" s="19">
        <v>92500</v>
      </c>
      <c r="I5731" s="19" t="s">
        <v>465</v>
      </c>
      <c r="J5731" s="1"/>
    </row>
    <row r="5732" spans="1:10" x14ac:dyDescent="0.2">
      <c r="A5732" s="1" t="s">
        <v>8</v>
      </c>
      <c r="B5732" s="2" t="s">
        <v>284</v>
      </c>
      <c r="D5732" s="5" t="s">
        <v>464</v>
      </c>
      <c r="G5732" s="57" t="s">
        <v>465</v>
      </c>
      <c r="H5732" s="19">
        <v>92500</v>
      </c>
      <c r="I5732" s="19" t="s">
        <v>465</v>
      </c>
      <c r="J5732" s="1"/>
    </row>
    <row r="5733" spans="1:10" x14ac:dyDescent="0.2">
      <c r="A5733" s="1" t="s">
        <v>8</v>
      </c>
      <c r="B5733" s="2" t="s">
        <v>284</v>
      </c>
      <c r="D5733" s="5" t="s">
        <v>464</v>
      </c>
      <c r="G5733" s="57" t="s">
        <v>465</v>
      </c>
      <c r="H5733" s="19">
        <v>92500</v>
      </c>
      <c r="I5733" s="19" t="s">
        <v>465</v>
      </c>
      <c r="J5733" s="1"/>
    </row>
    <row r="5734" spans="1:10" x14ac:dyDescent="0.2">
      <c r="A5734" s="1" t="s">
        <v>8</v>
      </c>
      <c r="B5734" s="2" t="s">
        <v>284</v>
      </c>
      <c r="D5734" s="5" t="s">
        <v>464</v>
      </c>
      <c r="G5734" s="57" t="s">
        <v>465</v>
      </c>
      <c r="H5734" s="19">
        <v>92500</v>
      </c>
      <c r="I5734" s="19" t="s">
        <v>465</v>
      </c>
      <c r="J5734" s="1"/>
    </row>
    <row r="5735" spans="1:10" x14ac:dyDescent="0.2">
      <c r="A5735" s="1" t="s">
        <v>8</v>
      </c>
      <c r="B5735" s="2" t="s">
        <v>284</v>
      </c>
      <c r="D5735" s="5" t="s">
        <v>464</v>
      </c>
      <c r="G5735" s="57" t="s">
        <v>465</v>
      </c>
      <c r="H5735" s="19" t="s">
        <v>465</v>
      </c>
      <c r="I5735" s="19">
        <v>92500</v>
      </c>
      <c r="J5735" s="1"/>
    </row>
    <row r="5736" spans="1:10" x14ac:dyDescent="0.2">
      <c r="A5736" s="1" t="s">
        <v>8</v>
      </c>
      <c r="B5736" s="2" t="s">
        <v>284</v>
      </c>
      <c r="D5736" s="5" t="s">
        <v>464</v>
      </c>
      <c r="G5736" s="57" t="s">
        <v>465</v>
      </c>
      <c r="H5736" s="19" t="s">
        <v>465</v>
      </c>
      <c r="I5736" s="19">
        <v>92500</v>
      </c>
      <c r="J5736" s="1"/>
    </row>
    <row r="5737" spans="1:10" x14ac:dyDescent="0.2">
      <c r="A5737" s="1" t="s">
        <v>8</v>
      </c>
      <c r="B5737" s="2" t="s">
        <v>284</v>
      </c>
      <c r="D5737" s="5" t="s">
        <v>464</v>
      </c>
      <c r="G5737" s="57" t="s">
        <v>465</v>
      </c>
      <c r="H5737" s="19" t="s">
        <v>465</v>
      </c>
      <c r="I5737" s="19">
        <v>92500</v>
      </c>
      <c r="J5737" s="1"/>
    </row>
    <row r="5738" spans="1:10" x14ac:dyDescent="0.2">
      <c r="A5738" s="1" t="s">
        <v>8</v>
      </c>
      <c r="B5738" s="2" t="s">
        <v>284</v>
      </c>
      <c r="D5738" s="5" t="s">
        <v>464</v>
      </c>
      <c r="G5738" s="57" t="s">
        <v>465</v>
      </c>
      <c r="H5738" s="19" t="s">
        <v>465</v>
      </c>
      <c r="I5738" s="19">
        <v>92500</v>
      </c>
      <c r="J5738" s="1"/>
    </row>
    <row r="5739" spans="1:10" x14ac:dyDescent="0.2">
      <c r="A5739" s="1" t="s">
        <v>8</v>
      </c>
      <c r="B5739" s="2" t="s">
        <v>285</v>
      </c>
      <c r="D5739" s="5" t="s">
        <v>464</v>
      </c>
      <c r="G5739" s="57" t="s">
        <v>465</v>
      </c>
      <c r="H5739" s="19">
        <v>92500</v>
      </c>
      <c r="I5739" s="19" t="s">
        <v>465</v>
      </c>
    </row>
    <row r="5740" spans="1:10" x14ac:dyDescent="0.2">
      <c r="A5740" s="1" t="s">
        <v>8</v>
      </c>
      <c r="B5740" s="2" t="s">
        <v>285</v>
      </c>
      <c r="D5740" s="5" t="s">
        <v>464</v>
      </c>
      <c r="G5740" s="57" t="s">
        <v>465</v>
      </c>
      <c r="H5740" s="19">
        <v>92500</v>
      </c>
      <c r="I5740" s="19" t="s">
        <v>465</v>
      </c>
    </row>
    <row r="5741" spans="1:10" x14ac:dyDescent="0.2">
      <c r="A5741" s="1" t="s">
        <v>8</v>
      </c>
      <c r="B5741" s="2" t="s">
        <v>285</v>
      </c>
      <c r="D5741" s="5" t="s">
        <v>464</v>
      </c>
      <c r="G5741" s="57" t="s">
        <v>465</v>
      </c>
      <c r="H5741" s="19">
        <v>92500</v>
      </c>
      <c r="I5741" s="19" t="s">
        <v>465</v>
      </c>
    </row>
    <row r="5742" spans="1:10" x14ac:dyDescent="0.2">
      <c r="A5742" s="1" t="s">
        <v>8</v>
      </c>
      <c r="B5742" s="2" t="s">
        <v>285</v>
      </c>
      <c r="D5742" s="5" t="s">
        <v>464</v>
      </c>
      <c r="G5742" s="57" t="s">
        <v>465</v>
      </c>
      <c r="H5742" s="19">
        <v>92500</v>
      </c>
      <c r="I5742" s="19" t="s">
        <v>465</v>
      </c>
    </row>
    <row r="5743" spans="1:10" x14ac:dyDescent="0.2">
      <c r="A5743" s="1" t="s">
        <v>8</v>
      </c>
      <c r="B5743" s="2" t="s">
        <v>285</v>
      </c>
      <c r="D5743" s="5" t="s">
        <v>464</v>
      </c>
      <c r="G5743" s="57" t="s">
        <v>465</v>
      </c>
      <c r="H5743" s="19">
        <v>92500</v>
      </c>
      <c r="I5743" s="19" t="s">
        <v>465</v>
      </c>
    </row>
    <row r="5744" spans="1:10" x14ac:dyDescent="0.2">
      <c r="A5744" s="1" t="s">
        <v>8</v>
      </c>
      <c r="B5744" s="2" t="s">
        <v>285</v>
      </c>
      <c r="D5744" s="5" t="s">
        <v>464</v>
      </c>
      <c r="G5744" s="57" t="s">
        <v>465</v>
      </c>
      <c r="H5744" s="19">
        <v>92500</v>
      </c>
      <c r="I5744" s="19" t="s">
        <v>465</v>
      </c>
    </row>
    <row r="5745" spans="1:10" x14ac:dyDescent="0.2">
      <c r="A5745" s="1" t="s">
        <v>8</v>
      </c>
      <c r="B5745" s="2" t="s">
        <v>285</v>
      </c>
      <c r="D5745" s="5" t="s">
        <v>464</v>
      </c>
      <c r="G5745" s="57" t="s">
        <v>465</v>
      </c>
      <c r="H5745" s="19" t="s">
        <v>465</v>
      </c>
      <c r="I5745" s="19">
        <v>92500</v>
      </c>
    </row>
    <row r="5746" spans="1:10" x14ac:dyDescent="0.2">
      <c r="A5746" s="1" t="s">
        <v>8</v>
      </c>
      <c r="B5746" s="2" t="s">
        <v>285</v>
      </c>
      <c r="D5746" s="5" t="s">
        <v>464</v>
      </c>
      <c r="G5746" s="57" t="s">
        <v>465</v>
      </c>
      <c r="H5746" s="19" t="s">
        <v>465</v>
      </c>
      <c r="I5746" s="19">
        <v>92500</v>
      </c>
    </row>
    <row r="5747" spans="1:10" x14ac:dyDescent="0.2">
      <c r="A5747" s="1" t="s">
        <v>8</v>
      </c>
      <c r="B5747" s="2" t="s">
        <v>285</v>
      </c>
      <c r="D5747" s="5" t="s">
        <v>464</v>
      </c>
      <c r="G5747" s="57" t="s">
        <v>465</v>
      </c>
      <c r="H5747" s="19" t="s">
        <v>465</v>
      </c>
      <c r="I5747" s="19">
        <v>92500</v>
      </c>
      <c r="J5747" s="1"/>
    </row>
    <row r="5748" spans="1:10" x14ac:dyDescent="0.2">
      <c r="A5748" s="1" t="s">
        <v>8</v>
      </c>
      <c r="B5748" s="2" t="s">
        <v>285</v>
      </c>
      <c r="D5748" s="5" t="s">
        <v>464</v>
      </c>
      <c r="G5748" s="57" t="s">
        <v>465</v>
      </c>
      <c r="H5748" s="19" t="s">
        <v>465</v>
      </c>
      <c r="I5748" s="19">
        <v>92500</v>
      </c>
      <c r="J5748" s="1"/>
    </row>
    <row r="5749" spans="1:10" x14ac:dyDescent="0.2">
      <c r="A5749" s="1" t="s">
        <v>8</v>
      </c>
      <c r="B5749" s="2" t="s">
        <v>285</v>
      </c>
      <c r="D5749" s="5" t="s">
        <v>464</v>
      </c>
      <c r="G5749" s="57" t="s">
        <v>465</v>
      </c>
      <c r="H5749" s="19" t="s">
        <v>465</v>
      </c>
      <c r="I5749" s="19">
        <v>92500</v>
      </c>
      <c r="J5749" s="1"/>
    </row>
    <row r="5750" spans="1:10" x14ac:dyDescent="0.2">
      <c r="A5750" s="1" t="s">
        <v>8</v>
      </c>
      <c r="B5750" s="2" t="s">
        <v>285</v>
      </c>
      <c r="D5750" s="5" t="s">
        <v>464</v>
      </c>
      <c r="G5750" s="57" t="s">
        <v>465</v>
      </c>
      <c r="H5750" s="19" t="s">
        <v>465</v>
      </c>
      <c r="I5750" s="19">
        <v>92500</v>
      </c>
      <c r="J5750" s="1"/>
    </row>
    <row r="5751" spans="1:10" x14ac:dyDescent="0.2">
      <c r="A5751" s="1" t="s">
        <v>8</v>
      </c>
      <c r="B5751" s="2" t="s">
        <v>285</v>
      </c>
      <c r="D5751" s="5" t="s">
        <v>464</v>
      </c>
      <c r="G5751" s="57" t="s">
        <v>465</v>
      </c>
      <c r="H5751" s="19" t="s">
        <v>465</v>
      </c>
      <c r="I5751" s="19">
        <v>92500</v>
      </c>
      <c r="J5751" s="1"/>
    </row>
    <row r="5752" spans="1:10" x14ac:dyDescent="0.2">
      <c r="A5752" s="1" t="s">
        <v>8</v>
      </c>
      <c r="B5752" s="2" t="s">
        <v>285</v>
      </c>
      <c r="D5752" s="5" t="s">
        <v>464</v>
      </c>
      <c r="G5752" s="57" t="s">
        <v>465</v>
      </c>
      <c r="H5752" s="19" t="s">
        <v>465</v>
      </c>
      <c r="I5752" s="19">
        <v>92500</v>
      </c>
      <c r="J5752" s="1"/>
    </row>
    <row r="5753" spans="1:10" x14ac:dyDescent="0.2">
      <c r="A5753" s="1" t="s">
        <v>8</v>
      </c>
      <c r="B5753" s="2" t="s">
        <v>285</v>
      </c>
      <c r="D5753" s="5" t="s">
        <v>464</v>
      </c>
      <c r="G5753" s="57" t="s">
        <v>465</v>
      </c>
      <c r="H5753" s="19" t="s">
        <v>465</v>
      </c>
      <c r="I5753" s="19">
        <v>92500</v>
      </c>
      <c r="J5753" s="1"/>
    </row>
    <row r="5754" spans="1:10" x14ac:dyDescent="0.2">
      <c r="A5754" s="1" t="s">
        <v>8</v>
      </c>
      <c r="B5754" s="2" t="s">
        <v>285</v>
      </c>
      <c r="D5754" s="5" t="s">
        <v>464</v>
      </c>
      <c r="G5754" s="57" t="s">
        <v>465</v>
      </c>
      <c r="H5754" s="19" t="s">
        <v>465</v>
      </c>
      <c r="I5754" s="19">
        <v>92500</v>
      </c>
      <c r="J5754" s="1"/>
    </row>
    <row r="5755" spans="1:10" x14ac:dyDescent="0.2">
      <c r="A5755" s="1" t="s">
        <v>8</v>
      </c>
      <c r="B5755" s="2" t="s">
        <v>285</v>
      </c>
      <c r="D5755" s="5" t="s">
        <v>464</v>
      </c>
      <c r="G5755" s="57" t="s">
        <v>465</v>
      </c>
      <c r="H5755" s="19" t="s">
        <v>465</v>
      </c>
      <c r="I5755" s="19">
        <v>92500</v>
      </c>
      <c r="J5755" s="1"/>
    </row>
    <row r="5756" spans="1:10" x14ac:dyDescent="0.2">
      <c r="A5756" s="1" t="s">
        <v>8</v>
      </c>
      <c r="B5756" s="2" t="s">
        <v>285</v>
      </c>
      <c r="D5756" s="5" t="s">
        <v>464</v>
      </c>
      <c r="G5756" s="57" t="s">
        <v>465</v>
      </c>
      <c r="H5756" s="19" t="s">
        <v>465</v>
      </c>
      <c r="I5756" s="19">
        <v>92500</v>
      </c>
      <c r="J5756" s="1"/>
    </row>
    <row r="5757" spans="1:10" x14ac:dyDescent="0.2">
      <c r="A5757" s="1" t="s">
        <v>8</v>
      </c>
      <c r="B5757" s="2" t="s">
        <v>285</v>
      </c>
      <c r="D5757" s="5" t="s">
        <v>464</v>
      </c>
      <c r="G5757" s="57" t="s">
        <v>465</v>
      </c>
      <c r="H5757" s="19">
        <v>97500</v>
      </c>
      <c r="I5757" s="19" t="s">
        <v>465</v>
      </c>
      <c r="J5757" s="1"/>
    </row>
    <row r="5758" spans="1:10" x14ac:dyDescent="0.2">
      <c r="A5758" s="1" t="s">
        <v>8</v>
      </c>
      <c r="B5758" s="2" t="s">
        <v>285</v>
      </c>
      <c r="D5758" s="5" t="s">
        <v>464</v>
      </c>
      <c r="G5758" s="57" t="s">
        <v>465</v>
      </c>
      <c r="H5758" s="19">
        <v>97500</v>
      </c>
      <c r="I5758" s="19" t="s">
        <v>465</v>
      </c>
      <c r="J5758" s="1"/>
    </row>
    <row r="5759" spans="1:10" x14ac:dyDescent="0.2">
      <c r="A5759" s="1" t="s">
        <v>8</v>
      </c>
      <c r="B5759" s="2" t="s">
        <v>285</v>
      </c>
      <c r="D5759" s="5" t="s">
        <v>464</v>
      </c>
      <c r="G5759" s="57" t="s">
        <v>465</v>
      </c>
      <c r="H5759" s="19">
        <v>97500</v>
      </c>
      <c r="I5759" s="19" t="s">
        <v>465</v>
      </c>
      <c r="J5759" s="1"/>
    </row>
    <row r="5760" spans="1:10" x14ac:dyDescent="0.2">
      <c r="A5760" s="1" t="s">
        <v>8</v>
      </c>
      <c r="B5760" s="2" t="s">
        <v>285</v>
      </c>
      <c r="D5760" s="5" t="s">
        <v>464</v>
      </c>
      <c r="G5760" s="57" t="s">
        <v>465</v>
      </c>
      <c r="H5760" s="19">
        <v>97500</v>
      </c>
      <c r="I5760" s="19" t="s">
        <v>465</v>
      </c>
      <c r="J5760" s="1"/>
    </row>
    <row r="5761" spans="1:10" x14ac:dyDescent="0.2">
      <c r="A5761" s="1" t="s">
        <v>8</v>
      </c>
      <c r="B5761" s="2" t="s">
        <v>285</v>
      </c>
      <c r="D5761" s="5" t="s">
        <v>464</v>
      </c>
      <c r="G5761" s="57" t="s">
        <v>465</v>
      </c>
      <c r="H5761" s="19">
        <v>97500</v>
      </c>
      <c r="I5761" s="19" t="s">
        <v>465</v>
      </c>
      <c r="J5761" s="1"/>
    </row>
    <row r="5762" spans="1:10" x14ac:dyDescent="0.2">
      <c r="A5762" s="1" t="s">
        <v>8</v>
      </c>
      <c r="B5762" s="2" t="s">
        <v>285</v>
      </c>
      <c r="D5762" s="5" t="s">
        <v>464</v>
      </c>
      <c r="G5762" s="57" t="s">
        <v>465</v>
      </c>
      <c r="H5762" s="19" t="s">
        <v>465</v>
      </c>
      <c r="I5762" s="19">
        <v>97500</v>
      </c>
      <c r="J5762" s="1"/>
    </row>
    <row r="5763" spans="1:10" x14ac:dyDescent="0.2">
      <c r="A5763" s="1" t="s">
        <v>8</v>
      </c>
      <c r="B5763" s="2" t="s">
        <v>285</v>
      </c>
      <c r="D5763" s="5" t="s">
        <v>464</v>
      </c>
      <c r="G5763" s="57" t="s">
        <v>465</v>
      </c>
      <c r="H5763" s="19" t="s">
        <v>465</v>
      </c>
      <c r="I5763" s="19">
        <v>97500</v>
      </c>
      <c r="J5763" s="1"/>
    </row>
    <row r="5764" spans="1:10" x14ac:dyDescent="0.2">
      <c r="A5764" s="1" t="s">
        <v>8</v>
      </c>
      <c r="B5764" s="2" t="s">
        <v>285</v>
      </c>
      <c r="D5764" s="5" t="s">
        <v>464</v>
      </c>
      <c r="G5764" s="57" t="s">
        <v>465</v>
      </c>
      <c r="H5764" s="19" t="s">
        <v>465</v>
      </c>
      <c r="I5764" s="19">
        <v>97500</v>
      </c>
      <c r="J5764" s="1"/>
    </row>
    <row r="5765" spans="1:10" x14ac:dyDescent="0.2">
      <c r="A5765" s="1" t="s">
        <v>8</v>
      </c>
      <c r="B5765" s="2" t="s">
        <v>285</v>
      </c>
      <c r="D5765" s="5" t="s">
        <v>464</v>
      </c>
      <c r="G5765" s="57" t="s">
        <v>465</v>
      </c>
      <c r="H5765" s="19" t="s">
        <v>465</v>
      </c>
      <c r="I5765" s="19">
        <v>97500</v>
      </c>
      <c r="J5765" s="1"/>
    </row>
    <row r="5766" spans="1:10" x14ac:dyDescent="0.2">
      <c r="A5766" s="1" t="s">
        <v>8</v>
      </c>
      <c r="B5766" s="2" t="s">
        <v>285</v>
      </c>
      <c r="D5766" s="5" t="s">
        <v>464</v>
      </c>
      <c r="G5766" s="57" t="s">
        <v>465</v>
      </c>
      <c r="H5766" s="19" t="s">
        <v>465</v>
      </c>
      <c r="I5766" s="19">
        <v>97500</v>
      </c>
      <c r="J5766" s="1"/>
    </row>
    <row r="5767" spans="1:10" x14ac:dyDescent="0.2">
      <c r="A5767" s="1" t="s">
        <v>8</v>
      </c>
      <c r="B5767" s="2" t="s">
        <v>285</v>
      </c>
      <c r="D5767" s="5" t="s">
        <v>464</v>
      </c>
      <c r="G5767" s="57" t="s">
        <v>465</v>
      </c>
      <c r="H5767" s="19" t="s">
        <v>465</v>
      </c>
      <c r="I5767" s="19">
        <v>97500</v>
      </c>
      <c r="J5767" s="1"/>
    </row>
    <row r="5768" spans="1:10" x14ac:dyDescent="0.2">
      <c r="A5768" s="1" t="s">
        <v>8</v>
      </c>
      <c r="B5768" s="2" t="s">
        <v>285</v>
      </c>
      <c r="D5768" s="5" t="s">
        <v>464</v>
      </c>
      <c r="G5768" s="57" t="s">
        <v>465</v>
      </c>
      <c r="H5768" s="19" t="s">
        <v>465</v>
      </c>
      <c r="I5768" s="19">
        <v>97500</v>
      </c>
      <c r="J5768" s="1"/>
    </row>
    <row r="5769" spans="1:10" x14ac:dyDescent="0.2">
      <c r="A5769" s="1" t="s">
        <v>8</v>
      </c>
      <c r="B5769" s="2" t="s">
        <v>285</v>
      </c>
      <c r="D5769" s="5" t="s">
        <v>464</v>
      </c>
      <c r="G5769" s="57" t="s">
        <v>465</v>
      </c>
      <c r="H5769" s="19" t="s">
        <v>465</v>
      </c>
      <c r="I5769" s="19">
        <v>97500</v>
      </c>
      <c r="J5769" s="1"/>
    </row>
    <row r="5770" spans="1:10" x14ac:dyDescent="0.2">
      <c r="A5770" s="1" t="s">
        <v>8</v>
      </c>
      <c r="B5770" s="2" t="s">
        <v>285</v>
      </c>
      <c r="D5770" s="5" t="s">
        <v>464</v>
      </c>
      <c r="G5770" s="57" t="s">
        <v>465</v>
      </c>
      <c r="H5770" s="19" t="s">
        <v>465</v>
      </c>
      <c r="I5770" s="19">
        <v>97500</v>
      </c>
      <c r="J5770" s="1"/>
    </row>
    <row r="5771" spans="1:10" x14ac:dyDescent="0.2">
      <c r="A5771" s="1" t="s">
        <v>8</v>
      </c>
      <c r="B5771" s="2" t="s">
        <v>285</v>
      </c>
      <c r="D5771" s="5" t="s">
        <v>464</v>
      </c>
      <c r="G5771" s="57" t="s">
        <v>465</v>
      </c>
      <c r="H5771" s="19" t="s">
        <v>465</v>
      </c>
      <c r="I5771" s="19">
        <v>97500</v>
      </c>
      <c r="J5771" s="1"/>
    </row>
    <row r="5772" spans="1:10" x14ac:dyDescent="0.2">
      <c r="A5772" s="1" t="s">
        <v>8</v>
      </c>
      <c r="B5772" s="2" t="s">
        <v>285</v>
      </c>
      <c r="D5772" s="5" t="s">
        <v>464</v>
      </c>
      <c r="G5772" s="57" t="s">
        <v>465</v>
      </c>
      <c r="H5772" s="19" t="s">
        <v>465</v>
      </c>
      <c r="I5772" s="19">
        <v>97500</v>
      </c>
      <c r="J5772" s="1"/>
    </row>
    <row r="5773" spans="1:10" x14ac:dyDescent="0.2">
      <c r="A5773" s="1" t="s">
        <v>8</v>
      </c>
      <c r="B5773" s="2" t="s">
        <v>285</v>
      </c>
      <c r="D5773" s="5" t="s">
        <v>464</v>
      </c>
      <c r="G5773" s="57" t="s">
        <v>465</v>
      </c>
      <c r="H5773" s="19" t="s">
        <v>465</v>
      </c>
      <c r="I5773" s="19">
        <v>97500</v>
      </c>
      <c r="J5773" s="1"/>
    </row>
    <row r="5774" spans="1:10" x14ac:dyDescent="0.2">
      <c r="A5774" s="1" t="s">
        <v>8</v>
      </c>
      <c r="B5774" s="2" t="s">
        <v>285</v>
      </c>
      <c r="D5774" s="5" t="s">
        <v>464</v>
      </c>
      <c r="G5774" s="57" t="s">
        <v>465</v>
      </c>
      <c r="H5774" s="19" t="s">
        <v>465</v>
      </c>
      <c r="I5774" s="19">
        <v>97500</v>
      </c>
      <c r="J5774" s="1"/>
    </row>
    <row r="5775" spans="1:10" x14ac:dyDescent="0.2">
      <c r="A5775" s="1" t="s">
        <v>8</v>
      </c>
      <c r="B5775" s="2" t="s">
        <v>285</v>
      </c>
      <c r="D5775" s="5" t="s">
        <v>464</v>
      </c>
      <c r="G5775" s="57" t="s">
        <v>465</v>
      </c>
      <c r="H5775" s="19" t="s">
        <v>465</v>
      </c>
      <c r="I5775" s="19">
        <v>97500</v>
      </c>
      <c r="J5775" s="1"/>
    </row>
    <row r="5776" spans="1:10" x14ac:dyDescent="0.2">
      <c r="A5776" s="1" t="s">
        <v>6</v>
      </c>
      <c r="B5776" s="2" t="s">
        <v>288</v>
      </c>
      <c r="D5776" s="5" t="s">
        <v>464</v>
      </c>
      <c r="G5776" s="57" t="s">
        <v>465</v>
      </c>
      <c r="H5776" s="19">
        <v>92500</v>
      </c>
      <c r="I5776" s="19" t="s">
        <v>465</v>
      </c>
    </row>
    <row r="5777" spans="1:10" x14ac:dyDescent="0.2">
      <c r="A5777" s="1" t="s">
        <v>6</v>
      </c>
      <c r="B5777" s="2" t="s">
        <v>288</v>
      </c>
      <c r="D5777" s="5" t="s">
        <v>464</v>
      </c>
      <c r="G5777" s="57" t="s">
        <v>465</v>
      </c>
      <c r="H5777" s="19">
        <v>92500</v>
      </c>
      <c r="I5777" s="19" t="s">
        <v>465</v>
      </c>
    </row>
    <row r="5778" spans="1:10" x14ac:dyDescent="0.2">
      <c r="A5778" s="1" t="s">
        <v>6</v>
      </c>
      <c r="B5778" s="2" t="s">
        <v>288</v>
      </c>
      <c r="D5778" s="5" t="s">
        <v>464</v>
      </c>
      <c r="G5778" s="57" t="s">
        <v>465</v>
      </c>
      <c r="H5778" s="19">
        <v>92500</v>
      </c>
      <c r="I5778" s="19" t="s">
        <v>465</v>
      </c>
    </row>
    <row r="5779" spans="1:10" x14ac:dyDescent="0.2">
      <c r="A5779" s="1" t="s">
        <v>6</v>
      </c>
      <c r="B5779" s="2" t="s">
        <v>288</v>
      </c>
      <c r="D5779" s="5" t="s">
        <v>464</v>
      </c>
      <c r="G5779" s="57" t="s">
        <v>465</v>
      </c>
      <c r="H5779" s="19">
        <v>92500</v>
      </c>
      <c r="I5779" s="19" t="s">
        <v>465</v>
      </c>
    </row>
    <row r="5780" spans="1:10" x14ac:dyDescent="0.2">
      <c r="A5780" s="1" t="s">
        <v>6</v>
      </c>
      <c r="B5780" s="2" t="s">
        <v>288</v>
      </c>
      <c r="D5780" s="5" t="s">
        <v>464</v>
      </c>
      <c r="G5780" s="57" t="s">
        <v>465</v>
      </c>
      <c r="H5780" s="19" t="s">
        <v>465</v>
      </c>
      <c r="I5780" s="19">
        <v>92500</v>
      </c>
    </row>
    <row r="5781" spans="1:10" x14ac:dyDescent="0.2">
      <c r="A5781" s="1" t="s">
        <v>6</v>
      </c>
      <c r="B5781" s="2" t="s">
        <v>288</v>
      </c>
      <c r="D5781" s="5" t="s">
        <v>464</v>
      </c>
      <c r="G5781" s="57" t="s">
        <v>465</v>
      </c>
      <c r="H5781" s="19" t="s">
        <v>465</v>
      </c>
      <c r="I5781" s="19">
        <v>92500</v>
      </c>
    </row>
    <row r="5782" spans="1:10" x14ac:dyDescent="0.2">
      <c r="A5782" s="1" t="s">
        <v>6</v>
      </c>
      <c r="B5782" s="2" t="s">
        <v>288</v>
      </c>
      <c r="D5782" s="5" t="s">
        <v>464</v>
      </c>
      <c r="G5782" s="57" t="s">
        <v>465</v>
      </c>
      <c r="H5782" s="19">
        <v>97500</v>
      </c>
      <c r="I5782" s="19" t="s">
        <v>465</v>
      </c>
    </row>
    <row r="5783" spans="1:10" ht="25.5" x14ac:dyDescent="0.2">
      <c r="A5783" s="1" t="s">
        <v>11</v>
      </c>
      <c r="B5783" s="2" t="s">
        <v>289</v>
      </c>
      <c r="C5783" s="29" t="s">
        <v>2849</v>
      </c>
      <c r="G5783" s="57" t="s">
        <v>465</v>
      </c>
    </row>
    <row r="5784" spans="1:10" x14ac:dyDescent="0.2">
      <c r="A5784" s="1" t="s">
        <v>4</v>
      </c>
      <c r="B5784" s="2" t="s">
        <v>291</v>
      </c>
      <c r="D5784" s="5" t="s">
        <v>464</v>
      </c>
      <c r="G5784" s="57" t="s">
        <v>465</v>
      </c>
      <c r="H5784" s="19" t="s">
        <v>465</v>
      </c>
      <c r="I5784" s="19">
        <v>92500</v>
      </c>
    </row>
    <row r="5785" spans="1:10" x14ac:dyDescent="0.2">
      <c r="A5785" s="1" t="s">
        <v>4</v>
      </c>
      <c r="B5785" s="2" t="s">
        <v>292</v>
      </c>
      <c r="D5785" s="5" t="s">
        <v>464</v>
      </c>
      <c r="G5785" s="57" t="s">
        <v>465</v>
      </c>
      <c r="H5785" s="19">
        <v>92500</v>
      </c>
      <c r="I5785" s="19" t="s">
        <v>465</v>
      </c>
    </row>
    <row r="5786" spans="1:10" x14ac:dyDescent="0.2">
      <c r="A5786" s="1" t="s">
        <v>4</v>
      </c>
      <c r="B5786" s="2" t="s">
        <v>292</v>
      </c>
      <c r="D5786" s="5" t="s">
        <v>464</v>
      </c>
      <c r="G5786" s="57" t="s">
        <v>465</v>
      </c>
      <c r="H5786" s="19">
        <v>92500</v>
      </c>
      <c r="I5786" s="19" t="s">
        <v>465</v>
      </c>
    </row>
    <row r="5787" spans="1:10" x14ac:dyDescent="0.2">
      <c r="A5787" s="1" t="s">
        <v>4</v>
      </c>
      <c r="B5787" s="2" t="s">
        <v>292</v>
      </c>
      <c r="D5787" s="5" t="s">
        <v>464</v>
      </c>
      <c r="G5787" s="57" t="s">
        <v>465</v>
      </c>
      <c r="H5787" s="19" t="s">
        <v>465</v>
      </c>
      <c r="I5787" s="19">
        <v>97500</v>
      </c>
    </row>
    <row r="5788" spans="1:10" x14ac:dyDescent="0.2">
      <c r="A5788" s="1" t="s">
        <v>4</v>
      </c>
      <c r="B5788" s="2" t="s">
        <v>292</v>
      </c>
      <c r="D5788" s="5" t="s">
        <v>464</v>
      </c>
      <c r="G5788" s="57" t="s">
        <v>465</v>
      </c>
      <c r="H5788" s="19" t="s">
        <v>465</v>
      </c>
      <c r="I5788" s="19">
        <v>97500</v>
      </c>
    </row>
    <row r="5789" spans="1:10" x14ac:dyDescent="0.2">
      <c r="A5789" s="1" t="s">
        <v>44</v>
      </c>
      <c r="B5789" s="2" t="s">
        <v>293</v>
      </c>
      <c r="D5789" s="5" t="s">
        <v>464</v>
      </c>
      <c r="G5789" s="57" t="s">
        <v>465</v>
      </c>
      <c r="H5789" s="19">
        <v>92500</v>
      </c>
      <c r="I5789" s="19" t="s">
        <v>465</v>
      </c>
      <c r="J5789" s="5" t="s">
        <v>2908</v>
      </c>
    </row>
    <row r="5790" spans="1:10" x14ac:dyDescent="0.2">
      <c r="A5790" s="1" t="s">
        <v>44</v>
      </c>
      <c r="B5790" s="2" t="s">
        <v>293</v>
      </c>
      <c r="D5790" s="5" t="s">
        <v>464</v>
      </c>
      <c r="G5790" s="57" t="s">
        <v>465</v>
      </c>
      <c r="H5790" s="19">
        <v>92500</v>
      </c>
      <c r="I5790" s="19" t="s">
        <v>465</v>
      </c>
    </row>
    <row r="5791" spans="1:10" x14ac:dyDescent="0.2">
      <c r="A5791" s="1" t="s">
        <v>44</v>
      </c>
      <c r="B5791" s="2" t="s">
        <v>293</v>
      </c>
      <c r="D5791" s="5" t="s">
        <v>464</v>
      </c>
      <c r="G5791" s="57" t="s">
        <v>465</v>
      </c>
      <c r="H5791" s="19">
        <v>92500</v>
      </c>
      <c r="I5791" s="19" t="s">
        <v>465</v>
      </c>
    </row>
    <row r="5792" spans="1:10" x14ac:dyDescent="0.2">
      <c r="A5792" s="1" t="s">
        <v>44</v>
      </c>
      <c r="B5792" s="2" t="s">
        <v>293</v>
      </c>
      <c r="D5792" s="5" t="s">
        <v>464</v>
      </c>
      <c r="G5792" s="57" t="s">
        <v>465</v>
      </c>
      <c r="H5792" s="19" t="s">
        <v>465</v>
      </c>
      <c r="I5792" s="19">
        <v>92500</v>
      </c>
    </row>
    <row r="5793" spans="1:9" x14ac:dyDescent="0.2">
      <c r="A5793" s="1" t="s">
        <v>44</v>
      </c>
      <c r="B5793" s="2" t="s">
        <v>293</v>
      </c>
      <c r="D5793" s="5" t="s">
        <v>464</v>
      </c>
      <c r="G5793" s="57" t="s">
        <v>465</v>
      </c>
      <c r="H5793" s="19" t="s">
        <v>465</v>
      </c>
      <c r="I5793" s="19">
        <v>92500</v>
      </c>
    </row>
    <row r="5794" spans="1:9" x14ac:dyDescent="0.2">
      <c r="A5794" s="1" t="s">
        <v>44</v>
      </c>
      <c r="B5794" s="2" t="s">
        <v>293</v>
      </c>
      <c r="D5794" s="5" t="s">
        <v>464</v>
      </c>
      <c r="G5794" s="57" t="s">
        <v>465</v>
      </c>
      <c r="H5794" s="19" t="s">
        <v>465</v>
      </c>
      <c r="I5794" s="19">
        <v>92500</v>
      </c>
    </row>
    <row r="5795" spans="1:9" x14ac:dyDescent="0.2">
      <c r="A5795" s="1" t="s">
        <v>20</v>
      </c>
      <c r="B5795" s="2" t="s">
        <v>296</v>
      </c>
      <c r="D5795" s="5" t="s">
        <v>464</v>
      </c>
      <c r="G5795" s="57" t="s">
        <v>465</v>
      </c>
      <c r="H5795" s="19">
        <v>92500</v>
      </c>
      <c r="I5795" s="19" t="s">
        <v>465</v>
      </c>
    </row>
    <row r="5796" spans="1:9" x14ac:dyDescent="0.2">
      <c r="A5796" s="1" t="s">
        <v>20</v>
      </c>
      <c r="B5796" s="2" t="s">
        <v>296</v>
      </c>
      <c r="D5796" s="5" t="s">
        <v>464</v>
      </c>
      <c r="G5796" s="57" t="s">
        <v>465</v>
      </c>
      <c r="H5796" s="19">
        <v>92500</v>
      </c>
      <c r="I5796" s="19" t="s">
        <v>465</v>
      </c>
    </row>
    <row r="5797" spans="1:9" x14ac:dyDescent="0.2">
      <c r="A5797" s="1" t="s">
        <v>20</v>
      </c>
      <c r="B5797" s="2" t="s">
        <v>296</v>
      </c>
      <c r="D5797" s="5" t="s">
        <v>464</v>
      </c>
      <c r="G5797" s="57" t="s">
        <v>465</v>
      </c>
      <c r="H5797" s="19">
        <v>92500</v>
      </c>
      <c r="I5797" s="19" t="s">
        <v>465</v>
      </c>
    </row>
    <row r="5798" spans="1:9" x14ac:dyDescent="0.2">
      <c r="A5798" s="1" t="s">
        <v>20</v>
      </c>
      <c r="B5798" s="2" t="s">
        <v>296</v>
      </c>
      <c r="D5798" s="5" t="s">
        <v>464</v>
      </c>
      <c r="G5798" s="57" t="s">
        <v>465</v>
      </c>
      <c r="H5798" s="19">
        <v>92500</v>
      </c>
      <c r="I5798" s="19" t="s">
        <v>465</v>
      </c>
    </row>
    <row r="5799" spans="1:9" x14ac:dyDescent="0.2">
      <c r="A5799" s="1" t="s">
        <v>20</v>
      </c>
      <c r="B5799" s="2" t="s">
        <v>296</v>
      </c>
      <c r="D5799" s="5" t="s">
        <v>464</v>
      </c>
      <c r="G5799" s="57" t="s">
        <v>465</v>
      </c>
      <c r="H5799" s="19">
        <v>92500</v>
      </c>
      <c r="I5799" s="19" t="s">
        <v>465</v>
      </c>
    </row>
    <row r="5800" spans="1:9" x14ac:dyDescent="0.2">
      <c r="A5800" s="1" t="s">
        <v>20</v>
      </c>
      <c r="B5800" s="2" t="s">
        <v>296</v>
      </c>
      <c r="D5800" s="5" t="s">
        <v>464</v>
      </c>
      <c r="G5800" s="57" t="s">
        <v>465</v>
      </c>
      <c r="H5800" s="19">
        <v>92500</v>
      </c>
      <c r="I5800" s="19" t="s">
        <v>465</v>
      </c>
    </row>
    <row r="5801" spans="1:9" x14ac:dyDescent="0.2">
      <c r="A5801" s="1" t="s">
        <v>20</v>
      </c>
      <c r="B5801" s="2" t="s">
        <v>296</v>
      </c>
      <c r="D5801" s="5" t="s">
        <v>464</v>
      </c>
      <c r="G5801" s="57" t="s">
        <v>465</v>
      </c>
      <c r="H5801" s="19" t="s">
        <v>465</v>
      </c>
      <c r="I5801" s="19">
        <v>92500</v>
      </c>
    </row>
    <row r="5802" spans="1:9" x14ac:dyDescent="0.2">
      <c r="A5802" s="1" t="s">
        <v>20</v>
      </c>
      <c r="B5802" s="2" t="s">
        <v>296</v>
      </c>
      <c r="D5802" s="5" t="s">
        <v>464</v>
      </c>
      <c r="G5802" s="57" t="s">
        <v>465</v>
      </c>
      <c r="H5802" s="19" t="s">
        <v>465</v>
      </c>
      <c r="I5802" s="19">
        <v>92500</v>
      </c>
    </row>
    <row r="5803" spans="1:9" x14ac:dyDescent="0.2">
      <c r="A5803" s="1" t="s">
        <v>20</v>
      </c>
      <c r="B5803" s="2" t="s">
        <v>296</v>
      </c>
      <c r="D5803" s="5" t="s">
        <v>464</v>
      </c>
      <c r="G5803" s="57" t="s">
        <v>465</v>
      </c>
      <c r="H5803" s="19" t="s">
        <v>465</v>
      </c>
      <c r="I5803" s="19">
        <v>92500</v>
      </c>
    </row>
    <row r="5804" spans="1:9" x14ac:dyDescent="0.2">
      <c r="A5804" s="1" t="s">
        <v>20</v>
      </c>
      <c r="B5804" s="2" t="s">
        <v>296</v>
      </c>
      <c r="D5804" s="5" t="s">
        <v>464</v>
      </c>
      <c r="G5804" s="57" t="s">
        <v>465</v>
      </c>
      <c r="H5804" s="19" t="s">
        <v>465</v>
      </c>
      <c r="I5804" s="19">
        <v>92500</v>
      </c>
    </row>
    <row r="5805" spans="1:9" x14ac:dyDescent="0.2">
      <c r="A5805" s="1" t="s">
        <v>20</v>
      </c>
      <c r="B5805" s="2" t="s">
        <v>296</v>
      </c>
      <c r="D5805" s="5" t="s">
        <v>464</v>
      </c>
      <c r="G5805" s="57" t="s">
        <v>465</v>
      </c>
      <c r="H5805" s="19" t="s">
        <v>465</v>
      </c>
      <c r="I5805" s="19">
        <v>92500</v>
      </c>
    </row>
    <row r="5806" spans="1:9" x14ac:dyDescent="0.2">
      <c r="A5806" s="1" t="s">
        <v>20</v>
      </c>
      <c r="B5806" s="2" t="s">
        <v>296</v>
      </c>
      <c r="D5806" s="5" t="s">
        <v>464</v>
      </c>
      <c r="G5806" s="57" t="s">
        <v>465</v>
      </c>
      <c r="H5806" s="19" t="s">
        <v>465</v>
      </c>
      <c r="I5806" s="19">
        <v>92500</v>
      </c>
    </row>
    <row r="5807" spans="1:9" x14ac:dyDescent="0.2">
      <c r="A5807" s="1" t="s">
        <v>20</v>
      </c>
      <c r="B5807" s="2" t="s">
        <v>296</v>
      </c>
      <c r="D5807" s="5" t="s">
        <v>464</v>
      </c>
      <c r="G5807" s="57" t="s">
        <v>465</v>
      </c>
      <c r="H5807" s="19" t="s">
        <v>465</v>
      </c>
      <c r="I5807" s="19">
        <v>92500</v>
      </c>
    </row>
    <row r="5808" spans="1:9" x14ac:dyDescent="0.2">
      <c r="A5808" s="1" t="s">
        <v>20</v>
      </c>
      <c r="B5808" s="2" t="s">
        <v>296</v>
      </c>
      <c r="D5808" s="5" t="s">
        <v>464</v>
      </c>
      <c r="G5808" s="57" t="s">
        <v>465</v>
      </c>
      <c r="H5808" s="19" t="s">
        <v>465</v>
      </c>
      <c r="I5808" s="19">
        <v>97500</v>
      </c>
    </row>
    <row r="5809" spans="1:9" x14ac:dyDescent="0.2">
      <c r="A5809" s="1" t="s">
        <v>34</v>
      </c>
      <c r="B5809" s="2" t="s">
        <v>297</v>
      </c>
      <c r="D5809" s="5" t="s">
        <v>464</v>
      </c>
      <c r="G5809" s="57" t="s">
        <v>465</v>
      </c>
      <c r="H5809" s="19" t="s">
        <v>465</v>
      </c>
      <c r="I5809" s="19">
        <v>92500</v>
      </c>
    </row>
    <row r="5810" spans="1:9" x14ac:dyDescent="0.2">
      <c r="A5810" s="1" t="s">
        <v>34</v>
      </c>
      <c r="B5810" s="2" t="s">
        <v>297</v>
      </c>
      <c r="D5810" s="5" t="s">
        <v>464</v>
      </c>
      <c r="G5810" s="57" t="s">
        <v>465</v>
      </c>
      <c r="H5810" s="19" t="s">
        <v>465</v>
      </c>
      <c r="I5810" s="19">
        <v>92500</v>
      </c>
    </row>
    <row r="5811" spans="1:9" x14ac:dyDescent="0.2">
      <c r="A5811" s="1" t="s">
        <v>34</v>
      </c>
      <c r="B5811" s="2" t="s">
        <v>297</v>
      </c>
      <c r="D5811" s="5" t="s">
        <v>464</v>
      </c>
      <c r="G5811" s="57" t="s">
        <v>465</v>
      </c>
      <c r="H5811" s="19">
        <v>97500</v>
      </c>
      <c r="I5811" s="19" t="s">
        <v>465</v>
      </c>
    </row>
    <row r="5812" spans="1:9" x14ac:dyDescent="0.2">
      <c r="A5812" s="1" t="s">
        <v>34</v>
      </c>
      <c r="B5812" s="2" t="s">
        <v>297</v>
      </c>
      <c r="D5812" s="5" t="s">
        <v>464</v>
      </c>
      <c r="G5812" s="57" t="s">
        <v>465</v>
      </c>
      <c r="H5812" s="19">
        <v>97500</v>
      </c>
      <c r="I5812" s="19" t="s">
        <v>465</v>
      </c>
    </row>
    <row r="5813" spans="1:9" x14ac:dyDescent="0.2">
      <c r="A5813" s="1" t="s">
        <v>34</v>
      </c>
      <c r="B5813" s="2" t="s">
        <v>297</v>
      </c>
      <c r="D5813" s="5" t="s">
        <v>464</v>
      </c>
      <c r="G5813" s="57" t="s">
        <v>465</v>
      </c>
      <c r="H5813" s="19">
        <v>97500</v>
      </c>
      <c r="I5813" s="19" t="s">
        <v>465</v>
      </c>
    </row>
    <row r="5814" spans="1:9" x14ac:dyDescent="0.2">
      <c r="A5814" s="1" t="s">
        <v>34</v>
      </c>
      <c r="B5814" s="2" t="s">
        <v>297</v>
      </c>
      <c r="D5814" s="5" t="s">
        <v>464</v>
      </c>
      <c r="G5814" s="57" t="s">
        <v>465</v>
      </c>
      <c r="H5814" s="19">
        <v>97500</v>
      </c>
      <c r="I5814" s="19" t="s">
        <v>465</v>
      </c>
    </row>
    <row r="5815" spans="1:9" x14ac:dyDescent="0.2">
      <c r="A5815" s="1" t="s">
        <v>34</v>
      </c>
      <c r="B5815" s="2" t="s">
        <v>297</v>
      </c>
      <c r="D5815" s="5" t="s">
        <v>464</v>
      </c>
      <c r="G5815" s="57" t="s">
        <v>465</v>
      </c>
      <c r="H5815" s="19" t="s">
        <v>465</v>
      </c>
      <c r="I5815" s="19">
        <v>97500</v>
      </c>
    </row>
    <row r="5816" spans="1:9" x14ac:dyDescent="0.2">
      <c r="A5816" s="1" t="s">
        <v>34</v>
      </c>
      <c r="B5816" s="2" t="s">
        <v>297</v>
      </c>
      <c r="D5816" s="5" t="s">
        <v>464</v>
      </c>
      <c r="G5816" s="57" t="s">
        <v>465</v>
      </c>
      <c r="H5816" s="19" t="s">
        <v>465</v>
      </c>
      <c r="I5816" s="19">
        <v>97500</v>
      </c>
    </row>
    <row r="5817" spans="1:9" x14ac:dyDescent="0.2">
      <c r="A5817" s="1" t="s">
        <v>34</v>
      </c>
      <c r="B5817" s="2" t="s">
        <v>298</v>
      </c>
      <c r="D5817" s="5" t="s">
        <v>464</v>
      </c>
      <c r="G5817" s="57" t="s">
        <v>465</v>
      </c>
      <c r="H5817" s="19">
        <v>92500</v>
      </c>
      <c r="I5817" s="19" t="s">
        <v>465</v>
      </c>
    </row>
    <row r="5818" spans="1:9" x14ac:dyDescent="0.2">
      <c r="A5818" s="1" t="s">
        <v>34</v>
      </c>
      <c r="B5818" s="2" t="s">
        <v>298</v>
      </c>
      <c r="D5818" s="5" t="s">
        <v>464</v>
      </c>
      <c r="G5818" s="57" t="s">
        <v>465</v>
      </c>
      <c r="H5818" s="19" t="s">
        <v>465</v>
      </c>
      <c r="I5818" s="19">
        <v>92500</v>
      </c>
    </row>
    <row r="5819" spans="1:9" x14ac:dyDescent="0.2">
      <c r="A5819" s="1" t="s">
        <v>34</v>
      </c>
      <c r="B5819" s="2" t="s">
        <v>298</v>
      </c>
      <c r="D5819" s="5" t="s">
        <v>464</v>
      </c>
      <c r="G5819" s="57" t="s">
        <v>465</v>
      </c>
      <c r="H5819" s="19" t="s">
        <v>465</v>
      </c>
      <c r="I5819" s="19">
        <v>92500</v>
      </c>
    </row>
    <row r="5820" spans="1:9" x14ac:dyDescent="0.2">
      <c r="A5820" s="1" t="s">
        <v>34</v>
      </c>
      <c r="B5820" s="2" t="s">
        <v>298</v>
      </c>
      <c r="D5820" s="5" t="s">
        <v>464</v>
      </c>
      <c r="G5820" s="57" t="s">
        <v>465</v>
      </c>
      <c r="H5820" s="19" t="s">
        <v>465</v>
      </c>
      <c r="I5820" s="19">
        <v>92500</v>
      </c>
    </row>
    <row r="5821" spans="1:9" x14ac:dyDescent="0.2">
      <c r="A5821" s="1" t="s">
        <v>4</v>
      </c>
      <c r="B5821" s="2" t="s">
        <v>299</v>
      </c>
      <c r="D5821" s="5" t="s">
        <v>464</v>
      </c>
      <c r="G5821" s="57" t="s">
        <v>465</v>
      </c>
      <c r="H5821" s="19">
        <v>92500</v>
      </c>
      <c r="I5821" s="19" t="s">
        <v>465</v>
      </c>
    </row>
    <row r="5822" spans="1:9" x14ac:dyDescent="0.2">
      <c r="A5822" s="1" t="s">
        <v>4</v>
      </c>
      <c r="B5822" s="2" t="s">
        <v>299</v>
      </c>
      <c r="D5822" s="5" t="s">
        <v>464</v>
      </c>
      <c r="G5822" s="57" t="s">
        <v>465</v>
      </c>
      <c r="H5822" s="19">
        <v>97500</v>
      </c>
      <c r="I5822" s="19" t="s">
        <v>465</v>
      </c>
    </row>
    <row r="5823" spans="1:9" x14ac:dyDescent="0.2">
      <c r="A5823" s="1" t="s">
        <v>4</v>
      </c>
      <c r="B5823" s="2" t="s">
        <v>299</v>
      </c>
      <c r="D5823" s="5" t="s">
        <v>464</v>
      </c>
      <c r="G5823" s="57" t="s">
        <v>465</v>
      </c>
      <c r="H5823" s="19" t="s">
        <v>465</v>
      </c>
      <c r="I5823" s="19">
        <v>97500</v>
      </c>
    </row>
    <row r="5824" spans="1:9" x14ac:dyDescent="0.2">
      <c r="A5824" s="1" t="s">
        <v>4</v>
      </c>
      <c r="B5824" s="2" t="s">
        <v>299</v>
      </c>
      <c r="D5824" s="5" t="s">
        <v>464</v>
      </c>
      <c r="G5824" s="57" t="s">
        <v>465</v>
      </c>
      <c r="H5824" s="19" t="s">
        <v>465</v>
      </c>
      <c r="I5824" s="19">
        <v>97500</v>
      </c>
    </row>
    <row r="5825" spans="1:10" ht="25.5" x14ac:dyDescent="0.2">
      <c r="A5825" s="1" t="s">
        <v>34</v>
      </c>
      <c r="B5825" s="2" t="s">
        <v>302</v>
      </c>
      <c r="C5825" s="29" t="s">
        <v>2849</v>
      </c>
      <c r="G5825" s="57" t="s">
        <v>465</v>
      </c>
    </row>
    <row r="5826" spans="1:10" x14ac:dyDescent="0.2">
      <c r="A5826" s="1" t="s">
        <v>4</v>
      </c>
      <c r="B5826" s="2" t="s">
        <v>303</v>
      </c>
      <c r="D5826" s="5" t="s">
        <v>464</v>
      </c>
      <c r="G5826" s="57" t="s">
        <v>465</v>
      </c>
      <c r="H5826" s="19" t="s">
        <v>465</v>
      </c>
      <c r="I5826" s="19">
        <v>92500</v>
      </c>
      <c r="J5826" s="5" t="s">
        <v>539</v>
      </c>
    </row>
    <row r="5827" spans="1:10" x14ac:dyDescent="0.2">
      <c r="A5827" s="1" t="s">
        <v>4</v>
      </c>
      <c r="B5827" s="2" t="s">
        <v>303</v>
      </c>
      <c r="D5827" s="5" t="s">
        <v>464</v>
      </c>
      <c r="G5827" s="57" t="s">
        <v>465</v>
      </c>
      <c r="H5827" s="19" t="s">
        <v>465</v>
      </c>
      <c r="I5827" s="19">
        <v>92500</v>
      </c>
      <c r="J5827" s="5" t="s">
        <v>539</v>
      </c>
    </row>
    <row r="5828" spans="1:10" x14ac:dyDescent="0.2">
      <c r="A5828" s="1" t="s">
        <v>4</v>
      </c>
      <c r="B5828" s="2" t="s">
        <v>303</v>
      </c>
      <c r="D5828" s="5" t="s">
        <v>464</v>
      </c>
      <c r="G5828" s="57" t="s">
        <v>465</v>
      </c>
      <c r="H5828" s="19" t="s">
        <v>465</v>
      </c>
      <c r="I5828" s="19">
        <v>97500</v>
      </c>
    </row>
    <row r="5829" spans="1:10" x14ac:dyDescent="0.2">
      <c r="A5829" s="1" t="s">
        <v>25</v>
      </c>
      <c r="B5829" s="2" t="s">
        <v>304</v>
      </c>
      <c r="D5829" s="5" t="s">
        <v>464</v>
      </c>
      <c r="G5829" s="57" t="s">
        <v>465</v>
      </c>
      <c r="H5829" s="19">
        <v>92500</v>
      </c>
      <c r="I5829" s="19" t="s">
        <v>465</v>
      </c>
    </row>
    <row r="5830" spans="1:10" x14ac:dyDescent="0.2">
      <c r="A5830" s="1" t="s">
        <v>25</v>
      </c>
      <c r="B5830" s="2" t="s">
        <v>304</v>
      </c>
      <c r="D5830" s="5" t="s">
        <v>464</v>
      </c>
      <c r="G5830" s="57" t="s">
        <v>465</v>
      </c>
      <c r="H5830" s="19">
        <v>92500</v>
      </c>
      <c r="I5830" s="19" t="s">
        <v>465</v>
      </c>
    </row>
    <row r="5831" spans="1:10" x14ac:dyDescent="0.2">
      <c r="A5831" s="1" t="s">
        <v>25</v>
      </c>
      <c r="B5831" s="2" t="s">
        <v>304</v>
      </c>
      <c r="D5831" s="5" t="s">
        <v>464</v>
      </c>
      <c r="G5831" s="57" t="s">
        <v>465</v>
      </c>
      <c r="H5831" s="19" t="s">
        <v>465</v>
      </c>
      <c r="I5831" s="19">
        <v>92500</v>
      </c>
    </row>
    <row r="5832" spans="1:10" x14ac:dyDescent="0.2">
      <c r="A5832" s="1" t="s">
        <v>25</v>
      </c>
      <c r="B5832" s="2" t="s">
        <v>304</v>
      </c>
      <c r="D5832" s="5" t="s">
        <v>464</v>
      </c>
      <c r="G5832" s="57" t="s">
        <v>465</v>
      </c>
      <c r="H5832" s="19" t="s">
        <v>465</v>
      </c>
      <c r="I5832" s="19">
        <v>92500</v>
      </c>
    </row>
    <row r="5833" spans="1:10" x14ac:dyDescent="0.2">
      <c r="A5833" s="1" t="s">
        <v>25</v>
      </c>
      <c r="B5833" s="2" t="s">
        <v>304</v>
      </c>
      <c r="D5833" s="5" t="s">
        <v>464</v>
      </c>
      <c r="G5833" s="57" t="s">
        <v>465</v>
      </c>
      <c r="H5833" s="19" t="s">
        <v>465</v>
      </c>
      <c r="I5833" s="19">
        <v>92500</v>
      </c>
    </row>
    <row r="5834" spans="1:10" x14ac:dyDescent="0.2">
      <c r="A5834" s="1" t="s">
        <v>25</v>
      </c>
      <c r="B5834" s="2" t="s">
        <v>304</v>
      </c>
      <c r="D5834" s="5" t="s">
        <v>464</v>
      </c>
      <c r="G5834" s="57" t="s">
        <v>465</v>
      </c>
      <c r="H5834" s="19">
        <v>97500</v>
      </c>
      <c r="I5834" s="19" t="s">
        <v>465</v>
      </c>
    </row>
    <row r="5835" spans="1:10" x14ac:dyDescent="0.2">
      <c r="A5835" s="1" t="s">
        <v>111</v>
      </c>
      <c r="B5835" s="2" t="s">
        <v>305</v>
      </c>
      <c r="D5835" s="5" t="s">
        <v>464</v>
      </c>
      <c r="G5835" s="57" t="s">
        <v>465</v>
      </c>
      <c r="H5835" s="19">
        <v>92500</v>
      </c>
      <c r="I5835" s="19" t="s">
        <v>465</v>
      </c>
    </row>
    <row r="5836" spans="1:10" x14ac:dyDescent="0.2">
      <c r="A5836" s="1" t="s">
        <v>111</v>
      </c>
      <c r="B5836" s="2" t="s">
        <v>305</v>
      </c>
      <c r="D5836" s="5" t="s">
        <v>464</v>
      </c>
      <c r="G5836" s="57" t="s">
        <v>465</v>
      </c>
      <c r="H5836" s="19">
        <v>92500</v>
      </c>
      <c r="I5836" s="19" t="s">
        <v>465</v>
      </c>
    </row>
    <row r="5837" spans="1:10" x14ac:dyDescent="0.2">
      <c r="A5837" s="1" t="s">
        <v>111</v>
      </c>
      <c r="B5837" s="2" t="s">
        <v>305</v>
      </c>
      <c r="D5837" s="5" t="s">
        <v>464</v>
      </c>
      <c r="G5837" s="57" t="s">
        <v>465</v>
      </c>
      <c r="H5837" s="19">
        <v>97500</v>
      </c>
      <c r="I5837" s="19" t="s">
        <v>465</v>
      </c>
    </row>
    <row r="5838" spans="1:10" x14ac:dyDescent="0.2">
      <c r="A5838" s="1" t="s">
        <v>111</v>
      </c>
      <c r="B5838" s="2" t="s">
        <v>305</v>
      </c>
      <c r="D5838" s="5" t="s">
        <v>464</v>
      </c>
      <c r="G5838" s="57" t="s">
        <v>465</v>
      </c>
      <c r="H5838" s="19">
        <v>97500</v>
      </c>
      <c r="I5838" s="19" t="s">
        <v>465</v>
      </c>
    </row>
    <row r="5839" spans="1:10" x14ac:dyDescent="0.2">
      <c r="A5839" s="1" t="s">
        <v>111</v>
      </c>
      <c r="B5839" s="2" t="s">
        <v>305</v>
      </c>
      <c r="D5839" s="5" t="s">
        <v>464</v>
      </c>
      <c r="G5839" s="57" t="s">
        <v>465</v>
      </c>
      <c r="H5839" s="19" t="s">
        <v>465</v>
      </c>
      <c r="I5839" s="19">
        <v>97500</v>
      </c>
    </row>
    <row r="5840" spans="1:10" x14ac:dyDescent="0.2">
      <c r="A5840" s="1" t="s">
        <v>1</v>
      </c>
      <c r="B5840" s="12" t="s">
        <v>308</v>
      </c>
      <c r="D5840" s="5" t="s">
        <v>464</v>
      </c>
      <c r="G5840" s="57" t="s">
        <v>465</v>
      </c>
      <c r="H5840" s="19" t="s">
        <v>465</v>
      </c>
      <c r="I5840" s="19">
        <v>92500</v>
      </c>
      <c r="J5840" s="5" t="s">
        <v>539</v>
      </c>
    </row>
    <row r="5841" spans="1:10" x14ac:dyDescent="0.2">
      <c r="A5841" s="1" t="s">
        <v>1</v>
      </c>
      <c r="B5841" s="12" t="s">
        <v>308</v>
      </c>
      <c r="D5841" s="5" t="s">
        <v>464</v>
      </c>
      <c r="G5841" s="57" t="s">
        <v>465</v>
      </c>
      <c r="H5841" s="19" t="s">
        <v>465</v>
      </c>
      <c r="I5841" s="19">
        <v>92500</v>
      </c>
      <c r="J5841" s="5" t="s">
        <v>539</v>
      </c>
    </row>
    <row r="5842" spans="1:10" x14ac:dyDescent="0.2">
      <c r="A5842" s="1" t="s">
        <v>44</v>
      </c>
      <c r="B5842" s="2" t="s">
        <v>309</v>
      </c>
      <c r="D5842" s="5" t="s">
        <v>464</v>
      </c>
      <c r="G5842" s="57" t="s">
        <v>465</v>
      </c>
      <c r="H5842" s="19">
        <v>92500</v>
      </c>
      <c r="I5842" s="19" t="s">
        <v>465</v>
      </c>
    </row>
    <row r="5843" spans="1:10" x14ac:dyDescent="0.2">
      <c r="A5843" s="1" t="s">
        <v>44</v>
      </c>
      <c r="B5843" s="2" t="s">
        <v>309</v>
      </c>
      <c r="D5843" s="5" t="s">
        <v>464</v>
      </c>
      <c r="G5843" s="57" t="s">
        <v>465</v>
      </c>
      <c r="H5843" s="19" t="s">
        <v>465</v>
      </c>
      <c r="I5843" s="19">
        <v>92500</v>
      </c>
    </row>
    <row r="5844" spans="1:10" x14ac:dyDescent="0.2">
      <c r="A5844" s="1" t="s">
        <v>44</v>
      </c>
      <c r="B5844" s="2" t="s">
        <v>309</v>
      </c>
      <c r="D5844" s="5" t="s">
        <v>464</v>
      </c>
      <c r="G5844" s="57" t="s">
        <v>465</v>
      </c>
      <c r="H5844" s="19" t="s">
        <v>465</v>
      </c>
      <c r="I5844" s="19">
        <v>92500</v>
      </c>
    </row>
    <row r="5845" spans="1:10" x14ac:dyDescent="0.2">
      <c r="A5845" s="1" t="s">
        <v>44</v>
      </c>
      <c r="B5845" s="2" t="s">
        <v>309</v>
      </c>
      <c r="D5845" s="5" t="s">
        <v>464</v>
      </c>
      <c r="G5845" s="57" t="s">
        <v>465</v>
      </c>
      <c r="H5845" s="19" t="s">
        <v>465</v>
      </c>
      <c r="I5845" s="19">
        <v>92500</v>
      </c>
      <c r="J5845" s="5" t="s">
        <v>539</v>
      </c>
    </row>
    <row r="5846" spans="1:10" x14ac:dyDescent="0.2">
      <c r="A5846" s="1" t="s">
        <v>44</v>
      </c>
      <c r="B5846" s="2" t="s">
        <v>309</v>
      </c>
      <c r="D5846" s="5" t="s">
        <v>464</v>
      </c>
      <c r="G5846" s="57" t="s">
        <v>465</v>
      </c>
      <c r="H5846" s="19" t="s">
        <v>465</v>
      </c>
      <c r="I5846" s="19">
        <v>92500</v>
      </c>
      <c r="J5846" s="5" t="s">
        <v>539</v>
      </c>
    </row>
    <row r="5847" spans="1:10" x14ac:dyDescent="0.2">
      <c r="A5847" s="1" t="s">
        <v>44</v>
      </c>
      <c r="B5847" s="2" t="s">
        <v>309</v>
      </c>
      <c r="D5847" s="5" t="s">
        <v>464</v>
      </c>
      <c r="G5847" s="57" t="s">
        <v>465</v>
      </c>
      <c r="H5847" s="19">
        <v>97500</v>
      </c>
      <c r="I5847" s="19" t="s">
        <v>465</v>
      </c>
    </row>
    <row r="5848" spans="1:10" x14ac:dyDescent="0.2">
      <c r="A5848" s="1" t="s">
        <v>44</v>
      </c>
      <c r="B5848" s="2" t="s">
        <v>309</v>
      </c>
      <c r="D5848" s="5" t="s">
        <v>464</v>
      </c>
      <c r="G5848" s="57" t="s">
        <v>465</v>
      </c>
      <c r="H5848" s="19">
        <v>97500</v>
      </c>
      <c r="I5848" s="19" t="s">
        <v>465</v>
      </c>
    </row>
    <row r="5849" spans="1:10" x14ac:dyDescent="0.2">
      <c r="A5849" s="1" t="s">
        <v>44</v>
      </c>
      <c r="B5849" s="2" t="s">
        <v>309</v>
      </c>
      <c r="D5849" s="5" t="s">
        <v>464</v>
      </c>
      <c r="G5849" s="57" t="s">
        <v>465</v>
      </c>
      <c r="H5849" s="19">
        <v>97500</v>
      </c>
      <c r="I5849" s="19" t="s">
        <v>465</v>
      </c>
    </row>
    <row r="5850" spans="1:10" x14ac:dyDescent="0.2">
      <c r="A5850" s="1" t="s">
        <v>44</v>
      </c>
      <c r="B5850" s="2" t="s">
        <v>309</v>
      </c>
      <c r="D5850" s="5" t="s">
        <v>464</v>
      </c>
      <c r="G5850" s="57" t="s">
        <v>465</v>
      </c>
      <c r="H5850" s="19">
        <v>97500</v>
      </c>
      <c r="I5850" s="19" t="s">
        <v>465</v>
      </c>
    </row>
    <row r="5851" spans="1:10" x14ac:dyDescent="0.2">
      <c r="A5851" s="1" t="s">
        <v>44</v>
      </c>
      <c r="B5851" s="2" t="s">
        <v>309</v>
      </c>
      <c r="D5851" s="5" t="s">
        <v>464</v>
      </c>
      <c r="G5851" s="57" t="s">
        <v>465</v>
      </c>
      <c r="H5851" s="19" t="s">
        <v>465</v>
      </c>
      <c r="I5851" s="19">
        <v>97500</v>
      </c>
      <c r="J5851" s="5" t="s">
        <v>539</v>
      </c>
    </row>
    <row r="5852" spans="1:10" x14ac:dyDescent="0.2">
      <c r="A5852" s="1" t="s">
        <v>44</v>
      </c>
      <c r="B5852" s="2" t="s">
        <v>309</v>
      </c>
      <c r="D5852" s="5" t="s">
        <v>464</v>
      </c>
      <c r="G5852" s="57" t="s">
        <v>465</v>
      </c>
      <c r="H5852" s="19" t="s">
        <v>465</v>
      </c>
      <c r="I5852" s="19">
        <v>97500</v>
      </c>
    </row>
    <row r="5853" spans="1:10" ht="38.25" x14ac:dyDescent="0.2">
      <c r="A5853" s="1" t="s">
        <v>25</v>
      </c>
      <c r="B5853" s="2" t="s">
        <v>311</v>
      </c>
      <c r="D5853" s="5" t="s">
        <v>464</v>
      </c>
      <c r="G5853" s="57" t="s">
        <v>465</v>
      </c>
      <c r="H5853" s="19">
        <v>92500</v>
      </c>
      <c r="I5853" s="19" t="s">
        <v>465</v>
      </c>
      <c r="J5853" s="5" t="s">
        <v>4678</v>
      </c>
    </row>
    <row r="5854" spans="1:10" x14ac:dyDescent="0.2">
      <c r="A5854" s="1" t="s">
        <v>25</v>
      </c>
      <c r="B5854" s="2" t="s">
        <v>311</v>
      </c>
      <c r="D5854" s="5" t="s">
        <v>464</v>
      </c>
      <c r="G5854" s="57" t="s">
        <v>465</v>
      </c>
      <c r="H5854" s="19">
        <v>92500</v>
      </c>
      <c r="I5854" s="19" t="s">
        <v>465</v>
      </c>
    </row>
    <row r="5855" spans="1:10" x14ac:dyDescent="0.2">
      <c r="A5855" s="1" t="s">
        <v>25</v>
      </c>
      <c r="B5855" s="2" t="s">
        <v>311</v>
      </c>
      <c r="D5855" s="5" t="s">
        <v>464</v>
      </c>
      <c r="G5855" s="57" t="s">
        <v>465</v>
      </c>
      <c r="H5855" s="19">
        <v>92500</v>
      </c>
      <c r="I5855" s="19" t="s">
        <v>465</v>
      </c>
    </row>
    <row r="5856" spans="1:10" x14ac:dyDescent="0.2">
      <c r="A5856" s="1" t="s">
        <v>25</v>
      </c>
      <c r="B5856" s="2" t="s">
        <v>311</v>
      </c>
      <c r="D5856" s="5" t="s">
        <v>464</v>
      </c>
      <c r="G5856" s="57" t="s">
        <v>465</v>
      </c>
      <c r="H5856" s="19">
        <v>92500</v>
      </c>
      <c r="I5856" s="19" t="s">
        <v>465</v>
      </c>
    </row>
    <row r="5857" spans="1:10" x14ac:dyDescent="0.2">
      <c r="A5857" s="1" t="s">
        <v>25</v>
      </c>
      <c r="B5857" s="2" t="s">
        <v>311</v>
      </c>
      <c r="D5857" s="5" t="s">
        <v>464</v>
      </c>
      <c r="G5857" s="57" t="s">
        <v>465</v>
      </c>
      <c r="H5857" s="19">
        <v>92500</v>
      </c>
      <c r="I5857" s="19" t="s">
        <v>465</v>
      </c>
    </row>
    <row r="5858" spans="1:10" x14ac:dyDescent="0.2">
      <c r="A5858" s="1" t="s">
        <v>25</v>
      </c>
      <c r="B5858" s="2" t="s">
        <v>311</v>
      </c>
      <c r="D5858" s="5" t="s">
        <v>464</v>
      </c>
      <c r="G5858" s="57" t="s">
        <v>465</v>
      </c>
      <c r="H5858" s="19" t="s">
        <v>465</v>
      </c>
      <c r="I5858" s="19">
        <v>92500</v>
      </c>
    </row>
    <row r="5859" spans="1:10" x14ac:dyDescent="0.2">
      <c r="A5859" s="1" t="s">
        <v>25</v>
      </c>
      <c r="B5859" s="2" t="s">
        <v>311</v>
      </c>
      <c r="D5859" s="5" t="s">
        <v>464</v>
      </c>
      <c r="G5859" s="57" t="s">
        <v>465</v>
      </c>
      <c r="H5859" s="19" t="s">
        <v>465</v>
      </c>
      <c r="I5859" s="19">
        <v>92500</v>
      </c>
    </row>
    <row r="5860" spans="1:10" x14ac:dyDescent="0.2">
      <c r="A5860" s="1" t="s">
        <v>25</v>
      </c>
      <c r="B5860" s="2" t="s">
        <v>311</v>
      </c>
      <c r="D5860" s="5" t="s">
        <v>464</v>
      </c>
      <c r="G5860" s="57" t="s">
        <v>465</v>
      </c>
      <c r="H5860" s="19" t="s">
        <v>465</v>
      </c>
      <c r="I5860" s="19">
        <v>92500</v>
      </c>
    </row>
    <row r="5861" spans="1:10" x14ac:dyDescent="0.2">
      <c r="A5861" s="1" t="s">
        <v>25</v>
      </c>
      <c r="B5861" s="2" t="s">
        <v>311</v>
      </c>
      <c r="D5861" s="5" t="s">
        <v>464</v>
      </c>
      <c r="G5861" s="57" t="s">
        <v>465</v>
      </c>
      <c r="H5861" s="19" t="s">
        <v>465</v>
      </c>
      <c r="I5861" s="19">
        <v>92500</v>
      </c>
    </row>
    <row r="5862" spans="1:10" x14ac:dyDescent="0.2">
      <c r="A5862" s="1" t="s">
        <v>25</v>
      </c>
      <c r="B5862" s="2" t="s">
        <v>311</v>
      </c>
      <c r="D5862" s="5" t="s">
        <v>464</v>
      </c>
      <c r="G5862" s="57" t="s">
        <v>465</v>
      </c>
      <c r="H5862" s="19" t="s">
        <v>465</v>
      </c>
      <c r="I5862" s="19">
        <v>92500</v>
      </c>
    </row>
    <row r="5863" spans="1:10" x14ac:dyDescent="0.2">
      <c r="A5863" s="1" t="s">
        <v>25</v>
      </c>
      <c r="B5863" s="2" t="s">
        <v>311</v>
      </c>
      <c r="D5863" s="5" t="s">
        <v>464</v>
      </c>
      <c r="G5863" s="57" t="s">
        <v>465</v>
      </c>
      <c r="H5863" s="19" t="s">
        <v>465</v>
      </c>
      <c r="I5863" s="19">
        <v>92500</v>
      </c>
    </row>
    <row r="5864" spans="1:10" x14ac:dyDescent="0.2">
      <c r="A5864" s="1" t="s">
        <v>25</v>
      </c>
      <c r="B5864" s="2" t="s">
        <v>311</v>
      </c>
      <c r="D5864" s="5" t="s">
        <v>464</v>
      </c>
      <c r="G5864" s="57" t="s">
        <v>465</v>
      </c>
      <c r="H5864" s="19" t="s">
        <v>465</v>
      </c>
      <c r="I5864" s="19">
        <v>92500</v>
      </c>
    </row>
    <row r="5865" spans="1:10" x14ac:dyDescent="0.2">
      <c r="A5865" s="1" t="s">
        <v>25</v>
      </c>
      <c r="B5865" s="2" t="s">
        <v>311</v>
      </c>
      <c r="D5865" s="5" t="s">
        <v>464</v>
      </c>
      <c r="G5865" s="57" t="s">
        <v>465</v>
      </c>
      <c r="H5865" s="19">
        <v>97500</v>
      </c>
      <c r="I5865" s="19" t="s">
        <v>465</v>
      </c>
    </row>
    <row r="5866" spans="1:10" x14ac:dyDescent="0.2">
      <c r="A5866" s="1" t="s">
        <v>25</v>
      </c>
      <c r="B5866" s="2" t="s">
        <v>311</v>
      </c>
      <c r="D5866" s="5" t="s">
        <v>464</v>
      </c>
      <c r="G5866" s="57" t="s">
        <v>465</v>
      </c>
      <c r="H5866" s="19">
        <v>97500</v>
      </c>
      <c r="I5866" s="19" t="s">
        <v>465</v>
      </c>
    </row>
    <row r="5867" spans="1:10" x14ac:dyDescent="0.2">
      <c r="A5867" s="1" t="s">
        <v>25</v>
      </c>
      <c r="B5867" s="2" t="s">
        <v>311</v>
      </c>
      <c r="D5867" s="5" t="s">
        <v>464</v>
      </c>
      <c r="G5867" s="57" t="s">
        <v>465</v>
      </c>
      <c r="H5867" s="19">
        <v>97500</v>
      </c>
      <c r="I5867" s="19" t="s">
        <v>465</v>
      </c>
      <c r="J5867" s="1"/>
    </row>
    <row r="5868" spans="1:10" x14ac:dyDescent="0.2">
      <c r="A5868" s="1" t="s">
        <v>25</v>
      </c>
      <c r="B5868" s="2" t="s">
        <v>311</v>
      </c>
      <c r="D5868" s="5" t="s">
        <v>464</v>
      </c>
      <c r="G5868" s="57" t="s">
        <v>465</v>
      </c>
      <c r="H5868" s="19">
        <v>97500</v>
      </c>
      <c r="I5868" s="19" t="s">
        <v>465</v>
      </c>
      <c r="J5868" s="1"/>
    </row>
    <row r="5869" spans="1:10" x14ac:dyDescent="0.2">
      <c r="A5869" s="1" t="s">
        <v>25</v>
      </c>
      <c r="B5869" s="2" t="s">
        <v>311</v>
      </c>
      <c r="D5869" s="5" t="s">
        <v>464</v>
      </c>
      <c r="G5869" s="57" t="s">
        <v>465</v>
      </c>
      <c r="H5869" s="19">
        <v>97500</v>
      </c>
      <c r="I5869" s="19" t="s">
        <v>465</v>
      </c>
      <c r="J5869" s="1"/>
    </row>
    <row r="5870" spans="1:10" x14ac:dyDescent="0.2">
      <c r="A5870" s="1" t="s">
        <v>25</v>
      </c>
      <c r="B5870" s="2" t="s">
        <v>311</v>
      </c>
      <c r="D5870" s="5" t="s">
        <v>464</v>
      </c>
      <c r="G5870" s="57" t="s">
        <v>465</v>
      </c>
      <c r="H5870" s="19" t="s">
        <v>465</v>
      </c>
      <c r="I5870" s="19">
        <v>97500</v>
      </c>
      <c r="J5870" s="1"/>
    </row>
    <row r="5871" spans="1:10" x14ac:dyDescent="0.2">
      <c r="A5871" s="1" t="s">
        <v>25</v>
      </c>
      <c r="B5871" s="2" t="s">
        <v>311</v>
      </c>
      <c r="D5871" s="5" t="s">
        <v>464</v>
      </c>
      <c r="G5871" s="57" t="s">
        <v>465</v>
      </c>
      <c r="H5871" s="19" t="s">
        <v>465</v>
      </c>
      <c r="I5871" s="19">
        <v>97500</v>
      </c>
      <c r="J5871" s="1"/>
    </row>
    <row r="5872" spans="1:10" x14ac:dyDescent="0.2">
      <c r="A5872" s="1" t="s">
        <v>25</v>
      </c>
      <c r="B5872" s="2" t="s">
        <v>311</v>
      </c>
      <c r="D5872" s="5" t="s">
        <v>464</v>
      </c>
      <c r="G5872" s="57" t="s">
        <v>465</v>
      </c>
      <c r="H5872" s="19" t="s">
        <v>465</v>
      </c>
      <c r="I5872" s="19">
        <v>97500</v>
      </c>
      <c r="J5872" s="1"/>
    </row>
    <row r="5873" spans="1:10" x14ac:dyDescent="0.2">
      <c r="A5873" s="1" t="s">
        <v>25</v>
      </c>
      <c r="B5873" s="2" t="s">
        <v>311</v>
      </c>
      <c r="D5873" s="5" t="s">
        <v>464</v>
      </c>
      <c r="G5873" s="57" t="s">
        <v>465</v>
      </c>
      <c r="H5873" s="19" t="s">
        <v>465</v>
      </c>
      <c r="I5873" s="19">
        <v>97500</v>
      </c>
      <c r="J5873" s="1"/>
    </row>
    <row r="5874" spans="1:10" x14ac:dyDescent="0.2">
      <c r="A5874" s="1" t="s">
        <v>6</v>
      </c>
      <c r="B5874" s="2" t="s">
        <v>313</v>
      </c>
      <c r="D5874" s="5" t="s">
        <v>464</v>
      </c>
      <c r="G5874" s="57" t="s">
        <v>465</v>
      </c>
      <c r="H5874" s="19">
        <v>92500</v>
      </c>
      <c r="I5874" s="19" t="s">
        <v>465</v>
      </c>
    </row>
    <row r="5875" spans="1:10" x14ac:dyDescent="0.2">
      <c r="A5875" s="1" t="s">
        <v>6</v>
      </c>
      <c r="B5875" s="2" t="s">
        <v>313</v>
      </c>
      <c r="D5875" s="5" t="s">
        <v>464</v>
      </c>
      <c r="G5875" s="57" t="s">
        <v>465</v>
      </c>
      <c r="H5875" s="19">
        <v>97500</v>
      </c>
      <c r="I5875" s="19" t="s">
        <v>465</v>
      </c>
    </row>
    <row r="5876" spans="1:10" x14ac:dyDescent="0.2">
      <c r="A5876" s="1" t="s">
        <v>6</v>
      </c>
      <c r="B5876" s="2" t="s">
        <v>313</v>
      </c>
      <c r="D5876" s="5" t="s">
        <v>464</v>
      </c>
      <c r="G5876" s="57" t="s">
        <v>465</v>
      </c>
      <c r="H5876" s="19" t="s">
        <v>465</v>
      </c>
      <c r="I5876" s="19">
        <v>97500</v>
      </c>
    </row>
    <row r="5877" spans="1:10" x14ac:dyDescent="0.2">
      <c r="A5877" s="1" t="s">
        <v>28</v>
      </c>
      <c r="B5877" s="2" t="s">
        <v>317</v>
      </c>
      <c r="D5877" s="5" t="s">
        <v>464</v>
      </c>
      <c r="G5877" s="57" t="s">
        <v>465</v>
      </c>
      <c r="H5877" s="19" t="s">
        <v>465</v>
      </c>
      <c r="I5877" s="19">
        <v>97500</v>
      </c>
    </row>
    <row r="5878" spans="1:10" x14ac:dyDescent="0.2">
      <c r="A5878" s="1" t="s">
        <v>28</v>
      </c>
      <c r="B5878" s="2" t="s">
        <v>317</v>
      </c>
      <c r="D5878" s="5" t="s">
        <v>464</v>
      </c>
      <c r="G5878" s="57" t="s">
        <v>465</v>
      </c>
      <c r="H5878" s="19" t="s">
        <v>465</v>
      </c>
      <c r="I5878" s="19">
        <v>97500</v>
      </c>
    </row>
    <row r="5879" spans="1:10" x14ac:dyDescent="0.2">
      <c r="A5879" s="1" t="s">
        <v>6</v>
      </c>
      <c r="B5879" s="2" t="s">
        <v>324</v>
      </c>
      <c r="D5879" s="5" t="s">
        <v>464</v>
      </c>
      <c r="G5879" s="57" t="s">
        <v>465</v>
      </c>
      <c r="H5879" s="19">
        <v>92500</v>
      </c>
      <c r="I5879" s="19" t="s">
        <v>465</v>
      </c>
    </row>
    <row r="5880" spans="1:10" x14ac:dyDescent="0.2">
      <c r="A5880" s="1" t="s">
        <v>6</v>
      </c>
      <c r="B5880" s="2" t="s">
        <v>324</v>
      </c>
      <c r="D5880" s="5" t="s">
        <v>464</v>
      </c>
      <c r="G5880" s="57" t="s">
        <v>465</v>
      </c>
      <c r="H5880" s="19">
        <v>92500</v>
      </c>
      <c r="I5880" s="19" t="s">
        <v>465</v>
      </c>
    </row>
    <row r="5881" spans="1:10" x14ac:dyDescent="0.2">
      <c r="A5881" s="1" t="s">
        <v>6</v>
      </c>
      <c r="B5881" s="2" t="s">
        <v>324</v>
      </c>
      <c r="D5881" s="5" t="s">
        <v>464</v>
      </c>
      <c r="G5881" s="57" t="s">
        <v>465</v>
      </c>
      <c r="H5881" s="19">
        <v>92500</v>
      </c>
      <c r="I5881" s="19" t="s">
        <v>465</v>
      </c>
    </row>
    <row r="5882" spans="1:10" x14ac:dyDescent="0.2">
      <c r="A5882" s="1" t="s">
        <v>6</v>
      </c>
      <c r="B5882" s="2" t="s">
        <v>324</v>
      </c>
      <c r="D5882" s="5" t="s">
        <v>464</v>
      </c>
      <c r="G5882" s="57" t="s">
        <v>465</v>
      </c>
      <c r="H5882" s="19">
        <v>92500</v>
      </c>
      <c r="I5882" s="19" t="s">
        <v>465</v>
      </c>
    </row>
    <row r="5883" spans="1:10" x14ac:dyDescent="0.2">
      <c r="A5883" s="1" t="s">
        <v>6</v>
      </c>
      <c r="B5883" s="2" t="s">
        <v>324</v>
      </c>
      <c r="D5883" s="5" t="s">
        <v>464</v>
      </c>
      <c r="G5883" s="57" t="s">
        <v>465</v>
      </c>
      <c r="H5883" s="19">
        <v>92500</v>
      </c>
      <c r="I5883" s="19" t="s">
        <v>465</v>
      </c>
    </row>
    <row r="5884" spans="1:10" x14ac:dyDescent="0.2">
      <c r="A5884" s="1" t="s">
        <v>6</v>
      </c>
      <c r="B5884" s="2" t="s">
        <v>324</v>
      </c>
      <c r="D5884" s="5" t="s">
        <v>464</v>
      </c>
      <c r="G5884" s="57" t="s">
        <v>465</v>
      </c>
      <c r="H5884" s="19" t="s">
        <v>465</v>
      </c>
      <c r="I5884" s="19">
        <v>92500</v>
      </c>
    </row>
    <row r="5885" spans="1:10" x14ac:dyDescent="0.2">
      <c r="A5885" s="1" t="s">
        <v>6</v>
      </c>
      <c r="B5885" s="2" t="s">
        <v>324</v>
      </c>
      <c r="D5885" s="5" t="s">
        <v>464</v>
      </c>
      <c r="G5885" s="57" t="s">
        <v>465</v>
      </c>
      <c r="H5885" s="19" t="s">
        <v>465</v>
      </c>
      <c r="I5885" s="19">
        <v>92500</v>
      </c>
    </row>
    <row r="5886" spans="1:10" x14ac:dyDescent="0.2">
      <c r="A5886" s="1" t="s">
        <v>6</v>
      </c>
      <c r="B5886" s="2" t="s">
        <v>324</v>
      </c>
      <c r="D5886" s="5" t="s">
        <v>464</v>
      </c>
      <c r="G5886" s="57" t="s">
        <v>465</v>
      </c>
      <c r="H5886" s="19">
        <v>97500</v>
      </c>
      <c r="I5886" s="19" t="s">
        <v>465</v>
      </c>
    </row>
    <row r="5887" spans="1:10" x14ac:dyDescent="0.2">
      <c r="A5887" s="1" t="s">
        <v>6</v>
      </c>
      <c r="B5887" s="2" t="s">
        <v>324</v>
      </c>
      <c r="D5887" s="5" t="s">
        <v>464</v>
      </c>
      <c r="G5887" s="57" t="s">
        <v>465</v>
      </c>
      <c r="H5887" s="19">
        <v>97500</v>
      </c>
      <c r="I5887" s="19" t="s">
        <v>465</v>
      </c>
    </row>
    <row r="5888" spans="1:10" x14ac:dyDescent="0.2">
      <c r="A5888" s="1" t="s">
        <v>6</v>
      </c>
      <c r="B5888" s="2" t="s">
        <v>324</v>
      </c>
      <c r="D5888" s="5" t="s">
        <v>464</v>
      </c>
      <c r="G5888" s="57" t="s">
        <v>465</v>
      </c>
      <c r="H5888" s="19">
        <v>97500</v>
      </c>
      <c r="I5888" s="19" t="s">
        <v>465</v>
      </c>
    </row>
    <row r="5889" spans="1:10" x14ac:dyDescent="0.2">
      <c r="A5889" s="1" t="s">
        <v>6</v>
      </c>
      <c r="B5889" s="2" t="s">
        <v>324</v>
      </c>
      <c r="D5889" s="5" t="s">
        <v>464</v>
      </c>
      <c r="G5889" s="57" t="s">
        <v>465</v>
      </c>
      <c r="H5889" s="19" t="s">
        <v>465</v>
      </c>
      <c r="I5889" s="19">
        <v>97500</v>
      </c>
    </row>
    <row r="5890" spans="1:10" x14ac:dyDescent="0.2">
      <c r="A5890" s="1" t="s">
        <v>6</v>
      </c>
      <c r="B5890" s="2" t="s">
        <v>324</v>
      </c>
      <c r="D5890" s="5" t="s">
        <v>464</v>
      </c>
      <c r="G5890" s="57" t="s">
        <v>465</v>
      </c>
      <c r="H5890" s="19" t="s">
        <v>465</v>
      </c>
      <c r="I5890" s="19">
        <v>97500</v>
      </c>
    </row>
    <row r="5891" spans="1:10" x14ac:dyDescent="0.2">
      <c r="A5891" s="1" t="s">
        <v>39</v>
      </c>
      <c r="B5891" s="2" t="s">
        <v>325</v>
      </c>
      <c r="D5891" s="5" t="s">
        <v>464</v>
      </c>
      <c r="G5891" s="57" t="s">
        <v>465</v>
      </c>
      <c r="H5891" s="19">
        <v>92500</v>
      </c>
    </row>
    <row r="5892" spans="1:10" x14ac:dyDescent="0.2">
      <c r="A5892" s="1" t="s">
        <v>39</v>
      </c>
      <c r="B5892" s="2" t="s">
        <v>325</v>
      </c>
      <c r="D5892" s="5" t="s">
        <v>464</v>
      </c>
      <c r="G5892" s="57" t="s">
        <v>465</v>
      </c>
      <c r="H5892" s="19">
        <v>97500</v>
      </c>
    </row>
    <row r="5893" spans="1:10" x14ac:dyDescent="0.2">
      <c r="A5893" s="1" t="s">
        <v>39</v>
      </c>
      <c r="B5893" s="2" t="s">
        <v>325</v>
      </c>
      <c r="D5893" s="5" t="s">
        <v>464</v>
      </c>
      <c r="G5893" s="57" t="s">
        <v>465</v>
      </c>
      <c r="H5893" s="19">
        <v>97500</v>
      </c>
    </row>
    <row r="5894" spans="1:10" x14ac:dyDescent="0.2">
      <c r="A5894" s="1" t="s">
        <v>39</v>
      </c>
      <c r="B5894" s="2" t="s">
        <v>325</v>
      </c>
      <c r="D5894" s="5" t="s">
        <v>464</v>
      </c>
      <c r="G5894" s="57" t="s">
        <v>465</v>
      </c>
      <c r="I5894" s="19">
        <v>92500</v>
      </c>
    </row>
    <row r="5895" spans="1:10" x14ac:dyDescent="0.2">
      <c r="A5895" s="1" t="s">
        <v>39</v>
      </c>
      <c r="B5895" s="2" t="s">
        <v>325</v>
      </c>
      <c r="D5895" s="5" t="s">
        <v>464</v>
      </c>
      <c r="G5895" s="57" t="s">
        <v>465</v>
      </c>
      <c r="I5895" s="19">
        <v>92500</v>
      </c>
    </row>
    <row r="5896" spans="1:10" x14ac:dyDescent="0.2">
      <c r="A5896" s="1" t="s">
        <v>39</v>
      </c>
      <c r="B5896" s="2" t="s">
        <v>325</v>
      </c>
      <c r="D5896" s="5" t="s">
        <v>464</v>
      </c>
      <c r="G5896" s="57" t="s">
        <v>465</v>
      </c>
      <c r="I5896" s="19">
        <v>97500</v>
      </c>
      <c r="J5896" s="5" t="s">
        <v>1241</v>
      </c>
    </row>
    <row r="5897" spans="1:10" x14ac:dyDescent="0.2">
      <c r="A5897" s="1" t="s">
        <v>39</v>
      </c>
      <c r="B5897" s="2" t="s">
        <v>325</v>
      </c>
      <c r="D5897" s="5" t="s">
        <v>464</v>
      </c>
      <c r="G5897" s="57" t="s">
        <v>465</v>
      </c>
      <c r="I5897" s="19">
        <v>97500</v>
      </c>
      <c r="J5897" s="5" t="s">
        <v>1241</v>
      </c>
    </row>
    <row r="5898" spans="1:10" x14ac:dyDescent="0.2">
      <c r="A5898" s="1" t="s">
        <v>39</v>
      </c>
      <c r="B5898" s="2" t="s">
        <v>325</v>
      </c>
      <c r="D5898" s="5" t="s">
        <v>464</v>
      </c>
      <c r="G5898" s="57" t="s">
        <v>465</v>
      </c>
      <c r="I5898" s="19">
        <v>97500</v>
      </c>
    </row>
    <row r="5899" spans="1:10" x14ac:dyDescent="0.2">
      <c r="A5899" s="1" t="s">
        <v>39</v>
      </c>
      <c r="B5899" s="2" t="s">
        <v>325</v>
      </c>
      <c r="D5899" s="5" t="s">
        <v>464</v>
      </c>
      <c r="E5899" s="3">
        <v>102500</v>
      </c>
      <c r="G5899" s="57">
        <v>-1</v>
      </c>
    </row>
    <row r="5900" spans="1:10" x14ac:dyDescent="0.2">
      <c r="A5900" s="1" t="s">
        <v>39</v>
      </c>
      <c r="B5900" s="2" t="s">
        <v>325</v>
      </c>
      <c r="D5900" s="5" t="s">
        <v>464</v>
      </c>
      <c r="E5900" s="3">
        <v>102500</v>
      </c>
      <c r="G5900" s="57">
        <v>-1</v>
      </c>
    </row>
    <row r="5901" spans="1:10" x14ac:dyDescent="0.2">
      <c r="A5901" s="1" t="s">
        <v>39</v>
      </c>
      <c r="B5901" s="2" t="s">
        <v>325</v>
      </c>
      <c r="D5901" s="5" t="s">
        <v>464</v>
      </c>
      <c r="E5901" s="3">
        <v>107500</v>
      </c>
      <c r="G5901" s="57">
        <v>-1</v>
      </c>
    </row>
    <row r="5902" spans="1:10" x14ac:dyDescent="0.2">
      <c r="A5902" s="1" t="s">
        <v>39</v>
      </c>
      <c r="B5902" s="2" t="s">
        <v>325</v>
      </c>
      <c r="D5902" s="5" t="s">
        <v>464</v>
      </c>
      <c r="E5902" s="3">
        <v>117500</v>
      </c>
      <c r="G5902" s="57">
        <v>-1</v>
      </c>
    </row>
    <row r="5903" spans="1:10" x14ac:dyDescent="0.2">
      <c r="A5903" s="1" t="s">
        <v>39</v>
      </c>
      <c r="B5903" s="2" t="s">
        <v>325</v>
      </c>
      <c r="D5903" s="5" t="s">
        <v>464</v>
      </c>
      <c r="E5903" s="3">
        <v>117500</v>
      </c>
      <c r="G5903" s="57">
        <v>-1</v>
      </c>
    </row>
    <row r="5904" spans="1:10" x14ac:dyDescent="0.2">
      <c r="A5904" s="1" t="s">
        <v>34</v>
      </c>
      <c r="B5904" s="2" t="s">
        <v>328</v>
      </c>
      <c r="D5904" s="5" t="s">
        <v>464</v>
      </c>
      <c r="G5904" s="57" t="s">
        <v>465</v>
      </c>
      <c r="H5904" s="19">
        <v>97500</v>
      </c>
      <c r="J5904" s="5" t="s">
        <v>2081</v>
      </c>
    </row>
    <row r="5905" spans="1:10" x14ac:dyDescent="0.2">
      <c r="A5905" s="1" t="s">
        <v>28</v>
      </c>
      <c r="B5905" s="2" t="s">
        <v>332</v>
      </c>
      <c r="D5905" s="5" t="s">
        <v>464</v>
      </c>
      <c r="G5905" s="57" t="s">
        <v>465</v>
      </c>
      <c r="H5905" s="19">
        <v>92500</v>
      </c>
      <c r="I5905" s="19" t="s">
        <v>465</v>
      </c>
    </row>
    <row r="5906" spans="1:10" x14ac:dyDescent="0.2">
      <c r="A5906" s="1" t="s">
        <v>28</v>
      </c>
      <c r="B5906" s="2" t="s">
        <v>332</v>
      </c>
      <c r="D5906" s="5" t="s">
        <v>464</v>
      </c>
      <c r="G5906" s="57" t="s">
        <v>465</v>
      </c>
      <c r="H5906" s="19">
        <v>92500</v>
      </c>
      <c r="I5906" s="19" t="s">
        <v>465</v>
      </c>
    </row>
    <row r="5907" spans="1:10" x14ac:dyDescent="0.2">
      <c r="A5907" s="1" t="s">
        <v>28</v>
      </c>
      <c r="B5907" s="2" t="s">
        <v>332</v>
      </c>
      <c r="D5907" s="5" t="s">
        <v>464</v>
      </c>
      <c r="G5907" s="57" t="s">
        <v>465</v>
      </c>
      <c r="H5907" s="19">
        <v>92500</v>
      </c>
      <c r="I5907" s="19" t="s">
        <v>465</v>
      </c>
    </row>
    <row r="5908" spans="1:10" x14ac:dyDescent="0.2">
      <c r="A5908" s="1" t="s">
        <v>28</v>
      </c>
      <c r="B5908" s="2" t="s">
        <v>332</v>
      </c>
      <c r="D5908" s="5" t="s">
        <v>464</v>
      </c>
      <c r="G5908" s="57" t="s">
        <v>465</v>
      </c>
      <c r="H5908" s="19">
        <v>92500</v>
      </c>
      <c r="I5908" s="19" t="s">
        <v>465</v>
      </c>
    </row>
    <row r="5909" spans="1:10" x14ac:dyDescent="0.2">
      <c r="A5909" s="1" t="s">
        <v>28</v>
      </c>
      <c r="B5909" s="2" t="s">
        <v>332</v>
      </c>
      <c r="D5909" s="5" t="s">
        <v>464</v>
      </c>
      <c r="G5909" s="57" t="s">
        <v>465</v>
      </c>
      <c r="H5909" s="19" t="s">
        <v>465</v>
      </c>
      <c r="I5909" s="19">
        <v>92500</v>
      </c>
      <c r="J5909" s="1"/>
    </row>
    <row r="5910" spans="1:10" x14ac:dyDescent="0.2">
      <c r="A5910" s="1" t="s">
        <v>28</v>
      </c>
      <c r="B5910" s="2" t="s">
        <v>332</v>
      </c>
      <c r="D5910" s="5" t="s">
        <v>464</v>
      </c>
      <c r="G5910" s="57" t="s">
        <v>465</v>
      </c>
      <c r="H5910" s="19">
        <v>97500</v>
      </c>
      <c r="I5910" s="19" t="s">
        <v>465</v>
      </c>
      <c r="J5910" s="1"/>
    </row>
    <row r="5911" spans="1:10" x14ac:dyDescent="0.2">
      <c r="A5911" s="1" t="s">
        <v>28</v>
      </c>
      <c r="B5911" s="2" t="s">
        <v>332</v>
      </c>
      <c r="D5911" s="5" t="s">
        <v>464</v>
      </c>
      <c r="G5911" s="57" t="s">
        <v>465</v>
      </c>
      <c r="H5911" s="19">
        <v>97500</v>
      </c>
      <c r="I5911" s="19" t="s">
        <v>465</v>
      </c>
      <c r="J5911" s="1"/>
    </row>
    <row r="5912" spans="1:10" x14ac:dyDescent="0.2">
      <c r="A5912" s="1" t="s">
        <v>28</v>
      </c>
      <c r="B5912" s="2" t="s">
        <v>332</v>
      </c>
      <c r="D5912" s="5" t="s">
        <v>464</v>
      </c>
      <c r="G5912" s="57" t="s">
        <v>465</v>
      </c>
      <c r="H5912" s="19">
        <v>97500</v>
      </c>
      <c r="I5912" s="19" t="s">
        <v>465</v>
      </c>
      <c r="J5912" s="1"/>
    </row>
    <row r="5913" spans="1:10" x14ac:dyDescent="0.2">
      <c r="A5913" s="1" t="s">
        <v>28</v>
      </c>
      <c r="B5913" s="2" t="s">
        <v>332</v>
      </c>
      <c r="D5913" s="5" t="s">
        <v>464</v>
      </c>
      <c r="G5913" s="57" t="s">
        <v>465</v>
      </c>
      <c r="H5913" s="19">
        <v>97500</v>
      </c>
      <c r="I5913" s="19" t="s">
        <v>465</v>
      </c>
      <c r="J5913" s="1"/>
    </row>
    <row r="5914" spans="1:10" x14ac:dyDescent="0.2">
      <c r="A5914" s="1" t="s">
        <v>28</v>
      </c>
      <c r="B5914" s="2" t="s">
        <v>332</v>
      </c>
      <c r="D5914" s="5" t="s">
        <v>464</v>
      </c>
      <c r="G5914" s="57" t="s">
        <v>465</v>
      </c>
      <c r="H5914" s="19">
        <v>97500</v>
      </c>
      <c r="I5914" s="19" t="s">
        <v>465</v>
      </c>
      <c r="J5914" s="1"/>
    </row>
    <row r="5915" spans="1:10" x14ac:dyDescent="0.2">
      <c r="A5915" s="1" t="s">
        <v>28</v>
      </c>
      <c r="B5915" s="2" t="s">
        <v>332</v>
      </c>
      <c r="D5915" s="5" t="s">
        <v>464</v>
      </c>
      <c r="G5915" s="57" t="s">
        <v>465</v>
      </c>
      <c r="H5915" s="19" t="s">
        <v>465</v>
      </c>
      <c r="I5915" s="19">
        <v>97500</v>
      </c>
      <c r="J5915" s="1"/>
    </row>
    <row r="5916" spans="1:10" x14ac:dyDescent="0.2">
      <c r="A5916" s="1" t="s">
        <v>28</v>
      </c>
      <c r="B5916" s="2" t="s">
        <v>332</v>
      </c>
      <c r="D5916" s="5" t="s">
        <v>464</v>
      </c>
      <c r="G5916" s="57" t="s">
        <v>465</v>
      </c>
      <c r="H5916" s="19" t="s">
        <v>465</v>
      </c>
      <c r="I5916" s="19">
        <v>97500</v>
      </c>
      <c r="J5916" s="1"/>
    </row>
    <row r="5917" spans="1:10" x14ac:dyDescent="0.2">
      <c r="A5917" s="1" t="s">
        <v>28</v>
      </c>
      <c r="B5917" s="2" t="s">
        <v>332</v>
      </c>
      <c r="D5917" s="5" t="s">
        <v>464</v>
      </c>
      <c r="G5917" s="57" t="s">
        <v>465</v>
      </c>
      <c r="H5917" s="19" t="s">
        <v>465</v>
      </c>
      <c r="I5917" s="19">
        <v>97500</v>
      </c>
      <c r="J5917" s="1"/>
    </row>
    <row r="5918" spans="1:10" x14ac:dyDescent="0.2">
      <c r="A5918" s="1" t="s">
        <v>28</v>
      </c>
      <c r="B5918" s="2" t="s">
        <v>332</v>
      </c>
      <c r="D5918" s="5" t="s">
        <v>464</v>
      </c>
      <c r="G5918" s="57" t="s">
        <v>465</v>
      </c>
      <c r="H5918" s="19" t="s">
        <v>465</v>
      </c>
      <c r="I5918" s="19">
        <v>97500</v>
      </c>
      <c r="J5918" s="1"/>
    </row>
    <row r="5919" spans="1:10" x14ac:dyDescent="0.2">
      <c r="A5919" s="1" t="s">
        <v>28</v>
      </c>
      <c r="B5919" s="2" t="s">
        <v>332</v>
      </c>
      <c r="D5919" s="5" t="s">
        <v>464</v>
      </c>
      <c r="G5919" s="57" t="s">
        <v>465</v>
      </c>
      <c r="H5919" s="19" t="s">
        <v>465</v>
      </c>
      <c r="I5919" s="19">
        <v>97500</v>
      </c>
      <c r="J5919" s="1"/>
    </row>
    <row r="5920" spans="1:10" ht="25.5" x14ac:dyDescent="0.2">
      <c r="A5920" s="1" t="s">
        <v>1</v>
      </c>
      <c r="B5920" s="2" t="s">
        <v>334</v>
      </c>
      <c r="C5920" s="29" t="s">
        <v>884</v>
      </c>
      <c r="D5920" s="29"/>
      <c r="G5920" s="57" t="s">
        <v>465</v>
      </c>
    </row>
    <row r="5921" spans="1:10" x14ac:dyDescent="0.2">
      <c r="A5921" s="1" t="s">
        <v>39</v>
      </c>
      <c r="B5921" s="2" t="s">
        <v>335</v>
      </c>
      <c r="D5921" s="7" t="s">
        <v>464</v>
      </c>
      <c r="E5921" s="6"/>
      <c r="F5921" s="6"/>
      <c r="G5921" s="57" t="s">
        <v>465</v>
      </c>
      <c r="H5921" s="21">
        <v>92500</v>
      </c>
      <c r="I5921" s="21" t="s">
        <v>465</v>
      </c>
    </row>
    <row r="5922" spans="1:10" x14ac:dyDescent="0.2">
      <c r="A5922" s="1" t="s">
        <v>39</v>
      </c>
      <c r="B5922" s="2" t="s">
        <v>335</v>
      </c>
      <c r="D5922" s="7" t="s">
        <v>464</v>
      </c>
      <c r="E5922" s="6"/>
      <c r="F5922" s="6"/>
      <c r="G5922" s="57" t="s">
        <v>465</v>
      </c>
      <c r="H5922" s="21">
        <v>92500</v>
      </c>
      <c r="I5922" s="21" t="s">
        <v>465</v>
      </c>
    </row>
    <row r="5923" spans="1:10" x14ac:dyDescent="0.2">
      <c r="A5923" s="1" t="s">
        <v>39</v>
      </c>
      <c r="B5923" s="2" t="s">
        <v>335</v>
      </c>
      <c r="D5923" s="7" t="s">
        <v>464</v>
      </c>
      <c r="E5923" s="6"/>
      <c r="F5923" s="6"/>
      <c r="G5923" s="57" t="s">
        <v>465</v>
      </c>
      <c r="H5923" s="21">
        <v>92500</v>
      </c>
      <c r="I5923" s="21" t="s">
        <v>465</v>
      </c>
    </row>
    <row r="5924" spans="1:10" x14ac:dyDescent="0.2">
      <c r="A5924" s="1" t="s">
        <v>39</v>
      </c>
      <c r="B5924" s="2" t="s">
        <v>335</v>
      </c>
      <c r="D5924" s="7" t="s">
        <v>464</v>
      </c>
      <c r="E5924" s="6"/>
      <c r="F5924" s="6"/>
      <c r="G5924" s="57" t="s">
        <v>465</v>
      </c>
      <c r="H5924" s="21">
        <v>92500</v>
      </c>
      <c r="I5924" s="21" t="s">
        <v>465</v>
      </c>
      <c r="J5924" s="5" t="s">
        <v>2742</v>
      </c>
    </row>
    <row r="5925" spans="1:10" x14ac:dyDescent="0.2">
      <c r="A5925" s="1" t="s">
        <v>39</v>
      </c>
      <c r="B5925" s="2" t="s">
        <v>335</v>
      </c>
      <c r="D5925" s="7" t="s">
        <v>464</v>
      </c>
      <c r="E5925" s="6"/>
      <c r="F5925" s="6"/>
      <c r="G5925" s="57" t="s">
        <v>465</v>
      </c>
      <c r="H5925" s="21" t="s">
        <v>465</v>
      </c>
      <c r="I5925" s="21">
        <v>92500</v>
      </c>
    </row>
    <row r="5926" spans="1:10" x14ac:dyDescent="0.2">
      <c r="A5926" s="1" t="s">
        <v>39</v>
      </c>
      <c r="B5926" s="2" t="s">
        <v>335</v>
      </c>
      <c r="D5926" s="7" t="s">
        <v>464</v>
      </c>
      <c r="E5926" s="6"/>
      <c r="F5926" s="6"/>
      <c r="G5926" s="57" t="s">
        <v>465</v>
      </c>
      <c r="H5926" s="21" t="s">
        <v>465</v>
      </c>
      <c r="I5926" s="21">
        <v>92500</v>
      </c>
    </row>
    <row r="5927" spans="1:10" x14ac:dyDescent="0.2">
      <c r="A5927" s="1" t="s">
        <v>39</v>
      </c>
      <c r="B5927" s="2" t="s">
        <v>335</v>
      </c>
      <c r="D5927" s="7" t="s">
        <v>464</v>
      </c>
      <c r="E5927" s="6"/>
      <c r="F5927" s="6"/>
      <c r="G5927" s="57" t="s">
        <v>465</v>
      </c>
      <c r="H5927" s="21" t="s">
        <v>465</v>
      </c>
      <c r="I5927" s="21">
        <v>92500</v>
      </c>
    </row>
    <row r="5928" spans="1:10" x14ac:dyDescent="0.2">
      <c r="A5928" s="1" t="s">
        <v>39</v>
      </c>
      <c r="B5928" s="2" t="s">
        <v>335</v>
      </c>
      <c r="D5928" s="7" t="s">
        <v>464</v>
      </c>
      <c r="E5928" s="6"/>
      <c r="F5928" s="6"/>
      <c r="G5928" s="57" t="s">
        <v>465</v>
      </c>
      <c r="H5928" s="21" t="s">
        <v>465</v>
      </c>
      <c r="I5928" s="21">
        <v>92500</v>
      </c>
    </row>
    <row r="5929" spans="1:10" x14ac:dyDescent="0.2">
      <c r="A5929" s="1" t="s">
        <v>39</v>
      </c>
      <c r="B5929" s="2" t="s">
        <v>335</v>
      </c>
      <c r="D5929" s="7" t="s">
        <v>464</v>
      </c>
      <c r="E5929" s="6"/>
      <c r="F5929" s="6"/>
      <c r="G5929" s="57" t="s">
        <v>465</v>
      </c>
      <c r="H5929" s="21" t="s">
        <v>465</v>
      </c>
      <c r="I5929" s="21">
        <v>92500</v>
      </c>
    </row>
    <row r="5930" spans="1:10" x14ac:dyDescent="0.2">
      <c r="A5930" s="1" t="s">
        <v>39</v>
      </c>
      <c r="B5930" s="2" t="s">
        <v>335</v>
      </c>
      <c r="D5930" s="7" t="s">
        <v>464</v>
      </c>
      <c r="E5930" s="6"/>
      <c r="F5930" s="6"/>
      <c r="G5930" s="57" t="s">
        <v>465</v>
      </c>
      <c r="H5930" s="21" t="s">
        <v>465</v>
      </c>
      <c r="I5930" s="21">
        <v>92500</v>
      </c>
      <c r="J5930" s="5" t="s">
        <v>2742</v>
      </c>
    </row>
    <row r="5931" spans="1:10" x14ac:dyDescent="0.2">
      <c r="A5931" s="1" t="s">
        <v>39</v>
      </c>
      <c r="B5931" s="2" t="s">
        <v>335</v>
      </c>
      <c r="D5931" s="7" t="s">
        <v>464</v>
      </c>
      <c r="E5931" s="6"/>
      <c r="F5931" s="6"/>
      <c r="G5931" s="57" t="s">
        <v>465</v>
      </c>
      <c r="H5931" s="21">
        <v>97500</v>
      </c>
      <c r="I5931" s="21" t="s">
        <v>465</v>
      </c>
      <c r="J5931" s="5" t="s">
        <v>2742</v>
      </c>
    </row>
    <row r="5932" spans="1:10" x14ac:dyDescent="0.2">
      <c r="A5932" s="1" t="s">
        <v>39</v>
      </c>
      <c r="B5932" s="2" t="s">
        <v>335</v>
      </c>
      <c r="D5932" s="7" t="s">
        <v>464</v>
      </c>
      <c r="E5932" s="6"/>
      <c r="F5932" s="6"/>
      <c r="G5932" s="57" t="s">
        <v>465</v>
      </c>
      <c r="H5932" s="21">
        <v>97500</v>
      </c>
      <c r="I5932" s="21" t="s">
        <v>465</v>
      </c>
      <c r="J5932" s="5" t="s">
        <v>2742</v>
      </c>
    </row>
    <row r="5933" spans="1:10" x14ac:dyDescent="0.2">
      <c r="A5933" s="1" t="s">
        <v>39</v>
      </c>
      <c r="B5933" s="2" t="s">
        <v>335</v>
      </c>
      <c r="D5933" s="7" t="s">
        <v>464</v>
      </c>
      <c r="E5933" s="6"/>
      <c r="F5933" s="6"/>
      <c r="G5933" s="57" t="s">
        <v>465</v>
      </c>
      <c r="H5933" s="21">
        <v>97500</v>
      </c>
      <c r="I5933" s="21" t="s">
        <v>465</v>
      </c>
    </row>
    <row r="5934" spans="1:10" x14ac:dyDescent="0.2">
      <c r="A5934" s="1" t="s">
        <v>39</v>
      </c>
      <c r="B5934" s="2" t="s">
        <v>335</v>
      </c>
      <c r="D5934" s="7" t="s">
        <v>464</v>
      </c>
      <c r="E5934" s="6"/>
      <c r="F5934" s="6"/>
      <c r="G5934" s="57" t="s">
        <v>465</v>
      </c>
      <c r="H5934" s="21" t="s">
        <v>465</v>
      </c>
      <c r="I5934" s="21">
        <v>97500</v>
      </c>
    </row>
    <row r="5935" spans="1:10" x14ac:dyDescent="0.2">
      <c r="A5935" s="1" t="s">
        <v>39</v>
      </c>
      <c r="B5935" s="2" t="s">
        <v>335</v>
      </c>
      <c r="D5935" s="7" t="s">
        <v>464</v>
      </c>
      <c r="E5935" s="6"/>
      <c r="F5935" s="6"/>
      <c r="G5935" s="57" t="s">
        <v>465</v>
      </c>
      <c r="H5935" s="21" t="s">
        <v>465</v>
      </c>
      <c r="I5935" s="21">
        <v>97500</v>
      </c>
    </row>
    <row r="5936" spans="1:10" x14ac:dyDescent="0.2">
      <c r="A5936" s="1" t="s">
        <v>39</v>
      </c>
      <c r="B5936" s="2" t="s">
        <v>335</v>
      </c>
      <c r="D5936" s="7" t="s">
        <v>464</v>
      </c>
      <c r="E5936" s="6"/>
      <c r="F5936" s="6"/>
      <c r="G5936" s="57" t="s">
        <v>465</v>
      </c>
      <c r="H5936" s="21" t="s">
        <v>465</v>
      </c>
      <c r="I5936" s="21">
        <v>97500</v>
      </c>
      <c r="J5936" s="5" t="s">
        <v>2742</v>
      </c>
    </row>
    <row r="5937" spans="1:10" x14ac:dyDescent="0.2">
      <c r="A5937" s="1" t="s">
        <v>39</v>
      </c>
      <c r="B5937" s="2" t="s">
        <v>335</v>
      </c>
      <c r="D5937" s="7" t="s">
        <v>464</v>
      </c>
      <c r="E5937" s="6"/>
      <c r="F5937" s="6"/>
      <c r="G5937" s="57" t="s">
        <v>465</v>
      </c>
      <c r="H5937" s="21" t="s">
        <v>465</v>
      </c>
      <c r="I5937" s="21">
        <v>97500</v>
      </c>
      <c r="J5937" s="5" t="s">
        <v>2742</v>
      </c>
    </row>
    <row r="5938" spans="1:10" x14ac:dyDescent="0.2">
      <c r="A5938" s="1" t="s">
        <v>4</v>
      </c>
      <c r="B5938" s="2" t="s">
        <v>336</v>
      </c>
      <c r="D5938" s="5" t="s">
        <v>464</v>
      </c>
      <c r="G5938" s="57" t="s">
        <v>465</v>
      </c>
      <c r="H5938" s="19">
        <v>92500</v>
      </c>
      <c r="I5938" s="19" t="s">
        <v>465</v>
      </c>
    </row>
    <row r="5939" spans="1:10" x14ac:dyDescent="0.2">
      <c r="A5939" s="1" t="s">
        <v>4</v>
      </c>
      <c r="B5939" s="2" t="s">
        <v>336</v>
      </c>
      <c r="D5939" s="5" t="s">
        <v>464</v>
      </c>
      <c r="G5939" s="57" t="s">
        <v>465</v>
      </c>
      <c r="H5939" s="19" t="s">
        <v>465</v>
      </c>
      <c r="I5939" s="19">
        <v>92500</v>
      </c>
    </row>
    <row r="5940" spans="1:10" x14ac:dyDescent="0.2">
      <c r="A5940" s="1" t="s">
        <v>4</v>
      </c>
      <c r="B5940" s="2" t="s">
        <v>336</v>
      </c>
      <c r="D5940" s="5" t="s">
        <v>464</v>
      </c>
      <c r="G5940" s="57" t="s">
        <v>465</v>
      </c>
      <c r="H5940" s="19" t="s">
        <v>465</v>
      </c>
      <c r="I5940" s="19">
        <v>92500</v>
      </c>
    </row>
    <row r="5941" spans="1:10" x14ac:dyDescent="0.2">
      <c r="A5941" s="1" t="s">
        <v>4</v>
      </c>
      <c r="B5941" s="2" t="s">
        <v>336</v>
      </c>
      <c r="D5941" s="5" t="s">
        <v>464</v>
      </c>
      <c r="G5941" s="57" t="s">
        <v>465</v>
      </c>
      <c r="H5941" s="19" t="s">
        <v>465</v>
      </c>
      <c r="I5941" s="19">
        <v>92500</v>
      </c>
      <c r="J5941" s="1"/>
    </row>
    <row r="5942" spans="1:10" x14ac:dyDescent="0.2">
      <c r="A5942" s="1" t="s">
        <v>4</v>
      </c>
      <c r="B5942" s="2" t="s">
        <v>336</v>
      </c>
      <c r="D5942" s="5" t="s">
        <v>464</v>
      </c>
      <c r="G5942" s="57" t="s">
        <v>465</v>
      </c>
      <c r="H5942" s="19" t="s">
        <v>465</v>
      </c>
      <c r="I5942" s="19">
        <v>92500</v>
      </c>
      <c r="J5942" s="1"/>
    </row>
    <row r="5943" spans="1:10" x14ac:dyDescent="0.2">
      <c r="A5943" s="1" t="s">
        <v>4</v>
      </c>
      <c r="B5943" s="2" t="s">
        <v>336</v>
      </c>
      <c r="D5943" s="5" t="s">
        <v>464</v>
      </c>
      <c r="G5943" s="57" t="s">
        <v>465</v>
      </c>
      <c r="H5943" s="19" t="s">
        <v>465</v>
      </c>
      <c r="I5943" s="19">
        <v>92500</v>
      </c>
      <c r="J5943" s="1"/>
    </row>
    <row r="5944" spans="1:10" x14ac:dyDescent="0.2">
      <c r="A5944" s="1" t="s">
        <v>4</v>
      </c>
      <c r="B5944" s="2" t="s">
        <v>336</v>
      </c>
      <c r="D5944" s="5" t="s">
        <v>464</v>
      </c>
      <c r="G5944" s="57" t="s">
        <v>465</v>
      </c>
      <c r="H5944" s="19" t="s">
        <v>465</v>
      </c>
      <c r="I5944" s="19">
        <v>92500</v>
      </c>
      <c r="J5944" s="1"/>
    </row>
    <row r="5945" spans="1:10" x14ac:dyDescent="0.2">
      <c r="A5945" s="1" t="s">
        <v>4</v>
      </c>
      <c r="B5945" s="2" t="s">
        <v>336</v>
      </c>
      <c r="D5945" s="5" t="s">
        <v>464</v>
      </c>
      <c r="G5945" s="57" t="s">
        <v>465</v>
      </c>
      <c r="H5945" s="19">
        <v>97500</v>
      </c>
      <c r="I5945" s="19" t="s">
        <v>465</v>
      </c>
      <c r="J5945" s="1"/>
    </row>
    <row r="5946" spans="1:10" x14ac:dyDescent="0.2">
      <c r="A5946" s="1" t="s">
        <v>4</v>
      </c>
      <c r="B5946" s="2" t="s">
        <v>336</v>
      </c>
      <c r="D5946" s="5" t="s">
        <v>464</v>
      </c>
      <c r="G5946" s="57" t="s">
        <v>465</v>
      </c>
      <c r="H5946" s="19" t="s">
        <v>465</v>
      </c>
      <c r="I5946" s="19">
        <v>97500</v>
      </c>
      <c r="J5946" s="1"/>
    </row>
    <row r="5947" spans="1:10" x14ac:dyDescent="0.2">
      <c r="A5947" s="1" t="s">
        <v>4</v>
      </c>
      <c r="B5947" s="2" t="s">
        <v>336</v>
      </c>
      <c r="D5947" s="5" t="s">
        <v>464</v>
      </c>
      <c r="G5947" s="57" t="s">
        <v>465</v>
      </c>
      <c r="H5947" s="19" t="s">
        <v>465</v>
      </c>
      <c r="I5947" s="19">
        <v>97500</v>
      </c>
      <c r="J5947" s="1"/>
    </row>
    <row r="5948" spans="1:10" x14ac:dyDescent="0.2">
      <c r="A5948" s="1" t="s">
        <v>4</v>
      </c>
      <c r="B5948" s="2" t="s">
        <v>336</v>
      </c>
      <c r="D5948" s="5" t="s">
        <v>464</v>
      </c>
      <c r="G5948" s="57" t="s">
        <v>465</v>
      </c>
      <c r="H5948" s="19" t="s">
        <v>465</v>
      </c>
      <c r="I5948" s="19">
        <v>97500</v>
      </c>
      <c r="J5948" s="1"/>
    </row>
    <row r="5949" spans="1:10" ht="25.5" x14ac:dyDescent="0.2">
      <c r="A5949" s="1" t="s">
        <v>39</v>
      </c>
      <c r="B5949" s="2" t="s">
        <v>337</v>
      </c>
      <c r="D5949" s="5" t="s">
        <v>464</v>
      </c>
      <c r="G5949" s="57" t="s">
        <v>465</v>
      </c>
      <c r="H5949" s="19" t="s">
        <v>465</v>
      </c>
      <c r="I5949" s="19">
        <v>92500</v>
      </c>
      <c r="J5949" s="5" t="s">
        <v>4447</v>
      </c>
    </row>
    <row r="5950" spans="1:10" x14ac:dyDescent="0.2">
      <c r="A5950" s="1" t="s">
        <v>39</v>
      </c>
      <c r="B5950" s="2" t="s">
        <v>337</v>
      </c>
      <c r="D5950" s="5" t="s">
        <v>464</v>
      </c>
      <c r="G5950" s="57" t="s">
        <v>465</v>
      </c>
      <c r="H5950" s="19" t="s">
        <v>465</v>
      </c>
      <c r="I5950" s="19">
        <v>92500</v>
      </c>
    </row>
    <row r="5951" spans="1:10" x14ac:dyDescent="0.2">
      <c r="A5951" s="1" t="s">
        <v>39</v>
      </c>
      <c r="B5951" s="2" t="s">
        <v>337</v>
      </c>
      <c r="D5951" s="5" t="s">
        <v>464</v>
      </c>
      <c r="G5951" s="57" t="s">
        <v>465</v>
      </c>
      <c r="H5951" s="19">
        <v>97500</v>
      </c>
      <c r="I5951" s="19" t="s">
        <v>465</v>
      </c>
    </row>
    <row r="5952" spans="1:10" x14ac:dyDescent="0.2">
      <c r="A5952" s="1" t="s">
        <v>39</v>
      </c>
      <c r="B5952" s="2" t="s">
        <v>337</v>
      </c>
      <c r="D5952" s="5" t="s">
        <v>464</v>
      </c>
      <c r="G5952" s="57" t="s">
        <v>465</v>
      </c>
      <c r="H5952" s="19" t="s">
        <v>465</v>
      </c>
      <c r="I5952" s="19">
        <v>97500</v>
      </c>
    </row>
    <row r="5953" spans="1:10" x14ac:dyDescent="0.2">
      <c r="A5953" s="1" t="s">
        <v>34</v>
      </c>
      <c r="B5953" s="2" t="s">
        <v>338</v>
      </c>
      <c r="D5953" s="5" t="s">
        <v>464</v>
      </c>
      <c r="G5953" s="57" t="s">
        <v>465</v>
      </c>
      <c r="H5953" s="19" t="s">
        <v>465</v>
      </c>
      <c r="I5953" s="19">
        <v>92500</v>
      </c>
    </row>
    <row r="5954" spans="1:10" x14ac:dyDescent="0.2">
      <c r="A5954" s="1" t="s">
        <v>34</v>
      </c>
      <c r="B5954" s="2" t="s">
        <v>338</v>
      </c>
      <c r="D5954" s="5" t="s">
        <v>464</v>
      </c>
      <c r="G5954" s="57" t="s">
        <v>465</v>
      </c>
      <c r="H5954" s="19" t="s">
        <v>465</v>
      </c>
      <c r="I5954" s="19">
        <v>92500</v>
      </c>
    </row>
    <row r="5955" spans="1:10" x14ac:dyDescent="0.2">
      <c r="A5955" s="1" t="s">
        <v>34</v>
      </c>
      <c r="B5955" s="2" t="s">
        <v>338</v>
      </c>
      <c r="D5955" s="5" t="s">
        <v>464</v>
      </c>
      <c r="G5955" s="57" t="s">
        <v>465</v>
      </c>
      <c r="H5955" s="19" t="s">
        <v>465</v>
      </c>
      <c r="I5955" s="19">
        <v>97500</v>
      </c>
    </row>
    <row r="5956" spans="1:10" x14ac:dyDescent="0.2">
      <c r="A5956" s="1" t="s">
        <v>34</v>
      </c>
      <c r="B5956" s="2" t="s">
        <v>338</v>
      </c>
      <c r="D5956" s="5" t="s">
        <v>464</v>
      </c>
      <c r="G5956" s="57" t="s">
        <v>465</v>
      </c>
      <c r="H5956" s="19" t="s">
        <v>465</v>
      </c>
      <c r="I5956" s="19">
        <v>97500</v>
      </c>
    </row>
    <row r="5957" spans="1:10" x14ac:dyDescent="0.2">
      <c r="A5957" s="1" t="s">
        <v>34</v>
      </c>
      <c r="B5957" s="2" t="s">
        <v>343</v>
      </c>
      <c r="D5957" s="5" t="s">
        <v>464</v>
      </c>
      <c r="G5957" s="57" t="s">
        <v>465</v>
      </c>
      <c r="H5957" s="19">
        <v>97500</v>
      </c>
      <c r="I5957" s="19" t="s">
        <v>465</v>
      </c>
    </row>
    <row r="5958" spans="1:10" x14ac:dyDescent="0.2">
      <c r="A5958" s="1" t="s">
        <v>34</v>
      </c>
      <c r="B5958" s="2" t="s">
        <v>343</v>
      </c>
      <c r="D5958" s="5" t="s">
        <v>464</v>
      </c>
      <c r="G5958" s="57" t="s">
        <v>465</v>
      </c>
      <c r="H5958" s="19" t="s">
        <v>465</v>
      </c>
      <c r="I5958" s="19">
        <v>97500</v>
      </c>
    </row>
    <row r="5959" spans="1:10" ht="76.5" x14ac:dyDescent="0.2">
      <c r="A5959" s="1" t="s">
        <v>34</v>
      </c>
      <c r="B5959" s="12" t="s">
        <v>344</v>
      </c>
      <c r="C5959" s="29" t="s">
        <v>2698</v>
      </c>
      <c r="D5959" s="29"/>
      <c r="G5959" s="57" t="s">
        <v>465</v>
      </c>
    </row>
    <row r="5960" spans="1:10" x14ac:dyDescent="0.2">
      <c r="A5960" s="1" t="s">
        <v>8</v>
      </c>
      <c r="B5960" s="2" t="s">
        <v>345</v>
      </c>
      <c r="D5960" s="5" t="s">
        <v>464</v>
      </c>
      <c r="G5960" s="57" t="s">
        <v>465</v>
      </c>
      <c r="I5960" s="19">
        <v>92500</v>
      </c>
    </row>
    <row r="5961" spans="1:10" x14ac:dyDescent="0.2">
      <c r="A5961" s="1" t="s">
        <v>8</v>
      </c>
      <c r="B5961" s="2" t="s">
        <v>350</v>
      </c>
      <c r="D5961" s="5" t="s">
        <v>464</v>
      </c>
      <c r="G5961" s="57" t="s">
        <v>465</v>
      </c>
      <c r="H5961" s="19">
        <v>97500</v>
      </c>
      <c r="I5961" s="19" t="s">
        <v>465</v>
      </c>
    </row>
    <row r="5962" spans="1:10" x14ac:dyDescent="0.2">
      <c r="A5962" s="1" t="s">
        <v>34</v>
      </c>
      <c r="B5962" s="2" t="s">
        <v>353</v>
      </c>
      <c r="D5962" s="5" t="s">
        <v>464</v>
      </c>
      <c r="G5962" s="57" t="s">
        <v>465</v>
      </c>
      <c r="H5962" s="19" t="s">
        <v>465</v>
      </c>
      <c r="I5962" s="19">
        <v>97500</v>
      </c>
      <c r="J5962" s="5" t="s">
        <v>539</v>
      </c>
    </row>
    <row r="5963" spans="1:10" x14ac:dyDescent="0.2">
      <c r="A5963" s="1" t="s">
        <v>111</v>
      </c>
      <c r="B5963" s="2" t="s">
        <v>355</v>
      </c>
      <c r="D5963" s="5" t="s">
        <v>464</v>
      </c>
      <c r="G5963" s="57" t="s">
        <v>465</v>
      </c>
      <c r="H5963" s="19">
        <v>92500</v>
      </c>
      <c r="I5963" s="19" t="s">
        <v>465</v>
      </c>
      <c r="J5963" s="5" t="s">
        <v>539</v>
      </c>
    </row>
    <row r="5964" spans="1:10" x14ac:dyDescent="0.2">
      <c r="A5964" s="1" t="s">
        <v>111</v>
      </c>
      <c r="B5964" s="2" t="s">
        <v>355</v>
      </c>
      <c r="D5964" s="5" t="s">
        <v>464</v>
      </c>
      <c r="G5964" s="57" t="s">
        <v>465</v>
      </c>
      <c r="H5964" s="19" t="s">
        <v>465</v>
      </c>
      <c r="I5964" s="19">
        <v>92500</v>
      </c>
      <c r="J5964" s="5" t="s">
        <v>539</v>
      </c>
    </row>
    <row r="5965" spans="1:10" x14ac:dyDescent="0.2">
      <c r="A5965" s="1" t="s">
        <v>111</v>
      </c>
      <c r="B5965" s="2" t="s">
        <v>355</v>
      </c>
      <c r="D5965" s="5" t="s">
        <v>464</v>
      </c>
      <c r="G5965" s="57" t="s">
        <v>465</v>
      </c>
      <c r="H5965" s="19" t="s">
        <v>465</v>
      </c>
      <c r="I5965" s="19">
        <v>92500</v>
      </c>
      <c r="J5965" s="5" t="s">
        <v>539</v>
      </c>
    </row>
    <row r="5966" spans="1:10" x14ac:dyDescent="0.2">
      <c r="A5966" s="1" t="s">
        <v>111</v>
      </c>
      <c r="B5966" s="2" t="s">
        <v>355</v>
      </c>
      <c r="D5966" s="5" t="s">
        <v>464</v>
      </c>
      <c r="G5966" s="57" t="s">
        <v>465</v>
      </c>
      <c r="H5966" s="19">
        <v>97500</v>
      </c>
      <c r="I5966" s="19" t="s">
        <v>465</v>
      </c>
    </row>
    <row r="5967" spans="1:10" x14ac:dyDescent="0.2">
      <c r="A5967" s="1" t="s">
        <v>4</v>
      </c>
      <c r="B5967" s="2" t="s">
        <v>356</v>
      </c>
      <c r="D5967" s="5" t="s">
        <v>2645</v>
      </c>
      <c r="E5967" s="3">
        <v>108538</v>
      </c>
      <c r="G5967" s="57">
        <v>-1</v>
      </c>
      <c r="J5967" s="5" t="s">
        <v>2646</v>
      </c>
    </row>
    <row r="5968" spans="1:10" x14ac:dyDescent="0.2">
      <c r="A5968" s="1" t="s">
        <v>4</v>
      </c>
      <c r="B5968" s="2" t="s">
        <v>356</v>
      </c>
      <c r="D5968" s="5" t="s">
        <v>464</v>
      </c>
      <c r="G5968" s="57" t="s">
        <v>465</v>
      </c>
      <c r="H5968" s="19">
        <v>92500</v>
      </c>
      <c r="I5968" s="19" t="s">
        <v>465</v>
      </c>
    </row>
    <row r="5969" spans="1:10" x14ac:dyDescent="0.2">
      <c r="A5969" s="1" t="s">
        <v>4</v>
      </c>
      <c r="B5969" s="2" t="s">
        <v>356</v>
      </c>
      <c r="D5969" s="5" t="s">
        <v>464</v>
      </c>
      <c r="G5969" s="57" t="s">
        <v>465</v>
      </c>
      <c r="H5969" s="19" t="s">
        <v>465</v>
      </c>
      <c r="I5969" s="19">
        <v>92500</v>
      </c>
    </row>
    <row r="5970" spans="1:10" x14ac:dyDescent="0.2">
      <c r="A5970" s="1" t="s">
        <v>4</v>
      </c>
      <c r="B5970" s="2" t="s">
        <v>356</v>
      </c>
      <c r="D5970" s="5" t="s">
        <v>464</v>
      </c>
      <c r="G5970" s="57" t="s">
        <v>465</v>
      </c>
      <c r="H5970" s="19" t="s">
        <v>465</v>
      </c>
      <c r="I5970" s="19">
        <v>92500</v>
      </c>
    </row>
    <row r="5971" spans="1:10" x14ac:dyDescent="0.2">
      <c r="A5971" s="1" t="s">
        <v>4</v>
      </c>
      <c r="B5971" s="2" t="s">
        <v>356</v>
      </c>
      <c r="D5971" s="5" t="s">
        <v>464</v>
      </c>
      <c r="G5971" s="57" t="s">
        <v>465</v>
      </c>
      <c r="H5971" s="19">
        <v>97500</v>
      </c>
      <c r="I5971" s="19" t="s">
        <v>465</v>
      </c>
    </row>
    <row r="5972" spans="1:10" x14ac:dyDescent="0.2">
      <c r="A5972" s="1" t="s">
        <v>4</v>
      </c>
      <c r="B5972" s="2" t="s">
        <v>356</v>
      </c>
      <c r="D5972" s="5" t="s">
        <v>464</v>
      </c>
      <c r="G5972" s="57" t="s">
        <v>465</v>
      </c>
      <c r="H5972" s="19" t="s">
        <v>465</v>
      </c>
      <c r="I5972" s="19">
        <v>97500</v>
      </c>
    </row>
    <row r="5973" spans="1:10" x14ac:dyDescent="0.2">
      <c r="A5973" s="1" t="s">
        <v>20</v>
      </c>
      <c r="B5973" s="2" t="s">
        <v>357</v>
      </c>
      <c r="D5973" s="15" t="s">
        <v>464</v>
      </c>
      <c r="E5973" s="9"/>
      <c r="F5973" s="9"/>
      <c r="G5973" s="57" t="s">
        <v>465</v>
      </c>
      <c r="H5973" s="19">
        <v>92500</v>
      </c>
      <c r="I5973" s="19" t="s">
        <v>465</v>
      </c>
    </row>
    <row r="5974" spans="1:10" x14ac:dyDescent="0.2">
      <c r="A5974" s="1" t="s">
        <v>20</v>
      </c>
      <c r="B5974" s="2" t="s">
        <v>357</v>
      </c>
      <c r="D5974" s="5" t="s">
        <v>464</v>
      </c>
      <c r="G5974" s="57" t="s">
        <v>465</v>
      </c>
      <c r="H5974" s="19">
        <v>92500</v>
      </c>
      <c r="I5974" s="19" t="s">
        <v>465</v>
      </c>
    </row>
    <row r="5975" spans="1:10" x14ac:dyDescent="0.2">
      <c r="A5975" s="1" t="s">
        <v>20</v>
      </c>
      <c r="B5975" s="2" t="s">
        <v>357</v>
      </c>
      <c r="D5975" s="5" t="s">
        <v>464</v>
      </c>
      <c r="G5975" s="57" t="s">
        <v>465</v>
      </c>
      <c r="H5975" s="19" t="s">
        <v>465</v>
      </c>
      <c r="I5975" s="19">
        <v>97500</v>
      </c>
    </row>
    <row r="5976" spans="1:10" ht="38.25" x14ac:dyDescent="0.2">
      <c r="A5976" s="1" t="s">
        <v>25</v>
      </c>
      <c r="B5976" s="2" t="s">
        <v>358</v>
      </c>
      <c r="D5976" s="5" t="s">
        <v>464</v>
      </c>
      <c r="G5976" s="57" t="s">
        <v>465</v>
      </c>
      <c r="H5976" s="19" t="s">
        <v>465</v>
      </c>
      <c r="I5976" s="19">
        <v>92500</v>
      </c>
      <c r="J5976" s="5" t="s">
        <v>4695</v>
      </c>
    </row>
    <row r="5977" spans="1:10" x14ac:dyDescent="0.2">
      <c r="A5977" s="1" t="s">
        <v>25</v>
      </c>
      <c r="B5977" s="2" t="s">
        <v>358</v>
      </c>
      <c r="D5977" s="5" t="s">
        <v>464</v>
      </c>
      <c r="G5977" s="57" t="s">
        <v>465</v>
      </c>
      <c r="H5977" s="19" t="s">
        <v>465</v>
      </c>
      <c r="I5977" s="19">
        <v>92500</v>
      </c>
    </row>
    <row r="5978" spans="1:10" x14ac:dyDescent="0.2">
      <c r="A5978" s="1" t="s">
        <v>25</v>
      </c>
      <c r="B5978" s="2" t="s">
        <v>358</v>
      </c>
      <c r="D5978" s="5" t="s">
        <v>464</v>
      </c>
      <c r="G5978" s="57" t="s">
        <v>465</v>
      </c>
      <c r="H5978" s="19" t="s">
        <v>465</v>
      </c>
      <c r="I5978" s="19">
        <v>92500</v>
      </c>
    </row>
    <row r="5979" spans="1:10" x14ac:dyDescent="0.2">
      <c r="A5979" s="1" t="s">
        <v>25</v>
      </c>
      <c r="B5979" s="2" t="s">
        <v>358</v>
      </c>
      <c r="D5979" s="5" t="s">
        <v>464</v>
      </c>
      <c r="G5979" s="57" t="s">
        <v>465</v>
      </c>
      <c r="H5979" s="19" t="s">
        <v>465</v>
      </c>
      <c r="I5979" s="19">
        <v>92500</v>
      </c>
    </row>
    <row r="5980" spans="1:10" x14ac:dyDescent="0.2">
      <c r="A5980" s="1" t="s">
        <v>25</v>
      </c>
      <c r="B5980" s="2" t="s">
        <v>358</v>
      </c>
      <c r="D5980" s="5" t="s">
        <v>464</v>
      </c>
      <c r="G5980" s="57" t="s">
        <v>465</v>
      </c>
      <c r="H5980" s="19" t="s">
        <v>465</v>
      </c>
      <c r="I5980" s="19">
        <v>97500</v>
      </c>
    </row>
    <row r="5981" spans="1:10" x14ac:dyDescent="0.2">
      <c r="A5981" s="1" t="s">
        <v>25</v>
      </c>
      <c r="B5981" s="2" t="s">
        <v>358</v>
      </c>
      <c r="D5981" s="5" t="s">
        <v>464</v>
      </c>
      <c r="G5981" s="57" t="s">
        <v>465</v>
      </c>
      <c r="H5981" s="19" t="s">
        <v>465</v>
      </c>
      <c r="I5981" s="19">
        <v>97500</v>
      </c>
    </row>
    <row r="5982" spans="1:10" x14ac:dyDescent="0.2">
      <c r="A5982" s="1" t="s">
        <v>25</v>
      </c>
      <c r="B5982" s="2" t="s">
        <v>358</v>
      </c>
      <c r="D5982" s="5" t="s">
        <v>464</v>
      </c>
      <c r="G5982" s="57" t="s">
        <v>465</v>
      </c>
      <c r="H5982" s="19" t="s">
        <v>465</v>
      </c>
      <c r="I5982" s="19">
        <v>97500</v>
      </c>
    </row>
    <row r="5983" spans="1:10" x14ac:dyDescent="0.2">
      <c r="A5983" s="1" t="s">
        <v>25</v>
      </c>
      <c r="B5983" s="2" t="s">
        <v>358</v>
      </c>
      <c r="D5983" s="5" t="s">
        <v>464</v>
      </c>
      <c r="G5983" s="57" t="s">
        <v>465</v>
      </c>
      <c r="H5983" s="19" t="s">
        <v>465</v>
      </c>
      <c r="I5983" s="19">
        <v>97500</v>
      </c>
    </row>
    <row r="5984" spans="1:10" x14ac:dyDescent="0.2">
      <c r="A5984" s="1" t="s">
        <v>25</v>
      </c>
      <c r="B5984" s="2" t="s">
        <v>358</v>
      </c>
      <c r="D5984" s="5" t="s">
        <v>464</v>
      </c>
      <c r="G5984" s="57" t="s">
        <v>465</v>
      </c>
      <c r="H5984" s="19" t="s">
        <v>465</v>
      </c>
      <c r="I5984" s="19">
        <v>97500</v>
      </c>
    </row>
    <row r="5985" spans="1:10" x14ac:dyDescent="0.2">
      <c r="A5985" s="1" t="s">
        <v>25</v>
      </c>
      <c r="B5985" s="2" t="s">
        <v>358</v>
      </c>
      <c r="D5985" s="5" t="s">
        <v>464</v>
      </c>
      <c r="G5985" s="57" t="s">
        <v>465</v>
      </c>
      <c r="H5985" s="19">
        <v>92500</v>
      </c>
      <c r="I5985" s="19" t="s">
        <v>465</v>
      </c>
      <c r="J5985" s="1"/>
    </row>
    <row r="5986" spans="1:10" x14ac:dyDescent="0.2">
      <c r="A5986" s="1" t="s">
        <v>25</v>
      </c>
      <c r="B5986" s="2" t="s">
        <v>358</v>
      </c>
      <c r="D5986" s="5" t="s">
        <v>464</v>
      </c>
      <c r="G5986" s="57" t="s">
        <v>465</v>
      </c>
      <c r="H5986" s="19">
        <v>92500</v>
      </c>
      <c r="I5986" s="19" t="s">
        <v>465</v>
      </c>
      <c r="J5986" s="1"/>
    </row>
    <row r="5987" spans="1:10" x14ac:dyDescent="0.2">
      <c r="A5987" s="1" t="s">
        <v>25</v>
      </c>
      <c r="B5987" s="2" t="s">
        <v>358</v>
      </c>
      <c r="D5987" s="5" t="s">
        <v>464</v>
      </c>
      <c r="G5987" s="57" t="s">
        <v>465</v>
      </c>
      <c r="H5987" s="19">
        <v>92500</v>
      </c>
      <c r="I5987" s="19" t="s">
        <v>465</v>
      </c>
      <c r="J5987" s="1"/>
    </row>
    <row r="5988" spans="1:10" x14ac:dyDescent="0.2">
      <c r="A5988" s="1" t="s">
        <v>25</v>
      </c>
      <c r="B5988" s="2" t="s">
        <v>358</v>
      </c>
      <c r="D5988" s="5" t="s">
        <v>464</v>
      </c>
      <c r="G5988" s="57" t="s">
        <v>465</v>
      </c>
      <c r="H5988" s="19">
        <v>92500</v>
      </c>
      <c r="I5988" s="19" t="s">
        <v>465</v>
      </c>
      <c r="J5988" s="1"/>
    </row>
    <row r="5989" spans="1:10" x14ac:dyDescent="0.2">
      <c r="A5989" s="1" t="s">
        <v>25</v>
      </c>
      <c r="B5989" s="2" t="s">
        <v>358</v>
      </c>
      <c r="D5989" s="5" t="s">
        <v>464</v>
      </c>
      <c r="G5989" s="57" t="s">
        <v>465</v>
      </c>
      <c r="H5989" s="19">
        <v>92500</v>
      </c>
      <c r="I5989" s="19" t="s">
        <v>465</v>
      </c>
      <c r="J5989" s="1"/>
    </row>
    <row r="5990" spans="1:10" x14ac:dyDescent="0.2">
      <c r="A5990" s="1" t="s">
        <v>25</v>
      </c>
      <c r="B5990" s="2" t="s">
        <v>358</v>
      </c>
      <c r="D5990" s="5" t="s">
        <v>464</v>
      </c>
      <c r="G5990" s="57" t="s">
        <v>465</v>
      </c>
      <c r="H5990" s="19">
        <v>97500</v>
      </c>
      <c r="I5990" s="19" t="s">
        <v>465</v>
      </c>
      <c r="J5990" s="1"/>
    </row>
    <row r="5991" spans="1:10" x14ac:dyDescent="0.2">
      <c r="A5991" s="1" t="s">
        <v>25</v>
      </c>
      <c r="B5991" s="2" t="s">
        <v>358</v>
      </c>
      <c r="D5991" s="5" t="s">
        <v>464</v>
      </c>
      <c r="G5991" s="57" t="s">
        <v>465</v>
      </c>
      <c r="H5991" s="19">
        <v>97500</v>
      </c>
      <c r="I5991" s="19" t="s">
        <v>465</v>
      </c>
      <c r="J5991" s="1"/>
    </row>
    <row r="5992" spans="1:10" x14ac:dyDescent="0.2">
      <c r="A5992" s="1" t="s">
        <v>25</v>
      </c>
      <c r="B5992" s="2" t="s">
        <v>358</v>
      </c>
      <c r="D5992" s="5" t="s">
        <v>464</v>
      </c>
      <c r="G5992" s="57" t="s">
        <v>465</v>
      </c>
      <c r="H5992" s="19">
        <v>97500</v>
      </c>
      <c r="I5992" s="19" t="s">
        <v>465</v>
      </c>
      <c r="J5992" s="1"/>
    </row>
    <row r="5993" spans="1:10" x14ac:dyDescent="0.2">
      <c r="A5993" s="1" t="s">
        <v>25</v>
      </c>
      <c r="B5993" s="2" t="s">
        <v>358</v>
      </c>
      <c r="D5993" s="5" t="s">
        <v>464</v>
      </c>
      <c r="G5993" s="57" t="s">
        <v>465</v>
      </c>
      <c r="H5993" s="19">
        <v>97500</v>
      </c>
      <c r="I5993" s="19" t="s">
        <v>465</v>
      </c>
      <c r="J5993" s="1"/>
    </row>
    <row r="5994" spans="1:10" x14ac:dyDescent="0.2">
      <c r="A5994" s="1" t="s">
        <v>6</v>
      </c>
      <c r="B5994" s="2" t="s">
        <v>362</v>
      </c>
      <c r="D5994" s="5" t="s">
        <v>464</v>
      </c>
      <c r="G5994" s="57" t="s">
        <v>465</v>
      </c>
      <c r="H5994" s="19">
        <v>92500</v>
      </c>
      <c r="I5994" s="19" t="s">
        <v>465</v>
      </c>
    </row>
    <row r="5995" spans="1:10" x14ac:dyDescent="0.2">
      <c r="A5995" s="1" t="s">
        <v>6</v>
      </c>
      <c r="B5995" s="2" t="s">
        <v>362</v>
      </c>
      <c r="D5995" s="5" t="s">
        <v>464</v>
      </c>
      <c r="G5995" s="57" t="s">
        <v>465</v>
      </c>
      <c r="H5995" s="19" t="s">
        <v>465</v>
      </c>
      <c r="I5995" s="19">
        <v>97500</v>
      </c>
    </row>
    <row r="5996" spans="1:10" x14ac:dyDescent="0.2">
      <c r="A5996" s="1" t="s">
        <v>39</v>
      </c>
      <c r="B5996" s="2" t="s">
        <v>364</v>
      </c>
      <c r="C5996" s="7"/>
      <c r="D5996" s="5" t="s">
        <v>464</v>
      </c>
      <c r="G5996" s="57" t="s">
        <v>465</v>
      </c>
      <c r="H5996" s="19">
        <v>92500</v>
      </c>
      <c r="I5996" s="19" t="s">
        <v>465</v>
      </c>
    </row>
    <row r="5997" spans="1:10" x14ac:dyDescent="0.2">
      <c r="A5997" s="1" t="s">
        <v>39</v>
      </c>
      <c r="B5997" s="2" t="s">
        <v>364</v>
      </c>
      <c r="C5997" s="7"/>
      <c r="D5997" s="5" t="s">
        <v>464</v>
      </c>
      <c r="G5997" s="57" t="s">
        <v>465</v>
      </c>
      <c r="H5997" s="19">
        <v>92500</v>
      </c>
      <c r="I5997" s="19" t="s">
        <v>465</v>
      </c>
    </row>
    <row r="5998" spans="1:10" x14ac:dyDescent="0.2">
      <c r="A5998" s="1" t="s">
        <v>39</v>
      </c>
      <c r="B5998" s="2" t="s">
        <v>364</v>
      </c>
      <c r="C5998" s="7"/>
      <c r="D5998" s="5" t="s">
        <v>464</v>
      </c>
      <c r="G5998" s="57" t="s">
        <v>465</v>
      </c>
      <c r="H5998" s="19">
        <v>92500</v>
      </c>
      <c r="I5998" s="19" t="s">
        <v>465</v>
      </c>
    </row>
    <row r="5999" spans="1:10" x14ac:dyDescent="0.2">
      <c r="A5999" s="1" t="s">
        <v>39</v>
      </c>
      <c r="B5999" s="2" t="s">
        <v>364</v>
      </c>
      <c r="C5999" s="7"/>
      <c r="D5999" s="5" t="s">
        <v>464</v>
      </c>
      <c r="G5999" s="57" t="s">
        <v>465</v>
      </c>
      <c r="H5999" s="19">
        <v>92500</v>
      </c>
      <c r="I5999" s="19" t="s">
        <v>465</v>
      </c>
    </row>
    <row r="6000" spans="1:10" x14ac:dyDescent="0.2">
      <c r="A6000" s="1" t="s">
        <v>39</v>
      </c>
      <c r="B6000" s="2" t="s">
        <v>364</v>
      </c>
      <c r="C6000" s="7"/>
      <c r="D6000" s="5" t="s">
        <v>464</v>
      </c>
      <c r="G6000" s="57" t="s">
        <v>465</v>
      </c>
      <c r="H6000" s="19">
        <v>92500</v>
      </c>
      <c r="I6000" s="19" t="s">
        <v>465</v>
      </c>
    </row>
    <row r="6001" spans="1:10" x14ac:dyDescent="0.2">
      <c r="A6001" s="1" t="s">
        <v>39</v>
      </c>
      <c r="B6001" s="2" t="s">
        <v>364</v>
      </c>
      <c r="C6001" s="7"/>
      <c r="D6001" s="5" t="s">
        <v>464</v>
      </c>
      <c r="G6001" s="57" t="s">
        <v>465</v>
      </c>
      <c r="H6001" s="19">
        <v>92500</v>
      </c>
      <c r="I6001" s="19" t="s">
        <v>465</v>
      </c>
    </row>
    <row r="6002" spans="1:10" x14ac:dyDescent="0.2">
      <c r="A6002" s="1" t="s">
        <v>39</v>
      </c>
      <c r="B6002" s="2" t="s">
        <v>364</v>
      </c>
      <c r="C6002" s="7"/>
      <c r="D6002" s="5" t="s">
        <v>464</v>
      </c>
      <c r="G6002" s="57" t="s">
        <v>465</v>
      </c>
      <c r="H6002" s="19" t="s">
        <v>465</v>
      </c>
      <c r="I6002" s="19">
        <v>92500</v>
      </c>
      <c r="J6002" s="5" t="s">
        <v>539</v>
      </c>
    </row>
    <row r="6003" spans="1:10" x14ac:dyDescent="0.2">
      <c r="A6003" s="1" t="s">
        <v>39</v>
      </c>
      <c r="B6003" s="2" t="s">
        <v>364</v>
      </c>
      <c r="C6003" s="7"/>
      <c r="D6003" s="5" t="s">
        <v>464</v>
      </c>
      <c r="G6003" s="57" t="s">
        <v>465</v>
      </c>
      <c r="H6003" s="19" t="s">
        <v>465</v>
      </c>
      <c r="I6003" s="19">
        <v>92500</v>
      </c>
      <c r="J6003" s="5" t="s">
        <v>539</v>
      </c>
    </row>
    <row r="6004" spans="1:10" x14ac:dyDescent="0.2">
      <c r="A6004" s="1" t="s">
        <v>39</v>
      </c>
      <c r="B6004" s="2" t="s">
        <v>364</v>
      </c>
      <c r="C6004" s="7"/>
      <c r="D6004" s="5" t="s">
        <v>464</v>
      </c>
      <c r="G6004" s="57" t="s">
        <v>465</v>
      </c>
      <c r="H6004" s="19" t="s">
        <v>465</v>
      </c>
      <c r="I6004" s="19">
        <v>92500</v>
      </c>
    </row>
    <row r="6005" spans="1:10" x14ac:dyDescent="0.2">
      <c r="A6005" s="1" t="s">
        <v>39</v>
      </c>
      <c r="B6005" s="2" t="s">
        <v>364</v>
      </c>
      <c r="C6005" s="7"/>
      <c r="D6005" s="5" t="s">
        <v>464</v>
      </c>
      <c r="G6005" s="57" t="s">
        <v>465</v>
      </c>
      <c r="H6005" s="19" t="s">
        <v>465</v>
      </c>
      <c r="I6005" s="19">
        <v>92500</v>
      </c>
    </row>
    <row r="6006" spans="1:10" x14ac:dyDescent="0.2">
      <c r="A6006" s="1" t="s">
        <v>39</v>
      </c>
      <c r="B6006" s="2" t="s">
        <v>364</v>
      </c>
      <c r="C6006" s="7"/>
      <c r="D6006" s="5" t="s">
        <v>464</v>
      </c>
      <c r="G6006" s="57" t="s">
        <v>465</v>
      </c>
      <c r="H6006" s="19" t="s">
        <v>465</v>
      </c>
      <c r="I6006" s="19">
        <v>92500</v>
      </c>
    </row>
    <row r="6007" spans="1:10" x14ac:dyDescent="0.2">
      <c r="A6007" s="1" t="s">
        <v>39</v>
      </c>
      <c r="B6007" s="2" t="s">
        <v>364</v>
      </c>
      <c r="C6007" s="7"/>
      <c r="D6007" s="5" t="s">
        <v>464</v>
      </c>
      <c r="G6007" s="57" t="s">
        <v>465</v>
      </c>
      <c r="H6007" s="19">
        <v>97500</v>
      </c>
      <c r="I6007" s="19" t="s">
        <v>465</v>
      </c>
    </row>
    <row r="6008" spans="1:10" x14ac:dyDescent="0.2">
      <c r="A6008" s="1" t="s">
        <v>39</v>
      </c>
      <c r="B6008" s="2" t="s">
        <v>364</v>
      </c>
      <c r="C6008" s="7"/>
      <c r="D6008" s="5" t="s">
        <v>464</v>
      </c>
      <c r="G6008" s="57" t="s">
        <v>465</v>
      </c>
      <c r="H6008" s="19" t="s">
        <v>465</v>
      </c>
      <c r="I6008" s="19">
        <v>97500</v>
      </c>
    </row>
    <row r="6009" spans="1:10" x14ac:dyDescent="0.2">
      <c r="A6009" s="1" t="s">
        <v>39</v>
      </c>
      <c r="B6009" s="2" t="s">
        <v>364</v>
      </c>
      <c r="D6009" s="5" t="s">
        <v>464</v>
      </c>
      <c r="G6009" s="57" t="s">
        <v>465</v>
      </c>
      <c r="H6009" s="19" t="s">
        <v>465</v>
      </c>
      <c r="I6009" s="19">
        <v>97500</v>
      </c>
    </row>
    <row r="6010" spans="1:10" x14ac:dyDescent="0.2">
      <c r="A6010" s="1" t="s">
        <v>39</v>
      </c>
      <c r="B6010" s="2" t="s">
        <v>364</v>
      </c>
      <c r="D6010" s="5" t="s">
        <v>464</v>
      </c>
      <c r="G6010" s="57" t="s">
        <v>465</v>
      </c>
      <c r="H6010" s="19" t="s">
        <v>465</v>
      </c>
      <c r="I6010" s="19">
        <v>97500</v>
      </c>
    </row>
    <row r="6011" spans="1:10" x14ac:dyDescent="0.2">
      <c r="A6011" s="1" t="s">
        <v>39</v>
      </c>
      <c r="B6011" s="2" t="s">
        <v>364</v>
      </c>
      <c r="D6011" s="5" t="s">
        <v>464</v>
      </c>
      <c r="G6011" s="57" t="s">
        <v>465</v>
      </c>
      <c r="H6011" s="19" t="s">
        <v>465</v>
      </c>
      <c r="I6011" s="19">
        <v>97500</v>
      </c>
    </row>
    <row r="6012" spans="1:10" x14ac:dyDescent="0.2">
      <c r="A6012" s="1" t="s">
        <v>39</v>
      </c>
      <c r="B6012" s="2" t="s">
        <v>364</v>
      </c>
      <c r="D6012" s="5" t="s">
        <v>464</v>
      </c>
      <c r="G6012" s="57" t="s">
        <v>465</v>
      </c>
      <c r="H6012" s="19" t="s">
        <v>465</v>
      </c>
      <c r="I6012" s="19">
        <v>97500</v>
      </c>
    </row>
    <row r="6013" spans="1:10" x14ac:dyDescent="0.2">
      <c r="A6013" s="1" t="s">
        <v>39</v>
      </c>
      <c r="B6013" s="2" t="s">
        <v>364</v>
      </c>
      <c r="D6013" s="5" t="s">
        <v>464</v>
      </c>
      <c r="G6013" s="57" t="s">
        <v>465</v>
      </c>
      <c r="H6013" s="19" t="s">
        <v>465</v>
      </c>
      <c r="I6013" s="19">
        <v>97500</v>
      </c>
    </row>
    <row r="6014" spans="1:10" x14ac:dyDescent="0.2">
      <c r="A6014" s="1" t="s">
        <v>39</v>
      </c>
      <c r="B6014" s="2" t="s">
        <v>364</v>
      </c>
      <c r="D6014" s="5" t="s">
        <v>464</v>
      </c>
      <c r="G6014" s="57" t="s">
        <v>465</v>
      </c>
      <c r="H6014" s="19" t="s">
        <v>465</v>
      </c>
      <c r="I6014" s="19">
        <v>97500</v>
      </c>
    </row>
    <row r="6015" spans="1:10" x14ac:dyDescent="0.2">
      <c r="A6015" s="1" t="s">
        <v>6</v>
      </c>
      <c r="B6015" s="2" t="s">
        <v>368</v>
      </c>
      <c r="D6015" s="5" t="s">
        <v>464</v>
      </c>
      <c r="G6015" s="57" t="s">
        <v>465</v>
      </c>
      <c r="H6015" s="19" t="s">
        <v>465</v>
      </c>
      <c r="I6015" s="19">
        <v>92500</v>
      </c>
    </row>
    <row r="6016" spans="1:10" x14ac:dyDescent="0.2">
      <c r="A6016" s="1" t="s">
        <v>6</v>
      </c>
      <c r="B6016" s="2" t="s">
        <v>368</v>
      </c>
      <c r="D6016" s="5" t="s">
        <v>464</v>
      </c>
      <c r="G6016" s="57" t="s">
        <v>465</v>
      </c>
      <c r="H6016" s="19" t="s">
        <v>465</v>
      </c>
      <c r="I6016" s="19">
        <v>92500</v>
      </c>
    </row>
    <row r="6017" spans="1:10" x14ac:dyDescent="0.2">
      <c r="A6017" s="1" t="s">
        <v>6</v>
      </c>
      <c r="B6017" s="2" t="s">
        <v>368</v>
      </c>
      <c r="D6017" s="5" t="s">
        <v>464</v>
      </c>
      <c r="G6017" s="57" t="s">
        <v>465</v>
      </c>
      <c r="H6017" s="19" t="s">
        <v>465</v>
      </c>
      <c r="I6017" s="19">
        <v>97500</v>
      </c>
    </row>
    <row r="6018" spans="1:10" x14ac:dyDescent="0.2">
      <c r="A6018" s="1" t="s">
        <v>6</v>
      </c>
      <c r="B6018" s="2" t="s">
        <v>368</v>
      </c>
      <c r="D6018" s="5" t="s">
        <v>464</v>
      </c>
      <c r="G6018" s="57" t="s">
        <v>465</v>
      </c>
      <c r="H6018" s="19" t="s">
        <v>465</v>
      </c>
      <c r="I6018" s="19">
        <v>97500</v>
      </c>
    </row>
    <row r="6019" spans="1:10" x14ac:dyDescent="0.2">
      <c r="A6019" s="1" t="s">
        <v>6</v>
      </c>
      <c r="B6019" s="2" t="s">
        <v>368</v>
      </c>
      <c r="D6019" s="5" t="s">
        <v>464</v>
      </c>
      <c r="G6019" s="57" t="s">
        <v>465</v>
      </c>
      <c r="H6019" s="19" t="s">
        <v>465</v>
      </c>
      <c r="I6019" s="19">
        <v>97500</v>
      </c>
    </row>
    <row r="6020" spans="1:10" x14ac:dyDescent="0.2">
      <c r="A6020" s="1" t="s">
        <v>6</v>
      </c>
      <c r="B6020" s="2" t="s">
        <v>368</v>
      </c>
      <c r="D6020" s="5" t="s">
        <v>464</v>
      </c>
      <c r="G6020" s="57" t="s">
        <v>465</v>
      </c>
      <c r="H6020" s="19" t="s">
        <v>465</v>
      </c>
      <c r="I6020" s="19">
        <v>97500</v>
      </c>
    </row>
    <row r="6021" spans="1:10" x14ac:dyDescent="0.2">
      <c r="A6021" s="1" t="s">
        <v>111</v>
      </c>
      <c r="B6021" s="2" t="s">
        <v>369</v>
      </c>
      <c r="D6021" s="5" t="s">
        <v>464</v>
      </c>
      <c r="G6021" s="57" t="s">
        <v>465</v>
      </c>
      <c r="H6021" s="19" t="s">
        <v>465</v>
      </c>
      <c r="I6021" s="19">
        <v>92500</v>
      </c>
    </row>
    <row r="6022" spans="1:10" x14ac:dyDescent="0.2">
      <c r="A6022" s="1" t="s">
        <v>111</v>
      </c>
      <c r="B6022" s="2" t="s">
        <v>369</v>
      </c>
      <c r="D6022" s="5" t="s">
        <v>464</v>
      </c>
      <c r="G6022" s="57" t="s">
        <v>465</v>
      </c>
      <c r="H6022" s="19" t="s">
        <v>465</v>
      </c>
      <c r="I6022" s="19">
        <v>92500</v>
      </c>
    </row>
    <row r="6023" spans="1:10" x14ac:dyDescent="0.2">
      <c r="A6023" s="1" t="s">
        <v>111</v>
      </c>
      <c r="B6023" s="2" t="s">
        <v>369</v>
      </c>
      <c r="D6023" s="5" t="s">
        <v>464</v>
      </c>
      <c r="G6023" s="57" t="s">
        <v>465</v>
      </c>
      <c r="H6023" s="19" t="s">
        <v>465</v>
      </c>
      <c r="I6023" s="19">
        <v>92500</v>
      </c>
    </row>
    <row r="6024" spans="1:10" x14ac:dyDescent="0.2">
      <c r="A6024" s="1" t="s">
        <v>111</v>
      </c>
      <c r="B6024" s="2" t="s">
        <v>369</v>
      </c>
      <c r="D6024" s="5" t="s">
        <v>464</v>
      </c>
      <c r="G6024" s="57" t="s">
        <v>465</v>
      </c>
      <c r="H6024" s="19" t="s">
        <v>465</v>
      </c>
      <c r="I6024" s="19">
        <v>92500</v>
      </c>
    </row>
    <row r="6025" spans="1:10" x14ac:dyDescent="0.2">
      <c r="A6025" s="1" t="s">
        <v>111</v>
      </c>
      <c r="B6025" s="2" t="s">
        <v>369</v>
      </c>
      <c r="D6025" s="5" t="s">
        <v>464</v>
      </c>
      <c r="G6025" s="57" t="s">
        <v>465</v>
      </c>
      <c r="H6025" s="19" t="s">
        <v>465</v>
      </c>
      <c r="I6025" s="19">
        <v>92500</v>
      </c>
    </row>
    <row r="6026" spans="1:10" x14ac:dyDescent="0.2">
      <c r="A6026" s="1" t="s">
        <v>111</v>
      </c>
      <c r="B6026" s="2" t="s">
        <v>369</v>
      </c>
      <c r="D6026" s="5" t="s">
        <v>464</v>
      </c>
      <c r="G6026" s="57" t="s">
        <v>465</v>
      </c>
      <c r="H6026" s="19" t="s">
        <v>465</v>
      </c>
      <c r="I6026" s="19">
        <v>92500</v>
      </c>
    </row>
    <row r="6027" spans="1:10" x14ac:dyDescent="0.2">
      <c r="A6027" s="1" t="s">
        <v>111</v>
      </c>
      <c r="B6027" s="2" t="s">
        <v>369</v>
      </c>
      <c r="D6027" s="5" t="s">
        <v>464</v>
      </c>
      <c r="G6027" s="57" t="s">
        <v>465</v>
      </c>
      <c r="H6027" s="19" t="s">
        <v>465</v>
      </c>
      <c r="I6027" s="19">
        <v>92500</v>
      </c>
    </row>
    <row r="6028" spans="1:10" x14ac:dyDescent="0.2">
      <c r="A6028" s="1" t="s">
        <v>111</v>
      </c>
      <c r="B6028" s="2" t="s">
        <v>369</v>
      </c>
      <c r="D6028" s="5" t="s">
        <v>464</v>
      </c>
      <c r="G6028" s="57" t="s">
        <v>465</v>
      </c>
      <c r="H6028" s="19" t="s">
        <v>465</v>
      </c>
      <c r="I6028" s="19">
        <v>97500</v>
      </c>
    </row>
    <row r="6029" spans="1:10" x14ac:dyDescent="0.2">
      <c r="A6029" s="1" t="s">
        <v>39</v>
      </c>
      <c r="B6029" s="2" t="s">
        <v>370</v>
      </c>
      <c r="D6029" s="7" t="s">
        <v>464</v>
      </c>
      <c r="E6029" s="6"/>
      <c r="F6029" s="6"/>
      <c r="G6029" s="57" t="s">
        <v>465</v>
      </c>
      <c r="H6029" s="19">
        <v>92500</v>
      </c>
      <c r="I6029" s="19" t="s">
        <v>465</v>
      </c>
      <c r="J6029" s="5" t="s">
        <v>539</v>
      </c>
    </row>
    <row r="6030" spans="1:10" x14ac:dyDescent="0.2">
      <c r="A6030" s="1" t="s">
        <v>39</v>
      </c>
      <c r="B6030" s="2" t="s">
        <v>370</v>
      </c>
      <c r="D6030" s="5" t="s">
        <v>464</v>
      </c>
      <c r="G6030" s="57" t="s">
        <v>465</v>
      </c>
      <c r="H6030" s="19">
        <v>92500</v>
      </c>
      <c r="I6030" s="19" t="s">
        <v>465</v>
      </c>
      <c r="J6030" s="5" t="s">
        <v>539</v>
      </c>
    </row>
    <row r="6031" spans="1:10" x14ac:dyDescent="0.2">
      <c r="A6031" s="1" t="s">
        <v>39</v>
      </c>
      <c r="B6031" s="2" t="s">
        <v>370</v>
      </c>
      <c r="D6031" s="5" t="s">
        <v>464</v>
      </c>
      <c r="G6031" s="57" t="s">
        <v>465</v>
      </c>
      <c r="H6031" s="19">
        <v>92500</v>
      </c>
      <c r="I6031" s="19" t="s">
        <v>465</v>
      </c>
    </row>
    <row r="6032" spans="1:10" x14ac:dyDescent="0.2">
      <c r="A6032" s="1" t="s">
        <v>39</v>
      </c>
      <c r="B6032" s="2" t="s">
        <v>370</v>
      </c>
      <c r="D6032" s="5" t="s">
        <v>464</v>
      </c>
      <c r="G6032" s="57" t="s">
        <v>465</v>
      </c>
      <c r="H6032" s="19">
        <v>92500</v>
      </c>
      <c r="I6032" s="19" t="s">
        <v>465</v>
      </c>
    </row>
    <row r="6033" spans="1:10" x14ac:dyDescent="0.2">
      <c r="A6033" s="1" t="s">
        <v>39</v>
      </c>
      <c r="B6033" s="2" t="s">
        <v>370</v>
      </c>
      <c r="D6033" s="5" t="s">
        <v>464</v>
      </c>
      <c r="G6033" s="57" t="s">
        <v>465</v>
      </c>
      <c r="H6033" s="19">
        <v>92500</v>
      </c>
      <c r="I6033" s="19" t="s">
        <v>465</v>
      </c>
    </row>
    <row r="6034" spans="1:10" x14ac:dyDescent="0.2">
      <c r="A6034" s="1" t="s">
        <v>39</v>
      </c>
      <c r="B6034" s="2" t="s">
        <v>370</v>
      </c>
      <c r="D6034" s="5" t="s">
        <v>464</v>
      </c>
      <c r="G6034" s="57" t="s">
        <v>465</v>
      </c>
      <c r="H6034" s="19" t="s">
        <v>465</v>
      </c>
      <c r="I6034" s="19">
        <v>92500</v>
      </c>
      <c r="J6034" s="5" t="s">
        <v>539</v>
      </c>
    </row>
    <row r="6035" spans="1:10" x14ac:dyDescent="0.2">
      <c r="A6035" s="1" t="s">
        <v>39</v>
      </c>
      <c r="B6035" s="2" t="s">
        <v>370</v>
      </c>
      <c r="D6035" s="5" t="s">
        <v>464</v>
      </c>
      <c r="G6035" s="57" t="s">
        <v>465</v>
      </c>
      <c r="H6035" s="19" t="s">
        <v>465</v>
      </c>
      <c r="I6035" s="19">
        <v>92500</v>
      </c>
      <c r="J6035" s="5" t="s">
        <v>539</v>
      </c>
    </row>
    <row r="6036" spans="1:10" x14ac:dyDescent="0.2">
      <c r="A6036" s="1" t="s">
        <v>39</v>
      </c>
      <c r="B6036" s="2" t="s">
        <v>370</v>
      </c>
      <c r="D6036" s="5" t="s">
        <v>464</v>
      </c>
      <c r="G6036" s="57" t="s">
        <v>465</v>
      </c>
      <c r="H6036" s="19" t="s">
        <v>465</v>
      </c>
      <c r="I6036" s="19">
        <v>92500</v>
      </c>
      <c r="J6036" s="5" t="s">
        <v>539</v>
      </c>
    </row>
    <row r="6037" spans="1:10" x14ac:dyDescent="0.2">
      <c r="A6037" s="1" t="s">
        <v>39</v>
      </c>
      <c r="B6037" s="2" t="s">
        <v>370</v>
      </c>
      <c r="D6037" s="5" t="s">
        <v>464</v>
      </c>
      <c r="G6037" s="57" t="s">
        <v>465</v>
      </c>
      <c r="H6037" s="19" t="s">
        <v>465</v>
      </c>
      <c r="I6037" s="19">
        <v>92500</v>
      </c>
      <c r="J6037" s="5" t="s">
        <v>539</v>
      </c>
    </row>
    <row r="6038" spans="1:10" x14ac:dyDescent="0.2">
      <c r="A6038" s="1" t="s">
        <v>39</v>
      </c>
      <c r="B6038" s="2" t="s">
        <v>370</v>
      </c>
      <c r="D6038" s="5" t="s">
        <v>464</v>
      </c>
      <c r="G6038" s="57" t="s">
        <v>465</v>
      </c>
      <c r="H6038" s="19" t="s">
        <v>465</v>
      </c>
      <c r="I6038" s="19">
        <v>92500</v>
      </c>
      <c r="J6038" s="5" t="s">
        <v>539</v>
      </c>
    </row>
    <row r="6039" spans="1:10" x14ac:dyDescent="0.2">
      <c r="A6039" s="1" t="s">
        <v>39</v>
      </c>
      <c r="B6039" s="2" t="s">
        <v>370</v>
      </c>
      <c r="D6039" s="5" t="s">
        <v>464</v>
      </c>
      <c r="G6039" s="57" t="s">
        <v>465</v>
      </c>
      <c r="H6039" s="19" t="s">
        <v>465</v>
      </c>
      <c r="I6039" s="19">
        <v>92500</v>
      </c>
      <c r="J6039" s="5" t="s">
        <v>539</v>
      </c>
    </row>
    <row r="6040" spans="1:10" x14ac:dyDescent="0.2">
      <c r="A6040" s="1" t="s">
        <v>39</v>
      </c>
      <c r="B6040" s="2" t="s">
        <v>370</v>
      </c>
      <c r="D6040" s="5" t="s">
        <v>464</v>
      </c>
      <c r="G6040" s="57" t="s">
        <v>465</v>
      </c>
      <c r="H6040" s="19" t="s">
        <v>465</v>
      </c>
      <c r="I6040" s="19">
        <v>92500</v>
      </c>
    </row>
    <row r="6041" spans="1:10" x14ac:dyDescent="0.2">
      <c r="A6041" s="1" t="s">
        <v>39</v>
      </c>
      <c r="B6041" s="2" t="s">
        <v>370</v>
      </c>
      <c r="D6041" s="5" t="s">
        <v>464</v>
      </c>
      <c r="G6041" s="57" t="s">
        <v>465</v>
      </c>
      <c r="H6041" s="19" t="s">
        <v>465</v>
      </c>
      <c r="I6041" s="19">
        <v>92500</v>
      </c>
    </row>
    <row r="6042" spans="1:10" x14ac:dyDescent="0.2">
      <c r="A6042" s="1" t="s">
        <v>39</v>
      </c>
      <c r="B6042" s="2" t="s">
        <v>370</v>
      </c>
      <c r="D6042" s="5" t="s">
        <v>464</v>
      </c>
      <c r="G6042" s="57" t="s">
        <v>465</v>
      </c>
      <c r="H6042" s="19" t="s">
        <v>465</v>
      </c>
      <c r="I6042" s="19">
        <v>92500</v>
      </c>
    </row>
    <row r="6043" spans="1:10" x14ac:dyDescent="0.2">
      <c r="A6043" s="1" t="s">
        <v>39</v>
      </c>
      <c r="B6043" s="2" t="s">
        <v>370</v>
      </c>
      <c r="D6043" s="5" t="s">
        <v>464</v>
      </c>
      <c r="G6043" s="57" t="s">
        <v>465</v>
      </c>
      <c r="H6043" s="19" t="s">
        <v>465</v>
      </c>
      <c r="I6043" s="19">
        <v>97500</v>
      </c>
      <c r="J6043" s="5" t="s">
        <v>539</v>
      </c>
    </row>
    <row r="6044" spans="1:10" x14ac:dyDescent="0.2">
      <c r="A6044" s="1" t="s">
        <v>39</v>
      </c>
      <c r="B6044" s="2" t="s">
        <v>370</v>
      </c>
      <c r="D6044" s="5" t="s">
        <v>464</v>
      </c>
      <c r="G6044" s="57" t="s">
        <v>465</v>
      </c>
      <c r="H6044" s="19" t="s">
        <v>465</v>
      </c>
      <c r="I6044" s="19">
        <v>97500</v>
      </c>
      <c r="J6044" s="5" t="s">
        <v>539</v>
      </c>
    </row>
    <row r="6045" spans="1:10" x14ac:dyDescent="0.2">
      <c r="A6045" s="1" t="s">
        <v>39</v>
      </c>
      <c r="B6045" s="2" t="s">
        <v>370</v>
      </c>
      <c r="D6045" s="5" t="s">
        <v>464</v>
      </c>
      <c r="G6045" s="57" t="s">
        <v>465</v>
      </c>
      <c r="H6045" s="19" t="s">
        <v>465</v>
      </c>
      <c r="I6045" s="19">
        <v>97500</v>
      </c>
      <c r="J6045" s="5" t="s">
        <v>539</v>
      </c>
    </row>
    <row r="6046" spans="1:10" x14ac:dyDescent="0.2">
      <c r="A6046" s="1" t="s">
        <v>39</v>
      </c>
      <c r="B6046" s="2" t="s">
        <v>370</v>
      </c>
      <c r="D6046" s="5" t="s">
        <v>464</v>
      </c>
      <c r="G6046" s="57" t="s">
        <v>465</v>
      </c>
      <c r="H6046" s="19" t="s">
        <v>465</v>
      </c>
      <c r="I6046" s="19">
        <v>97500</v>
      </c>
      <c r="J6046" s="5" t="s">
        <v>539</v>
      </c>
    </row>
    <row r="6047" spans="1:10" x14ac:dyDescent="0.2">
      <c r="A6047" s="1" t="s">
        <v>39</v>
      </c>
      <c r="B6047" s="2" t="s">
        <v>370</v>
      </c>
      <c r="D6047" s="5" t="s">
        <v>464</v>
      </c>
      <c r="G6047" s="57" t="s">
        <v>465</v>
      </c>
      <c r="H6047" s="19" t="s">
        <v>465</v>
      </c>
      <c r="I6047" s="19">
        <v>97500</v>
      </c>
      <c r="J6047" s="5" t="s">
        <v>539</v>
      </c>
    </row>
    <row r="6048" spans="1:10" x14ac:dyDescent="0.2">
      <c r="A6048" s="1" t="s">
        <v>39</v>
      </c>
      <c r="B6048" s="2" t="s">
        <v>370</v>
      </c>
      <c r="D6048" s="5" t="s">
        <v>464</v>
      </c>
      <c r="G6048" s="57" t="s">
        <v>465</v>
      </c>
      <c r="H6048" s="19" t="s">
        <v>465</v>
      </c>
      <c r="I6048" s="19">
        <v>97500</v>
      </c>
      <c r="J6048" s="5" t="s">
        <v>539</v>
      </c>
    </row>
    <row r="6049" spans="1:12" ht="25.5" x14ac:dyDescent="0.2">
      <c r="A6049" s="1" t="s">
        <v>11</v>
      </c>
      <c r="B6049" s="2" t="s">
        <v>371</v>
      </c>
      <c r="C6049" s="37" t="s">
        <v>2849</v>
      </c>
      <c r="D6049" s="7"/>
      <c r="G6049" s="57" t="s">
        <v>465</v>
      </c>
    </row>
    <row r="6050" spans="1:12" x14ac:dyDescent="0.2">
      <c r="A6050" s="1" t="s">
        <v>20</v>
      </c>
      <c r="B6050" s="2" t="s">
        <v>374</v>
      </c>
      <c r="D6050" s="5" t="s">
        <v>464</v>
      </c>
      <c r="G6050" s="57" t="s">
        <v>465</v>
      </c>
      <c r="H6050" s="19">
        <v>92500</v>
      </c>
      <c r="I6050" s="19" t="s">
        <v>465</v>
      </c>
      <c r="J6050" s="1"/>
    </row>
    <row r="6051" spans="1:12" x14ac:dyDescent="0.2">
      <c r="A6051" s="1" t="s">
        <v>20</v>
      </c>
      <c r="B6051" s="2" t="s">
        <v>374</v>
      </c>
      <c r="D6051" s="5" t="s">
        <v>464</v>
      </c>
      <c r="G6051" s="57" t="s">
        <v>465</v>
      </c>
      <c r="H6051" s="19">
        <v>92500</v>
      </c>
      <c r="I6051" s="19" t="s">
        <v>465</v>
      </c>
      <c r="J6051" s="1"/>
    </row>
    <row r="6052" spans="1:12" x14ac:dyDescent="0.2">
      <c r="A6052" s="1" t="s">
        <v>20</v>
      </c>
      <c r="B6052" s="2" t="s">
        <v>374</v>
      </c>
      <c r="D6052" s="5" t="s">
        <v>464</v>
      </c>
      <c r="G6052" s="57" t="s">
        <v>465</v>
      </c>
      <c r="H6052" s="19">
        <v>92500</v>
      </c>
      <c r="I6052" s="19" t="s">
        <v>465</v>
      </c>
      <c r="J6052" s="1"/>
    </row>
    <row r="6053" spans="1:12" x14ac:dyDescent="0.2">
      <c r="A6053" s="1" t="s">
        <v>20</v>
      </c>
      <c r="B6053" s="2" t="s">
        <v>374</v>
      </c>
      <c r="D6053" s="5" t="s">
        <v>464</v>
      </c>
      <c r="G6053" s="57" t="s">
        <v>465</v>
      </c>
      <c r="H6053" s="19">
        <v>92500</v>
      </c>
      <c r="I6053" s="19" t="s">
        <v>465</v>
      </c>
      <c r="J6053" s="1"/>
    </row>
    <row r="6054" spans="1:12" s="13" customFormat="1" x14ac:dyDescent="0.2">
      <c r="A6054" s="1" t="s">
        <v>20</v>
      </c>
      <c r="B6054" s="2" t="s">
        <v>374</v>
      </c>
      <c r="C6054" s="5"/>
      <c r="D6054" s="5" t="s">
        <v>464</v>
      </c>
      <c r="E6054" s="3"/>
      <c r="F6054" s="3"/>
      <c r="G6054" s="57" t="s">
        <v>465</v>
      </c>
      <c r="H6054" s="19">
        <v>92500</v>
      </c>
      <c r="I6054" s="19" t="s">
        <v>465</v>
      </c>
      <c r="J6054" s="1"/>
      <c r="K6054" s="1"/>
      <c r="L6054" s="1"/>
    </row>
    <row r="6055" spans="1:12" x14ac:dyDescent="0.2">
      <c r="A6055" s="1" t="s">
        <v>20</v>
      </c>
      <c r="B6055" s="2" t="s">
        <v>374</v>
      </c>
      <c r="D6055" s="5" t="s">
        <v>464</v>
      </c>
      <c r="G6055" s="57" t="s">
        <v>465</v>
      </c>
      <c r="H6055" s="19">
        <v>92500</v>
      </c>
      <c r="I6055" s="19" t="s">
        <v>465</v>
      </c>
      <c r="J6055" s="1"/>
    </row>
    <row r="6056" spans="1:12" x14ac:dyDescent="0.2">
      <c r="A6056" s="1" t="s">
        <v>20</v>
      </c>
      <c r="B6056" s="2" t="s">
        <v>374</v>
      </c>
      <c r="D6056" s="5" t="s">
        <v>464</v>
      </c>
      <c r="G6056" s="57" t="s">
        <v>465</v>
      </c>
      <c r="H6056" s="19" t="s">
        <v>465</v>
      </c>
      <c r="I6056" s="19">
        <v>92500</v>
      </c>
      <c r="J6056" s="1"/>
    </row>
    <row r="6057" spans="1:12" x14ac:dyDescent="0.2">
      <c r="A6057" s="1" t="s">
        <v>20</v>
      </c>
      <c r="B6057" s="2" t="s">
        <v>374</v>
      </c>
      <c r="D6057" s="5" t="s">
        <v>464</v>
      </c>
      <c r="G6057" s="57" t="s">
        <v>465</v>
      </c>
      <c r="H6057" s="19" t="s">
        <v>465</v>
      </c>
      <c r="I6057" s="19">
        <v>92500</v>
      </c>
      <c r="J6057" s="1"/>
    </row>
    <row r="6058" spans="1:12" x14ac:dyDescent="0.2">
      <c r="A6058" s="1" t="s">
        <v>20</v>
      </c>
      <c r="B6058" s="2" t="s">
        <v>374</v>
      </c>
      <c r="D6058" s="5" t="s">
        <v>464</v>
      </c>
      <c r="G6058" s="57" t="s">
        <v>465</v>
      </c>
      <c r="H6058" s="19" t="s">
        <v>465</v>
      </c>
      <c r="I6058" s="19">
        <v>92500</v>
      </c>
      <c r="J6058" s="1"/>
    </row>
    <row r="6059" spans="1:12" x14ac:dyDescent="0.2">
      <c r="A6059" s="1" t="s">
        <v>20</v>
      </c>
      <c r="B6059" s="2" t="s">
        <v>374</v>
      </c>
      <c r="D6059" s="5" t="s">
        <v>464</v>
      </c>
      <c r="G6059" s="57" t="s">
        <v>465</v>
      </c>
      <c r="H6059" s="19" t="s">
        <v>465</v>
      </c>
      <c r="I6059" s="19">
        <v>92500</v>
      </c>
      <c r="J6059" s="1"/>
    </row>
    <row r="6060" spans="1:12" x14ac:dyDescent="0.2">
      <c r="A6060" s="1" t="s">
        <v>20</v>
      </c>
      <c r="B6060" s="2" t="s">
        <v>374</v>
      </c>
      <c r="D6060" s="5" t="s">
        <v>464</v>
      </c>
      <c r="G6060" s="57" t="s">
        <v>465</v>
      </c>
      <c r="H6060" s="19" t="s">
        <v>465</v>
      </c>
      <c r="I6060" s="19">
        <v>92500</v>
      </c>
      <c r="J6060" s="1"/>
    </row>
    <row r="6061" spans="1:12" x14ac:dyDescent="0.2">
      <c r="A6061" s="1" t="s">
        <v>20</v>
      </c>
      <c r="B6061" s="2" t="s">
        <v>374</v>
      </c>
      <c r="D6061" s="5" t="s">
        <v>464</v>
      </c>
      <c r="G6061" s="57" t="s">
        <v>465</v>
      </c>
      <c r="H6061" s="19" t="s">
        <v>465</v>
      </c>
      <c r="I6061" s="19">
        <v>92500</v>
      </c>
      <c r="J6061" s="1"/>
    </row>
    <row r="6062" spans="1:12" x14ac:dyDescent="0.2">
      <c r="A6062" s="1" t="s">
        <v>20</v>
      </c>
      <c r="B6062" s="2" t="s">
        <v>374</v>
      </c>
      <c r="D6062" s="5" t="s">
        <v>464</v>
      </c>
      <c r="G6062" s="57" t="s">
        <v>465</v>
      </c>
      <c r="H6062" s="19" t="s">
        <v>465</v>
      </c>
      <c r="I6062" s="19">
        <v>92500</v>
      </c>
      <c r="J6062" s="1"/>
    </row>
    <row r="6063" spans="1:12" x14ac:dyDescent="0.2">
      <c r="A6063" s="1" t="s">
        <v>20</v>
      </c>
      <c r="B6063" s="2" t="s">
        <v>374</v>
      </c>
      <c r="D6063" s="5" t="s">
        <v>464</v>
      </c>
      <c r="G6063" s="57" t="s">
        <v>465</v>
      </c>
      <c r="H6063" s="19">
        <v>97500</v>
      </c>
      <c r="I6063" s="19" t="s">
        <v>465</v>
      </c>
      <c r="J6063" s="1"/>
    </row>
    <row r="6064" spans="1:12" x14ac:dyDescent="0.2">
      <c r="A6064" s="1" t="s">
        <v>20</v>
      </c>
      <c r="B6064" s="2" t="s">
        <v>374</v>
      </c>
      <c r="D6064" s="5" t="s">
        <v>464</v>
      </c>
      <c r="G6064" s="57" t="s">
        <v>465</v>
      </c>
      <c r="H6064" s="19" t="s">
        <v>465</v>
      </c>
      <c r="I6064" s="19">
        <v>97500</v>
      </c>
      <c r="J6064" s="1"/>
    </row>
    <row r="6065" spans="1:10" x14ac:dyDescent="0.2">
      <c r="A6065" s="1" t="s">
        <v>20</v>
      </c>
      <c r="B6065" s="2" t="s">
        <v>374</v>
      </c>
      <c r="D6065" s="5" t="s">
        <v>464</v>
      </c>
      <c r="G6065" s="57" t="s">
        <v>465</v>
      </c>
      <c r="H6065" s="19" t="s">
        <v>465</v>
      </c>
      <c r="I6065" s="19">
        <v>97500</v>
      </c>
      <c r="J6065" s="1"/>
    </row>
    <row r="6066" spans="1:10" x14ac:dyDescent="0.2">
      <c r="A6066" s="1" t="s">
        <v>20</v>
      </c>
      <c r="B6066" s="2" t="s">
        <v>374</v>
      </c>
      <c r="D6066" s="5" t="s">
        <v>464</v>
      </c>
      <c r="G6066" s="57" t="s">
        <v>465</v>
      </c>
      <c r="H6066" s="19" t="s">
        <v>465</v>
      </c>
      <c r="I6066" s="19">
        <v>97500</v>
      </c>
    </row>
    <row r="6067" spans="1:10" x14ac:dyDescent="0.2">
      <c r="A6067" s="1" t="s">
        <v>111</v>
      </c>
      <c r="B6067" s="2" t="s">
        <v>376</v>
      </c>
      <c r="D6067" s="5" t="s">
        <v>464</v>
      </c>
      <c r="G6067" s="57" t="s">
        <v>465</v>
      </c>
      <c r="H6067" s="19" t="s">
        <v>465</v>
      </c>
      <c r="I6067" s="19">
        <v>92500</v>
      </c>
    </row>
    <row r="6068" spans="1:10" x14ac:dyDescent="0.2">
      <c r="A6068" s="1" t="s">
        <v>111</v>
      </c>
      <c r="B6068" s="2" t="s">
        <v>376</v>
      </c>
      <c r="D6068" s="5" t="s">
        <v>464</v>
      </c>
      <c r="G6068" s="57" t="s">
        <v>465</v>
      </c>
      <c r="H6068" s="19" t="s">
        <v>465</v>
      </c>
      <c r="I6068" s="19">
        <v>92500</v>
      </c>
    </row>
    <row r="6069" spans="1:10" x14ac:dyDescent="0.2">
      <c r="A6069" s="1" t="s">
        <v>111</v>
      </c>
      <c r="B6069" s="2" t="s">
        <v>376</v>
      </c>
      <c r="D6069" s="5" t="s">
        <v>464</v>
      </c>
      <c r="G6069" s="57" t="s">
        <v>465</v>
      </c>
      <c r="H6069" s="19" t="s">
        <v>465</v>
      </c>
      <c r="I6069" s="19">
        <v>92500</v>
      </c>
    </row>
    <row r="6070" spans="1:10" x14ac:dyDescent="0.2">
      <c r="A6070" s="1" t="s">
        <v>111</v>
      </c>
      <c r="B6070" s="2" t="s">
        <v>376</v>
      </c>
      <c r="D6070" s="5" t="s">
        <v>464</v>
      </c>
      <c r="G6070" s="57" t="s">
        <v>465</v>
      </c>
      <c r="H6070" s="19" t="s">
        <v>465</v>
      </c>
      <c r="I6070" s="19">
        <v>97500</v>
      </c>
    </row>
    <row r="6071" spans="1:10" x14ac:dyDescent="0.2">
      <c r="A6071" s="1" t="s">
        <v>111</v>
      </c>
      <c r="B6071" s="2" t="s">
        <v>376</v>
      </c>
      <c r="D6071" s="5" t="s">
        <v>464</v>
      </c>
      <c r="G6071" s="57" t="s">
        <v>465</v>
      </c>
      <c r="H6071" s="19" t="s">
        <v>465</v>
      </c>
      <c r="I6071" s="19">
        <v>97500</v>
      </c>
    </row>
    <row r="6072" spans="1:10" x14ac:dyDescent="0.2">
      <c r="A6072" s="1" t="s">
        <v>4</v>
      </c>
      <c r="B6072" s="2" t="s">
        <v>377</v>
      </c>
      <c r="D6072" s="5" t="s">
        <v>464</v>
      </c>
      <c r="G6072" s="57" t="s">
        <v>465</v>
      </c>
      <c r="H6072" s="19">
        <v>92500</v>
      </c>
      <c r="I6072" s="19" t="s">
        <v>465</v>
      </c>
    </row>
    <row r="6073" spans="1:10" x14ac:dyDescent="0.2">
      <c r="A6073" s="1" t="s">
        <v>4</v>
      </c>
      <c r="B6073" s="2" t="s">
        <v>377</v>
      </c>
      <c r="D6073" s="5" t="s">
        <v>464</v>
      </c>
      <c r="G6073" s="57" t="s">
        <v>465</v>
      </c>
      <c r="H6073" s="19">
        <v>92500</v>
      </c>
      <c r="I6073" s="19" t="s">
        <v>465</v>
      </c>
    </row>
    <row r="6074" spans="1:10" x14ac:dyDescent="0.2">
      <c r="A6074" s="1" t="s">
        <v>4</v>
      </c>
      <c r="B6074" s="2" t="s">
        <v>377</v>
      </c>
      <c r="D6074" s="5" t="s">
        <v>464</v>
      </c>
      <c r="G6074" s="57" t="s">
        <v>465</v>
      </c>
      <c r="H6074" s="19">
        <v>92500</v>
      </c>
      <c r="I6074" s="19" t="s">
        <v>465</v>
      </c>
    </row>
    <row r="6075" spans="1:10" x14ac:dyDescent="0.2">
      <c r="A6075" s="1" t="s">
        <v>4</v>
      </c>
      <c r="B6075" s="2" t="s">
        <v>377</v>
      </c>
      <c r="D6075" s="5" t="s">
        <v>464</v>
      </c>
      <c r="G6075" s="57" t="s">
        <v>465</v>
      </c>
      <c r="H6075" s="19" t="s">
        <v>465</v>
      </c>
      <c r="I6075" s="19">
        <v>92500</v>
      </c>
    </row>
    <row r="6076" spans="1:10" x14ac:dyDescent="0.2">
      <c r="A6076" s="1" t="s">
        <v>4</v>
      </c>
      <c r="B6076" s="2" t="s">
        <v>377</v>
      </c>
      <c r="D6076" s="5" t="s">
        <v>464</v>
      </c>
      <c r="G6076" s="57" t="s">
        <v>465</v>
      </c>
      <c r="H6076" s="19" t="s">
        <v>465</v>
      </c>
      <c r="I6076" s="19">
        <v>92500</v>
      </c>
    </row>
    <row r="6077" spans="1:10" x14ac:dyDescent="0.2">
      <c r="A6077" s="1" t="s">
        <v>4</v>
      </c>
      <c r="B6077" s="2" t="s">
        <v>377</v>
      </c>
      <c r="D6077" s="5" t="s">
        <v>464</v>
      </c>
      <c r="G6077" s="57" t="s">
        <v>465</v>
      </c>
      <c r="H6077" s="19" t="s">
        <v>465</v>
      </c>
      <c r="I6077" s="19">
        <v>92500</v>
      </c>
    </row>
    <row r="6078" spans="1:10" x14ac:dyDescent="0.2">
      <c r="A6078" s="1" t="s">
        <v>4</v>
      </c>
      <c r="B6078" s="2" t="s">
        <v>377</v>
      </c>
      <c r="D6078" s="5" t="s">
        <v>464</v>
      </c>
      <c r="G6078" s="57" t="s">
        <v>465</v>
      </c>
      <c r="H6078" s="19" t="s">
        <v>465</v>
      </c>
      <c r="I6078" s="19">
        <v>92500</v>
      </c>
    </row>
    <row r="6079" spans="1:10" x14ac:dyDescent="0.2">
      <c r="A6079" s="1" t="s">
        <v>4</v>
      </c>
      <c r="B6079" s="2" t="s">
        <v>377</v>
      </c>
      <c r="D6079" s="5" t="s">
        <v>464</v>
      </c>
      <c r="G6079" s="57" t="s">
        <v>465</v>
      </c>
      <c r="H6079" s="19" t="s">
        <v>465</v>
      </c>
      <c r="I6079" s="19">
        <v>92500</v>
      </c>
    </row>
    <row r="6080" spans="1:10" x14ac:dyDescent="0.2">
      <c r="A6080" s="1" t="s">
        <v>4</v>
      </c>
      <c r="B6080" s="2" t="s">
        <v>377</v>
      </c>
      <c r="D6080" s="5" t="s">
        <v>464</v>
      </c>
      <c r="G6080" s="57" t="s">
        <v>465</v>
      </c>
      <c r="H6080" s="19" t="s">
        <v>465</v>
      </c>
      <c r="I6080" s="19">
        <v>92500</v>
      </c>
    </row>
    <row r="6081" spans="1:10" x14ac:dyDescent="0.2">
      <c r="A6081" s="1" t="s">
        <v>4</v>
      </c>
      <c r="B6081" s="2" t="s">
        <v>377</v>
      </c>
      <c r="D6081" s="5" t="s">
        <v>464</v>
      </c>
      <c r="G6081" s="57" t="s">
        <v>465</v>
      </c>
      <c r="H6081" s="19" t="s">
        <v>465</v>
      </c>
      <c r="I6081" s="19">
        <v>92500</v>
      </c>
    </row>
    <row r="6082" spans="1:10" x14ac:dyDescent="0.2">
      <c r="A6082" s="1" t="s">
        <v>4</v>
      </c>
      <c r="B6082" s="2" t="s">
        <v>377</v>
      </c>
      <c r="D6082" s="5" t="s">
        <v>464</v>
      </c>
      <c r="G6082" s="57" t="s">
        <v>465</v>
      </c>
      <c r="H6082" s="19" t="s">
        <v>465</v>
      </c>
      <c r="I6082" s="19">
        <v>92500</v>
      </c>
    </row>
    <row r="6083" spans="1:10" x14ac:dyDescent="0.2">
      <c r="A6083" s="1" t="s">
        <v>4</v>
      </c>
      <c r="B6083" s="2" t="s">
        <v>377</v>
      </c>
      <c r="D6083" s="5" t="s">
        <v>464</v>
      </c>
      <c r="G6083" s="57" t="s">
        <v>465</v>
      </c>
      <c r="H6083" s="19">
        <v>97500</v>
      </c>
      <c r="I6083" s="19" t="s">
        <v>465</v>
      </c>
    </row>
    <row r="6084" spans="1:10" x14ac:dyDescent="0.2">
      <c r="A6084" s="1" t="s">
        <v>4</v>
      </c>
      <c r="B6084" s="2" t="s">
        <v>377</v>
      </c>
      <c r="D6084" s="5" t="s">
        <v>464</v>
      </c>
      <c r="G6084" s="57" t="s">
        <v>465</v>
      </c>
      <c r="H6084" s="19">
        <v>97500</v>
      </c>
      <c r="I6084" s="19" t="s">
        <v>465</v>
      </c>
    </row>
    <row r="6085" spans="1:10" x14ac:dyDescent="0.2">
      <c r="A6085" s="1" t="s">
        <v>4</v>
      </c>
      <c r="B6085" s="2" t="s">
        <v>377</v>
      </c>
      <c r="D6085" s="5" t="s">
        <v>464</v>
      </c>
      <c r="G6085" s="57" t="s">
        <v>465</v>
      </c>
      <c r="H6085" s="19">
        <v>97500</v>
      </c>
      <c r="I6085" s="19" t="s">
        <v>465</v>
      </c>
      <c r="J6085" s="1"/>
    </row>
    <row r="6086" spans="1:10" x14ac:dyDescent="0.2">
      <c r="A6086" s="1" t="s">
        <v>4</v>
      </c>
      <c r="B6086" s="2" t="s">
        <v>377</v>
      </c>
      <c r="D6086" s="5" t="s">
        <v>464</v>
      </c>
      <c r="G6086" s="57" t="s">
        <v>465</v>
      </c>
      <c r="H6086" s="19">
        <v>97500</v>
      </c>
      <c r="I6086" s="19" t="s">
        <v>465</v>
      </c>
      <c r="J6086" s="1"/>
    </row>
    <row r="6087" spans="1:10" x14ac:dyDescent="0.2">
      <c r="A6087" s="1" t="s">
        <v>4</v>
      </c>
      <c r="B6087" s="2" t="s">
        <v>377</v>
      </c>
      <c r="D6087" s="5" t="s">
        <v>464</v>
      </c>
      <c r="G6087" s="57" t="s">
        <v>465</v>
      </c>
      <c r="H6087" s="19" t="s">
        <v>465</v>
      </c>
      <c r="I6087" s="19">
        <v>97500</v>
      </c>
      <c r="J6087" s="1"/>
    </row>
    <row r="6088" spans="1:10" x14ac:dyDescent="0.2">
      <c r="A6088" s="1" t="s">
        <v>4</v>
      </c>
      <c r="B6088" s="2" t="s">
        <v>377</v>
      </c>
      <c r="D6088" s="5" t="s">
        <v>464</v>
      </c>
      <c r="G6088" s="57" t="s">
        <v>465</v>
      </c>
      <c r="H6088" s="19" t="s">
        <v>465</v>
      </c>
      <c r="I6088" s="19">
        <v>97500</v>
      </c>
      <c r="J6088" s="1"/>
    </row>
    <row r="6089" spans="1:10" x14ac:dyDescent="0.2">
      <c r="A6089" s="1" t="s">
        <v>4</v>
      </c>
      <c r="B6089" s="2" t="s">
        <v>377</v>
      </c>
      <c r="D6089" s="5" t="s">
        <v>464</v>
      </c>
      <c r="G6089" s="57" t="s">
        <v>465</v>
      </c>
      <c r="H6089" s="19" t="s">
        <v>465</v>
      </c>
      <c r="I6089" s="19">
        <v>97500</v>
      </c>
      <c r="J6089" s="1"/>
    </row>
    <row r="6090" spans="1:10" x14ac:dyDescent="0.2">
      <c r="A6090" s="1" t="s">
        <v>4</v>
      </c>
      <c r="B6090" s="2" t="s">
        <v>377</v>
      </c>
      <c r="D6090" s="5" t="s">
        <v>464</v>
      </c>
      <c r="G6090" s="57" t="s">
        <v>465</v>
      </c>
      <c r="H6090" s="19" t="s">
        <v>465</v>
      </c>
      <c r="I6090" s="19">
        <v>97500</v>
      </c>
      <c r="J6090" s="1"/>
    </row>
    <row r="6091" spans="1:10" x14ac:dyDescent="0.2">
      <c r="A6091" s="1" t="s">
        <v>4</v>
      </c>
      <c r="B6091" s="2" t="s">
        <v>377</v>
      </c>
      <c r="D6091" s="5" t="s">
        <v>464</v>
      </c>
      <c r="G6091" s="57" t="s">
        <v>465</v>
      </c>
      <c r="H6091" s="19" t="s">
        <v>465</v>
      </c>
      <c r="I6091" s="19">
        <v>97500</v>
      </c>
      <c r="J6091" s="1"/>
    </row>
    <row r="6092" spans="1:10" x14ac:dyDescent="0.2">
      <c r="A6092" s="1" t="s">
        <v>4</v>
      </c>
      <c r="B6092" s="2" t="s">
        <v>377</v>
      </c>
      <c r="D6092" s="5" t="s">
        <v>464</v>
      </c>
      <c r="G6092" s="57" t="s">
        <v>465</v>
      </c>
      <c r="H6092" s="19" t="s">
        <v>465</v>
      </c>
      <c r="I6092" s="19">
        <v>97500</v>
      </c>
      <c r="J6092" s="1"/>
    </row>
    <row r="6093" spans="1:10" x14ac:dyDescent="0.2">
      <c r="A6093" s="1" t="s">
        <v>4</v>
      </c>
      <c r="B6093" s="2" t="s">
        <v>377</v>
      </c>
      <c r="D6093" s="5" t="s">
        <v>464</v>
      </c>
      <c r="G6093" s="57" t="s">
        <v>465</v>
      </c>
      <c r="H6093" s="19" t="s">
        <v>465</v>
      </c>
      <c r="I6093" s="19">
        <v>97500</v>
      </c>
      <c r="J6093" s="1"/>
    </row>
    <row r="6094" spans="1:10" x14ac:dyDescent="0.2">
      <c r="A6094" s="1" t="s">
        <v>4</v>
      </c>
      <c r="B6094" s="2" t="s">
        <v>378</v>
      </c>
      <c r="D6094" s="5" t="s">
        <v>464</v>
      </c>
      <c r="G6094" s="57" t="s">
        <v>465</v>
      </c>
      <c r="H6094" s="19">
        <v>92500</v>
      </c>
      <c r="I6094" s="19" t="s">
        <v>465</v>
      </c>
    </row>
    <row r="6095" spans="1:10" x14ac:dyDescent="0.2">
      <c r="A6095" s="1" t="s">
        <v>4</v>
      </c>
      <c r="B6095" s="2" t="s">
        <v>378</v>
      </c>
      <c r="D6095" s="5" t="s">
        <v>464</v>
      </c>
      <c r="G6095" s="57" t="s">
        <v>465</v>
      </c>
      <c r="H6095" s="19" t="s">
        <v>465</v>
      </c>
      <c r="I6095" s="19">
        <v>97500</v>
      </c>
    </row>
    <row r="6096" spans="1:10" x14ac:dyDescent="0.2">
      <c r="A6096" s="1" t="s">
        <v>25</v>
      </c>
      <c r="B6096" s="2" t="s">
        <v>379</v>
      </c>
      <c r="D6096" s="5" t="s">
        <v>464</v>
      </c>
      <c r="G6096" s="57" t="s">
        <v>465</v>
      </c>
      <c r="H6096" s="19">
        <v>92500</v>
      </c>
      <c r="I6096" s="19" t="s">
        <v>465</v>
      </c>
    </row>
    <row r="6097" spans="1:9" x14ac:dyDescent="0.2">
      <c r="A6097" s="1" t="s">
        <v>25</v>
      </c>
      <c r="B6097" s="2" t="s">
        <v>379</v>
      </c>
      <c r="D6097" s="5" t="s">
        <v>464</v>
      </c>
      <c r="G6097" s="57" t="s">
        <v>465</v>
      </c>
      <c r="H6097" s="19">
        <v>92500</v>
      </c>
      <c r="I6097" s="19" t="s">
        <v>465</v>
      </c>
    </row>
    <row r="6098" spans="1:9" x14ac:dyDescent="0.2">
      <c r="A6098" s="1" t="s">
        <v>25</v>
      </c>
      <c r="B6098" s="2" t="s">
        <v>379</v>
      </c>
      <c r="D6098" s="5" t="s">
        <v>464</v>
      </c>
      <c r="G6098" s="57" t="s">
        <v>465</v>
      </c>
      <c r="H6098" s="19">
        <v>92500</v>
      </c>
      <c r="I6098" s="19" t="s">
        <v>465</v>
      </c>
    </row>
    <row r="6099" spans="1:9" x14ac:dyDescent="0.2">
      <c r="A6099" s="1" t="s">
        <v>25</v>
      </c>
      <c r="B6099" s="2" t="s">
        <v>379</v>
      </c>
      <c r="D6099" s="5" t="s">
        <v>464</v>
      </c>
      <c r="G6099" s="57" t="s">
        <v>465</v>
      </c>
      <c r="H6099" s="19">
        <v>92500</v>
      </c>
      <c r="I6099" s="19" t="s">
        <v>465</v>
      </c>
    </row>
    <row r="6100" spans="1:9" x14ac:dyDescent="0.2">
      <c r="A6100" s="1" t="s">
        <v>25</v>
      </c>
      <c r="B6100" s="2" t="s">
        <v>379</v>
      </c>
      <c r="D6100" s="5" t="s">
        <v>464</v>
      </c>
      <c r="G6100" s="57" t="s">
        <v>465</v>
      </c>
      <c r="H6100" s="19">
        <v>92500</v>
      </c>
      <c r="I6100" s="19" t="s">
        <v>465</v>
      </c>
    </row>
    <row r="6101" spans="1:9" x14ac:dyDescent="0.2">
      <c r="A6101" s="1" t="s">
        <v>25</v>
      </c>
      <c r="B6101" s="2" t="s">
        <v>379</v>
      </c>
      <c r="D6101" s="5" t="s">
        <v>464</v>
      </c>
      <c r="G6101" s="57" t="s">
        <v>465</v>
      </c>
      <c r="H6101" s="19">
        <v>92500</v>
      </c>
      <c r="I6101" s="19" t="s">
        <v>465</v>
      </c>
    </row>
    <row r="6102" spans="1:9" x14ac:dyDescent="0.2">
      <c r="A6102" s="1" t="s">
        <v>25</v>
      </c>
      <c r="B6102" s="2" t="s">
        <v>379</v>
      </c>
      <c r="D6102" s="5" t="s">
        <v>464</v>
      </c>
      <c r="G6102" s="57" t="s">
        <v>465</v>
      </c>
      <c r="H6102" s="19">
        <v>92500</v>
      </c>
      <c r="I6102" s="19" t="s">
        <v>465</v>
      </c>
    </row>
    <row r="6103" spans="1:9" x14ac:dyDescent="0.2">
      <c r="A6103" s="1" t="s">
        <v>25</v>
      </c>
      <c r="B6103" s="2" t="s">
        <v>379</v>
      </c>
      <c r="D6103" s="5" t="s">
        <v>464</v>
      </c>
      <c r="G6103" s="57" t="s">
        <v>465</v>
      </c>
      <c r="H6103" s="19">
        <v>92500</v>
      </c>
      <c r="I6103" s="19" t="s">
        <v>465</v>
      </c>
    </row>
    <row r="6104" spans="1:9" x14ac:dyDescent="0.2">
      <c r="A6104" s="1" t="s">
        <v>25</v>
      </c>
      <c r="B6104" s="2" t="s">
        <v>379</v>
      </c>
      <c r="D6104" s="5" t="s">
        <v>464</v>
      </c>
      <c r="G6104" s="57" t="s">
        <v>465</v>
      </c>
      <c r="H6104" s="19">
        <v>92500</v>
      </c>
      <c r="I6104" s="19" t="s">
        <v>465</v>
      </c>
    </row>
    <row r="6105" spans="1:9" x14ac:dyDescent="0.2">
      <c r="A6105" s="1" t="s">
        <v>25</v>
      </c>
      <c r="B6105" s="2" t="s">
        <v>379</v>
      </c>
      <c r="D6105" s="5" t="s">
        <v>464</v>
      </c>
      <c r="G6105" s="57" t="s">
        <v>465</v>
      </c>
      <c r="H6105" s="19">
        <v>92500</v>
      </c>
      <c r="I6105" s="19" t="s">
        <v>465</v>
      </c>
    </row>
    <row r="6106" spans="1:9" x14ac:dyDescent="0.2">
      <c r="A6106" s="1" t="s">
        <v>25</v>
      </c>
      <c r="B6106" s="2" t="s">
        <v>379</v>
      </c>
      <c r="D6106" s="5" t="s">
        <v>464</v>
      </c>
      <c r="G6106" s="57" t="s">
        <v>465</v>
      </c>
      <c r="H6106" s="19" t="s">
        <v>465</v>
      </c>
      <c r="I6106" s="19">
        <v>92500</v>
      </c>
    </row>
    <row r="6107" spans="1:9" x14ac:dyDescent="0.2">
      <c r="A6107" s="1" t="s">
        <v>25</v>
      </c>
      <c r="B6107" s="2" t="s">
        <v>379</v>
      </c>
      <c r="D6107" s="5" t="s">
        <v>464</v>
      </c>
      <c r="G6107" s="57" t="s">
        <v>465</v>
      </c>
      <c r="H6107" s="19" t="s">
        <v>465</v>
      </c>
      <c r="I6107" s="19">
        <v>92500</v>
      </c>
    </row>
    <row r="6108" spans="1:9" x14ac:dyDescent="0.2">
      <c r="A6108" s="1" t="s">
        <v>25</v>
      </c>
      <c r="B6108" s="2" t="s">
        <v>379</v>
      </c>
      <c r="D6108" s="5" t="s">
        <v>464</v>
      </c>
      <c r="G6108" s="57" t="s">
        <v>465</v>
      </c>
      <c r="H6108" s="19" t="s">
        <v>465</v>
      </c>
      <c r="I6108" s="19">
        <v>92500</v>
      </c>
    </row>
    <row r="6109" spans="1:9" x14ac:dyDescent="0.2">
      <c r="A6109" s="1" t="s">
        <v>25</v>
      </c>
      <c r="B6109" s="2" t="s">
        <v>379</v>
      </c>
      <c r="D6109" s="5" t="s">
        <v>464</v>
      </c>
      <c r="G6109" s="57" t="s">
        <v>465</v>
      </c>
      <c r="H6109" s="19" t="s">
        <v>465</v>
      </c>
      <c r="I6109" s="19">
        <v>92500</v>
      </c>
    </row>
    <row r="6110" spans="1:9" x14ac:dyDescent="0.2">
      <c r="A6110" s="1" t="s">
        <v>25</v>
      </c>
      <c r="B6110" s="2" t="s">
        <v>379</v>
      </c>
      <c r="D6110" s="5" t="s">
        <v>464</v>
      </c>
      <c r="G6110" s="57" t="s">
        <v>465</v>
      </c>
      <c r="H6110" s="19" t="s">
        <v>465</v>
      </c>
      <c r="I6110" s="19">
        <v>92500</v>
      </c>
    </row>
    <row r="6111" spans="1:9" x14ac:dyDescent="0.2">
      <c r="A6111" s="1" t="s">
        <v>25</v>
      </c>
      <c r="B6111" s="2" t="s">
        <v>379</v>
      </c>
      <c r="D6111" s="5" t="s">
        <v>464</v>
      </c>
      <c r="G6111" s="57" t="s">
        <v>465</v>
      </c>
      <c r="H6111" s="19" t="s">
        <v>465</v>
      </c>
      <c r="I6111" s="19">
        <v>92500</v>
      </c>
    </row>
    <row r="6112" spans="1:9" x14ac:dyDescent="0.2">
      <c r="A6112" s="1" t="s">
        <v>25</v>
      </c>
      <c r="B6112" s="2" t="s">
        <v>379</v>
      </c>
      <c r="D6112" s="5" t="s">
        <v>464</v>
      </c>
      <c r="G6112" s="57" t="s">
        <v>465</v>
      </c>
      <c r="H6112" s="19">
        <v>97500</v>
      </c>
      <c r="I6112" s="19" t="s">
        <v>465</v>
      </c>
    </row>
    <row r="6113" spans="1:9" x14ac:dyDescent="0.2">
      <c r="A6113" s="1" t="s">
        <v>25</v>
      </c>
      <c r="B6113" s="2" t="s">
        <v>379</v>
      </c>
      <c r="D6113" s="5" t="s">
        <v>464</v>
      </c>
      <c r="G6113" s="57" t="s">
        <v>465</v>
      </c>
      <c r="H6113" s="19">
        <v>97500</v>
      </c>
      <c r="I6113" s="19" t="s">
        <v>465</v>
      </c>
    </row>
    <row r="6114" spans="1:9" x14ac:dyDescent="0.2">
      <c r="A6114" s="1" t="s">
        <v>25</v>
      </c>
      <c r="B6114" s="2" t="s">
        <v>379</v>
      </c>
      <c r="D6114" s="5" t="s">
        <v>464</v>
      </c>
      <c r="G6114" s="57" t="s">
        <v>465</v>
      </c>
      <c r="H6114" s="19">
        <v>97500</v>
      </c>
      <c r="I6114" s="19" t="s">
        <v>465</v>
      </c>
    </row>
    <row r="6115" spans="1:9" x14ac:dyDescent="0.2">
      <c r="A6115" s="1" t="s">
        <v>25</v>
      </c>
      <c r="B6115" s="2" t="s">
        <v>379</v>
      </c>
      <c r="D6115" s="5" t="s">
        <v>464</v>
      </c>
      <c r="G6115" s="57" t="s">
        <v>465</v>
      </c>
      <c r="H6115" s="19" t="s">
        <v>465</v>
      </c>
      <c r="I6115" s="19">
        <v>97500</v>
      </c>
    </row>
    <row r="6116" spans="1:9" x14ac:dyDescent="0.2">
      <c r="A6116" s="1" t="s">
        <v>25</v>
      </c>
      <c r="B6116" s="2" t="s">
        <v>379</v>
      </c>
      <c r="D6116" s="5" t="s">
        <v>464</v>
      </c>
      <c r="G6116" s="57" t="s">
        <v>465</v>
      </c>
      <c r="H6116" s="19" t="s">
        <v>465</v>
      </c>
      <c r="I6116" s="19">
        <v>97500</v>
      </c>
    </row>
    <row r="6117" spans="1:9" x14ac:dyDescent="0.2">
      <c r="A6117" s="1" t="s">
        <v>25</v>
      </c>
      <c r="B6117" s="2" t="s">
        <v>379</v>
      </c>
      <c r="D6117" s="5" t="s">
        <v>464</v>
      </c>
      <c r="G6117" s="57" t="s">
        <v>465</v>
      </c>
      <c r="H6117" s="19" t="s">
        <v>465</v>
      </c>
      <c r="I6117" s="19">
        <v>97500</v>
      </c>
    </row>
    <row r="6118" spans="1:9" x14ac:dyDescent="0.2">
      <c r="A6118" s="1" t="s">
        <v>25</v>
      </c>
      <c r="B6118" s="2" t="s">
        <v>379</v>
      </c>
      <c r="D6118" s="5" t="s">
        <v>464</v>
      </c>
      <c r="G6118" s="57" t="s">
        <v>465</v>
      </c>
      <c r="H6118" s="19" t="s">
        <v>465</v>
      </c>
      <c r="I6118" s="19">
        <v>97500</v>
      </c>
    </row>
    <row r="6119" spans="1:9" x14ac:dyDescent="0.2">
      <c r="A6119" s="1" t="s">
        <v>4</v>
      </c>
      <c r="B6119" s="2" t="s">
        <v>380</v>
      </c>
      <c r="D6119" s="5" t="s">
        <v>464</v>
      </c>
      <c r="G6119" s="57" t="s">
        <v>465</v>
      </c>
      <c r="H6119" s="19">
        <v>92500</v>
      </c>
      <c r="I6119" s="19" t="s">
        <v>465</v>
      </c>
    </row>
    <row r="6120" spans="1:9" x14ac:dyDescent="0.2">
      <c r="A6120" s="1" t="s">
        <v>44</v>
      </c>
      <c r="B6120" s="2" t="s">
        <v>381</v>
      </c>
      <c r="D6120" s="5" t="s">
        <v>464</v>
      </c>
      <c r="G6120" s="57" t="s">
        <v>465</v>
      </c>
      <c r="H6120" s="19">
        <v>92500</v>
      </c>
      <c r="I6120" s="19" t="s">
        <v>465</v>
      </c>
    </row>
    <row r="6121" spans="1:9" x14ac:dyDescent="0.2">
      <c r="A6121" s="1" t="s">
        <v>44</v>
      </c>
      <c r="B6121" s="2" t="s">
        <v>381</v>
      </c>
      <c r="D6121" s="5" t="s">
        <v>464</v>
      </c>
      <c r="G6121" s="57" t="s">
        <v>465</v>
      </c>
      <c r="H6121" s="19">
        <v>92500</v>
      </c>
      <c r="I6121" s="19" t="s">
        <v>465</v>
      </c>
    </row>
    <row r="6122" spans="1:9" x14ac:dyDescent="0.2">
      <c r="A6122" s="1" t="s">
        <v>44</v>
      </c>
      <c r="B6122" s="2" t="s">
        <v>381</v>
      </c>
      <c r="D6122" s="5" t="s">
        <v>464</v>
      </c>
      <c r="G6122" s="57" t="s">
        <v>465</v>
      </c>
      <c r="H6122" s="19">
        <v>92500</v>
      </c>
      <c r="I6122" s="19" t="s">
        <v>465</v>
      </c>
    </row>
    <row r="6123" spans="1:9" x14ac:dyDescent="0.2">
      <c r="A6123" s="1" t="s">
        <v>44</v>
      </c>
      <c r="B6123" s="2" t="s">
        <v>381</v>
      </c>
      <c r="D6123" s="5" t="s">
        <v>464</v>
      </c>
      <c r="G6123" s="57" t="s">
        <v>465</v>
      </c>
      <c r="H6123" s="19" t="s">
        <v>465</v>
      </c>
      <c r="I6123" s="19">
        <v>92500</v>
      </c>
    </row>
    <row r="6124" spans="1:9" x14ac:dyDescent="0.2">
      <c r="A6124" s="1" t="s">
        <v>44</v>
      </c>
      <c r="B6124" s="2" t="s">
        <v>381</v>
      </c>
      <c r="D6124" s="5" t="s">
        <v>464</v>
      </c>
      <c r="G6124" s="57" t="s">
        <v>465</v>
      </c>
      <c r="H6124" s="19" t="s">
        <v>465</v>
      </c>
      <c r="I6124" s="19">
        <v>92500</v>
      </c>
    </row>
    <row r="6125" spans="1:9" x14ac:dyDescent="0.2">
      <c r="A6125" s="1" t="s">
        <v>44</v>
      </c>
      <c r="B6125" s="2" t="s">
        <v>381</v>
      </c>
      <c r="D6125" s="5" t="s">
        <v>464</v>
      </c>
      <c r="G6125" s="57" t="s">
        <v>465</v>
      </c>
      <c r="H6125" s="19">
        <v>97500</v>
      </c>
      <c r="I6125" s="19" t="s">
        <v>465</v>
      </c>
    </row>
    <row r="6126" spans="1:9" x14ac:dyDescent="0.2">
      <c r="A6126" s="1" t="s">
        <v>34</v>
      </c>
      <c r="B6126" s="2" t="s">
        <v>382</v>
      </c>
      <c r="D6126" s="5" t="s">
        <v>464</v>
      </c>
      <c r="E6126" s="6"/>
      <c r="G6126" s="57" t="s">
        <v>465</v>
      </c>
      <c r="H6126" s="19">
        <v>92500</v>
      </c>
      <c r="I6126" s="19" t="s">
        <v>465</v>
      </c>
    </row>
    <row r="6127" spans="1:9" x14ac:dyDescent="0.2">
      <c r="A6127" s="1" t="s">
        <v>34</v>
      </c>
      <c r="B6127" s="2" t="s">
        <v>382</v>
      </c>
      <c r="D6127" s="5" t="s">
        <v>464</v>
      </c>
      <c r="E6127" s="6"/>
      <c r="G6127" s="57" t="s">
        <v>465</v>
      </c>
      <c r="H6127" s="19">
        <v>92500</v>
      </c>
      <c r="I6127" s="19" t="s">
        <v>465</v>
      </c>
    </row>
    <row r="6128" spans="1:9" x14ac:dyDescent="0.2">
      <c r="A6128" s="1" t="s">
        <v>34</v>
      </c>
      <c r="B6128" s="2" t="s">
        <v>382</v>
      </c>
      <c r="D6128" s="5" t="s">
        <v>464</v>
      </c>
      <c r="E6128" s="6"/>
      <c r="G6128" s="57" t="s">
        <v>465</v>
      </c>
      <c r="H6128" s="19" t="s">
        <v>465</v>
      </c>
      <c r="I6128" s="19">
        <v>92500</v>
      </c>
    </row>
    <row r="6129" spans="1:10" x14ac:dyDescent="0.2">
      <c r="A6129" s="1" t="s">
        <v>34</v>
      </c>
      <c r="B6129" s="2" t="s">
        <v>382</v>
      </c>
      <c r="D6129" s="5" t="s">
        <v>464</v>
      </c>
      <c r="E6129" s="6"/>
      <c r="G6129" s="57" t="s">
        <v>465</v>
      </c>
      <c r="H6129" s="19" t="s">
        <v>465</v>
      </c>
      <c r="I6129" s="19">
        <v>92500</v>
      </c>
    </row>
    <row r="6130" spans="1:10" x14ac:dyDescent="0.2">
      <c r="A6130" s="1" t="s">
        <v>34</v>
      </c>
      <c r="B6130" s="2" t="s">
        <v>382</v>
      </c>
      <c r="D6130" s="5" t="s">
        <v>464</v>
      </c>
      <c r="E6130" s="6"/>
      <c r="G6130" s="57" t="s">
        <v>465</v>
      </c>
      <c r="H6130" s="19">
        <v>97500</v>
      </c>
      <c r="I6130" s="19" t="s">
        <v>465</v>
      </c>
    </row>
    <row r="6131" spans="1:10" x14ac:dyDescent="0.2">
      <c r="A6131" s="1" t="s">
        <v>34</v>
      </c>
      <c r="B6131" s="2" t="s">
        <v>382</v>
      </c>
      <c r="D6131" s="5" t="s">
        <v>464</v>
      </c>
      <c r="E6131" s="6"/>
      <c r="G6131" s="57" t="s">
        <v>465</v>
      </c>
      <c r="H6131" s="19">
        <v>97500</v>
      </c>
      <c r="I6131" s="19" t="s">
        <v>465</v>
      </c>
    </row>
    <row r="6132" spans="1:10" x14ac:dyDescent="0.2">
      <c r="A6132" s="1" t="s">
        <v>34</v>
      </c>
      <c r="B6132" s="2" t="s">
        <v>382</v>
      </c>
      <c r="D6132" s="5" t="s">
        <v>464</v>
      </c>
      <c r="G6132" s="57" t="s">
        <v>465</v>
      </c>
      <c r="H6132" s="19">
        <v>97500</v>
      </c>
      <c r="I6132" s="19" t="s">
        <v>465</v>
      </c>
    </row>
    <row r="6133" spans="1:10" x14ac:dyDescent="0.2">
      <c r="A6133" s="1" t="s">
        <v>34</v>
      </c>
      <c r="B6133" s="2" t="s">
        <v>382</v>
      </c>
      <c r="D6133" s="5" t="s">
        <v>464</v>
      </c>
      <c r="G6133" s="57" t="s">
        <v>465</v>
      </c>
      <c r="H6133" s="19">
        <v>97500</v>
      </c>
      <c r="I6133" s="19" t="s">
        <v>465</v>
      </c>
    </row>
    <row r="6134" spans="1:10" x14ac:dyDescent="0.2">
      <c r="A6134" s="1" t="s">
        <v>34</v>
      </c>
      <c r="B6134" s="2" t="s">
        <v>382</v>
      </c>
      <c r="D6134" s="5" t="s">
        <v>464</v>
      </c>
      <c r="G6134" s="57" t="s">
        <v>465</v>
      </c>
      <c r="H6134" s="19">
        <v>97500</v>
      </c>
      <c r="I6134" s="19" t="s">
        <v>465</v>
      </c>
    </row>
    <row r="6135" spans="1:10" x14ac:dyDescent="0.2">
      <c r="A6135" s="1" t="s">
        <v>34</v>
      </c>
      <c r="B6135" s="2" t="s">
        <v>382</v>
      </c>
      <c r="D6135" s="5" t="s">
        <v>464</v>
      </c>
      <c r="G6135" s="57" t="s">
        <v>465</v>
      </c>
      <c r="H6135" s="19" t="s">
        <v>465</v>
      </c>
      <c r="I6135" s="19">
        <v>97500</v>
      </c>
    </row>
    <row r="6136" spans="1:10" x14ac:dyDescent="0.2">
      <c r="A6136" s="1" t="s">
        <v>34</v>
      </c>
      <c r="B6136" s="2" t="s">
        <v>382</v>
      </c>
      <c r="D6136" s="5" t="s">
        <v>464</v>
      </c>
      <c r="G6136" s="57" t="s">
        <v>465</v>
      </c>
      <c r="H6136" s="19" t="s">
        <v>465</v>
      </c>
      <c r="I6136" s="19">
        <v>97500</v>
      </c>
    </row>
    <row r="6137" spans="1:10" x14ac:dyDescent="0.2">
      <c r="A6137" s="1" t="s">
        <v>34</v>
      </c>
      <c r="B6137" s="2" t="s">
        <v>382</v>
      </c>
      <c r="D6137" s="5" t="s">
        <v>464</v>
      </c>
      <c r="G6137" s="57" t="s">
        <v>465</v>
      </c>
      <c r="H6137" s="19" t="s">
        <v>465</v>
      </c>
      <c r="I6137" s="19">
        <v>97500</v>
      </c>
    </row>
    <row r="6138" spans="1:10" x14ac:dyDescent="0.2">
      <c r="A6138" s="1" t="s">
        <v>34</v>
      </c>
      <c r="B6138" s="2" t="s">
        <v>382</v>
      </c>
      <c r="D6138" s="5" t="s">
        <v>464</v>
      </c>
      <c r="G6138" s="57" t="s">
        <v>465</v>
      </c>
      <c r="H6138" s="19" t="s">
        <v>465</v>
      </c>
      <c r="I6138" s="19">
        <v>97500</v>
      </c>
    </row>
    <row r="6139" spans="1:10" x14ac:dyDescent="0.2">
      <c r="A6139" s="1" t="s">
        <v>6</v>
      </c>
      <c r="B6139" s="2" t="s">
        <v>383</v>
      </c>
      <c r="D6139" s="7" t="s">
        <v>464</v>
      </c>
      <c r="E6139" s="6"/>
      <c r="F6139" s="6"/>
      <c r="G6139" s="57" t="s">
        <v>465</v>
      </c>
      <c r="H6139" s="21">
        <v>92500</v>
      </c>
      <c r="I6139" s="21" t="s">
        <v>465</v>
      </c>
      <c r="J6139" s="7" t="s">
        <v>1630</v>
      </c>
    </row>
    <row r="6140" spans="1:10" x14ac:dyDescent="0.2">
      <c r="A6140" s="1" t="s">
        <v>6</v>
      </c>
      <c r="B6140" s="2" t="s">
        <v>383</v>
      </c>
      <c r="D6140" s="7" t="s">
        <v>464</v>
      </c>
      <c r="E6140" s="6"/>
      <c r="F6140" s="6"/>
      <c r="G6140" s="57" t="s">
        <v>465</v>
      </c>
      <c r="H6140" s="21">
        <v>92500</v>
      </c>
      <c r="I6140" s="21" t="s">
        <v>465</v>
      </c>
      <c r="J6140" s="7" t="s">
        <v>1630</v>
      </c>
    </row>
    <row r="6141" spans="1:10" x14ac:dyDescent="0.2">
      <c r="A6141" s="1" t="s">
        <v>6</v>
      </c>
      <c r="B6141" s="2" t="s">
        <v>383</v>
      </c>
      <c r="D6141" s="7" t="s">
        <v>464</v>
      </c>
      <c r="E6141" s="6"/>
      <c r="F6141" s="6"/>
      <c r="G6141" s="57" t="s">
        <v>465</v>
      </c>
      <c r="H6141" s="21" t="s">
        <v>465</v>
      </c>
      <c r="I6141" s="21">
        <v>92500</v>
      </c>
      <c r="J6141" s="7"/>
    </row>
    <row r="6142" spans="1:10" x14ac:dyDescent="0.2">
      <c r="A6142" s="1" t="s">
        <v>6</v>
      </c>
      <c r="B6142" s="2" t="s">
        <v>383</v>
      </c>
      <c r="D6142" s="7" t="s">
        <v>464</v>
      </c>
      <c r="E6142" s="6"/>
      <c r="F6142" s="6"/>
      <c r="G6142" s="57" t="s">
        <v>465</v>
      </c>
      <c r="H6142" s="21" t="s">
        <v>465</v>
      </c>
      <c r="I6142" s="21">
        <v>92500</v>
      </c>
      <c r="J6142" s="7"/>
    </row>
    <row r="6143" spans="1:10" x14ac:dyDescent="0.2">
      <c r="A6143" s="1" t="s">
        <v>6</v>
      </c>
      <c r="B6143" s="2" t="s">
        <v>383</v>
      </c>
      <c r="D6143" s="7" t="s">
        <v>464</v>
      </c>
      <c r="E6143" s="6"/>
      <c r="F6143" s="6"/>
      <c r="G6143" s="57" t="s">
        <v>465</v>
      </c>
      <c r="H6143" s="21" t="s">
        <v>465</v>
      </c>
      <c r="I6143" s="21">
        <v>92500</v>
      </c>
      <c r="J6143" s="7"/>
    </row>
    <row r="6144" spans="1:10" x14ac:dyDescent="0.2">
      <c r="A6144" s="1" t="s">
        <v>6</v>
      </c>
      <c r="B6144" s="2" t="s">
        <v>383</v>
      </c>
      <c r="D6144" s="7" t="s">
        <v>464</v>
      </c>
      <c r="E6144" s="6"/>
      <c r="F6144" s="6"/>
      <c r="G6144" s="57" t="s">
        <v>465</v>
      </c>
      <c r="H6144" s="21" t="s">
        <v>465</v>
      </c>
      <c r="I6144" s="21">
        <v>92500</v>
      </c>
      <c r="J6144" s="7" t="s">
        <v>1630</v>
      </c>
    </row>
    <row r="6145" spans="1:10" x14ac:dyDescent="0.2">
      <c r="A6145" s="1" t="s">
        <v>6</v>
      </c>
      <c r="B6145" s="2" t="s">
        <v>383</v>
      </c>
      <c r="D6145" s="7" t="s">
        <v>464</v>
      </c>
      <c r="E6145" s="6"/>
      <c r="F6145" s="6"/>
      <c r="G6145" s="57" t="s">
        <v>465</v>
      </c>
      <c r="H6145" s="21" t="s">
        <v>465</v>
      </c>
      <c r="I6145" s="21">
        <v>92500</v>
      </c>
      <c r="J6145" s="7" t="s">
        <v>1630</v>
      </c>
    </row>
    <row r="6146" spans="1:10" x14ac:dyDescent="0.2">
      <c r="A6146" s="1" t="s">
        <v>6</v>
      </c>
      <c r="B6146" s="2" t="s">
        <v>383</v>
      </c>
      <c r="D6146" s="7" t="s">
        <v>464</v>
      </c>
      <c r="E6146" s="6"/>
      <c r="F6146" s="6"/>
      <c r="G6146" s="57" t="s">
        <v>465</v>
      </c>
      <c r="H6146" s="21" t="s">
        <v>465</v>
      </c>
      <c r="I6146" s="21">
        <v>92500</v>
      </c>
      <c r="J6146" s="7" t="s">
        <v>1630</v>
      </c>
    </row>
    <row r="6147" spans="1:10" x14ac:dyDescent="0.2">
      <c r="A6147" s="1" t="s">
        <v>6</v>
      </c>
      <c r="B6147" s="2" t="s">
        <v>383</v>
      </c>
      <c r="D6147" s="7" t="s">
        <v>464</v>
      </c>
      <c r="E6147" s="6"/>
      <c r="F6147" s="6"/>
      <c r="G6147" s="57" t="s">
        <v>465</v>
      </c>
      <c r="H6147" s="21" t="s">
        <v>465</v>
      </c>
      <c r="I6147" s="21">
        <v>92500</v>
      </c>
      <c r="J6147" s="7" t="s">
        <v>1630</v>
      </c>
    </row>
    <row r="6148" spans="1:10" x14ac:dyDescent="0.2">
      <c r="A6148" s="1" t="s">
        <v>6</v>
      </c>
      <c r="B6148" s="2" t="s">
        <v>383</v>
      </c>
      <c r="D6148" s="7" t="s">
        <v>464</v>
      </c>
      <c r="E6148" s="6"/>
      <c r="F6148" s="6"/>
      <c r="G6148" s="57" t="s">
        <v>465</v>
      </c>
      <c r="H6148" s="21" t="s">
        <v>465</v>
      </c>
      <c r="I6148" s="21">
        <v>97500</v>
      </c>
      <c r="J6148" s="7" t="s">
        <v>1630</v>
      </c>
    </row>
    <row r="6149" spans="1:10" x14ac:dyDescent="0.2">
      <c r="A6149" s="1" t="s">
        <v>6</v>
      </c>
      <c r="B6149" s="2" t="s">
        <v>383</v>
      </c>
      <c r="D6149" s="7" t="s">
        <v>464</v>
      </c>
      <c r="E6149" s="6"/>
      <c r="F6149" s="6"/>
      <c r="G6149" s="57" t="s">
        <v>465</v>
      </c>
      <c r="H6149" s="21" t="s">
        <v>465</v>
      </c>
      <c r="I6149" s="21">
        <v>97500</v>
      </c>
      <c r="J6149" s="7" t="s">
        <v>1630</v>
      </c>
    </row>
    <row r="6150" spans="1:10" x14ac:dyDescent="0.2">
      <c r="A6150" s="1" t="s">
        <v>6</v>
      </c>
      <c r="B6150" s="2" t="s">
        <v>383</v>
      </c>
      <c r="D6150" s="7" t="s">
        <v>464</v>
      </c>
      <c r="E6150" s="6"/>
      <c r="F6150" s="6"/>
      <c r="G6150" s="57" t="s">
        <v>465</v>
      </c>
      <c r="H6150" s="21" t="s">
        <v>465</v>
      </c>
      <c r="I6150" s="21">
        <v>97500</v>
      </c>
      <c r="J6150" s="7" t="s">
        <v>1630</v>
      </c>
    </row>
    <row r="6151" spans="1:10" x14ac:dyDescent="0.2">
      <c r="A6151" s="1" t="s">
        <v>39</v>
      </c>
      <c r="B6151" s="2" t="s">
        <v>388</v>
      </c>
      <c r="D6151" s="5" t="s">
        <v>464</v>
      </c>
      <c r="G6151" s="57" t="s">
        <v>465</v>
      </c>
      <c r="H6151" s="19">
        <v>92500</v>
      </c>
    </row>
    <row r="6152" spans="1:10" x14ac:dyDescent="0.2">
      <c r="A6152" s="1" t="s">
        <v>39</v>
      </c>
      <c r="B6152" s="2" t="s">
        <v>388</v>
      </c>
      <c r="D6152" s="5" t="s">
        <v>464</v>
      </c>
      <c r="G6152" s="57" t="s">
        <v>465</v>
      </c>
      <c r="H6152" s="19">
        <v>97500</v>
      </c>
    </row>
    <row r="6153" spans="1:10" ht="25.5" x14ac:dyDescent="0.2">
      <c r="A6153" s="1" t="s">
        <v>4</v>
      </c>
      <c r="B6153" s="2" t="s">
        <v>392</v>
      </c>
      <c r="D6153" s="5" t="s">
        <v>464</v>
      </c>
      <c r="G6153" s="57" t="s">
        <v>465</v>
      </c>
      <c r="H6153" s="19">
        <v>92500</v>
      </c>
      <c r="I6153" s="19" t="s">
        <v>465</v>
      </c>
      <c r="J6153" s="5" t="s">
        <v>4493</v>
      </c>
    </row>
    <row r="6154" spans="1:10" ht="25.5" x14ac:dyDescent="0.2">
      <c r="A6154" s="1" t="s">
        <v>4</v>
      </c>
      <c r="B6154" s="2" t="s">
        <v>392</v>
      </c>
      <c r="D6154" s="5" t="s">
        <v>464</v>
      </c>
      <c r="G6154" s="57" t="s">
        <v>465</v>
      </c>
      <c r="H6154" s="19">
        <v>92500</v>
      </c>
      <c r="I6154" s="19" t="s">
        <v>465</v>
      </c>
      <c r="J6154" s="5" t="s">
        <v>4494</v>
      </c>
    </row>
    <row r="6155" spans="1:10" ht="25.5" x14ac:dyDescent="0.2">
      <c r="A6155" s="1" t="s">
        <v>4</v>
      </c>
      <c r="B6155" s="2" t="s">
        <v>392</v>
      </c>
      <c r="D6155" s="5" t="s">
        <v>464</v>
      </c>
      <c r="G6155" s="57" t="s">
        <v>465</v>
      </c>
      <c r="H6155" s="19">
        <v>92500</v>
      </c>
      <c r="I6155" s="19" t="s">
        <v>465</v>
      </c>
      <c r="J6155" s="5" t="s">
        <v>4495</v>
      </c>
    </row>
    <row r="6156" spans="1:10" ht="25.5" x14ac:dyDescent="0.2">
      <c r="A6156" s="1" t="s">
        <v>4</v>
      </c>
      <c r="B6156" s="2" t="s">
        <v>392</v>
      </c>
      <c r="D6156" s="5" t="s">
        <v>464</v>
      </c>
      <c r="G6156" s="57" t="s">
        <v>465</v>
      </c>
      <c r="H6156" s="19">
        <v>92500</v>
      </c>
      <c r="I6156" s="19" t="s">
        <v>465</v>
      </c>
      <c r="J6156" s="5" t="s">
        <v>4496</v>
      </c>
    </row>
    <row r="6157" spans="1:10" ht="25.5" x14ac:dyDescent="0.2">
      <c r="A6157" s="1" t="s">
        <v>4</v>
      </c>
      <c r="B6157" s="2" t="s">
        <v>392</v>
      </c>
      <c r="D6157" s="5" t="s">
        <v>464</v>
      </c>
      <c r="G6157" s="57" t="s">
        <v>465</v>
      </c>
      <c r="H6157" s="19">
        <v>92500</v>
      </c>
      <c r="I6157" s="19" t="s">
        <v>465</v>
      </c>
      <c r="J6157" s="5" t="s">
        <v>4497</v>
      </c>
    </row>
    <row r="6158" spans="1:10" x14ac:dyDescent="0.2">
      <c r="A6158" s="1" t="s">
        <v>4</v>
      </c>
      <c r="B6158" s="2" t="s">
        <v>392</v>
      </c>
      <c r="D6158" s="5" t="s">
        <v>464</v>
      </c>
      <c r="G6158" s="57" t="s">
        <v>465</v>
      </c>
      <c r="H6158" s="19" t="s">
        <v>465</v>
      </c>
      <c r="I6158" s="19">
        <v>92500</v>
      </c>
    </row>
    <row r="6159" spans="1:10" x14ac:dyDescent="0.2">
      <c r="A6159" s="1" t="s">
        <v>4</v>
      </c>
      <c r="B6159" s="2" t="s">
        <v>392</v>
      </c>
      <c r="D6159" s="5" t="s">
        <v>464</v>
      </c>
      <c r="G6159" s="57" t="s">
        <v>465</v>
      </c>
      <c r="H6159" s="19" t="s">
        <v>465</v>
      </c>
      <c r="I6159" s="19">
        <v>92500</v>
      </c>
    </row>
    <row r="6160" spans="1:10" x14ac:dyDescent="0.2">
      <c r="A6160" s="1" t="s">
        <v>20</v>
      </c>
      <c r="B6160" s="2" t="s">
        <v>394</v>
      </c>
      <c r="D6160" s="5" t="s">
        <v>464</v>
      </c>
      <c r="G6160" s="57" t="s">
        <v>465</v>
      </c>
      <c r="H6160" s="19">
        <v>92500</v>
      </c>
      <c r="I6160" s="19" t="s">
        <v>465</v>
      </c>
    </row>
    <row r="6161" spans="1:10" x14ac:dyDescent="0.2">
      <c r="A6161" s="1" t="s">
        <v>20</v>
      </c>
      <c r="B6161" s="2" t="s">
        <v>394</v>
      </c>
      <c r="D6161" s="5" t="s">
        <v>464</v>
      </c>
      <c r="G6161" s="57" t="s">
        <v>465</v>
      </c>
      <c r="H6161" s="19">
        <v>92500</v>
      </c>
      <c r="I6161" s="19" t="s">
        <v>465</v>
      </c>
    </row>
    <row r="6162" spans="1:10" x14ac:dyDescent="0.2">
      <c r="A6162" s="1" t="s">
        <v>20</v>
      </c>
      <c r="B6162" s="2" t="s">
        <v>394</v>
      </c>
      <c r="D6162" s="5" t="s">
        <v>464</v>
      </c>
      <c r="G6162" s="57" t="s">
        <v>465</v>
      </c>
      <c r="H6162" s="19">
        <v>92500</v>
      </c>
      <c r="I6162" s="19" t="s">
        <v>465</v>
      </c>
    </row>
    <row r="6163" spans="1:10" x14ac:dyDescent="0.2">
      <c r="A6163" s="1" t="s">
        <v>20</v>
      </c>
      <c r="B6163" s="2" t="s">
        <v>394</v>
      </c>
      <c r="D6163" s="5" t="s">
        <v>464</v>
      </c>
      <c r="G6163" s="57" t="s">
        <v>465</v>
      </c>
      <c r="H6163" s="19" t="s">
        <v>465</v>
      </c>
      <c r="I6163" s="19">
        <v>92500</v>
      </c>
      <c r="J6163" s="5" t="s">
        <v>539</v>
      </c>
    </row>
    <row r="6164" spans="1:10" x14ac:dyDescent="0.2">
      <c r="A6164" s="1" t="s">
        <v>20</v>
      </c>
      <c r="B6164" s="2" t="s">
        <v>394</v>
      </c>
      <c r="D6164" s="5" t="s">
        <v>464</v>
      </c>
      <c r="G6164" s="57" t="s">
        <v>465</v>
      </c>
      <c r="H6164" s="19" t="s">
        <v>465</v>
      </c>
      <c r="I6164" s="19">
        <v>92500</v>
      </c>
      <c r="J6164" s="5" t="s">
        <v>539</v>
      </c>
    </row>
    <row r="6165" spans="1:10" x14ac:dyDescent="0.2">
      <c r="A6165" s="1" t="s">
        <v>20</v>
      </c>
      <c r="B6165" s="2" t="s">
        <v>394</v>
      </c>
      <c r="D6165" s="5" t="s">
        <v>464</v>
      </c>
      <c r="G6165" s="57" t="s">
        <v>465</v>
      </c>
      <c r="H6165" s="19" t="s">
        <v>465</v>
      </c>
      <c r="I6165" s="19">
        <v>92500</v>
      </c>
      <c r="J6165" s="5" t="s">
        <v>539</v>
      </c>
    </row>
    <row r="6166" spans="1:10" x14ac:dyDescent="0.2">
      <c r="A6166" s="1" t="s">
        <v>20</v>
      </c>
      <c r="B6166" s="2" t="s">
        <v>394</v>
      </c>
      <c r="D6166" s="5" t="s">
        <v>464</v>
      </c>
      <c r="G6166" s="57" t="s">
        <v>465</v>
      </c>
      <c r="H6166" s="19" t="s">
        <v>465</v>
      </c>
      <c r="I6166" s="19">
        <v>92500</v>
      </c>
    </row>
    <row r="6167" spans="1:10" x14ac:dyDescent="0.2">
      <c r="A6167" s="1" t="s">
        <v>20</v>
      </c>
      <c r="B6167" s="2" t="s">
        <v>394</v>
      </c>
      <c r="D6167" s="5" t="s">
        <v>464</v>
      </c>
      <c r="G6167" s="57" t="s">
        <v>465</v>
      </c>
      <c r="H6167" s="19" t="s">
        <v>465</v>
      </c>
      <c r="I6167" s="19">
        <v>92500</v>
      </c>
    </row>
    <row r="6168" spans="1:10" x14ac:dyDescent="0.2">
      <c r="A6168" s="1" t="s">
        <v>20</v>
      </c>
      <c r="B6168" s="2" t="s">
        <v>394</v>
      </c>
      <c r="D6168" s="5" t="s">
        <v>464</v>
      </c>
      <c r="G6168" s="57" t="s">
        <v>465</v>
      </c>
      <c r="H6168" s="19" t="s">
        <v>465</v>
      </c>
      <c r="I6168" s="19">
        <v>92500</v>
      </c>
    </row>
    <row r="6169" spans="1:10" x14ac:dyDescent="0.2">
      <c r="A6169" s="1" t="s">
        <v>20</v>
      </c>
      <c r="B6169" s="2" t="s">
        <v>394</v>
      </c>
      <c r="D6169" s="5" t="s">
        <v>464</v>
      </c>
      <c r="G6169" s="57" t="s">
        <v>465</v>
      </c>
      <c r="H6169" s="19">
        <v>97500</v>
      </c>
      <c r="I6169" s="19" t="s">
        <v>465</v>
      </c>
    </row>
    <row r="6170" spans="1:10" x14ac:dyDescent="0.2">
      <c r="A6170" s="1" t="s">
        <v>20</v>
      </c>
      <c r="B6170" s="2" t="s">
        <v>394</v>
      </c>
      <c r="D6170" s="5" t="s">
        <v>464</v>
      </c>
      <c r="G6170" s="57" t="s">
        <v>465</v>
      </c>
      <c r="H6170" s="19">
        <v>97500</v>
      </c>
      <c r="I6170" s="19" t="s">
        <v>465</v>
      </c>
    </row>
    <row r="6171" spans="1:10" x14ac:dyDescent="0.2">
      <c r="A6171" s="1" t="s">
        <v>134</v>
      </c>
      <c r="B6171" s="2" t="s">
        <v>396</v>
      </c>
      <c r="D6171" s="5" t="s">
        <v>464</v>
      </c>
      <c r="G6171" s="57" t="s">
        <v>465</v>
      </c>
      <c r="H6171" s="19">
        <v>92500</v>
      </c>
      <c r="I6171" s="19" t="s">
        <v>465</v>
      </c>
    </row>
    <row r="6172" spans="1:10" x14ac:dyDescent="0.2">
      <c r="A6172" s="1" t="s">
        <v>134</v>
      </c>
      <c r="B6172" s="2" t="s">
        <v>396</v>
      </c>
      <c r="D6172" s="5" t="s">
        <v>464</v>
      </c>
      <c r="G6172" s="57" t="s">
        <v>465</v>
      </c>
      <c r="H6172" s="19" t="s">
        <v>465</v>
      </c>
      <c r="I6172" s="19">
        <v>92500</v>
      </c>
    </row>
    <row r="6173" spans="1:10" x14ac:dyDescent="0.2">
      <c r="A6173" s="1" t="s">
        <v>44</v>
      </c>
      <c r="B6173" s="2" t="s">
        <v>397</v>
      </c>
      <c r="D6173" s="5" t="s">
        <v>464</v>
      </c>
      <c r="G6173" s="57" t="s">
        <v>465</v>
      </c>
      <c r="H6173" s="19">
        <v>92500</v>
      </c>
      <c r="I6173" s="19" t="s">
        <v>465</v>
      </c>
    </row>
    <row r="6174" spans="1:10" x14ac:dyDescent="0.2">
      <c r="A6174" s="1" t="s">
        <v>44</v>
      </c>
      <c r="B6174" s="2" t="s">
        <v>397</v>
      </c>
      <c r="D6174" s="5" t="s">
        <v>464</v>
      </c>
      <c r="G6174" s="57" t="s">
        <v>465</v>
      </c>
      <c r="H6174" s="19" t="s">
        <v>465</v>
      </c>
      <c r="I6174" s="19">
        <v>92500</v>
      </c>
      <c r="J6174" s="5" t="s">
        <v>539</v>
      </c>
    </row>
    <row r="6175" spans="1:10" x14ac:dyDescent="0.2">
      <c r="A6175" s="1" t="s">
        <v>25</v>
      </c>
      <c r="B6175" s="2" t="s">
        <v>398</v>
      </c>
      <c r="D6175" s="5" t="s">
        <v>464</v>
      </c>
      <c r="G6175" s="57" t="s">
        <v>465</v>
      </c>
      <c r="H6175" s="19">
        <v>92500</v>
      </c>
      <c r="I6175" s="19" t="s">
        <v>465</v>
      </c>
      <c r="J6175" s="5" t="s">
        <v>1241</v>
      </c>
    </row>
    <row r="6176" spans="1:10" x14ac:dyDescent="0.2">
      <c r="A6176" s="1" t="s">
        <v>25</v>
      </c>
      <c r="B6176" s="2" t="s">
        <v>398</v>
      </c>
      <c r="D6176" s="5" t="s">
        <v>464</v>
      </c>
      <c r="G6176" s="57" t="s">
        <v>465</v>
      </c>
      <c r="H6176" s="19">
        <v>92500</v>
      </c>
      <c r="I6176" s="19" t="s">
        <v>465</v>
      </c>
      <c r="J6176" s="5" t="s">
        <v>1241</v>
      </c>
    </row>
    <row r="6177" spans="1:10" x14ac:dyDescent="0.2">
      <c r="A6177" s="1" t="s">
        <v>25</v>
      </c>
      <c r="B6177" s="2" t="s">
        <v>398</v>
      </c>
      <c r="D6177" s="5" t="s">
        <v>464</v>
      </c>
      <c r="G6177" s="57" t="s">
        <v>465</v>
      </c>
      <c r="H6177" s="19">
        <v>92500</v>
      </c>
      <c r="I6177" s="19" t="s">
        <v>465</v>
      </c>
      <c r="J6177" s="5" t="s">
        <v>1241</v>
      </c>
    </row>
    <row r="6178" spans="1:10" x14ac:dyDescent="0.2">
      <c r="A6178" s="1" t="s">
        <v>25</v>
      </c>
      <c r="B6178" s="2" t="s">
        <v>398</v>
      </c>
      <c r="D6178" s="5" t="s">
        <v>464</v>
      </c>
      <c r="G6178" s="57" t="s">
        <v>465</v>
      </c>
      <c r="H6178" s="19">
        <v>92500</v>
      </c>
      <c r="I6178" s="19" t="s">
        <v>465</v>
      </c>
      <c r="J6178" s="5" t="s">
        <v>1241</v>
      </c>
    </row>
    <row r="6179" spans="1:10" x14ac:dyDescent="0.2">
      <c r="A6179" s="1" t="s">
        <v>25</v>
      </c>
      <c r="B6179" s="2" t="s">
        <v>398</v>
      </c>
      <c r="D6179" s="5" t="s">
        <v>464</v>
      </c>
      <c r="G6179" s="57" t="s">
        <v>465</v>
      </c>
      <c r="H6179" s="19">
        <v>92500</v>
      </c>
      <c r="I6179" s="19" t="s">
        <v>465</v>
      </c>
      <c r="J6179" s="5" t="s">
        <v>1241</v>
      </c>
    </row>
    <row r="6180" spans="1:10" x14ac:dyDescent="0.2">
      <c r="A6180" s="1" t="s">
        <v>25</v>
      </c>
      <c r="B6180" s="2" t="s">
        <v>398</v>
      </c>
      <c r="D6180" s="5" t="s">
        <v>464</v>
      </c>
      <c r="G6180" s="57" t="s">
        <v>465</v>
      </c>
      <c r="H6180" s="19">
        <v>92500</v>
      </c>
      <c r="I6180" s="19" t="s">
        <v>465</v>
      </c>
    </row>
    <row r="6181" spans="1:10" x14ac:dyDescent="0.2">
      <c r="A6181" s="1" t="s">
        <v>25</v>
      </c>
      <c r="B6181" s="2" t="s">
        <v>398</v>
      </c>
      <c r="D6181" s="5" t="s">
        <v>464</v>
      </c>
      <c r="G6181" s="57" t="s">
        <v>465</v>
      </c>
      <c r="H6181" s="19">
        <v>92500</v>
      </c>
      <c r="I6181" s="19" t="s">
        <v>465</v>
      </c>
    </row>
    <row r="6182" spans="1:10" x14ac:dyDescent="0.2">
      <c r="A6182" s="1" t="s">
        <v>25</v>
      </c>
      <c r="B6182" s="2" t="s">
        <v>398</v>
      </c>
      <c r="D6182" s="5" t="s">
        <v>464</v>
      </c>
      <c r="G6182" s="57" t="s">
        <v>465</v>
      </c>
      <c r="H6182" s="19">
        <v>92500</v>
      </c>
      <c r="I6182" s="19" t="s">
        <v>465</v>
      </c>
    </row>
    <row r="6183" spans="1:10" x14ac:dyDescent="0.2">
      <c r="A6183" s="1" t="s">
        <v>25</v>
      </c>
      <c r="B6183" s="2" t="s">
        <v>398</v>
      </c>
      <c r="D6183" s="5" t="s">
        <v>464</v>
      </c>
      <c r="G6183" s="57" t="s">
        <v>465</v>
      </c>
      <c r="H6183" s="19">
        <v>92500</v>
      </c>
      <c r="I6183" s="19" t="s">
        <v>465</v>
      </c>
    </row>
    <row r="6184" spans="1:10" x14ac:dyDescent="0.2">
      <c r="A6184" s="1" t="s">
        <v>25</v>
      </c>
      <c r="B6184" s="2" t="s">
        <v>398</v>
      </c>
      <c r="D6184" s="5" t="s">
        <v>464</v>
      </c>
      <c r="G6184" s="57" t="s">
        <v>465</v>
      </c>
      <c r="H6184" s="19">
        <v>92500</v>
      </c>
      <c r="I6184" s="19" t="s">
        <v>465</v>
      </c>
    </row>
    <row r="6185" spans="1:10" x14ac:dyDescent="0.2">
      <c r="A6185" s="1" t="s">
        <v>25</v>
      </c>
      <c r="B6185" s="2" t="s">
        <v>398</v>
      </c>
      <c r="D6185" s="5" t="s">
        <v>464</v>
      </c>
      <c r="G6185" s="57" t="s">
        <v>465</v>
      </c>
      <c r="H6185" s="19">
        <v>92500</v>
      </c>
      <c r="I6185" s="19" t="s">
        <v>465</v>
      </c>
    </row>
    <row r="6186" spans="1:10" x14ac:dyDescent="0.2">
      <c r="A6186" s="1" t="s">
        <v>25</v>
      </c>
      <c r="B6186" s="2" t="s">
        <v>398</v>
      </c>
      <c r="D6186" s="5" t="s">
        <v>464</v>
      </c>
      <c r="G6186" s="57" t="s">
        <v>465</v>
      </c>
      <c r="H6186" s="19">
        <v>97500</v>
      </c>
      <c r="I6186" s="19" t="s">
        <v>465</v>
      </c>
    </row>
    <row r="6187" spans="1:10" x14ac:dyDescent="0.2">
      <c r="A6187" s="1" t="s">
        <v>25</v>
      </c>
      <c r="B6187" s="2" t="s">
        <v>398</v>
      </c>
      <c r="D6187" s="5" t="s">
        <v>464</v>
      </c>
      <c r="G6187" s="57" t="s">
        <v>465</v>
      </c>
      <c r="H6187" s="19">
        <v>97500</v>
      </c>
      <c r="I6187" s="19" t="s">
        <v>465</v>
      </c>
    </row>
    <row r="6188" spans="1:10" x14ac:dyDescent="0.2">
      <c r="A6188" s="1" t="s">
        <v>25</v>
      </c>
      <c r="B6188" s="2" t="s">
        <v>398</v>
      </c>
      <c r="D6188" s="5" t="s">
        <v>464</v>
      </c>
      <c r="G6188" s="57" t="s">
        <v>465</v>
      </c>
      <c r="H6188" s="19">
        <v>97500</v>
      </c>
      <c r="I6188" s="19" t="s">
        <v>465</v>
      </c>
    </row>
    <row r="6189" spans="1:10" x14ac:dyDescent="0.2">
      <c r="A6189" s="1" t="s">
        <v>25</v>
      </c>
      <c r="B6189" s="2" t="s">
        <v>398</v>
      </c>
      <c r="D6189" s="5" t="s">
        <v>464</v>
      </c>
      <c r="G6189" s="57" t="s">
        <v>465</v>
      </c>
      <c r="H6189" s="19">
        <v>97500</v>
      </c>
      <c r="I6189" s="19" t="s">
        <v>465</v>
      </c>
    </row>
    <row r="6190" spans="1:10" x14ac:dyDescent="0.2">
      <c r="A6190" s="1" t="s">
        <v>25</v>
      </c>
      <c r="B6190" s="2" t="s">
        <v>398</v>
      </c>
      <c r="D6190" s="5" t="s">
        <v>464</v>
      </c>
      <c r="G6190" s="57" t="s">
        <v>465</v>
      </c>
      <c r="H6190" s="19" t="s">
        <v>465</v>
      </c>
      <c r="I6190" s="19">
        <v>92500</v>
      </c>
      <c r="J6190" s="5" t="s">
        <v>1241</v>
      </c>
    </row>
    <row r="6191" spans="1:10" x14ac:dyDescent="0.2">
      <c r="A6191" s="1" t="s">
        <v>25</v>
      </c>
      <c r="B6191" s="2" t="s">
        <v>398</v>
      </c>
      <c r="D6191" s="5" t="s">
        <v>464</v>
      </c>
      <c r="G6191" s="57" t="s">
        <v>465</v>
      </c>
      <c r="H6191" s="19" t="s">
        <v>465</v>
      </c>
      <c r="I6191" s="19">
        <v>92500</v>
      </c>
      <c r="J6191" s="5" t="s">
        <v>1241</v>
      </c>
    </row>
    <row r="6192" spans="1:10" x14ac:dyDescent="0.2">
      <c r="A6192" s="1" t="s">
        <v>25</v>
      </c>
      <c r="B6192" s="2" t="s">
        <v>398</v>
      </c>
      <c r="D6192" s="5" t="s">
        <v>464</v>
      </c>
      <c r="G6192" s="57" t="s">
        <v>465</v>
      </c>
      <c r="H6192" s="19" t="s">
        <v>465</v>
      </c>
      <c r="I6192" s="19">
        <v>92500</v>
      </c>
      <c r="J6192" s="5" t="s">
        <v>1241</v>
      </c>
    </row>
    <row r="6193" spans="1:10" x14ac:dyDescent="0.2">
      <c r="A6193" s="1" t="s">
        <v>25</v>
      </c>
      <c r="B6193" s="2" t="s">
        <v>398</v>
      </c>
      <c r="D6193" s="5" t="s">
        <v>464</v>
      </c>
      <c r="G6193" s="57" t="s">
        <v>465</v>
      </c>
      <c r="H6193" s="19" t="s">
        <v>465</v>
      </c>
      <c r="I6193" s="19">
        <v>92500</v>
      </c>
      <c r="J6193" s="5" t="s">
        <v>1241</v>
      </c>
    </row>
    <row r="6194" spans="1:10" x14ac:dyDescent="0.2">
      <c r="A6194" s="1" t="s">
        <v>25</v>
      </c>
      <c r="B6194" s="2" t="s">
        <v>398</v>
      </c>
      <c r="D6194" s="5" t="s">
        <v>464</v>
      </c>
      <c r="G6194" s="57" t="s">
        <v>465</v>
      </c>
      <c r="H6194" s="19" t="s">
        <v>465</v>
      </c>
      <c r="I6194" s="19">
        <v>92500</v>
      </c>
      <c r="J6194" s="5" t="s">
        <v>1241</v>
      </c>
    </row>
    <row r="6195" spans="1:10" x14ac:dyDescent="0.2">
      <c r="A6195" s="1" t="s">
        <v>25</v>
      </c>
      <c r="B6195" s="2" t="s">
        <v>398</v>
      </c>
      <c r="D6195" s="5" t="s">
        <v>464</v>
      </c>
      <c r="G6195" s="57" t="s">
        <v>465</v>
      </c>
      <c r="H6195" s="19" t="s">
        <v>465</v>
      </c>
      <c r="I6195" s="19">
        <v>92500</v>
      </c>
      <c r="J6195" s="5" t="s">
        <v>1241</v>
      </c>
    </row>
    <row r="6196" spans="1:10" x14ac:dyDescent="0.2">
      <c r="A6196" s="1" t="s">
        <v>25</v>
      </c>
      <c r="B6196" s="2" t="s">
        <v>398</v>
      </c>
      <c r="D6196" s="5" t="s">
        <v>464</v>
      </c>
      <c r="G6196" s="57" t="s">
        <v>465</v>
      </c>
      <c r="H6196" s="19" t="s">
        <v>465</v>
      </c>
      <c r="I6196" s="19">
        <v>92500</v>
      </c>
      <c r="J6196" s="5" t="s">
        <v>1241</v>
      </c>
    </row>
    <row r="6197" spans="1:10" x14ac:dyDescent="0.2">
      <c r="A6197" s="1" t="s">
        <v>25</v>
      </c>
      <c r="B6197" s="2" t="s">
        <v>398</v>
      </c>
      <c r="D6197" s="5" t="s">
        <v>464</v>
      </c>
      <c r="G6197" s="57" t="s">
        <v>465</v>
      </c>
      <c r="H6197" s="19" t="s">
        <v>465</v>
      </c>
      <c r="I6197" s="19">
        <v>92500</v>
      </c>
    </row>
    <row r="6198" spans="1:10" x14ac:dyDescent="0.2">
      <c r="A6198" s="1" t="s">
        <v>25</v>
      </c>
      <c r="B6198" s="2" t="s">
        <v>398</v>
      </c>
      <c r="D6198" s="5" t="s">
        <v>464</v>
      </c>
      <c r="G6198" s="57" t="s">
        <v>465</v>
      </c>
      <c r="H6198" s="19" t="s">
        <v>465</v>
      </c>
      <c r="I6198" s="19">
        <v>92500</v>
      </c>
    </row>
    <row r="6199" spans="1:10" x14ac:dyDescent="0.2">
      <c r="A6199" s="1" t="s">
        <v>25</v>
      </c>
      <c r="B6199" s="2" t="s">
        <v>398</v>
      </c>
      <c r="D6199" s="5" t="s">
        <v>464</v>
      </c>
      <c r="G6199" s="57" t="s">
        <v>465</v>
      </c>
      <c r="H6199" s="19" t="s">
        <v>465</v>
      </c>
      <c r="I6199" s="19">
        <v>92500</v>
      </c>
    </row>
    <row r="6200" spans="1:10" x14ac:dyDescent="0.2">
      <c r="A6200" s="1" t="s">
        <v>25</v>
      </c>
      <c r="B6200" s="2" t="s">
        <v>398</v>
      </c>
      <c r="D6200" s="5" t="s">
        <v>464</v>
      </c>
      <c r="G6200" s="57" t="s">
        <v>465</v>
      </c>
      <c r="H6200" s="19" t="s">
        <v>465</v>
      </c>
      <c r="I6200" s="19">
        <v>92500</v>
      </c>
    </row>
    <row r="6201" spans="1:10" x14ac:dyDescent="0.2">
      <c r="A6201" s="1" t="s">
        <v>25</v>
      </c>
      <c r="B6201" s="2" t="s">
        <v>398</v>
      </c>
      <c r="D6201" s="5" t="s">
        <v>464</v>
      </c>
      <c r="G6201" s="57" t="s">
        <v>465</v>
      </c>
      <c r="H6201" s="19" t="s">
        <v>465</v>
      </c>
      <c r="I6201" s="19">
        <v>92500</v>
      </c>
    </row>
    <row r="6202" spans="1:10" x14ac:dyDescent="0.2">
      <c r="A6202" s="1" t="s">
        <v>25</v>
      </c>
      <c r="B6202" s="2" t="s">
        <v>398</v>
      </c>
      <c r="D6202" s="5" t="s">
        <v>464</v>
      </c>
      <c r="G6202" s="57" t="s">
        <v>465</v>
      </c>
      <c r="H6202" s="19" t="s">
        <v>465</v>
      </c>
      <c r="I6202" s="19">
        <v>92500</v>
      </c>
    </row>
    <row r="6203" spans="1:10" x14ac:dyDescent="0.2">
      <c r="A6203" s="1" t="s">
        <v>25</v>
      </c>
      <c r="B6203" s="2" t="s">
        <v>398</v>
      </c>
      <c r="D6203" s="5" t="s">
        <v>464</v>
      </c>
      <c r="G6203" s="57" t="s">
        <v>465</v>
      </c>
      <c r="H6203" s="19" t="s">
        <v>465</v>
      </c>
      <c r="I6203" s="19">
        <v>92500</v>
      </c>
    </row>
    <row r="6204" spans="1:10" x14ac:dyDescent="0.2">
      <c r="A6204" s="1" t="s">
        <v>25</v>
      </c>
      <c r="B6204" s="2" t="s">
        <v>398</v>
      </c>
      <c r="D6204" s="5" t="s">
        <v>464</v>
      </c>
      <c r="G6204" s="57" t="s">
        <v>465</v>
      </c>
      <c r="H6204" s="19" t="s">
        <v>465</v>
      </c>
      <c r="I6204" s="19">
        <v>97500</v>
      </c>
      <c r="J6204" s="5" t="s">
        <v>1241</v>
      </c>
    </row>
    <row r="6205" spans="1:10" x14ac:dyDescent="0.2">
      <c r="A6205" s="1" t="s">
        <v>25</v>
      </c>
      <c r="B6205" s="2" t="s">
        <v>398</v>
      </c>
      <c r="D6205" s="5" t="s">
        <v>464</v>
      </c>
      <c r="G6205" s="57" t="s">
        <v>465</v>
      </c>
      <c r="H6205" s="19" t="s">
        <v>465</v>
      </c>
      <c r="I6205" s="19">
        <v>97500</v>
      </c>
      <c r="J6205" s="5" t="s">
        <v>1241</v>
      </c>
    </row>
    <row r="6206" spans="1:10" x14ac:dyDescent="0.2">
      <c r="A6206" s="1" t="s">
        <v>25</v>
      </c>
      <c r="B6206" s="2" t="s">
        <v>398</v>
      </c>
      <c r="D6206" s="5" t="s">
        <v>464</v>
      </c>
      <c r="G6206" s="57" t="s">
        <v>465</v>
      </c>
      <c r="H6206" s="19" t="s">
        <v>465</v>
      </c>
      <c r="I6206" s="19">
        <v>97500</v>
      </c>
      <c r="J6206" s="5" t="s">
        <v>1241</v>
      </c>
    </row>
    <row r="6207" spans="1:10" x14ac:dyDescent="0.2">
      <c r="A6207" s="1" t="s">
        <v>25</v>
      </c>
      <c r="B6207" s="2" t="s">
        <v>398</v>
      </c>
      <c r="D6207" s="5" t="s">
        <v>464</v>
      </c>
      <c r="G6207" s="57" t="s">
        <v>465</v>
      </c>
      <c r="H6207" s="19" t="s">
        <v>465</v>
      </c>
      <c r="I6207" s="19">
        <v>97500</v>
      </c>
      <c r="J6207" s="5" t="s">
        <v>1241</v>
      </c>
    </row>
    <row r="6208" spans="1:10" x14ac:dyDescent="0.2">
      <c r="A6208" s="1" t="s">
        <v>25</v>
      </c>
      <c r="B6208" s="2" t="s">
        <v>398</v>
      </c>
      <c r="D6208" s="5" t="s">
        <v>464</v>
      </c>
      <c r="G6208" s="57" t="s">
        <v>465</v>
      </c>
      <c r="H6208" s="19" t="s">
        <v>465</v>
      </c>
      <c r="I6208" s="19">
        <v>97500</v>
      </c>
    </row>
    <row r="6209" spans="1:10" x14ac:dyDescent="0.2">
      <c r="A6209" s="1" t="s">
        <v>25</v>
      </c>
      <c r="B6209" s="2" t="s">
        <v>398</v>
      </c>
      <c r="D6209" s="5" t="s">
        <v>464</v>
      </c>
      <c r="G6209" s="57" t="s">
        <v>465</v>
      </c>
      <c r="H6209" s="19" t="s">
        <v>465</v>
      </c>
      <c r="I6209" s="19">
        <v>97500</v>
      </c>
    </row>
    <row r="6210" spans="1:10" x14ac:dyDescent="0.2">
      <c r="A6210" s="1" t="s">
        <v>25</v>
      </c>
      <c r="B6210" s="2" t="s">
        <v>398</v>
      </c>
      <c r="D6210" s="5" t="s">
        <v>464</v>
      </c>
      <c r="G6210" s="57" t="s">
        <v>465</v>
      </c>
      <c r="H6210" s="19" t="s">
        <v>465</v>
      </c>
      <c r="I6210" s="19">
        <v>97500</v>
      </c>
    </row>
    <row r="6211" spans="1:10" x14ac:dyDescent="0.2">
      <c r="A6211" s="1" t="s">
        <v>6</v>
      </c>
      <c r="B6211" s="2" t="s">
        <v>399</v>
      </c>
      <c r="D6211" s="5" t="s">
        <v>464</v>
      </c>
      <c r="G6211" s="57" t="s">
        <v>465</v>
      </c>
      <c r="H6211" s="19" t="s">
        <v>465</v>
      </c>
      <c r="I6211" s="19">
        <v>97500</v>
      </c>
    </row>
    <row r="6212" spans="1:10" x14ac:dyDescent="0.2">
      <c r="A6212" s="1" t="s">
        <v>6</v>
      </c>
      <c r="B6212" s="2" t="s">
        <v>399</v>
      </c>
      <c r="D6212" s="5" t="s">
        <v>464</v>
      </c>
      <c r="G6212" s="57" t="s">
        <v>465</v>
      </c>
      <c r="H6212" s="19">
        <v>92500</v>
      </c>
      <c r="I6212" s="19" t="s">
        <v>465</v>
      </c>
    </row>
    <row r="6213" spans="1:10" x14ac:dyDescent="0.2">
      <c r="A6213" s="1" t="s">
        <v>6</v>
      </c>
      <c r="B6213" s="2" t="s">
        <v>399</v>
      </c>
      <c r="D6213" s="5" t="s">
        <v>464</v>
      </c>
      <c r="G6213" s="57" t="s">
        <v>465</v>
      </c>
      <c r="H6213" s="19" t="s">
        <v>465</v>
      </c>
      <c r="I6213" s="19">
        <v>92500</v>
      </c>
      <c r="J6213" s="5" t="s">
        <v>539</v>
      </c>
    </row>
    <row r="6214" spans="1:10" x14ac:dyDescent="0.2">
      <c r="A6214" s="1" t="s">
        <v>4</v>
      </c>
      <c r="B6214" s="12" t="s">
        <v>400</v>
      </c>
      <c r="D6214" s="5" t="s">
        <v>464</v>
      </c>
      <c r="G6214" s="57" t="s">
        <v>465</v>
      </c>
      <c r="H6214" s="19" t="s">
        <v>465</v>
      </c>
      <c r="I6214" s="19">
        <v>92500</v>
      </c>
      <c r="J6214" s="5" t="s">
        <v>1555</v>
      </c>
    </row>
    <row r="6215" spans="1:10" x14ac:dyDescent="0.2">
      <c r="A6215" s="1" t="s">
        <v>4</v>
      </c>
      <c r="B6215" s="12" t="s">
        <v>400</v>
      </c>
      <c r="D6215" s="5" t="s">
        <v>464</v>
      </c>
      <c r="G6215" s="57" t="s">
        <v>465</v>
      </c>
      <c r="H6215" s="19">
        <v>92500</v>
      </c>
      <c r="I6215" s="19" t="s">
        <v>465</v>
      </c>
      <c r="J6215" s="5" t="s">
        <v>1555</v>
      </c>
    </row>
    <row r="6216" spans="1:10" x14ac:dyDescent="0.2">
      <c r="A6216" s="1" t="s">
        <v>4</v>
      </c>
      <c r="B6216" s="12" t="s">
        <v>400</v>
      </c>
      <c r="D6216" s="5" t="s">
        <v>464</v>
      </c>
      <c r="G6216" s="57" t="s">
        <v>465</v>
      </c>
      <c r="H6216" s="19">
        <v>97500</v>
      </c>
      <c r="I6216" s="19" t="s">
        <v>465</v>
      </c>
      <c r="J6216" s="5" t="s">
        <v>1555</v>
      </c>
    </row>
    <row r="6217" spans="1:10" x14ac:dyDescent="0.2">
      <c r="A6217" s="1" t="s">
        <v>44</v>
      </c>
      <c r="B6217" s="2" t="s">
        <v>2429</v>
      </c>
      <c r="D6217" s="5" t="s">
        <v>464</v>
      </c>
      <c r="G6217" s="57" t="s">
        <v>465</v>
      </c>
      <c r="H6217" s="19">
        <v>92500</v>
      </c>
      <c r="I6217" s="19" t="s">
        <v>465</v>
      </c>
    </row>
    <row r="6218" spans="1:10" x14ac:dyDescent="0.2">
      <c r="A6218" s="1" t="s">
        <v>44</v>
      </c>
      <c r="B6218" s="2" t="s">
        <v>2429</v>
      </c>
      <c r="D6218" s="5" t="s">
        <v>464</v>
      </c>
      <c r="G6218" s="57" t="s">
        <v>465</v>
      </c>
      <c r="H6218" s="19">
        <v>97500</v>
      </c>
      <c r="I6218" s="19" t="s">
        <v>465</v>
      </c>
    </row>
    <row r="6219" spans="1:10" x14ac:dyDescent="0.2">
      <c r="A6219" s="1" t="s">
        <v>44</v>
      </c>
      <c r="B6219" s="2" t="s">
        <v>2429</v>
      </c>
      <c r="D6219" s="5" t="s">
        <v>464</v>
      </c>
      <c r="G6219" s="57" t="s">
        <v>465</v>
      </c>
      <c r="H6219" s="19" t="s">
        <v>465</v>
      </c>
      <c r="I6219" s="19">
        <v>92500</v>
      </c>
    </row>
    <row r="6220" spans="1:10" x14ac:dyDescent="0.2">
      <c r="A6220" s="1" t="s">
        <v>44</v>
      </c>
      <c r="B6220" s="2" t="s">
        <v>2429</v>
      </c>
      <c r="D6220" s="5" t="s">
        <v>464</v>
      </c>
      <c r="G6220" s="57" t="s">
        <v>465</v>
      </c>
      <c r="H6220" s="19" t="s">
        <v>465</v>
      </c>
      <c r="I6220" s="19">
        <v>97500</v>
      </c>
    </row>
    <row r="6221" spans="1:10" ht="63.75" x14ac:dyDescent="0.2">
      <c r="A6221" s="1" t="s">
        <v>4</v>
      </c>
      <c r="B6221" s="2" t="s">
        <v>402</v>
      </c>
      <c r="C6221" s="29" t="s">
        <v>4507</v>
      </c>
      <c r="G6221" s="57" t="s">
        <v>465</v>
      </c>
    </row>
    <row r="6222" spans="1:10" x14ac:dyDescent="0.2">
      <c r="A6222" s="1" t="s">
        <v>28</v>
      </c>
      <c r="B6222" s="2" t="s">
        <v>403</v>
      </c>
      <c r="D6222" s="5" t="s">
        <v>464</v>
      </c>
      <c r="G6222" s="57" t="s">
        <v>465</v>
      </c>
      <c r="H6222" s="19">
        <v>92500</v>
      </c>
      <c r="I6222" s="19" t="s">
        <v>465</v>
      </c>
      <c r="J6222" s="1"/>
    </row>
    <row r="6223" spans="1:10" x14ac:dyDescent="0.2">
      <c r="A6223" s="1" t="s">
        <v>28</v>
      </c>
      <c r="B6223" s="2" t="s">
        <v>403</v>
      </c>
      <c r="D6223" s="5" t="s">
        <v>464</v>
      </c>
      <c r="G6223" s="57" t="s">
        <v>465</v>
      </c>
      <c r="H6223" s="19">
        <v>92500</v>
      </c>
      <c r="I6223" s="19" t="s">
        <v>465</v>
      </c>
      <c r="J6223" s="1"/>
    </row>
    <row r="6224" spans="1:10" x14ac:dyDescent="0.2">
      <c r="A6224" s="1" t="s">
        <v>28</v>
      </c>
      <c r="B6224" s="2" t="s">
        <v>403</v>
      </c>
      <c r="D6224" s="5" t="s">
        <v>464</v>
      </c>
      <c r="G6224" s="57" t="s">
        <v>465</v>
      </c>
      <c r="H6224" s="19">
        <v>92500</v>
      </c>
      <c r="I6224" s="19" t="s">
        <v>465</v>
      </c>
      <c r="J6224" s="1"/>
    </row>
    <row r="6225" spans="1:10" x14ac:dyDescent="0.2">
      <c r="A6225" s="1" t="s">
        <v>28</v>
      </c>
      <c r="B6225" s="2" t="s">
        <v>403</v>
      </c>
      <c r="D6225" s="5" t="s">
        <v>464</v>
      </c>
      <c r="G6225" s="57" t="s">
        <v>465</v>
      </c>
      <c r="H6225" s="19" t="s">
        <v>465</v>
      </c>
      <c r="I6225" s="19">
        <v>92500</v>
      </c>
      <c r="J6225" s="1"/>
    </row>
    <row r="6226" spans="1:10" x14ac:dyDescent="0.2">
      <c r="A6226" s="1" t="s">
        <v>28</v>
      </c>
      <c r="B6226" s="2" t="s">
        <v>403</v>
      </c>
      <c r="D6226" s="5" t="s">
        <v>464</v>
      </c>
      <c r="G6226" s="57" t="s">
        <v>465</v>
      </c>
      <c r="H6226" s="19">
        <v>97500</v>
      </c>
      <c r="I6226" s="19" t="s">
        <v>465</v>
      </c>
      <c r="J6226" s="1"/>
    </row>
    <row r="6227" spans="1:10" x14ac:dyDescent="0.2">
      <c r="A6227" s="1" t="s">
        <v>28</v>
      </c>
      <c r="B6227" s="2" t="s">
        <v>403</v>
      </c>
      <c r="D6227" s="5" t="s">
        <v>464</v>
      </c>
      <c r="G6227" s="57" t="s">
        <v>465</v>
      </c>
      <c r="H6227" s="19" t="s">
        <v>465</v>
      </c>
      <c r="I6227" s="19">
        <v>97500</v>
      </c>
      <c r="J6227" s="1"/>
    </row>
    <row r="6228" spans="1:10" x14ac:dyDescent="0.2">
      <c r="A6228" s="1" t="s">
        <v>28</v>
      </c>
      <c r="B6228" s="2" t="s">
        <v>403</v>
      </c>
      <c r="D6228" s="5" t="s">
        <v>464</v>
      </c>
      <c r="G6228" s="57" t="s">
        <v>465</v>
      </c>
      <c r="H6228" s="19" t="s">
        <v>465</v>
      </c>
      <c r="I6228" s="19">
        <v>97500</v>
      </c>
      <c r="J6228" s="1"/>
    </row>
    <row r="6229" spans="1:10" x14ac:dyDescent="0.2">
      <c r="A6229" s="1" t="s">
        <v>28</v>
      </c>
      <c r="B6229" s="2" t="s">
        <v>403</v>
      </c>
      <c r="D6229" s="5" t="s">
        <v>464</v>
      </c>
      <c r="G6229" s="57" t="s">
        <v>465</v>
      </c>
      <c r="H6229" s="19" t="s">
        <v>465</v>
      </c>
      <c r="I6229" s="19">
        <v>97500</v>
      </c>
      <c r="J6229" s="1"/>
    </row>
    <row r="6230" spans="1:10" x14ac:dyDescent="0.2">
      <c r="A6230" s="1" t="s">
        <v>28</v>
      </c>
      <c r="B6230" s="2" t="s">
        <v>403</v>
      </c>
      <c r="D6230" s="5" t="s">
        <v>464</v>
      </c>
      <c r="G6230" s="57" t="s">
        <v>465</v>
      </c>
      <c r="H6230" s="19" t="s">
        <v>465</v>
      </c>
      <c r="I6230" s="19">
        <v>97500</v>
      </c>
      <c r="J6230" s="1"/>
    </row>
    <row r="6231" spans="1:10" x14ac:dyDescent="0.2">
      <c r="A6231" s="1" t="s">
        <v>39</v>
      </c>
      <c r="B6231" s="2" t="s">
        <v>404</v>
      </c>
      <c r="D6231" s="5" t="s">
        <v>464</v>
      </c>
      <c r="G6231" s="57" t="s">
        <v>465</v>
      </c>
      <c r="H6231" s="19" t="s">
        <v>465</v>
      </c>
      <c r="I6231" s="19">
        <v>97500</v>
      </c>
    </row>
    <row r="6232" spans="1:10" x14ac:dyDescent="0.2">
      <c r="A6232" s="1" t="s">
        <v>39</v>
      </c>
      <c r="B6232" s="2" t="s">
        <v>404</v>
      </c>
      <c r="D6232" s="5" t="s">
        <v>464</v>
      </c>
      <c r="G6232" s="57" t="s">
        <v>465</v>
      </c>
      <c r="H6232" s="19" t="s">
        <v>465</v>
      </c>
      <c r="I6232" s="19">
        <v>92500</v>
      </c>
    </row>
    <row r="6233" spans="1:10" x14ac:dyDescent="0.2">
      <c r="A6233" s="1" t="s">
        <v>39</v>
      </c>
      <c r="B6233" s="2" t="s">
        <v>404</v>
      </c>
      <c r="D6233" s="5" t="s">
        <v>464</v>
      </c>
      <c r="G6233" s="57" t="s">
        <v>465</v>
      </c>
      <c r="H6233" s="19" t="s">
        <v>465</v>
      </c>
      <c r="I6233" s="19">
        <v>92500</v>
      </c>
    </row>
    <row r="6234" spans="1:10" x14ac:dyDescent="0.2">
      <c r="A6234" s="1" t="s">
        <v>39</v>
      </c>
      <c r="B6234" s="2" t="s">
        <v>404</v>
      </c>
      <c r="D6234" s="5" t="s">
        <v>464</v>
      </c>
      <c r="G6234" s="57" t="s">
        <v>465</v>
      </c>
      <c r="H6234" s="19">
        <v>92500</v>
      </c>
      <c r="I6234" s="19" t="s">
        <v>465</v>
      </c>
    </row>
    <row r="6235" spans="1:10" x14ac:dyDescent="0.2">
      <c r="A6235" s="1" t="s">
        <v>39</v>
      </c>
      <c r="B6235" s="2" t="s">
        <v>404</v>
      </c>
      <c r="D6235" s="5" t="s">
        <v>464</v>
      </c>
      <c r="G6235" s="57" t="s">
        <v>465</v>
      </c>
      <c r="H6235" s="19">
        <v>92500</v>
      </c>
      <c r="I6235" s="19" t="s">
        <v>465</v>
      </c>
    </row>
    <row r="6236" spans="1:10" x14ac:dyDescent="0.2">
      <c r="A6236" s="1" t="s">
        <v>39</v>
      </c>
      <c r="B6236" s="2" t="s">
        <v>404</v>
      </c>
      <c r="D6236" s="5" t="s">
        <v>464</v>
      </c>
      <c r="G6236" s="57" t="s">
        <v>465</v>
      </c>
      <c r="H6236" s="19">
        <v>92500</v>
      </c>
      <c r="I6236" s="19" t="s">
        <v>465</v>
      </c>
    </row>
    <row r="6237" spans="1:10" x14ac:dyDescent="0.2">
      <c r="A6237" s="1" t="s">
        <v>39</v>
      </c>
      <c r="B6237" s="2" t="s">
        <v>404</v>
      </c>
      <c r="D6237" s="5" t="s">
        <v>464</v>
      </c>
      <c r="G6237" s="57" t="s">
        <v>465</v>
      </c>
      <c r="H6237" s="19">
        <v>92500</v>
      </c>
      <c r="I6237" s="19" t="s">
        <v>465</v>
      </c>
    </row>
    <row r="6238" spans="1:10" x14ac:dyDescent="0.2">
      <c r="A6238" s="1" t="s">
        <v>39</v>
      </c>
      <c r="B6238" s="2" t="s">
        <v>404</v>
      </c>
      <c r="D6238" s="5" t="s">
        <v>464</v>
      </c>
      <c r="G6238" s="57" t="s">
        <v>465</v>
      </c>
      <c r="H6238" s="19">
        <v>97500</v>
      </c>
      <c r="I6238" s="19" t="s">
        <v>465</v>
      </c>
    </row>
    <row r="6239" spans="1:10" x14ac:dyDescent="0.2">
      <c r="A6239" s="1" t="s">
        <v>39</v>
      </c>
      <c r="B6239" s="2" t="s">
        <v>404</v>
      </c>
      <c r="D6239" s="5" t="s">
        <v>464</v>
      </c>
      <c r="G6239" s="57" t="s">
        <v>465</v>
      </c>
      <c r="H6239" s="19">
        <v>97500</v>
      </c>
      <c r="I6239" s="19" t="s">
        <v>465</v>
      </c>
    </row>
    <row r="6240" spans="1:10" x14ac:dyDescent="0.2">
      <c r="A6240" s="1" t="s">
        <v>39</v>
      </c>
      <c r="B6240" s="2" t="s">
        <v>404</v>
      </c>
      <c r="D6240" s="5" t="s">
        <v>464</v>
      </c>
      <c r="G6240" s="57" t="s">
        <v>465</v>
      </c>
      <c r="H6240" s="19">
        <v>97500</v>
      </c>
      <c r="I6240" s="19" t="s">
        <v>465</v>
      </c>
    </row>
    <row r="6241" spans="1:10" x14ac:dyDescent="0.2">
      <c r="A6241" s="1" t="s">
        <v>39</v>
      </c>
      <c r="B6241" s="2" t="s">
        <v>404</v>
      </c>
      <c r="D6241" s="5" t="s">
        <v>464</v>
      </c>
      <c r="G6241" s="57" t="s">
        <v>465</v>
      </c>
      <c r="H6241" s="19">
        <v>97500</v>
      </c>
      <c r="I6241" s="19" t="s">
        <v>465</v>
      </c>
    </row>
    <row r="6242" spans="1:10" x14ac:dyDescent="0.2">
      <c r="A6242" s="1" t="s">
        <v>25</v>
      </c>
      <c r="B6242" s="2" t="s">
        <v>405</v>
      </c>
      <c r="D6242" s="5" t="s">
        <v>464</v>
      </c>
      <c r="G6242" s="57" t="s">
        <v>465</v>
      </c>
      <c r="H6242" s="19">
        <v>92500</v>
      </c>
      <c r="I6242" s="19" t="s">
        <v>465</v>
      </c>
    </row>
    <row r="6243" spans="1:10" x14ac:dyDescent="0.2">
      <c r="A6243" s="1" t="s">
        <v>25</v>
      </c>
      <c r="B6243" s="2" t="s">
        <v>405</v>
      </c>
      <c r="D6243" s="5" t="s">
        <v>464</v>
      </c>
      <c r="G6243" s="57" t="s">
        <v>465</v>
      </c>
      <c r="H6243" s="19">
        <v>92500</v>
      </c>
      <c r="I6243" s="19" t="s">
        <v>465</v>
      </c>
    </row>
    <row r="6244" spans="1:10" x14ac:dyDescent="0.2">
      <c r="A6244" s="1" t="s">
        <v>25</v>
      </c>
      <c r="B6244" s="2" t="s">
        <v>405</v>
      </c>
      <c r="D6244" s="5" t="s">
        <v>464</v>
      </c>
      <c r="G6244" s="57" t="s">
        <v>465</v>
      </c>
      <c r="H6244" s="19">
        <v>92500</v>
      </c>
      <c r="I6244" s="19" t="s">
        <v>465</v>
      </c>
    </row>
    <row r="6245" spans="1:10" x14ac:dyDescent="0.2">
      <c r="A6245" s="1" t="s">
        <v>25</v>
      </c>
      <c r="B6245" s="2" t="s">
        <v>405</v>
      </c>
      <c r="D6245" s="5" t="s">
        <v>464</v>
      </c>
      <c r="G6245" s="57" t="s">
        <v>465</v>
      </c>
      <c r="H6245" s="19">
        <v>92500</v>
      </c>
      <c r="I6245" s="19" t="s">
        <v>465</v>
      </c>
    </row>
    <row r="6246" spans="1:10" x14ac:dyDescent="0.2">
      <c r="A6246" s="1" t="s">
        <v>25</v>
      </c>
      <c r="B6246" s="2" t="s">
        <v>405</v>
      </c>
      <c r="D6246" s="5" t="s">
        <v>464</v>
      </c>
      <c r="G6246" s="57" t="s">
        <v>465</v>
      </c>
      <c r="H6246" s="19" t="s">
        <v>465</v>
      </c>
      <c r="I6246" s="19">
        <v>92500</v>
      </c>
    </row>
    <row r="6247" spans="1:10" x14ac:dyDescent="0.2">
      <c r="A6247" s="1" t="s">
        <v>25</v>
      </c>
      <c r="B6247" s="2" t="s">
        <v>405</v>
      </c>
      <c r="D6247" s="5" t="s">
        <v>464</v>
      </c>
      <c r="G6247" s="57" t="s">
        <v>465</v>
      </c>
      <c r="H6247" s="19" t="s">
        <v>465</v>
      </c>
      <c r="I6247" s="19">
        <v>92500</v>
      </c>
    </row>
    <row r="6248" spans="1:10" x14ac:dyDescent="0.2">
      <c r="A6248" s="1" t="s">
        <v>25</v>
      </c>
      <c r="B6248" s="2" t="s">
        <v>405</v>
      </c>
      <c r="D6248" s="5" t="s">
        <v>464</v>
      </c>
      <c r="G6248" s="57" t="s">
        <v>465</v>
      </c>
      <c r="H6248" s="19" t="s">
        <v>465</v>
      </c>
      <c r="I6248" s="19">
        <v>92500</v>
      </c>
    </row>
    <row r="6249" spans="1:10" x14ac:dyDescent="0.2">
      <c r="A6249" s="1" t="s">
        <v>25</v>
      </c>
      <c r="B6249" s="2" t="s">
        <v>405</v>
      </c>
      <c r="D6249" s="5" t="s">
        <v>464</v>
      </c>
      <c r="G6249" s="57" t="s">
        <v>465</v>
      </c>
      <c r="H6249" s="19">
        <v>97500</v>
      </c>
      <c r="I6249" s="19" t="s">
        <v>465</v>
      </c>
    </row>
    <row r="6250" spans="1:10" x14ac:dyDescent="0.2">
      <c r="A6250" s="1" t="s">
        <v>25</v>
      </c>
      <c r="B6250" s="2" t="s">
        <v>405</v>
      </c>
      <c r="D6250" s="5" t="s">
        <v>464</v>
      </c>
      <c r="G6250" s="57" t="s">
        <v>465</v>
      </c>
      <c r="H6250" s="19" t="s">
        <v>465</v>
      </c>
      <c r="I6250" s="19">
        <v>97500</v>
      </c>
    </row>
    <row r="6251" spans="1:10" x14ac:dyDescent="0.2">
      <c r="A6251" s="1" t="s">
        <v>25</v>
      </c>
      <c r="B6251" s="2" t="s">
        <v>405</v>
      </c>
      <c r="D6251" s="5" t="s">
        <v>464</v>
      </c>
      <c r="G6251" s="57" t="s">
        <v>465</v>
      </c>
      <c r="H6251" s="19" t="s">
        <v>465</v>
      </c>
      <c r="I6251" s="19">
        <v>97500</v>
      </c>
    </row>
    <row r="6252" spans="1:10" x14ac:dyDescent="0.2">
      <c r="A6252" s="1" t="s">
        <v>25</v>
      </c>
      <c r="B6252" s="2" t="s">
        <v>406</v>
      </c>
      <c r="D6252" s="5" t="s">
        <v>464</v>
      </c>
      <c r="G6252" s="57" t="s">
        <v>465</v>
      </c>
      <c r="H6252" s="19">
        <v>92500</v>
      </c>
      <c r="I6252" s="19" t="s">
        <v>465</v>
      </c>
      <c r="J6252" s="1"/>
    </row>
    <row r="6253" spans="1:10" x14ac:dyDescent="0.2">
      <c r="A6253" s="1" t="s">
        <v>25</v>
      </c>
      <c r="B6253" s="2" t="s">
        <v>406</v>
      </c>
      <c r="D6253" s="5" t="s">
        <v>464</v>
      </c>
      <c r="G6253" s="57" t="s">
        <v>465</v>
      </c>
      <c r="H6253" s="19">
        <v>92500</v>
      </c>
      <c r="I6253" s="19" t="s">
        <v>465</v>
      </c>
      <c r="J6253" s="1"/>
    </row>
    <row r="6254" spans="1:10" x14ac:dyDescent="0.2">
      <c r="A6254" s="1" t="s">
        <v>25</v>
      </c>
      <c r="B6254" s="2" t="s">
        <v>406</v>
      </c>
      <c r="D6254" s="5" t="s">
        <v>464</v>
      </c>
      <c r="G6254" s="57" t="s">
        <v>465</v>
      </c>
      <c r="H6254" s="19">
        <v>92500</v>
      </c>
      <c r="I6254" s="19" t="s">
        <v>465</v>
      </c>
      <c r="J6254" s="1"/>
    </row>
    <row r="6255" spans="1:10" x14ac:dyDescent="0.2">
      <c r="A6255" s="1" t="s">
        <v>25</v>
      </c>
      <c r="B6255" s="2" t="s">
        <v>406</v>
      </c>
      <c r="D6255" s="5" t="s">
        <v>464</v>
      </c>
      <c r="G6255" s="57" t="s">
        <v>465</v>
      </c>
      <c r="H6255" s="19">
        <v>92500</v>
      </c>
      <c r="I6255" s="19" t="s">
        <v>465</v>
      </c>
      <c r="J6255" s="1"/>
    </row>
    <row r="6256" spans="1:10" x14ac:dyDescent="0.2">
      <c r="A6256" s="1" t="s">
        <v>25</v>
      </c>
      <c r="B6256" s="2" t="s">
        <v>406</v>
      </c>
      <c r="D6256" s="5" t="s">
        <v>464</v>
      </c>
      <c r="G6256" s="57" t="s">
        <v>465</v>
      </c>
      <c r="H6256" s="19" t="s">
        <v>465</v>
      </c>
      <c r="I6256" s="19">
        <v>92500</v>
      </c>
      <c r="J6256" s="1"/>
    </row>
    <row r="6257" spans="1:10" x14ac:dyDescent="0.2">
      <c r="A6257" s="1" t="s">
        <v>25</v>
      </c>
      <c r="B6257" s="2" t="s">
        <v>406</v>
      </c>
      <c r="D6257" s="5" t="s">
        <v>464</v>
      </c>
      <c r="G6257" s="57" t="s">
        <v>465</v>
      </c>
      <c r="H6257" s="19" t="s">
        <v>465</v>
      </c>
      <c r="I6257" s="19">
        <v>92500</v>
      </c>
      <c r="J6257" s="1"/>
    </row>
    <row r="6258" spans="1:10" x14ac:dyDescent="0.2">
      <c r="A6258" s="1" t="s">
        <v>25</v>
      </c>
      <c r="B6258" s="2" t="s">
        <v>406</v>
      </c>
      <c r="D6258" s="5" t="s">
        <v>464</v>
      </c>
      <c r="G6258" s="57" t="s">
        <v>465</v>
      </c>
      <c r="H6258" s="19" t="s">
        <v>465</v>
      </c>
      <c r="I6258" s="19">
        <v>92500</v>
      </c>
      <c r="J6258" s="1"/>
    </row>
    <row r="6259" spans="1:10" x14ac:dyDescent="0.2">
      <c r="A6259" s="1" t="s">
        <v>25</v>
      </c>
      <c r="B6259" s="2" t="s">
        <v>406</v>
      </c>
      <c r="D6259" s="5" t="s">
        <v>464</v>
      </c>
      <c r="G6259" s="57" t="s">
        <v>465</v>
      </c>
      <c r="H6259" s="19" t="s">
        <v>465</v>
      </c>
      <c r="I6259" s="19">
        <v>92500</v>
      </c>
      <c r="J6259" s="1"/>
    </row>
    <row r="6260" spans="1:10" x14ac:dyDescent="0.2">
      <c r="A6260" s="1" t="s">
        <v>25</v>
      </c>
      <c r="B6260" s="2" t="s">
        <v>406</v>
      </c>
      <c r="D6260" s="5" t="s">
        <v>464</v>
      </c>
      <c r="G6260" s="57" t="s">
        <v>465</v>
      </c>
      <c r="H6260" s="19" t="s">
        <v>465</v>
      </c>
      <c r="I6260" s="19">
        <v>92500</v>
      </c>
      <c r="J6260" s="1"/>
    </row>
    <row r="6261" spans="1:10" x14ac:dyDescent="0.2">
      <c r="A6261" s="1" t="s">
        <v>25</v>
      </c>
      <c r="B6261" s="2" t="s">
        <v>406</v>
      </c>
      <c r="D6261" s="5" t="s">
        <v>464</v>
      </c>
      <c r="G6261" s="57" t="s">
        <v>465</v>
      </c>
      <c r="H6261" s="19">
        <v>97500</v>
      </c>
      <c r="I6261" s="19" t="s">
        <v>465</v>
      </c>
      <c r="J6261" s="1"/>
    </row>
    <row r="6262" spans="1:10" x14ac:dyDescent="0.2">
      <c r="A6262" s="1" t="s">
        <v>25</v>
      </c>
      <c r="B6262" s="2" t="s">
        <v>406</v>
      </c>
      <c r="D6262" s="5" t="s">
        <v>464</v>
      </c>
      <c r="G6262" s="57" t="s">
        <v>465</v>
      </c>
      <c r="H6262" s="19">
        <v>97500</v>
      </c>
      <c r="I6262" s="19" t="s">
        <v>465</v>
      </c>
      <c r="J6262" s="1"/>
    </row>
    <row r="6263" spans="1:10" x14ac:dyDescent="0.2">
      <c r="A6263" s="1" t="s">
        <v>25</v>
      </c>
      <c r="B6263" s="2" t="s">
        <v>406</v>
      </c>
      <c r="D6263" s="5" t="s">
        <v>464</v>
      </c>
      <c r="G6263" s="57" t="s">
        <v>465</v>
      </c>
      <c r="H6263" s="19">
        <v>97500</v>
      </c>
      <c r="I6263" s="19" t="s">
        <v>465</v>
      </c>
      <c r="J6263" s="1"/>
    </row>
    <row r="6264" spans="1:10" x14ac:dyDescent="0.2">
      <c r="A6264" s="1" t="s">
        <v>25</v>
      </c>
      <c r="B6264" s="2" t="s">
        <v>406</v>
      </c>
      <c r="D6264" s="5" t="s">
        <v>464</v>
      </c>
      <c r="G6264" s="57" t="s">
        <v>465</v>
      </c>
      <c r="H6264" s="19">
        <v>97500</v>
      </c>
      <c r="I6264" s="19" t="s">
        <v>465</v>
      </c>
      <c r="J6264" s="1"/>
    </row>
    <row r="6265" spans="1:10" x14ac:dyDescent="0.2">
      <c r="A6265" s="1" t="s">
        <v>25</v>
      </c>
      <c r="B6265" s="2" t="s">
        <v>406</v>
      </c>
      <c r="D6265" s="5" t="s">
        <v>464</v>
      </c>
      <c r="G6265" s="57" t="s">
        <v>465</v>
      </c>
      <c r="H6265" s="19">
        <v>97500</v>
      </c>
      <c r="I6265" s="19" t="s">
        <v>465</v>
      </c>
      <c r="J6265" s="1"/>
    </row>
    <row r="6266" spans="1:10" x14ac:dyDescent="0.2">
      <c r="A6266" s="1" t="s">
        <v>25</v>
      </c>
      <c r="B6266" s="2" t="s">
        <v>406</v>
      </c>
      <c r="D6266" s="5" t="s">
        <v>464</v>
      </c>
      <c r="G6266" s="57" t="s">
        <v>465</v>
      </c>
      <c r="H6266" s="19">
        <v>97500</v>
      </c>
      <c r="I6266" s="19" t="s">
        <v>465</v>
      </c>
      <c r="J6266" s="1"/>
    </row>
    <row r="6267" spans="1:10" x14ac:dyDescent="0.2">
      <c r="A6267" s="1" t="s">
        <v>25</v>
      </c>
      <c r="B6267" s="2" t="s">
        <v>406</v>
      </c>
      <c r="D6267" s="5" t="s">
        <v>464</v>
      </c>
      <c r="G6267" s="57" t="s">
        <v>465</v>
      </c>
      <c r="H6267" s="19" t="s">
        <v>465</v>
      </c>
      <c r="I6267" s="19">
        <v>97500</v>
      </c>
      <c r="J6267" s="1"/>
    </row>
    <row r="6268" spans="1:10" x14ac:dyDescent="0.2">
      <c r="A6268" s="1" t="s">
        <v>25</v>
      </c>
      <c r="B6268" s="2" t="s">
        <v>406</v>
      </c>
      <c r="D6268" s="5" t="s">
        <v>464</v>
      </c>
      <c r="G6268" s="57" t="s">
        <v>465</v>
      </c>
      <c r="H6268" s="19" t="s">
        <v>465</v>
      </c>
      <c r="I6268" s="19">
        <v>97500</v>
      </c>
      <c r="J6268" s="1"/>
    </row>
    <row r="6269" spans="1:10" x14ac:dyDescent="0.2">
      <c r="A6269" s="1" t="s">
        <v>25</v>
      </c>
      <c r="B6269" s="2" t="s">
        <v>406</v>
      </c>
      <c r="D6269" s="5" t="s">
        <v>464</v>
      </c>
      <c r="G6269" s="57" t="s">
        <v>465</v>
      </c>
      <c r="H6269" s="19" t="s">
        <v>465</v>
      </c>
      <c r="I6269" s="19">
        <v>97500</v>
      </c>
    </row>
    <row r="6270" spans="1:10" x14ac:dyDescent="0.2">
      <c r="A6270" s="1" t="s">
        <v>25</v>
      </c>
      <c r="B6270" s="2" t="s">
        <v>406</v>
      </c>
      <c r="D6270" s="5" t="s">
        <v>464</v>
      </c>
      <c r="G6270" s="57" t="s">
        <v>465</v>
      </c>
      <c r="H6270" s="19" t="s">
        <v>465</v>
      </c>
      <c r="I6270" s="19">
        <v>97500</v>
      </c>
    </row>
    <row r="6271" spans="1:10" x14ac:dyDescent="0.2">
      <c r="A6271" s="1" t="s">
        <v>6</v>
      </c>
      <c r="B6271" s="2" t="s">
        <v>407</v>
      </c>
      <c r="G6271" s="57" t="s">
        <v>465</v>
      </c>
      <c r="H6271" s="19">
        <v>92500</v>
      </c>
      <c r="I6271" s="19" t="s">
        <v>465</v>
      </c>
      <c r="J6271" s="5" t="s">
        <v>651</v>
      </c>
    </row>
    <row r="6272" spans="1:10" x14ac:dyDescent="0.2">
      <c r="A6272" s="1" t="s">
        <v>6</v>
      </c>
      <c r="B6272" s="2" t="s">
        <v>407</v>
      </c>
      <c r="G6272" s="57" t="s">
        <v>465</v>
      </c>
      <c r="H6272" s="19">
        <v>92500</v>
      </c>
      <c r="I6272" s="19" t="s">
        <v>465</v>
      </c>
      <c r="J6272" s="5" t="s">
        <v>651</v>
      </c>
    </row>
    <row r="6273" spans="1:10" x14ac:dyDescent="0.2">
      <c r="A6273" s="1" t="s">
        <v>6</v>
      </c>
      <c r="B6273" s="2" t="s">
        <v>407</v>
      </c>
      <c r="G6273" s="57" t="s">
        <v>465</v>
      </c>
      <c r="H6273" s="19">
        <v>92500</v>
      </c>
      <c r="I6273" s="19" t="s">
        <v>465</v>
      </c>
      <c r="J6273" s="5" t="s">
        <v>651</v>
      </c>
    </row>
    <row r="6274" spans="1:10" x14ac:dyDescent="0.2">
      <c r="A6274" s="1" t="s">
        <v>6</v>
      </c>
      <c r="B6274" s="2" t="s">
        <v>407</v>
      </c>
      <c r="G6274" s="57" t="s">
        <v>465</v>
      </c>
      <c r="H6274" s="19">
        <v>92500</v>
      </c>
      <c r="I6274" s="19" t="s">
        <v>465</v>
      </c>
      <c r="J6274" s="5" t="s">
        <v>651</v>
      </c>
    </row>
    <row r="6275" spans="1:10" x14ac:dyDescent="0.2">
      <c r="A6275" s="1" t="s">
        <v>6</v>
      </c>
      <c r="B6275" s="2" t="s">
        <v>407</v>
      </c>
      <c r="G6275" s="57" t="s">
        <v>465</v>
      </c>
      <c r="H6275" s="19">
        <v>92500</v>
      </c>
      <c r="I6275" s="19" t="s">
        <v>465</v>
      </c>
      <c r="J6275" s="5" t="s">
        <v>651</v>
      </c>
    </row>
    <row r="6276" spans="1:10" x14ac:dyDescent="0.2">
      <c r="A6276" s="1" t="s">
        <v>6</v>
      </c>
      <c r="B6276" s="2" t="s">
        <v>407</v>
      </c>
      <c r="G6276" s="57" t="s">
        <v>465</v>
      </c>
      <c r="H6276" s="19" t="s">
        <v>465</v>
      </c>
      <c r="I6276" s="19">
        <v>92500</v>
      </c>
      <c r="J6276" s="5" t="s">
        <v>651</v>
      </c>
    </row>
    <row r="6277" spans="1:10" x14ac:dyDescent="0.2">
      <c r="A6277" s="1" t="s">
        <v>6</v>
      </c>
      <c r="B6277" s="2" t="s">
        <v>407</v>
      </c>
      <c r="G6277" s="57" t="s">
        <v>465</v>
      </c>
      <c r="H6277" s="19" t="s">
        <v>465</v>
      </c>
      <c r="I6277" s="19">
        <v>92000</v>
      </c>
      <c r="J6277" s="5" t="s">
        <v>651</v>
      </c>
    </row>
    <row r="6278" spans="1:10" x14ac:dyDescent="0.2">
      <c r="A6278" s="1" t="s">
        <v>6</v>
      </c>
      <c r="B6278" s="2" t="s">
        <v>407</v>
      </c>
      <c r="G6278" s="57" t="s">
        <v>465</v>
      </c>
      <c r="H6278" s="19" t="s">
        <v>465</v>
      </c>
      <c r="I6278" s="19">
        <v>92500</v>
      </c>
      <c r="J6278" s="5" t="s">
        <v>651</v>
      </c>
    </row>
    <row r="6279" spans="1:10" x14ac:dyDescent="0.2">
      <c r="A6279" s="1" t="s">
        <v>6</v>
      </c>
      <c r="B6279" s="2" t="s">
        <v>407</v>
      </c>
      <c r="G6279" s="57" t="s">
        <v>465</v>
      </c>
      <c r="H6279" s="19" t="s">
        <v>465</v>
      </c>
      <c r="I6279" s="19">
        <v>92500</v>
      </c>
      <c r="J6279" s="5" t="s">
        <v>651</v>
      </c>
    </row>
    <row r="6280" spans="1:10" x14ac:dyDescent="0.2">
      <c r="A6280" s="1" t="s">
        <v>6</v>
      </c>
      <c r="B6280" s="2" t="s">
        <v>407</v>
      </c>
      <c r="G6280" s="57" t="s">
        <v>465</v>
      </c>
      <c r="H6280" s="19" t="s">
        <v>465</v>
      </c>
      <c r="I6280" s="19">
        <v>92500</v>
      </c>
      <c r="J6280" s="5" t="s">
        <v>651</v>
      </c>
    </row>
    <row r="6281" spans="1:10" x14ac:dyDescent="0.2">
      <c r="A6281" s="1" t="s">
        <v>6</v>
      </c>
      <c r="B6281" s="2" t="s">
        <v>407</v>
      </c>
      <c r="G6281" s="57" t="s">
        <v>465</v>
      </c>
      <c r="H6281" s="19" t="s">
        <v>465</v>
      </c>
      <c r="I6281" s="19">
        <v>92500</v>
      </c>
      <c r="J6281" s="5" t="s">
        <v>652</v>
      </c>
    </row>
    <row r="6282" spans="1:10" x14ac:dyDescent="0.2">
      <c r="A6282" s="1" t="s">
        <v>6</v>
      </c>
      <c r="B6282" s="2" t="s">
        <v>407</v>
      </c>
      <c r="G6282" s="57" t="s">
        <v>465</v>
      </c>
      <c r="H6282" s="19" t="s">
        <v>465</v>
      </c>
      <c r="I6282" s="19">
        <v>97500</v>
      </c>
      <c r="J6282" s="5" t="s">
        <v>651</v>
      </c>
    </row>
    <row r="6283" spans="1:10" x14ac:dyDescent="0.2">
      <c r="A6283" s="1" t="s">
        <v>6</v>
      </c>
      <c r="B6283" s="2" t="s">
        <v>407</v>
      </c>
      <c r="G6283" s="57" t="s">
        <v>465</v>
      </c>
      <c r="I6283" s="19">
        <v>97500</v>
      </c>
      <c r="J6283" s="5" t="s">
        <v>652</v>
      </c>
    </row>
    <row r="6284" spans="1:10" x14ac:dyDescent="0.2">
      <c r="A6284" s="1" t="s">
        <v>39</v>
      </c>
      <c r="B6284" s="2" t="s">
        <v>409</v>
      </c>
      <c r="D6284" s="5" t="s">
        <v>587</v>
      </c>
      <c r="G6284" s="57" t="s">
        <v>465</v>
      </c>
      <c r="H6284" s="19">
        <v>92500</v>
      </c>
      <c r="I6284" s="19" t="s">
        <v>465</v>
      </c>
    </row>
    <row r="6285" spans="1:10" x14ac:dyDescent="0.2">
      <c r="A6285" s="1" t="s">
        <v>39</v>
      </c>
      <c r="B6285" s="2" t="s">
        <v>409</v>
      </c>
      <c r="D6285" s="5" t="s">
        <v>587</v>
      </c>
      <c r="G6285" s="57" t="s">
        <v>465</v>
      </c>
      <c r="H6285" s="19" t="s">
        <v>465</v>
      </c>
      <c r="I6285" s="19">
        <v>92500</v>
      </c>
    </row>
    <row r="6286" spans="1:10" x14ac:dyDescent="0.2">
      <c r="A6286" s="1" t="s">
        <v>39</v>
      </c>
      <c r="B6286" s="2" t="s">
        <v>409</v>
      </c>
      <c r="D6286" s="5" t="s">
        <v>587</v>
      </c>
      <c r="G6286" s="57" t="s">
        <v>465</v>
      </c>
      <c r="H6286" s="19" t="s">
        <v>465</v>
      </c>
      <c r="I6286" s="19">
        <v>92500</v>
      </c>
    </row>
    <row r="6287" spans="1:10" x14ac:dyDescent="0.2">
      <c r="A6287" s="1" t="s">
        <v>39</v>
      </c>
      <c r="B6287" s="2" t="s">
        <v>409</v>
      </c>
      <c r="D6287" s="5" t="s">
        <v>587</v>
      </c>
      <c r="G6287" s="57" t="s">
        <v>465</v>
      </c>
      <c r="H6287" s="19" t="s">
        <v>465</v>
      </c>
      <c r="I6287" s="19">
        <v>92500</v>
      </c>
    </row>
    <row r="6288" spans="1:10" x14ac:dyDescent="0.2">
      <c r="A6288" s="1" t="s">
        <v>39</v>
      </c>
      <c r="B6288" s="2" t="s">
        <v>409</v>
      </c>
      <c r="D6288" s="5" t="s">
        <v>587</v>
      </c>
      <c r="G6288" s="57" t="s">
        <v>465</v>
      </c>
      <c r="H6288" s="19" t="s">
        <v>465</v>
      </c>
      <c r="I6288" s="19">
        <v>92500</v>
      </c>
    </row>
    <row r="6289" spans="1:10" x14ac:dyDescent="0.2">
      <c r="A6289" s="1" t="s">
        <v>39</v>
      </c>
      <c r="B6289" s="2" t="s">
        <v>409</v>
      </c>
      <c r="D6289" s="5" t="s">
        <v>587</v>
      </c>
      <c r="G6289" s="57" t="s">
        <v>465</v>
      </c>
      <c r="H6289" s="19" t="s">
        <v>465</v>
      </c>
      <c r="I6289" s="19">
        <v>92500</v>
      </c>
    </row>
    <row r="6290" spans="1:10" x14ac:dyDescent="0.2">
      <c r="A6290" s="1" t="s">
        <v>39</v>
      </c>
      <c r="B6290" s="2" t="s">
        <v>409</v>
      </c>
      <c r="D6290" s="5" t="s">
        <v>587</v>
      </c>
      <c r="G6290" s="57" t="s">
        <v>465</v>
      </c>
      <c r="H6290" s="19" t="s">
        <v>465</v>
      </c>
      <c r="I6290" s="19">
        <v>92500</v>
      </c>
    </row>
    <row r="6291" spans="1:10" x14ac:dyDescent="0.2">
      <c r="A6291" s="1" t="s">
        <v>39</v>
      </c>
      <c r="B6291" s="2" t="s">
        <v>409</v>
      </c>
      <c r="D6291" s="5" t="s">
        <v>587</v>
      </c>
      <c r="G6291" s="57" t="s">
        <v>465</v>
      </c>
      <c r="H6291" s="19" t="s">
        <v>465</v>
      </c>
      <c r="I6291" s="19">
        <v>92500</v>
      </c>
    </row>
    <row r="6292" spans="1:10" x14ac:dyDescent="0.2">
      <c r="A6292" s="1" t="s">
        <v>39</v>
      </c>
      <c r="B6292" s="2" t="s">
        <v>409</v>
      </c>
      <c r="D6292" s="5" t="s">
        <v>587</v>
      </c>
      <c r="G6292" s="57" t="s">
        <v>465</v>
      </c>
      <c r="H6292" s="19" t="s">
        <v>465</v>
      </c>
      <c r="I6292" s="19">
        <v>92500</v>
      </c>
    </row>
    <row r="6293" spans="1:10" x14ac:dyDescent="0.2">
      <c r="A6293" s="1" t="s">
        <v>39</v>
      </c>
      <c r="B6293" s="2" t="s">
        <v>409</v>
      </c>
      <c r="D6293" s="5" t="s">
        <v>587</v>
      </c>
      <c r="G6293" s="57" t="s">
        <v>465</v>
      </c>
      <c r="H6293" s="19" t="s">
        <v>465</v>
      </c>
      <c r="I6293" s="19">
        <v>92500</v>
      </c>
      <c r="J6293" s="5" t="s">
        <v>540</v>
      </c>
    </row>
    <row r="6294" spans="1:10" x14ac:dyDescent="0.2">
      <c r="A6294" s="1" t="s">
        <v>39</v>
      </c>
      <c r="B6294" s="2" t="s">
        <v>409</v>
      </c>
      <c r="D6294" s="5" t="s">
        <v>587</v>
      </c>
      <c r="G6294" s="57" t="s">
        <v>465</v>
      </c>
      <c r="H6294" s="19" t="s">
        <v>465</v>
      </c>
      <c r="I6294" s="19">
        <v>92500</v>
      </c>
      <c r="J6294" s="5" t="s">
        <v>540</v>
      </c>
    </row>
    <row r="6295" spans="1:10" x14ac:dyDescent="0.2">
      <c r="A6295" s="1" t="s">
        <v>39</v>
      </c>
      <c r="B6295" s="2" t="s">
        <v>409</v>
      </c>
      <c r="D6295" s="5" t="s">
        <v>587</v>
      </c>
      <c r="G6295" s="57" t="s">
        <v>465</v>
      </c>
      <c r="H6295" s="19" t="s">
        <v>465</v>
      </c>
      <c r="I6295" s="19">
        <v>92500</v>
      </c>
      <c r="J6295" s="5" t="s">
        <v>540</v>
      </c>
    </row>
    <row r="6296" spans="1:10" x14ac:dyDescent="0.2">
      <c r="A6296" s="1" t="s">
        <v>39</v>
      </c>
      <c r="B6296" s="2" t="s">
        <v>409</v>
      </c>
      <c r="D6296" s="5" t="s">
        <v>587</v>
      </c>
      <c r="G6296" s="57" t="s">
        <v>465</v>
      </c>
      <c r="H6296" s="19">
        <v>97500</v>
      </c>
      <c r="I6296" s="19" t="s">
        <v>465</v>
      </c>
    </row>
    <row r="6297" spans="1:10" x14ac:dyDescent="0.2">
      <c r="A6297" s="1" t="s">
        <v>39</v>
      </c>
      <c r="B6297" s="2" t="s">
        <v>409</v>
      </c>
      <c r="D6297" s="5" t="s">
        <v>587</v>
      </c>
      <c r="G6297" s="57" t="s">
        <v>465</v>
      </c>
      <c r="H6297" s="19">
        <v>97500</v>
      </c>
      <c r="I6297" s="19" t="s">
        <v>465</v>
      </c>
    </row>
    <row r="6298" spans="1:10" x14ac:dyDescent="0.2">
      <c r="A6298" s="1" t="s">
        <v>39</v>
      </c>
      <c r="B6298" s="2" t="s">
        <v>409</v>
      </c>
      <c r="D6298" s="5" t="s">
        <v>587</v>
      </c>
      <c r="G6298" s="57" t="s">
        <v>465</v>
      </c>
      <c r="H6298" s="19">
        <v>97500</v>
      </c>
      <c r="I6298" s="19" t="s">
        <v>465</v>
      </c>
    </row>
    <row r="6299" spans="1:10" x14ac:dyDescent="0.2">
      <c r="A6299" s="1" t="s">
        <v>39</v>
      </c>
      <c r="B6299" s="2" t="s">
        <v>409</v>
      </c>
      <c r="D6299" s="5" t="s">
        <v>587</v>
      </c>
      <c r="G6299" s="57" t="s">
        <v>465</v>
      </c>
      <c r="H6299" s="19">
        <v>97500</v>
      </c>
      <c r="I6299" s="19" t="s">
        <v>465</v>
      </c>
    </row>
    <row r="6300" spans="1:10" x14ac:dyDescent="0.2">
      <c r="A6300" s="1" t="s">
        <v>39</v>
      </c>
      <c r="B6300" s="2" t="s">
        <v>409</v>
      </c>
      <c r="D6300" s="5" t="s">
        <v>587</v>
      </c>
      <c r="G6300" s="57" t="s">
        <v>465</v>
      </c>
      <c r="H6300" s="19" t="s">
        <v>465</v>
      </c>
      <c r="I6300" s="19">
        <v>97500</v>
      </c>
      <c r="J6300" s="5" t="s">
        <v>540</v>
      </c>
    </row>
    <row r="6301" spans="1:10" x14ac:dyDescent="0.2">
      <c r="A6301" s="1" t="s">
        <v>39</v>
      </c>
      <c r="B6301" s="2" t="s">
        <v>409</v>
      </c>
      <c r="D6301" s="5" t="s">
        <v>587</v>
      </c>
      <c r="G6301" s="57" t="s">
        <v>465</v>
      </c>
      <c r="H6301" s="19" t="s">
        <v>465</v>
      </c>
      <c r="I6301" s="19">
        <v>97500</v>
      </c>
    </row>
    <row r="6302" spans="1:10" x14ac:dyDescent="0.2">
      <c r="A6302" s="1" t="s">
        <v>8</v>
      </c>
      <c r="B6302" s="2" t="s">
        <v>413</v>
      </c>
      <c r="D6302" s="5" t="s">
        <v>464</v>
      </c>
      <c r="G6302" s="57" t="s">
        <v>465</v>
      </c>
      <c r="H6302" s="19">
        <v>92500</v>
      </c>
      <c r="I6302" s="19" t="s">
        <v>465</v>
      </c>
    </row>
    <row r="6303" spans="1:10" x14ac:dyDescent="0.2">
      <c r="A6303" s="1" t="s">
        <v>4</v>
      </c>
      <c r="B6303" s="2" t="s">
        <v>415</v>
      </c>
      <c r="D6303" s="5" t="s">
        <v>464</v>
      </c>
      <c r="G6303" s="57" t="s">
        <v>465</v>
      </c>
      <c r="H6303" s="19" t="s">
        <v>465</v>
      </c>
      <c r="I6303" s="19">
        <v>92500</v>
      </c>
      <c r="J6303" s="5" t="s">
        <v>539</v>
      </c>
    </row>
    <row r="6304" spans="1:10" x14ac:dyDescent="0.2">
      <c r="A6304" s="1" t="s">
        <v>4</v>
      </c>
      <c r="B6304" s="2" t="s">
        <v>415</v>
      </c>
      <c r="D6304" s="5" t="s">
        <v>464</v>
      </c>
      <c r="G6304" s="57" t="s">
        <v>465</v>
      </c>
      <c r="H6304" s="19" t="s">
        <v>465</v>
      </c>
      <c r="I6304" s="19">
        <v>92500</v>
      </c>
      <c r="J6304" s="5" t="s">
        <v>539</v>
      </c>
    </row>
    <row r="6305" spans="1:10" x14ac:dyDescent="0.2">
      <c r="A6305" s="1" t="s">
        <v>4</v>
      </c>
      <c r="B6305" s="2" t="s">
        <v>415</v>
      </c>
      <c r="D6305" s="5" t="s">
        <v>464</v>
      </c>
      <c r="G6305" s="57" t="s">
        <v>465</v>
      </c>
      <c r="H6305" s="19" t="s">
        <v>465</v>
      </c>
      <c r="I6305" s="19">
        <v>97500</v>
      </c>
    </row>
    <row r="6306" spans="1:10" x14ac:dyDescent="0.2">
      <c r="A6306" s="1" t="s">
        <v>4</v>
      </c>
      <c r="B6306" s="2" t="s">
        <v>415</v>
      </c>
      <c r="D6306" s="5" t="s">
        <v>464</v>
      </c>
      <c r="G6306" s="57" t="s">
        <v>465</v>
      </c>
      <c r="H6306" s="19">
        <v>97500</v>
      </c>
      <c r="I6306" s="19" t="s">
        <v>465</v>
      </c>
      <c r="J6306" s="5" t="s">
        <v>2362</v>
      </c>
    </row>
    <row r="6307" spans="1:10" x14ac:dyDescent="0.2">
      <c r="A6307" s="1" t="s">
        <v>4</v>
      </c>
      <c r="B6307" s="2" t="s">
        <v>415</v>
      </c>
      <c r="D6307" s="5" t="s">
        <v>464</v>
      </c>
      <c r="G6307" s="57" t="s">
        <v>465</v>
      </c>
      <c r="H6307" s="19">
        <v>97500</v>
      </c>
      <c r="I6307" s="19" t="s">
        <v>465</v>
      </c>
      <c r="J6307" s="5" t="s">
        <v>2362</v>
      </c>
    </row>
    <row r="6308" spans="1:10" x14ac:dyDescent="0.2">
      <c r="A6308" s="13" t="s">
        <v>34</v>
      </c>
      <c r="B6308" s="12" t="s">
        <v>416</v>
      </c>
      <c r="D6308" s="5" t="s">
        <v>464</v>
      </c>
      <c r="G6308" s="57" t="s">
        <v>465</v>
      </c>
      <c r="H6308" s="19">
        <v>92500</v>
      </c>
      <c r="I6308" s="19" t="s">
        <v>465</v>
      </c>
      <c r="J6308" s="5" t="s">
        <v>539</v>
      </c>
    </row>
    <row r="6309" spans="1:10" x14ac:dyDescent="0.2">
      <c r="A6309" s="1" t="s">
        <v>34</v>
      </c>
      <c r="B6309" s="2" t="s">
        <v>422</v>
      </c>
      <c r="D6309" s="7" t="s">
        <v>464</v>
      </c>
      <c r="G6309" s="57" t="s">
        <v>465</v>
      </c>
      <c r="H6309" s="19">
        <v>92500</v>
      </c>
      <c r="I6309" s="19" t="s">
        <v>465</v>
      </c>
      <c r="J6309" s="5" t="s">
        <v>539</v>
      </c>
    </row>
    <row r="6310" spans="1:10" x14ac:dyDescent="0.2">
      <c r="A6310" s="1" t="s">
        <v>4</v>
      </c>
      <c r="B6310" s="2" t="s">
        <v>423</v>
      </c>
      <c r="D6310" s="5" t="s">
        <v>464</v>
      </c>
      <c r="G6310" s="57" t="s">
        <v>465</v>
      </c>
      <c r="H6310" s="19">
        <v>92500</v>
      </c>
      <c r="I6310" s="19" t="s">
        <v>465</v>
      </c>
    </row>
    <row r="6311" spans="1:10" x14ac:dyDescent="0.2">
      <c r="A6311" s="1" t="s">
        <v>4</v>
      </c>
      <c r="B6311" s="2" t="s">
        <v>423</v>
      </c>
      <c r="D6311" s="5" t="s">
        <v>464</v>
      </c>
      <c r="G6311" s="57" t="s">
        <v>465</v>
      </c>
      <c r="H6311" s="19">
        <v>97500</v>
      </c>
      <c r="I6311" s="19" t="s">
        <v>465</v>
      </c>
    </row>
    <row r="6312" spans="1:10" x14ac:dyDescent="0.2">
      <c r="A6312" s="1" t="s">
        <v>4</v>
      </c>
      <c r="B6312" s="2" t="s">
        <v>423</v>
      </c>
      <c r="D6312" s="5" t="s">
        <v>464</v>
      </c>
      <c r="G6312" s="57" t="s">
        <v>465</v>
      </c>
      <c r="H6312" s="19" t="s">
        <v>465</v>
      </c>
      <c r="I6312" s="19">
        <v>97500</v>
      </c>
    </row>
    <row r="6313" spans="1:10" x14ac:dyDescent="0.2">
      <c r="A6313" s="1" t="s">
        <v>4</v>
      </c>
      <c r="B6313" s="2" t="s">
        <v>423</v>
      </c>
      <c r="D6313" s="5" t="s">
        <v>464</v>
      </c>
      <c r="G6313" s="57" t="s">
        <v>465</v>
      </c>
      <c r="H6313" s="19" t="s">
        <v>465</v>
      </c>
      <c r="I6313" s="19">
        <v>97500</v>
      </c>
    </row>
    <row r="6314" spans="1:10" x14ac:dyDescent="0.2">
      <c r="A6314" s="1" t="s">
        <v>4</v>
      </c>
      <c r="B6314" s="2" t="s">
        <v>423</v>
      </c>
      <c r="D6314" s="5" t="s">
        <v>464</v>
      </c>
      <c r="G6314" s="57" t="s">
        <v>465</v>
      </c>
      <c r="H6314" s="19" t="s">
        <v>465</v>
      </c>
      <c r="I6314" s="19">
        <v>97500</v>
      </c>
    </row>
    <row r="6315" spans="1:10" x14ac:dyDescent="0.2">
      <c r="A6315" s="1" t="s">
        <v>4</v>
      </c>
      <c r="B6315" s="2" t="s">
        <v>423</v>
      </c>
      <c r="D6315" s="5" t="s">
        <v>464</v>
      </c>
      <c r="G6315" s="57" t="s">
        <v>465</v>
      </c>
      <c r="H6315" s="19" t="s">
        <v>465</v>
      </c>
      <c r="I6315" s="19">
        <v>97500</v>
      </c>
    </row>
    <row r="6316" spans="1:10" x14ac:dyDescent="0.2">
      <c r="A6316" s="1" t="s">
        <v>25</v>
      </c>
      <c r="B6316" s="2" t="s">
        <v>424</v>
      </c>
      <c r="D6316" s="5" t="s">
        <v>464</v>
      </c>
      <c r="G6316" s="57" t="s">
        <v>465</v>
      </c>
      <c r="H6316" s="19" t="s">
        <v>465</v>
      </c>
      <c r="I6316" s="19">
        <v>92500</v>
      </c>
      <c r="J6316" s="1"/>
    </row>
    <row r="6317" spans="1:10" x14ac:dyDescent="0.2">
      <c r="A6317" s="1" t="s">
        <v>25</v>
      </c>
      <c r="B6317" s="2" t="s">
        <v>424</v>
      </c>
      <c r="D6317" s="5" t="s">
        <v>464</v>
      </c>
      <c r="G6317" s="57" t="s">
        <v>465</v>
      </c>
      <c r="H6317" s="19" t="s">
        <v>465</v>
      </c>
      <c r="I6317" s="19">
        <v>92500</v>
      </c>
      <c r="J6317" s="1"/>
    </row>
    <row r="6318" spans="1:10" x14ac:dyDescent="0.2">
      <c r="A6318" s="1" t="s">
        <v>25</v>
      </c>
      <c r="B6318" s="2" t="s">
        <v>424</v>
      </c>
      <c r="D6318" s="5" t="s">
        <v>464</v>
      </c>
      <c r="G6318" s="57" t="s">
        <v>465</v>
      </c>
      <c r="H6318" s="19" t="s">
        <v>465</v>
      </c>
      <c r="I6318" s="19">
        <v>92500</v>
      </c>
      <c r="J6318" s="1"/>
    </row>
    <row r="6319" spans="1:10" x14ac:dyDescent="0.2">
      <c r="A6319" s="1" t="s">
        <v>25</v>
      </c>
      <c r="B6319" s="2" t="s">
        <v>424</v>
      </c>
      <c r="D6319" s="5" t="s">
        <v>464</v>
      </c>
      <c r="G6319" s="57" t="s">
        <v>465</v>
      </c>
      <c r="H6319" s="19" t="s">
        <v>465</v>
      </c>
      <c r="I6319" s="19">
        <v>92500</v>
      </c>
      <c r="J6319" s="1"/>
    </row>
    <row r="6320" spans="1:10" x14ac:dyDescent="0.2">
      <c r="A6320" s="1" t="s">
        <v>25</v>
      </c>
      <c r="B6320" s="2" t="s">
        <v>424</v>
      </c>
      <c r="D6320" s="5" t="s">
        <v>464</v>
      </c>
      <c r="G6320" s="57" t="s">
        <v>465</v>
      </c>
      <c r="H6320" s="19" t="s">
        <v>465</v>
      </c>
      <c r="I6320" s="19">
        <v>92500</v>
      </c>
      <c r="J6320" s="1"/>
    </row>
    <row r="6321" spans="1:10" x14ac:dyDescent="0.2">
      <c r="A6321" s="1" t="s">
        <v>25</v>
      </c>
      <c r="B6321" s="2" t="s">
        <v>424</v>
      </c>
      <c r="D6321" s="5" t="s">
        <v>464</v>
      </c>
      <c r="G6321" s="57" t="s">
        <v>465</v>
      </c>
      <c r="H6321" s="19" t="s">
        <v>465</v>
      </c>
      <c r="I6321" s="19">
        <v>92500</v>
      </c>
      <c r="J6321" s="1"/>
    </row>
    <row r="6322" spans="1:10" x14ac:dyDescent="0.2">
      <c r="A6322" s="1" t="s">
        <v>25</v>
      </c>
      <c r="B6322" s="2" t="s">
        <v>424</v>
      </c>
      <c r="D6322" s="5" t="s">
        <v>464</v>
      </c>
      <c r="G6322" s="57" t="s">
        <v>465</v>
      </c>
      <c r="H6322" s="19" t="s">
        <v>465</v>
      </c>
      <c r="I6322" s="19">
        <v>92500</v>
      </c>
      <c r="J6322" s="1"/>
    </row>
    <row r="6323" spans="1:10" x14ac:dyDescent="0.2">
      <c r="A6323" s="1" t="s">
        <v>25</v>
      </c>
      <c r="B6323" s="2" t="s">
        <v>424</v>
      </c>
      <c r="D6323" s="5" t="s">
        <v>464</v>
      </c>
      <c r="G6323" s="57" t="s">
        <v>465</v>
      </c>
      <c r="H6323" s="19" t="s">
        <v>465</v>
      </c>
      <c r="I6323" s="19">
        <v>92500</v>
      </c>
      <c r="J6323" s="1"/>
    </row>
    <row r="6324" spans="1:10" x14ac:dyDescent="0.2">
      <c r="A6324" s="1" t="s">
        <v>25</v>
      </c>
      <c r="B6324" s="2" t="s">
        <v>424</v>
      </c>
      <c r="D6324" s="5" t="s">
        <v>464</v>
      </c>
      <c r="G6324" s="57" t="s">
        <v>465</v>
      </c>
      <c r="H6324" s="19" t="s">
        <v>465</v>
      </c>
      <c r="I6324" s="19">
        <v>92500</v>
      </c>
      <c r="J6324" s="1"/>
    </row>
    <row r="6325" spans="1:10" x14ac:dyDescent="0.2">
      <c r="A6325" s="1" t="s">
        <v>25</v>
      </c>
      <c r="B6325" s="2" t="s">
        <v>424</v>
      </c>
      <c r="D6325" s="5" t="s">
        <v>464</v>
      </c>
      <c r="G6325" s="57" t="s">
        <v>465</v>
      </c>
      <c r="H6325" s="19">
        <v>92500</v>
      </c>
      <c r="I6325" s="19" t="s">
        <v>465</v>
      </c>
      <c r="J6325" s="1"/>
    </row>
    <row r="6326" spans="1:10" x14ac:dyDescent="0.2">
      <c r="A6326" s="1" t="s">
        <v>25</v>
      </c>
      <c r="B6326" s="2" t="s">
        <v>424</v>
      </c>
      <c r="D6326" s="5" t="s">
        <v>464</v>
      </c>
      <c r="G6326" s="57" t="s">
        <v>465</v>
      </c>
      <c r="H6326" s="19">
        <v>92500</v>
      </c>
      <c r="I6326" s="19" t="s">
        <v>465</v>
      </c>
      <c r="J6326" s="1"/>
    </row>
    <row r="6327" spans="1:10" x14ac:dyDescent="0.2">
      <c r="A6327" s="1" t="s">
        <v>25</v>
      </c>
      <c r="B6327" s="2" t="s">
        <v>424</v>
      </c>
      <c r="D6327" s="5" t="s">
        <v>464</v>
      </c>
      <c r="G6327" s="57" t="s">
        <v>465</v>
      </c>
      <c r="H6327" s="19">
        <v>92500</v>
      </c>
      <c r="I6327" s="19" t="s">
        <v>465</v>
      </c>
    </row>
    <row r="6328" spans="1:10" x14ac:dyDescent="0.2">
      <c r="A6328" s="1" t="s">
        <v>25</v>
      </c>
      <c r="B6328" s="2" t="s">
        <v>424</v>
      </c>
      <c r="D6328" s="5" t="s">
        <v>464</v>
      </c>
      <c r="G6328" s="57" t="s">
        <v>465</v>
      </c>
      <c r="H6328" s="19">
        <v>92500</v>
      </c>
      <c r="I6328" s="19" t="s">
        <v>465</v>
      </c>
    </row>
    <row r="6329" spans="1:10" x14ac:dyDescent="0.2">
      <c r="A6329" s="1" t="s">
        <v>25</v>
      </c>
      <c r="B6329" s="2" t="s">
        <v>424</v>
      </c>
      <c r="D6329" s="5" t="s">
        <v>464</v>
      </c>
      <c r="G6329" s="57" t="s">
        <v>465</v>
      </c>
      <c r="H6329" s="19">
        <v>92500</v>
      </c>
      <c r="I6329" s="19" t="s">
        <v>465</v>
      </c>
    </row>
    <row r="6330" spans="1:10" x14ac:dyDescent="0.2">
      <c r="A6330" s="1" t="s">
        <v>25</v>
      </c>
      <c r="B6330" s="2" t="s">
        <v>424</v>
      </c>
      <c r="D6330" s="5" t="s">
        <v>464</v>
      </c>
      <c r="G6330" s="57" t="s">
        <v>465</v>
      </c>
      <c r="H6330" s="19">
        <v>92500</v>
      </c>
      <c r="I6330" s="19" t="s">
        <v>465</v>
      </c>
    </row>
    <row r="6331" spans="1:10" x14ac:dyDescent="0.2">
      <c r="A6331" s="1" t="s">
        <v>25</v>
      </c>
      <c r="B6331" s="2" t="s">
        <v>424</v>
      </c>
      <c r="D6331" s="5" t="s">
        <v>464</v>
      </c>
      <c r="G6331" s="57" t="s">
        <v>465</v>
      </c>
      <c r="H6331" s="19">
        <v>92500</v>
      </c>
      <c r="I6331" s="19" t="s">
        <v>465</v>
      </c>
    </row>
    <row r="6332" spans="1:10" x14ac:dyDescent="0.2">
      <c r="A6332" s="1" t="s">
        <v>25</v>
      </c>
      <c r="B6332" s="2" t="s">
        <v>424</v>
      </c>
      <c r="D6332" s="5" t="s">
        <v>464</v>
      </c>
      <c r="G6332" s="57" t="s">
        <v>465</v>
      </c>
      <c r="H6332" s="19">
        <v>97500</v>
      </c>
      <c r="I6332" s="19" t="s">
        <v>465</v>
      </c>
    </row>
    <row r="6333" spans="1:10" x14ac:dyDescent="0.2">
      <c r="A6333" s="1" t="s">
        <v>25</v>
      </c>
      <c r="B6333" s="2" t="s">
        <v>424</v>
      </c>
      <c r="D6333" s="5" t="s">
        <v>464</v>
      </c>
      <c r="G6333" s="57" t="s">
        <v>465</v>
      </c>
      <c r="H6333" s="19">
        <v>97500</v>
      </c>
      <c r="I6333" s="19" t="s">
        <v>465</v>
      </c>
    </row>
    <row r="6334" spans="1:10" x14ac:dyDescent="0.2">
      <c r="A6334" s="1" t="s">
        <v>25</v>
      </c>
      <c r="B6334" s="2" t="s">
        <v>424</v>
      </c>
      <c r="D6334" s="5" t="s">
        <v>464</v>
      </c>
      <c r="G6334" s="57" t="s">
        <v>465</v>
      </c>
      <c r="H6334" s="19">
        <v>97500</v>
      </c>
      <c r="I6334" s="19" t="s">
        <v>465</v>
      </c>
    </row>
    <row r="6335" spans="1:10" x14ac:dyDescent="0.2">
      <c r="A6335" s="1" t="s">
        <v>25</v>
      </c>
      <c r="B6335" s="2" t="s">
        <v>424</v>
      </c>
      <c r="D6335" s="5" t="s">
        <v>464</v>
      </c>
      <c r="G6335" s="57" t="s">
        <v>465</v>
      </c>
      <c r="H6335" s="19">
        <v>97500</v>
      </c>
      <c r="I6335" s="19" t="s">
        <v>465</v>
      </c>
    </row>
    <row r="6336" spans="1:10" x14ac:dyDescent="0.2">
      <c r="A6336" s="1" t="s">
        <v>25</v>
      </c>
      <c r="B6336" s="2" t="s">
        <v>424</v>
      </c>
      <c r="D6336" s="5" t="s">
        <v>464</v>
      </c>
      <c r="G6336" s="57" t="s">
        <v>465</v>
      </c>
      <c r="H6336" s="19">
        <v>97500</v>
      </c>
      <c r="I6336" s="19" t="s">
        <v>465</v>
      </c>
    </row>
    <row r="6337" spans="1:10" x14ac:dyDescent="0.2">
      <c r="A6337" s="1" t="s">
        <v>25</v>
      </c>
      <c r="B6337" s="2" t="s">
        <v>424</v>
      </c>
      <c r="D6337" s="5" t="s">
        <v>464</v>
      </c>
      <c r="G6337" s="57" t="s">
        <v>465</v>
      </c>
      <c r="H6337" s="19">
        <v>97500</v>
      </c>
      <c r="I6337" s="19" t="s">
        <v>465</v>
      </c>
    </row>
    <row r="6338" spans="1:10" x14ac:dyDescent="0.2">
      <c r="A6338" s="1" t="s">
        <v>25</v>
      </c>
      <c r="B6338" s="2" t="s">
        <v>424</v>
      </c>
      <c r="D6338" s="5" t="s">
        <v>464</v>
      </c>
      <c r="G6338" s="57" t="s">
        <v>465</v>
      </c>
      <c r="H6338" s="19">
        <v>97500</v>
      </c>
      <c r="I6338" s="19" t="s">
        <v>465</v>
      </c>
    </row>
    <row r="6339" spans="1:10" x14ac:dyDescent="0.2">
      <c r="A6339" s="1" t="s">
        <v>6</v>
      </c>
      <c r="B6339" s="2" t="s">
        <v>426</v>
      </c>
      <c r="D6339" s="5" t="s">
        <v>464</v>
      </c>
      <c r="G6339" s="57" t="s">
        <v>465</v>
      </c>
      <c r="H6339" s="19">
        <v>92500</v>
      </c>
      <c r="I6339" s="19" t="s">
        <v>465</v>
      </c>
    </row>
    <row r="6340" spans="1:10" x14ac:dyDescent="0.2">
      <c r="A6340" s="1" t="s">
        <v>6</v>
      </c>
      <c r="B6340" s="2" t="s">
        <v>426</v>
      </c>
      <c r="D6340" s="5" t="s">
        <v>464</v>
      </c>
      <c r="G6340" s="57" t="s">
        <v>465</v>
      </c>
      <c r="H6340" s="19">
        <v>92500</v>
      </c>
      <c r="I6340" s="19" t="s">
        <v>465</v>
      </c>
    </row>
    <row r="6341" spans="1:10" x14ac:dyDescent="0.2">
      <c r="A6341" s="1" t="s">
        <v>6</v>
      </c>
      <c r="B6341" s="2" t="s">
        <v>426</v>
      </c>
      <c r="D6341" s="5" t="s">
        <v>464</v>
      </c>
      <c r="G6341" s="57" t="s">
        <v>465</v>
      </c>
      <c r="H6341" s="19">
        <v>92500</v>
      </c>
      <c r="I6341" s="19" t="s">
        <v>465</v>
      </c>
    </row>
    <row r="6342" spans="1:10" x14ac:dyDescent="0.2">
      <c r="A6342" s="1" t="s">
        <v>6</v>
      </c>
      <c r="B6342" s="2" t="s">
        <v>426</v>
      </c>
      <c r="D6342" s="5" t="s">
        <v>464</v>
      </c>
      <c r="G6342" s="57" t="s">
        <v>465</v>
      </c>
      <c r="H6342" s="19" t="s">
        <v>465</v>
      </c>
      <c r="I6342" s="19">
        <v>92500</v>
      </c>
    </row>
    <row r="6343" spans="1:10" x14ac:dyDescent="0.2">
      <c r="A6343" s="1" t="s">
        <v>6</v>
      </c>
      <c r="B6343" s="2" t="s">
        <v>426</v>
      </c>
      <c r="D6343" s="5" t="s">
        <v>464</v>
      </c>
      <c r="G6343" s="57" t="s">
        <v>465</v>
      </c>
      <c r="H6343" s="19" t="s">
        <v>465</v>
      </c>
      <c r="I6343" s="19">
        <v>92500</v>
      </c>
    </row>
    <row r="6344" spans="1:10" x14ac:dyDescent="0.2">
      <c r="A6344" s="1" t="s">
        <v>6</v>
      </c>
      <c r="B6344" s="2" t="s">
        <v>426</v>
      </c>
      <c r="D6344" s="5" t="s">
        <v>464</v>
      </c>
      <c r="G6344" s="57" t="s">
        <v>465</v>
      </c>
      <c r="H6344" s="19" t="s">
        <v>465</v>
      </c>
      <c r="I6344" s="19">
        <v>92500</v>
      </c>
    </row>
    <row r="6345" spans="1:10" x14ac:dyDescent="0.2">
      <c r="A6345" s="1" t="s">
        <v>6</v>
      </c>
      <c r="B6345" s="2" t="s">
        <v>426</v>
      </c>
      <c r="D6345" s="5" t="s">
        <v>464</v>
      </c>
      <c r="G6345" s="57" t="s">
        <v>465</v>
      </c>
      <c r="H6345" s="19" t="s">
        <v>465</v>
      </c>
      <c r="I6345" s="19">
        <v>92500</v>
      </c>
    </row>
    <row r="6346" spans="1:10" x14ac:dyDescent="0.2">
      <c r="A6346" s="1" t="s">
        <v>6</v>
      </c>
      <c r="B6346" s="2" t="s">
        <v>426</v>
      </c>
      <c r="D6346" s="5" t="s">
        <v>464</v>
      </c>
      <c r="G6346" s="57" t="s">
        <v>465</v>
      </c>
      <c r="H6346" s="19" t="s">
        <v>465</v>
      </c>
      <c r="I6346" s="19">
        <v>97500</v>
      </c>
      <c r="J6346" s="5" t="s">
        <v>1241</v>
      </c>
    </row>
    <row r="6347" spans="1:10" x14ac:dyDescent="0.2">
      <c r="A6347" s="1" t="s">
        <v>6</v>
      </c>
      <c r="B6347" s="2" t="s">
        <v>426</v>
      </c>
      <c r="D6347" s="5" t="s">
        <v>464</v>
      </c>
      <c r="G6347" s="57" t="s">
        <v>465</v>
      </c>
      <c r="H6347" s="19" t="s">
        <v>465</v>
      </c>
      <c r="I6347" s="19">
        <v>97500</v>
      </c>
      <c r="J6347" s="5" t="s">
        <v>1241</v>
      </c>
    </row>
    <row r="6348" spans="1:10" x14ac:dyDescent="0.2">
      <c r="A6348" s="1" t="s">
        <v>6</v>
      </c>
      <c r="B6348" s="2" t="s">
        <v>426</v>
      </c>
      <c r="D6348" s="5" t="s">
        <v>464</v>
      </c>
      <c r="G6348" s="57" t="s">
        <v>465</v>
      </c>
      <c r="H6348" s="19" t="s">
        <v>465</v>
      </c>
      <c r="I6348" s="19">
        <v>97500</v>
      </c>
      <c r="J6348" s="5" t="s">
        <v>1241</v>
      </c>
    </row>
    <row r="6349" spans="1:10" x14ac:dyDescent="0.2">
      <c r="A6349" s="1" t="s">
        <v>6</v>
      </c>
      <c r="B6349" s="2" t="s">
        <v>426</v>
      </c>
      <c r="D6349" s="5" t="s">
        <v>464</v>
      </c>
      <c r="G6349" s="57" t="s">
        <v>465</v>
      </c>
      <c r="H6349" s="19" t="s">
        <v>465</v>
      </c>
      <c r="I6349" s="19">
        <v>97500</v>
      </c>
      <c r="J6349" s="5" t="s">
        <v>1241</v>
      </c>
    </row>
    <row r="6350" spans="1:10" x14ac:dyDescent="0.2">
      <c r="A6350" s="1" t="s">
        <v>34</v>
      </c>
      <c r="B6350" s="2" t="s">
        <v>427</v>
      </c>
      <c r="D6350" s="5" t="s">
        <v>464</v>
      </c>
      <c r="G6350" s="57" t="s">
        <v>465</v>
      </c>
      <c r="H6350" s="19" t="s">
        <v>465</v>
      </c>
      <c r="I6350" s="19">
        <v>92500</v>
      </c>
      <c r="J6350" s="5" t="s">
        <v>1241</v>
      </c>
    </row>
    <row r="6351" spans="1:10" x14ac:dyDescent="0.2">
      <c r="A6351" s="1" t="s">
        <v>34</v>
      </c>
      <c r="B6351" s="2" t="s">
        <v>427</v>
      </c>
      <c r="D6351" s="5" t="s">
        <v>464</v>
      </c>
      <c r="G6351" s="57" t="s">
        <v>465</v>
      </c>
      <c r="H6351" s="19" t="s">
        <v>465</v>
      </c>
      <c r="I6351" s="19">
        <v>92500</v>
      </c>
      <c r="J6351" s="5" t="s">
        <v>1241</v>
      </c>
    </row>
    <row r="6352" spans="1:10" x14ac:dyDescent="0.2">
      <c r="A6352" s="1" t="s">
        <v>34</v>
      </c>
      <c r="B6352" s="2" t="s">
        <v>427</v>
      </c>
      <c r="D6352" s="5" t="s">
        <v>464</v>
      </c>
      <c r="G6352" s="57" t="s">
        <v>465</v>
      </c>
      <c r="H6352" s="19" t="s">
        <v>465</v>
      </c>
      <c r="I6352" s="19">
        <v>92500</v>
      </c>
      <c r="J6352" s="5" t="s">
        <v>1241</v>
      </c>
    </row>
    <row r="6353" spans="1:10" x14ac:dyDescent="0.2">
      <c r="A6353" s="1" t="s">
        <v>34</v>
      </c>
      <c r="B6353" s="2" t="s">
        <v>427</v>
      </c>
      <c r="D6353" s="5" t="s">
        <v>464</v>
      </c>
      <c r="G6353" s="57" t="s">
        <v>465</v>
      </c>
      <c r="H6353" s="19" t="s">
        <v>465</v>
      </c>
      <c r="I6353" s="19">
        <v>92500</v>
      </c>
      <c r="J6353" s="5" t="s">
        <v>1241</v>
      </c>
    </row>
    <row r="6354" spans="1:10" x14ac:dyDescent="0.2">
      <c r="A6354" s="1" t="s">
        <v>34</v>
      </c>
      <c r="B6354" s="2" t="s">
        <v>427</v>
      </c>
      <c r="D6354" s="5" t="s">
        <v>464</v>
      </c>
      <c r="G6354" s="57" t="s">
        <v>465</v>
      </c>
      <c r="H6354" s="19" t="s">
        <v>465</v>
      </c>
      <c r="I6354" s="19">
        <v>92500</v>
      </c>
      <c r="J6354" s="5" t="s">
        <v>1241</v>
      </c>
    </row>
    <row r="6355" spans="1:10" x14ac:dyDescent="0.2">
      <c r="A6355" s="1" t="s">
        <v>34</v>
      </c>
      <c r="B6355" s="2" t="s">
        <v>427</v>
      </c>
      <c r="D6355" s="5" t="s">
        <v>464</v>
      </c>
      <c r="G6355" s="57" t="s">
        <v>465</v>
      </c>
      <c r="H6355" s="19" t="s">
        <v>465</v>
      </c>
      <c r="I6355" s="19">
        <v>92500</v>
      </c>
    </row>
    <row r="6356" spans="1:10" x14ac:dyDescent="0.2">
      <c r="A6356" s="1" t="s">
        <v>34</v>
      </c>
      <c r="B6356" s="2" t="s">
        <v>427</v>
      </c>
      <c r="D6356" s="5" t="s">
        <v>464</v>
      </c>
      <c r="G6356" s="57" t="s">
        <v>465</v>
      </c>
      <c r="H6356" s="19" t="s">
        <v>465</v>
      </c>
      <c r="I6356" s="19">
        <v>92500</v>
      </c>
    </row>
    <row r="6357" spans="1:10" x14ac:dyDescent="0.2">
      <c r="A6357" s="1" t="s">
        <v>34</v>
      </c>
      <c r="B6357" s="2" t="s">
        <v>427</v>
      </c>
      <c r="D6357" s="5" t="s">
        <v>464</v>
      </c>
      <c r="G6357" s="57" t="s">
        <v>465</v>
      </c>
      <c r="H6357" s="19" t="s">
        <v>465</v>
      </c>
      <c r="I6357" s="19">
        <v>92500</v>
      </c>
    </row>
    <row r="6358" spans="1:10" x14ac:dyDescent="0.2">
      <c r="A6358" s="1" t="s">
        <v>34</v>
      </c>
      <c r="B6358" s="2" t="s">
        <v>427</v>
      </c>
      <c r="D6358" s="5" t="s">
        <v>464</v>
      </c>
      <c r="G6358" s="57" t="s">
        <v>465</v>
      </c>
      <c r="H6358" s="19" t="s">
        <v>465</v>
      </c>
      <c r="I6358" s="19">
        <v>92500</v>
      </c>
    </row>
    <row r="6359" spans="1:10" x14ac:dyDescent="0.2">
      <c r="A6359" s="1" t="s">
        <v>34</v>
      </c>
      <c r="B6359" s="2" t="s">
        <v>427</v>
      </c>
      <c r="D6359" s="5" t="s">
        <v>464</v>
      </c>
      <c r="G6359" s="57" t="s">
        <v>465</v>
      </c>
      <c r="H6359" s="19" t="s">
        <v>465</v>
      </c>
      <c r="I6359" s="19">
        <v>92500</v>
      </c>
    </row>
    <row r="6360" spans="1:10" x14ac:dyDescent="0.2">
      <c r="A6360" s="1" t="s">
        <v>34</v>
      </c>
      <c r="B6360" s="2" t="s">
        <v>427</v>
      </c>
      <c r="D6360" s="5" t="s">
        <v>464</v>
      </c>
      <c r="G6360" s="57" t="s">
        <v>465</v>
      </c>
      <c r="H6360" s="19" t="s">
        <v>465</v>
      </c>
      <c r="I6360" s="19">
        <v>92500</v>
      </c>
    </row>
    <row r="6361" spans="1:10" x14ac:dyDescent="0.2">
      <c r="A6361" s="1" t="s">
        <v>34</v>
      </c>
      <c r="B6361" s="2" t="s">
        <v>427</v>
      </c>
      <c r="D6361" s="5" t="s">
        <v>464</v>
      </c>
      <c r="G6361" s="57" t="s">
        <v>465</v>
      </c>
      <c r="H6361" s="19" t="s">
        <v>465</v>
      </c>
      <c r="I6361" s="19">
        <v>92500</v>
      </c>
    </row>
    <row r="6362" spans="1:10" x14ac:dyDescent="0.2">
      <c r="A6362" s="1" t="s">
        <v>34</v>
      </c>
      <c r="B6362" s="2" t="s">
        <v>427</v>
      </c>
      <c r="D6362" s="5" t="s">
        <v>464</v>
      </c>
      <c r="G6362" s="57" t="s">
        <v>465</v>
      </c>
      <c r="H6362" s="19" t="s">
        <v>465</v>
      </c>
      <c r="I6362" s="19">
        <v>92500</v>
      </c>
    </row>
    <row r="6363" spans="1:10" x14ac:dyDescent="0.2">
      <c r="A6363" s="1" t="s">
        <v>34</v>
      </c>
      <c r="B6363" s="2" t="s">
        <v>427</v>
      </c>
      <c r="D6363" s="5" t="s">
        <v>464</v>
      </c>
      <c r="G6363" s="57" t="s">
        <v>465</v>
      </c>
      <c r="H6363" s="19">
        <v>92500</v>
      </c>
      <c r="I6363" s="19" t="s">
        <v>465</v>
      </c>
      <c r="J6363" s="5" t="s">
        <v>1241</v>
      </c>
    </row>
    <row r="6364" spans="1:10" x14ac:dyDescent="0.2">
      <c r="A6364" s="1" t="s">
        <v>34</v>
      </c>
      <c r="B6364" s="2" t="s">
        <v>427</v>
      </c>
      <c r="D6364" s="5" t="s">
        <v>464</v>
      </c>
      <c r="G6364" s="57" t="s">
        <v>465</v>
      </c>
      <c r="H6364" s="19">
        <v>92500</v>
      </c>
      <c r="I6364" s="19" t="s">
        <v>465</v>
      </c>
      <c r="J6364" s="5" t="s">
        <v>1241</v>
      </c>
    </row>
    <row r="6365" spans="1:10" x14ac:dyDescent="0.2">
      <c r="A6365" s="1" t="s">
        <v>34</v>
      </c>
      <c r="B6365" s="2" t="s">
        <v>427</v>
      </c>
      <c r="D6365" s="5" t="s">
        <v>464</v>
      </c>
      <c r="G6365" s="57" t="s">
        <v>465</v>
      </c>
      <c r="H6365" s="19">
        <v>92500</v>
      </c>
      <c r="I6365" s="19" t="s">
        <v>465</v>
      </c>
      <c r="J6365" s="5" t="s">
        <v>1241</v>
      </c>
    </row>
    <row r="6366" spans="1:10" x14ac:dyDescent="0.2">
      <c r="A6366" s="1" t="s">
        <v>34</v>
      </c>
      <c r="B6366" s="2" t="s">
        <v>427</v>
      </c>
      <c r="D6366" s="5" t="s">
        <v>464</v>
      </c>
      <c r="G6366" s="57" t="s">
        <v>465</v>
      </c>
      <c r="H6366" s="19">
        <v>92500</v>
      </c>
      <c r="I6366" s="19" t="s">
        <v>465</v>
      </c>
    </row>
    <row r="6367" spans="1:10" x14ac:dyDescent="0.2">
      <c r="A6367" s="1" t="s">
        <v>34</v>
      </c>
      <c r="B6367" s="2" t="s">
        <v>427</v>
      </c>
      <c r="D6367" s="5" t="s">
        <v>464</v>
      </c>
      <c r="G6367" s="57" t="s">
        <v>465</v>
      </c>
      <c r="H6367" s="19" t="s">
        <v>465</v>
      </c>
      <c r="I6367" s="19">
        <v>97500</v>
      </c>
      <c r="J6367" s="5" t="s">
        <v>1241</v>
      </c>
    </row>
    <row r="6368" spans="1:10" x14ac:dyDescent="0.2">
      <c r="A6368" s="1" t="s">
        <v>34</v>
      </c>
      <c r="B6368" s="2" t="s">
        <v>427</v>
      </c>
      <c r="D6368" s="5" t="s">
        <v>464</v>
      </c>
      <c r="G6368" s="57" t="s">
        <v>465</v>
      </c>
      <c r="H6368" s="19" t="s">
        <v>465</v>
      </c>
      <c r="I6368" s="19">
        <v>97500</v>
      </c>
      <c r="J6368" s="5" t="s">
        <v>1241</v>
      </c>
    </row>
    <row r="6369" spans="1:10" x14ac:dyDescent="0.2">
      <c r="A6369" s="1" t="s">
        <v>34</v>
      </c>
      <c r="B6369" s="2" t="s">
        <v>427</v>
      </c>
      <c r="D6369" s="5" t="s">
        <v>464</v>
      </c>
      <c r="G6369" s="57" t="s">
        <v>465</v>
      </c>
      <c r="H6369" s="19" t="s">
        <v>465</v>
      </c>
      <c r="I6369" s="19">
        <v>97500</v>
      </c>
    </row>
    <row r="6370" spans="1:10" x14ac:dyDescent="0.2">
      <c r="A6370" s="1" t="s">
        <v>34</v>
      </c>
      <c r="B6370" s="2" t="s">
        <v>427</v>
      </c>
      <c r="D6370" s="5" t="s">
        <v>464</v>
      </c>
      <c r="G6370" s="57" t="s">
        <v>465</v>
      </c>
      <c r="H6370" s="19" t="s">
        <v>465</v>
      </c>
      <c r="I6370" s="19">
        <v>97500</v>
      </c>
    </row>
    <row r="6371" spans="1:10" x14ac:dyDescent="0.2">
      <c r="A6371" s="1" t="s">
        <v>34</v>
      </c>
      <c r="B6371" s="2" t="s">
        <v>427</v>
      </c>
      <c r="D6371" s="5" t="s">
        <v>464</v>
      </c>
      <c r="G6371" s="57" t="s">
        <v>465</v>
      </c>
      <c r="H6371" s="19">
        <v>97500</v>
      </c>
      <c r="I6371" s="19" t="s">
        <v>465</v>
      </c>
      <c r="J6371" s="5" t="s">
        <v>1241</v>
      </c>
    </row>
    <row r="6372" spans="1:10" x14ac:dyDescent="0.2">
      <c r="A6372" s="1" t="s">
        <v>34</v>
      </c>
      <c r="B6372" s="2" t="s">
        <v>427</v>
      </c>
      <c r="D6372" s="5" t="s">
        <v>464</v>
      </c>
      <c r="G6372" s="57" t="s">
        <v>465</v>
      </c>
      <c r="H6372" s="19">
        <v>97500</v>
      </c>
      <c r="I6372" s="19" t="s">
        <v>465</v>
      </c>
      <c r="J6372" s="5" t="s">
        <v>1241</v>
      </c>
    </row>
    <row r="6373" spans="1:10" x14ac:dyDescent="0.2">
      <c r="A6373" s="1" t="s">
        <v>34</v>
      </c>
      <c r="B6373" s="2" t="s">
        <v>427</v>
      </c>
      <c r="D6373" s="5" t="s">
        <v>464</v>
      </c>
      <c r="G6373" s="57" t="s">
        <v>465</v>
      </c>
      <c r="H6373" s="19">
        <v>97500</v>
      </c>
      <c r="I6373" s="19" t="s">
        <v>465</v>
      </c>
    </row>
    <row r="6374" spans="1:10" x14ac:dyDescent="0.2">
      <c r="A6374" s="1" t="s">
        <v>4</v>
      </c>
      <c r="B6374" s="2" t="s">
        <v>428</v>
      </c>
      <c r="D6374" s="5" t="s">
        <v>464</v>
      </c>
      <c r="G6374" s="57" t="s">
        <v>465</v>
      </c>
      <c r="H6374" s="19">
        <v>97500</v>
      </c>
      <c r="I6374" s="19" t="s">
        <v>465</v>
      </c>
    </row>
    <row r="6375" spans="1:10" x14ac:dyDescent="0.2">
      <c r="A6375" s="1" t="s">
        <v>4</v>
      </c>
      <c r="B6375" s="2" t="s">
        <v>428</v>
      </c>
      <c r="D6375" s="5" t="s">
        <v>464</v>
      </c>
      <c r="G6375" s="57" t="s">
        <v>465</v>
      </c>
      <c r="H6375" s="19">
        <v>97500</v>
      </c>
      <c r="I6375" s="19" t="s">
        <v>465</v>
      </c>
    </row>
    <row r="6376" spans="1:10" x14ac:dyDescent="0.2">
      <c r="A6376" s="1" t="s">
        <v>4</v>
      </c>
      <c r="B6376" s="2" t="s">
        <v>428</v>
      </c>
      <c r="D6376" s="5" t="s">
        <v>464</v>
      </c>
      <c r="G6376" s="57" t="s">
        <v>465</v>
      </c>
      <c r="H6376" s="19" t="s">
        <v>465</v>
      </c>
      <c r="I6376" s="19">
        <v>97500</v>
      </c>
    </row>
    <row r="6377" spans="1:10" x14ac:dyDescent="0.2">
      <c r="A6377" s="1" t="s">
        <v>4</v>
      </c>
      <c r="B6377" s="2" t="s">
        <v>428</v>
      </c>
      <c r="D6377" s="5" t="s">
        <v>464</v>
      </c>
      <c r="G6377" s="57" t="s">
        <v>465</v>
      </c>
      <c r="H6377" s="19" t="s">
        <v>465</v>
      </c>
      <c r="I6377" s="19">
        <v>97500</v>
      </c>
    </row>
    <row r="6378" spans="1:10" x14ac:dyDescent="0.2">
      <c r="A6378" s="1" t="s">
        <v>4</v>
      </c>
      <c r="B6378" s="2" t="s">
        <v>429</v>
      </c>
      <c r="D6378" s="5" t="s">
        <v>464</v>
      </c>
      <c r="G6378" s="57" t="s">
        <v>465</v>
      </c>
      <c r="H6378" s="19">
        <v>92500</v>
      </c>
      <c r="I6378" s="19" t="s">
        <v>465</v>
      </c>
    </row>
    <row r="6379" spans="1:10" x14ac:dyDescent="0.2">
      <c r="A6379" s="1" t="s">
        <v>4</v>
      </c>
      <c r="B6379" s="2" t="s">
        <v>429</v>
      </c>
      <c r="D6379" s="5" t="s">
        <v>464</v>
      </c>
      <c r="G6379" s="57" t="s">
        <v>465</v>
      </c>
      <c r="H6379" s="19" t="s">
        <v>465</v>
      </c>
      <c r="I6379" s="19">
        <v>92500</v>
      </c>
    </row>
    <row r="6380" spans="1:10" x14ac:dyDescent="0.2">
      <c r="A6380" s="1" t="s">
        <v>4</v>
      </c>
      <c r="B6380" s="2" t="s">
        <v>429</v>
      </c>
      <c r="D6380" s="5" t="s">
        <v>464</v>
      </c>
      <c r="G6380" s="57" t="s">
        <v>465</v>
      </c>
      <c r="H6380" s="19" t="s">
        <v>465</v>
      </c>
      <c r="I6380" s="19">
        <v>92500</v>
      </c>
    </row>
    <row r="6381" spans="1:10" x14ac:dyDescent="0.2">
      <c r="A6381" s="1" t="s">
        <v>4</v>
      </c>
      <c r="B6381" s="2" t="s">
        <v>429</v>
      </c>
      <c r="D6381" s="5" t="s">
        <v>464</v>
      </c>
      <c r="G6381" s="57" t="s">
        <v>465</v>
      </c>
      <c r="H6381" s="19">
        <v>97500</v>
      </c>
      <c r="I6381" s="19" t="s">
        <v>465</v>
      </c>
    </row>
    <row r="6382" spans="1:10" x14ac:dyDescent="0.2">
      <c r="A6382" s="1" t="s">
        <v>4</v>
      </c>
      <c r="B6382" s="2" t="s">
        <v>429</v>
      </c>
      <c r="D6382" s="5" t="s">
        <v>464</v>
      </c>
      <c r="G6382" s="57" t="s">
        <v>465</v>
      </c>
      <c r="H6382" s="19">
        <v>97500</v>
      </c>
      <c r="I6382" s="19" t="s">
        <v>465</v>
      </c>
    </row>
    <row r="6383" spans="1:10" x14ac:dyDescent="0.2">
      <c r="A6383" s="1" t="s">
        <v>6</v>
      </c>
      <c r="B6383" s="2" t="s">
        <v>430</v>
      </c>
      <c r="D6383" s="5" t="s">
        <v>464</v>
      </c>
      <c r="G6383" s="57" t="s">
        <v>465</v>
      </c>
      <c r="H6383" s="19" t="s">
        <v>465</v>
      </c>
      <c r="I6383" s="19">
        <v>97500</v>
      </c>
    </row>
    <row r="6384" spans="1:10" x14ac:dyDescent="0.2">
      <c r="A6384" s="1" t="s">
        <v>6</v>
      </c>
      <c r="B6384" s="2" t="s">
        <v>430</v>
      </c>
      <c r="D6384" s="5" t="s">
        <v>464</v>
      </c>
      <c r="G6384" s="57" t="s">
        <v>465</v>
      </c>
      <c r="H6384" s="19" t="s">
        <v>465</v>
      </c>
      <c r="I6384" s="19">
        <v>97500</v>
      </c>
    </row>
    <row r="6385" spans="1:10" x14ac:dyDescent="0.2">
      <c r="A6385" s="1" t="s">
        <v>6</v>
      </c>
      <c r="B6385" s="2" t="s">
        <v>430</v>
      </c>
      <c r="D6385" s="5" t="s">
        <v>464</v>
      </c>
      <c r="G6385" s="57" t="s">
        <v>465</v>
      </c>
      <c r="H6385" s="19" t="s">
        <v>465</v>
      </c>
      <c r="I6385" s="19">
        <v>97500</v>
      </c>
    </row>
    <row r="6386" spans="1:10" x14ac:dyDescent="0.2">
      <c r="A6386" s="1" t="s">
        <v>6</v>
      </c>
      <c r="B6386" s="2" t="s">
        <v>430</v>
      </c>
      <c r="D6386" s="5" t="s">
        <v>464</v>
      </c>
      <c r="G6386" s="57" t="s">
        <v>465</v>
      </c>
      <c r="H6386" s="19" t="s">
        <v>465</v>
      </c>
      <c r="I6386" s="19">
        <v>92500</v>
      </c>
    </row>
    <row r="6387" spans="1:10" x14ac:dyDescent="0.2">
      <c r="A6387" s="1" t="s">
        <v>6</v>
      </c>
      <c r="B6387" s="2" t="s">
        <v>430</v>
      </c>
      <c r="D6387" s="5" t="s">
        <v>464</v>
      </c>
      <c r="G6387" s="57" t="s">
        <v>465</v>
      </c>
      <c r="H6387" s="19" t="s">
        <v>465</v>
      </c>
      <c r="I6387" s="19">
        <v>92500</v>
      </c>
    </row>
    <row r="6388" spans="1:10" x14ac:dyDescent="0.2">
      <c r="A6388" s="1" t="s">
        <v>39</v>
      </c>
      <c r="B6388" s="2" t="s">
        <v>435</v>
      </c>
      <c r="D6388" s="5" t="s">
        <v>464</v>
      </c>
      <c r="G6388" s="57" t="s">
        <v>465</v>
      </c>
      <c r="H6388" s="19">
        <v>92500</v>
      </c>
      <c r="I6388" s="19" t="s">
        <v>465</v>
      </c>
    </row>
    <row r="6389" spans="1:10" x14ac:dyDescent="0.2">
      <c r="A6389" s="1" t="s">
        <v>39</v>
      </c>
      <c r="B6389" s="2" t="s">
        <v>435</v>
      </c>
      <c r="D6389" s="5" t="s">
        <v>464</v>
      </c>
      <c r="G6389" s="57" t="s">
        <v>465</v>
      </c>
      <c r="H6389" s="19">
        <v>92500</v>
      </c>
      <c r="I6389" s="19" t="s">
        <v>465</v>
      </c>
    </row>
    <row r="6390" spans="1:10" x14ac:dyDescent="0.2">
      <c r="A6390" s="1" t="s">
        <v>39</v>
      </c>
      <c r="B6390" s="2" t="s">
        <v>435</v>
      </c>
      <c r="D6390" s="5" t="s">
        <v>464</v>
      </c>
      <c r="G6390" s="57" t="s">
        <v>465</v>
      </c>
      <c r="H6390" s="19">
        <v>97500</v>
      </c>
      <c r="I6390" s="19" t="s">
        <v>465</v>
      </c>
    </row>
    <row r="6391" spans="1:10" x14ac:dyDescent="0.2">
      <c r="A6391" s="1" t="s">
        <v>39</v>
      </c>
      <c r="B6391" s="2" t="s">
        <v>435</v>
      </c>
      <c r="D6391" s="5" t="s">
        <v>464</v>
      </c>
      <c r="G6391" s="57" t="s">
        <v>465</v>
      </c>
      <c r="H6391" s="19">
        <v>97500</v>
      </c>
      <c r="I6391" s="19" t="s">
        <v>465</v>
      </c>
    </row>
    <row r="6392" spans="1:10" x14ac:dyDescent="0.2">
      <c r="A6392" s="1" t="s">
        <v>39</v>
      </c>
      <c r="B6392" s="2" t="s">
        <v>435</v>
      </c>
      <c r="D6392" s="5" t="s">
        <v>464</v>
      </c>
      <c r="G6392" s="57" t="s">
        <v>465</v>
      </c>
      <c r="H6392" s="19">
        <v>97500</v>
      </c>
      <c r="I6392" s="19" t="s">
        <v>465</v>
      </c>
    </row>
    <row r="6393" spans="1:10" x14ac:dyDescent="0.2">
      <c r="A6393" s="1" t="s">
        <v>39</v>
      </c>
      <c r="B6393" s="2" t="s">
        <v>435</v>
      </c>
      <c r="D6393" s="5" t="s">
        <v>464</v>
      </c>
      <c r="G6393" s="57" t="s">
        <v>465</v>
      </c>
      <c r="H6393" s="19" t="s">
        <v>465</v>
      </c>
      <c r="I6393" s="19">
        <v>92500</v>
      </c>
    </row>
    <row r="6394" spans="1:10" x14ac:dyDescent="0.2">
      <c r="A6394" s="1" t="s">
        <v>39</v>
      </c>
      <c r="B6394" s="2" t="s">
        <v>435</v>
      </c>
      <c r="D6394" s="5" t="s">
        <v>464</v>
      </c>
      <c r="G6394" s="57" t="s">
        <v>465</v>
      </c>
      <c r="H6394" s="19" t="s">
        <v>465</v>
      </c>
      <c r="I6394" s="19">
        <v>97500</v>
      </c>
    </row>
    <row r="6395" spans="1:10" ht="38.25" x14ac:dyDescent="0.2">
      <c r="A6395" s="1" t="s">
        <v>4</v>
      </c>
      <c r="B6395" s="17" t="s">
        <v>4579</v>
      </c>
      <c r="C6395" s="29"/>
      <c r="G6395" s="57" t="s">
        <v>465</v>
      </c>
    </row>
    <row r="6396" spans="1:10" x14ac:dyDescent="0.2">
      <c r="A6396" s="1" t="s">
        <v>39</v>
      </c>
      <c r="B6396" s="2" t="s">
        <v>439</v>
      </c>
      <c r="D6396" s="5" t="s">
        <v>464</v>
      </c>
      <c r="G6396" s="57" t="s">
        <v>465</v>
      </c>
      <c r="H6396" s="19" t="s">
        <v>465</v>
      </c>
      <c r="I6396" s="19">
        <v>97500</v>
      </c>
    </row>
    <row r="6397" spans="1:10" x14ac:dyDescent="0.2">
      <c r="A6397" s="1" t="s">
        <v>39</v>
      </c>
      <c r="B6397" s="2" t="s">
        <v>439</v>
      </c>
      <c r="D6397" s="5" t="s">
        <v>464</v>
      </c>
      <c r="G6397" s="57" t="s">
        <v>465</v>
      </c>
      <c r="H6397" s="19" t="s">
        <v>465</v>
      </c>
      <c r="I6397" s="19">
        <v>97500</v>
      </c>
    </row>
    <row r="6398" spans="1:10" x14ac:dyDescent="0.2">
      <c r="A6398" s="1" t="s">
        <v>28</v>
      </c>
      <c r="B6398" s="2" t="s">
        <v>441</v>
      </c>
      <c r="D6398" s="5" t="s">
        <v>464</v>
      </c>
      <c r="G6398" s="57" t="s">
        <v>465</v>
      </c>
      <c r="H6398" s="19">
        <v>92500</v>
      </c>
      <c r="I6398" s="19" t="s">
        <v>465</v>
      </c>
    </row>
    <row r="6399" spans="1:10" s="47" customFormat="1" ht="13.5" thickBot="1" x14ac:dyDescent="0.25">
      <c r="A6399" s="47" t="s">
        <v>28</v>
      </c>
      <c r="B6399" s="63" t="s">
        <v>441</v>
      </c>
      <c r="C6399" s="46"/>
      <c r="D6399" s="46" t="s">
        <v>464</v>
      </c>
      <c r="E6399" s="64"/>
      <c r="F6399" s="64"/>
      <c r="G6399" s="65" t="s">
        <v>465</v>
      </c>
      <c r="H6399" s="66">
        <v>97500</v>
      </c>
      <c r="I6399" s="66" t="s">
        <v>465</v>
      </c>
      <c r="J6399" s="46"/>
    </row>
    <row r="6400" spans="1:10" x14ac:dyDescent="0.2">
      <c r="B6400" s="26" t="s">
        <v>4452</v>
      </c>
      <c r="C6400" s="40">
        <f>SUM(E6399+H6399)</f>
        <v>97500</v>
      </c>
    </row>
    <row r="6401" spans="2:10" x14ac:dyDescent="0.2">
      <c r="B6401" s="26" t="s">
        <v>4453</v>
      </c>
      <c r="C6401" s="40" t="e">
        <f>SUM(F6399+I6399)</f>
        <v>#VALUE!</v>
      </c>
      <c r="D6401" s="1"/>
    </row>
    <row r="6402" spans="2:10" x14ac:dyDescent="0.2">
      <c r="B6402" s="26" t="s">
        <v>4729</v>
      </c>
      <c r="C6402" s="40" t="e">
        <f>C6401-C6400</f>
        <v>#VALUE!</v>
      </c>
      <c r="D6402" s="40"/>
    </row>
    <row r="6403" spans="2:10" s="23" customFormat="1" x14ac:dyDescent="0.2">
      <c r="B6403" s="26" t="s">
        <v>4717</v>
      </c>
      <c r="C6403" s="48">
        <f>AVERAGE(G3:G6399)</f>
        <v>0.26790357710563079</v>
      </c>
      <c r="D6403" s="24"/>
      <c r="E6403" s="39"/>
      <c r="F6403" s="39"/>
      <c r="G6403" s="25"/>
      <c r="H6403" s="28"/>
      <c r="I6403" s="28"/>
      <c r="J6403" s="24"/>
    </row>
    <row r="6404" spans="2:10" s="23" customFormat="1" x14ac:dyDescent="0.2">
      <c r="B6404" s="26" t="s">
        <v>4718</v>
      </c>
      <c r="C6404" s="48">
        <f>MEDIAN(G3:G6398)</f>
        <v>1.8248621527580888E-2</v>
      </c>
      <c r="D6404" s="24"/>
      <c r="E6404" s="39"/>
      <c r="F6404" s="39"/>
      <c r="G6404" s="25"/>
      <c r="H6404" s="28"/>
      <c r="I6404" s="28"/>
      <c r="J6404" s="24"/>
    </row>
    <row r="6405" spans="2:10" x14ac:dyDescent="0.2">
      <c r="B6405" s="26" t="s">
        <v>4727</v>
      </c>
      <c r="C6405" s="49" t="e">
        <f>(C6401-C6400)/C6401</f>
        <v>#VALUE!</v>
      </c>
    </row>
    <row r="6406" spans="2:10" x14ac:dyDescent="0.2">
      <c r="B6406" s="26" t="s">
        <v>4728</v>
      </c>
      <c r="C6406" s="50" t="e">
        <f>(F6399-E6399)/F6399</f>
        <v>#DIV/0!</v>
      </c>
    </row>
  </sheetData>
  <autoFilter ref="A2:L2">
    <sortState ref="A3:L6406">
      <sortCondition descending="1" ref="F2"/>
    </sortState>
  </autoFilter>
  <mergeCells count="2">
    <mergeCell ref="E1:F1"/>
    <mergeCell ref="H1:I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82"/>
  <sheetViews>
    <sheetView workbookViewId="0">
      <pane ySplit="2" topLeftCell="A3" activePane="bottomLeft" state="frozen"/>
      <selection pane="bottomLeft" activeCell="D421" sqref="D421"/>
    </sheetView>
  </sheetViews>
  <sheetFormatPr defaultRowHeight="12.75" x14ac:dyDescent="0.2"/>
  <cols>
    <col min="1" max="1" width="17.42578125" style="1" customWidth="1"/>
    <col min="2" max="2" width="29.7109375" style="2" bestFit="1" customWidth="1"/>
    <col min="3" max="3" width="18.28515625" style="5" customWidth="1"/>
    <col min="4" max="4" width="43.5703125" style="5" bestFit="1" customWidth="1"/>
    <col min="5" max="5" width="11.7109375" style="3" customWidth="1"/>
    <col min="6" max="6" width="9.85546875" style="3" customWidth="1"/>
    <col min="7" max="7" width="14.85546875" style="4" bestFit="1" customWidth="1"/>
    <col min="8" max="8" width="55" style="5" customWidth="1"/>
    <col min="9" max="16384" width="9.140625" style="1"/>
  </cols>
  <sheetData>
    <row r="1" spans="1:8" s="23" customFormat="1" ht="12.75" customHeight="1" x14ac:dyDescent="0.2">
      <c r="B1" s="2"/>
      <c r="C1" s="24"/>
      <c r="D1" s="24"/>
      <c r="E1" s="70" t="s">
        <v>448</v>
      </c>
      <c r="F1" s="70"/>
      <c r="G1" s="60"/>
      <c r="H1" s="24"/>
    </row>
    <row r="2" spans="1:8" s="23" customFormat="1" x14ac:dyDescent="0.2">
      <c r="A2" s="23" t="s">
        <v>442</v>
      </c>
      <c r="B2" s="26" t="s">
        <v>443</v>
      </c>
      <c r="C2" s="24" t="s">
        <v>444</v>
      </c>
      <c r="D2" s="24" t="s">
        <v>445</v>
      </c>
      <c r="E2" s="27" t="s">
        <v>446</v>
      </c>
      <c r="F2" s="27" t="s">
        <v>447</v>
      </c>
      <c r="G2" s="60" t="s">
        <v>449</v>
      </c>
      <c r="H2" s="24" t="s">
        <v>4142</v>
      </c>
    </row>
    <row r="3" spans="1:8" s="13" customFormat="1" ht="51" x14ac:dyDescent="0.2">
      <c r="A3" s="1" t="s">
        <v>1</v>
      </c>
      <c r="B3" s="12" t="s">
        <v>0</v>
      </c>
      <c r="C3" s="13" t="s">
        <v>1675</v>
      </c>
      <c r="D3" s="7" t="s">
        <v>1874</v>
      </c>
      <c r="E3" s="6">
        <f>142996+27090</f>
        <v>170086</v>
      </c>
      <c r="F3" s="6">
        <f>109181+20517</f>
        <v>129698</v>
      </c>
      <c r="G3" s="57">
        <f t="shared" ref="G3:G66" si="0">IF(ISERROR((F3-E3)/E3),"-",(F3-E3)/E3)</f>
        <v>-0.23745634561339557</v>
      </c>
      <c r="H3" s="7" t="s">
        <v>4073</v>
      </c>
    </row>
    <row r="4" spans="1:8" ht="25.5" x14ac:dyDescent="0.2">
      <c r="A4" s="1" t="s">
        <v>1</v>
      </c>
      <c r="B4" s="2" t="s">
        <v>0</v>
      </c>
      <c r="C4" s="1" t="s">
        <v>1667</v>
      </c>
      <c r="D4" s="5" t="s">
        <v>1417</v>
      </c>
      <c r="E4" s="3">
        <f>65080+12335</f>
        <v>77415</v>
      </c>
      <c r="F4" s="3">
        <f>107559+20572</f>
        <v>128131</v>
      </c>
      <c r="G4" s="57">
        <f t="shared" si="0"/>
        <v>0.65511851708325264</v>
      </c>
      <c r="H4" s="5" t="s">
        <v>3634</v>
      </c>
    </row>
    <row r="5" spans="1:8" ht="25.5" x14ac:dyDescent="0.2">
      <c r="A5" s="1" t="s">
        <v>1</v>
      </c>
      <c r="B5" s="2" t="s">
        <v>0</v>
      </c>
      <c r="C5" s="1" t="s">
        <v>1668</v>
      </c>
      <c r="D5" s="5" t="s">
        <v>1271</v>
      </c>
      <c r="E5" s="3">
        <f>62713+11887</f>
        <v>74600</v>
      </c>
      <c r="F5" s="3">
        <f>107559+20572</f>
        <v>128131</v>
      </c>
      <c r="G5" s="57">
        <f t="shared" si="0"/>
        <v>0.71757372654155493</v>
      </c>
      <c r="H5" s="5" t="s">
        <v>3634</v>
      </c>
    </row>
    <row r="6" spans="1:8" ht="25.5" x14ac:dyDescent="0.2">
      <c r="A6" s="1" t="s">
        <v>1</v>
      </c>
      <c r="B6" s="2" t="s">
        <v>0</v>
      </c>
      <c r="C6" s="1" t="s">
        <v>1669</v>
      </c>
      <c r="D6" s="5" t="s">
        <v>1670</v>
      </c>
      <c r="E6" s="3">
        <f>107970+20465</f>
        <v>128435</v>
      </c>
      <c r="F6" s="3">
        <f>107559+20572</f>
        <v>128131</v>
      </c>
      <c r="G6" s="57">
        <f t="shared" si="0"/>
        <v>-2.3669560478062832E-3</v>
      </c>
      <c r="H6" s="5" t="s">
        <v>3634</v>
      </c>
    </row>
    <row r="7" spans="1:8" s="13" customFormat="1" ht="25.5" x14ac:dyDescent="0.2">
      <c r="A7" s="1" t="s">
        <v>1</v>
      </c>
      <c r="B7" s="12" t="s">
        <v>0</v>
      </c>
      <c r="C7" s="13" t="s">
        <v>1671</v>
      </c>
      <c r="D7" s="7" t="s">
        <v>1672</v>
      </c>
      <c r="E7" s="6">
        <f>81643+15475</f>
        <v>97118</v>
      </c>
      <c r="F7" s="6">
        <f>107559+20572</f>
        <v>128131</v>
      </c>
      <c r="G7" s="57">
        <f t="shared" si="0"/>
        <v>0.31933318231429808</v>
      </c>
      <c r="H7" s="7" t="s">
        <v>3634</v>
      </c>
    </row>
    <row r="8" spans="1:8" ht="25.5" x14ac:dyDescent="0.2">
      <c r="A8" s="1" t="s">
        <v>1</v>
      </c>
      <c r="B8" s="2" t="s">
        <v>0</v>
      </c>
      <c r="C8" s="1" t="s">
        <v>1673</v>
      </c>
      <c r="D8" s="5" t="s">
        <v>1674</v>
      </c>
      <c r="E8" s="3">
        <f>107970+20465</f>
        <v>128435</v>
      </c>
      <c r="F8" s="3">
        <f>107559+20572</f>
        <v>128131</v>
      </c>
      <c r="G8" s="57">
        <f t="shared" si="0"/>
        <v>-2.3669560478062832E-3</v>
      </c>
      <c r="H8" s="5" t="s">
        <v>3634</v>
      </c>
    </row>
    <row r="9" spans="1:8" s="13" customFormat="1" ht="38.25" x14ac:dyDescent="0.2">
      <c r="A9" s="1" t="s">
        <v>1</v>
      </c>
      <c r="B9" s="13" t="s">
        <v>0</v>
      </c>
      <c r="C9" s="13" t="s">
        <v>3635</v>
      </c>
      <c r="D9" s="7" t="s">
        <v>4074</v>
      </c>
      <c r="E9" s="6">
        <f>69414+13101</f>
        <v>82515</v>
      </c>
      <c r="F9" s="6">
        <f>36913+175512</f>
        <v>212425</v>
      </c>
      <c r="G9" s="57">
        <f t="shared" si="0"/>
        <v>1.5743804156819972</v>
      </c>
      <c r="H9" s="7" t="s">
        <v>4075</v>
      </c>
    </row>
    <row r="10" spans="1:8" x14ac:dyDescent="0.2">
      <c r="A10" s="1" t="s">
        <v>1</v>
      </c>
      <c r="B10" s="2" t="s">
        <v>0</v>
      </c>
      <c r="C10" s="1"/>
      <c r="D10" s="5" t="s">
        <v>464</v>
      </c>
      <c r="E10" s="3">
        <v>152500</v>
      </c>
      <c r="F10" s="3" t="s">
        <v>465</v>
      </c>
      <c r="G10" s="57" t="str">
        <f t="shared" si="0"/>
        <v>-</v>
      </c>
    </row>
    <row r="11" spans="1:8" ht="25.5" x14ac:dyDescent="0.2">
      <c r="A11" s="1" t="s">
        <v>1</v>
      </c>
      <c r="B11" s="2" t="s">
        <v>2</v>
      </c>
      <c r="C11" s="1" t="s">
        <v>1676</v>
      </c>
      <c r="D11" s="5" t="s">
        <v>450</v>
      </c>
      <c r="E11" s="3">
        <f>134074+25588</f>
        <v>159662</v>
      </c>
      <c r="F11" s="3">
        <f>143121+27479</f>
        <v>170600</v>
      </c>
      <c r="G11" s="57">
        <f t="shared" si="0"/>
        <v>6.8507221505430219E-2</v>
      </c>
      <c r="H11" s="5" t="s">
        <v>3636</v>
      </c>
    </row>
    <row r="12" spans="1:8" ht="25.5" x14ac:dyDescent="0.2">
      <c r="A12" s="1" t="s">
        <v>1</v>
      </c>
      <c r="B12" s="2" t="s">
        <v>2</v>
      </c>
      <c r="C12" s="1" t="s">
        <v>1677</v>
      </c>
      <c r="D12" s="5" t="s">
        <v>451</v>
      </c>
      <c r="E12" s="3">
        <v>22282</v>
      </c>
      <c r="F12" s="3">
        <v>110906</v>
      </c>
      <c r="G12" s="57">
        <f t="shared" si="0"/>
        <v>3.9773808455255364</v>
      </c>
      <c r="H12" s="5" t="s">
        <v>4078</v>
      </c>
    </row>
    <row r="13" spans="1:8" s="13" customFormat="1" ht="25.5" x14ac:dyDescent="0.2">
      <c r="A13" s="1" t="s">
        <v>1</v>
      </c>
      <c r="B13" s="12" t="s">
        <v>2</v>
      </c>
      <c r="C13" s="13" t="s">
        <v>3637</v>
      </c>
      <c r="D13" s="7" t="s">
        <v>3638</v>
      </c>
      <c r="E13" s="6">
        <f>107800+20465</f>
        <v>128265</v>
      </c>
      <c r="F13" s="6">
        <f>45435+8724</f>
        <v>54159</v>
      </c>
      <c r="G13" s="57">
        <f t="shared" si="0"/>
        <v>-0.57775698748684368</v>
      </c>
      <c r="H13" s="7" t="s">
        <v>3639</v>
      </c>
    </row>
    <row r="14" spans="1:8" ht="25.5" x14ac:dyDescent="0.2">
      <c r="A14" s="1" t="s">
        <v>1</v>
      </c>
      <c r="B14" s="2" t="s">
        <v>2</v>
      </c>
      <c r="C14" s="1" t="s">
        <v>1678</v>
      </c>
      <c r="D14" s="5" t="s">
        <v>1679</v>
      </c>
      <c r="E14" s="3">
        <f>107164+20465</f>
        <v>127629</v>
      </c>
      <c r="F14" s="3">
        <f>109827+21087</f>
        <v>130914</v>
      </c>
      <c r="G14" s="57">
        <f t="shared" si="0"/>
        <v>2.5738664410126226E-2</v>
      </c>
      <c r="H14" s="5" t="s">
        <v>3640</v>
      </c>
    </row>
    <row r="15" spans="1:8" s="13" customFormat="1" ht="25.5" x14ac:dyDescent="0.2">
      <c r="A15" s="1" t="s">
        <v>1</v>
      </c>
      <c r="B15" s="12" t="s">
        <v>2</v>
      </c>
      <c r="C15" s="13" t="s">
        <v>3641</v>
      </c>
      <c r="D15" s="7" t="s">
        <v>452</v>
      </c>
      <c r="E15" s="6">
        <f>107267+20465</f>
        <v>127732</v>
      </c>
      <c r="F15" s="6">
        <f>37010+7106</f>
        <v>44116</v>
      </c>
      <c r="G15" s="57">
        <f t="shared" si="0"/>
        <v>-0.6546206119061786</v>
      </c>
      <c r="H15" s="7" t="s">
        <v>4076</v>
      </c>
    </row>
    <row r="16" spans="1:8" s="13" customFormat="1" ht="38.25" x14ac:dyDescent="0.2">
      <c r="A16" s="1" t="s">
        <v>1</v>
      </c>
      <c r="B16" s="12" t="s">
        <v>2</v>
      </c>
      <c r="C16" s="13" t="s">
        <v>1680</v>
      </c>
      <c r="D16" s="7" t="s">
        <v>4730</v>
      </c>
      <c r="E16" s="6">
        <f>107148+20465</f>
        <v>127613</v>
      </c>
      <c r="F16" s="6">
        <f>109827+21087</f>
        <v>130914</v>
      </c>
      <c r="G16" s="57">
        <f t="shared" si="0"/>
        <v>2.5867270575881767E-2</v>
      </c>
      <c r="H16" s="7" t="s">
        <v>4077</v>
      </c>
    </row>
    <row r="17" spans="1:8" s="13" customFormat="1" ht="25.5" x14ac:dyDescent="0.2">
      <c r="A17" s="1" t="s">
        <v>1</v>
      </c>
      <c r="B17" s="12" t="s">
        <v>2</v>
      </c>
      <c r="C17" s="13" t="s">
        <v>1681</v>
      </c>
      <c r="D17" s="7" t="s">
        <v>1682</v>
      </c>
      <c r="E17" s="6">
        <f>107267+20465</f>
        <v>127732</v>
      </c>
      <c r="F17" s="6">
        <f>109827+21087</f>
        <v>130914</v>
      </c>
      <c r="G17" s="57">
        <f t="shared" si="0"/>
        <v>2.491153352331444E-2</v>
      </c>
      <c r="H17" s="7" t="s">
        <v>3640</v>
      </c>
    </row>
    <row r="18" spans="1:8" s="13" customFormat="1" ht="51" x14ac:dyDescent="0.2">
      <c r="A18" s="13" t="s">
        <v>4</v>
      </c>
      <c r="B18" s="12" t="s">
        <v>3</v>
      </c>
      <c r="C18" s="7"/>
      <c r="D18" s="7" t="s">
        <v>4180</v>
      </c>
      <c r="E18" s="6">
        <v>135589</v>
      </c>
      <c r="F18" s="6">
        <v>135656</v>
      </c>
      <c r="G18" s="57">
        <f t="shared" si="0"/>
        <v>4.941403801193312E-4</v>
      </c>
      <c r="H18" s="7" t="s">
        <v>4080</v>
      </c>
    </row>
    <row r="19" spans="1:8" s="13" customFormat="1" ht="25.5" x14ac:dyDescent="0.2">
      <c r="A19" s="13" t="s">
        <v>4</v>
      </c>
      <c r="B19" s="17" t="s">
        <v>3</v>
      </c>
      <c r="C19" s="5" t="s">
        <v>453</v>
      </c>
      <c r="D19" s="5" t="s">
        <v>4181</v>
      </c>
      <c r="E19" s="3">
        <v>158137</v>
      </c>
      <c r="F19" s="3" t="s">
        <v>465</v>
      </c>
      <c r="G19" s="57" t="str">
        <f t="shared" si="0"/>
        <v>-</v>
      </c>
      <c r="H19" s="5" t="s">
        <v>4079</v>
      </c>
    </row>
    <row r="20" spans="1:8" ht="51" x14ac:dyDescent="0.2">
      <c r="A20" s="13" t="s">
        <v>4</v>
      </c>
      <c r="B20" s="2" t="s">
        <v>3</v>
      </c>
      <c r="D20" s="5" t="s">
        <v>4182</v>
      </c>
      <c r="E20" s="3">
        <v>105684</v>
      </c>
      <c r="F20" s="3">
        <v>107371</v>
      </c>
      <c r="G20" s="57">
        <f t="shared" si="0"/>
        <v>1.5962681200560162E-2</v>
      </c>
      <c r="H20" s="5" t="s">
        <v>4081</v>
      </c>
    </row>
    <row r="21" spans="1:8" ht="38.25" x14ac:dyDescent="0.2">
      <c r="A21" s="13" t="s">
        <v>4</v>
      </c>
      <c r="B21" s="2" t="s">
        <v>3</v>
      </c>
      <c r="D21" s="5" t="s">
        <v>4183</v>
      </c>
      <c r="E21" s="3">
        <v>106618</v>
      </c>
      <c r="F21" s="3">
        <v>106559</v>
      </c>
      <c r="G21" s="57">
        <f t="shared" si="0"/>
        <v>-5.53377478474554E-4</v>
      </c>
      <c r="H21" s="5" t="s">
        <v>4082</v>
      </c>
    </row>
    <row r="22" spans="1:8" s="13" customFormat="1" ht="25.5" x14ac:dyDescent="0.2">
      <c r="A22" s="13" t="s">
        <v>6</v>
      </c>
      <c r="B22" s="12" t="s">
        <v>5</v>
      </c>
      <c r="D22" s="7" t="s">
        <v>450</v>
      </c>
      <c r="E22" s="6">
        <v>117966.32</v>
      </c>
      <c r="F22" s="6">
        <v>122055.42</v>
      </c>
      <c r="G22" s="57">
        <f t="shared" si="0"/>
        <v>3.4663283554153344E-2</v>
      </c>
      <c r="H22" s="7" t="s">
        <v>3642</v>
      </c>
    </row>
    <row r="23" spans="1:8" ht="38.25" x14ac:dyDescent="0.2">
      <c r="A23" s="1" t="s">
        <v>8</v>
      </c>
      <c r="B23" s="2" t="s">
        <v>7</v>
      </c>
      <c r="C23" s="1"/>
      <c r="D23" s="5" t="s">
        <v>450</v>
      </c>
      <c r="E23" s="3">
        <v>118000</v>
      </c>
      <c r="F23" s="3">
        <v>124000</v>
      </c>
      <c r="G23" s="57">
        <f t="shared" si="0"/>
        <v>5.0847457627118647E-2</v>
      </c>
      <c r="H23" s="5" t="s">
        <v>3643</v>
      </c>
    </row>
    <row r="24" spans="1:8" s="13" customFormat="1" ht="25.5" x14ac:dyDescent="0.2">
      <c r="A24" s="13" t="s">
        <v>1</v>
      </c>
      <c r="B24" s="12" t="s">
        <v>9</v>
      </c>
      <c r="C24" s="13" t="s">
        <v>1683</v>
      </c>
      <c r="D24" s="7" t="s">
        <v>454</v>
      </c>
      <c r="E24" s="6">
        <f>103408+18578</f>
        <v>121986</v>
      </c>
      <c r="F24" s="6">
        <f>106109+19043</f>
        <v>125152</v>
      </c>
      <c r="G24" s="57">
        <f t="shared" si="0"/>
        <v>2.5953797976817013E-2</v>
      </c>
      <c r="H24" s="7" t="s">
        <v>3644</v>
      </c>
    </row>
    <row r="25" spans="1:8" s="13" customFormat="1" ht="25.5" x14ac:dyDescent="0.2">
      <c r="A25" s="13" t="s">
        <v>1</v>
      </c>
      <c r="B25" s="12" t="s">
        <v>9</v>
      </c>
      <c r="C25" s="13" t="s">
        <v>2236</v>
      </c>
      <c r="D25" s="7" t="s">
        <v>2237</v>
      </c>
      <c r="E25" s="6">
        <f>89294+16410</f>
        <v>105704</v>
      </c>
      <c r="F25" s="6">
        <f>90918+16820</f>
        <v>107738</v>
      </c>
      <c r="G25" s="57">
        <f t="shared" si="0"/>
        <v>1.9242412775297056E-2</v>
      </c>
      <c r="H25" s="7" t="s">
        <v>4083</v>
      </c>
    </row>
    <row r="26" spans="1:8" s="13" customFormat="1" ht="25.5" x14ac:dyDescent="0.2">
      <c r="A26" s="13" t="s">
        <v>1</v>
      </c>
      <c r="B26" s="12" t="s">
        <v>9</v>
      </c>
      <c r="C26" s="13" t="s">
        <v>2238</v>
      </c>
      <c r="D26" s="7" t="s">
        <v>740</v>
      </c>
      <c r="E26" s="6">
        <f>85341+15788</f>
        <v>101129</v>
      </c>
      <c r="F26" s="6">
        <f>87474+16183</f>
        <v>103657</v>
      </c>
      <c r="G26" s="57">
        <f t="shared" si="0"/>
        <v>2.4997775118907533E-2</v>
      </c>
      <c r="H26" s="7" t="s">
        <v>4084</v>
      </c>
    </row>
    <row r="27" spans="1:8" s="13" customFormat="1" ht="25.5" x14ac:dyDescent="0.2">
      <c r="A27" s="13" t="s">
        <v>1</v>
      </c>
      <c r="B27" s="12" t="s">
        <v>9</v>
      </c>
      <c r="C27" s="13" t="s">
        <v>1684</v>
      </c>
      <c r="D27" s="7" t="s">
        <v>1682</v>
      </c>
      <c r="E27" s="6">
        <f>101184+18578</f>
        <v>119762</v>
      </c>
      <c r="F27" s="6">
        <f>103819+19043</f>
        <v>122862</v>
      </c>
      <c r="G27" s="57">
        <f t="shared" si="0"/>
        <v>2.588467126467494E-2</v>
      </c>
      <c r="H27" s="7" t="s">
        <v>2240</v>
      </c>
    </row>
    <row r="28" spans="1:8" s="13" customFormat="1" ht="25.5" x14ac:dyDescent="0.2">
      <c r="A28" s="13" t="s">
        <v>1</v>
      </c>
      <c r="B28" s="12" t="s">
        <v>9</v>
      </c>
      <c r="C28" s="13" t="s">
        <v>1685</v>
      </c>
      <c r="D28" s="7" t="s">
        <v>452</v>
      </c>
      <c r="E28" s="6">
        <f>104021+18578</f>
        <v>122599</v>
      </c>
      <c r="F28" s="6">
        <f>106755+19043</f>
        <v>125798</v>
      </c>
      <c r="G28" s="57">
        <f t="shared" si="0"/>
        <v>2.6093198150066478E-2</v>
      </c>
      <c r="H28" s="7" t="s">
        <v>2241</v>
      </c>
    </row>
    <row r="29" spans="1:8" s="13" customFormat="1" ht="25.5" x14ac:dyDescent="0.2">
      <c r="A29" s="13" t="s">
        <v>1</v>
      </c>
      <c r="B29" s="12" t="s">
        <v>9</v>
      </c>
      <c r="C29" s="13" t="s">
        <v>1686</v>
      </c>
      <c r="D29" s="7" t="s">
        <v>3645</v>
      </c>
      <c r="E29" s="6">
        <f>105450+19508</f>
        <v>124958</v>
      </c>
      <c r="F29" s="6">
        <f>108087+19996</f>
        <v>128083</v>
      </c>
      <c r="G29" s="57">
        <f t="shared" si="0"/>
        <v>2.5008402823348645E-2</v>
      </c>
      <c r="H29" s="7" t="s">
        <v>2242</v>
      </c>
    </row>
    <row r="30" spans="1:8" s="13" customFormat="1" ht="25.5" x14ac:dyDescent="0.2">
      <c r="A30" s="13" t="s">
        <v>1</v>
      </c>
      <c r="B30" s="12" t="s">
        <v>9</v>
      </c>
      <c r="C30" s="13" t="s">
        <v>2239</v>
      </c>
      <c r="D30" s="7" t="s">
        <v>451</v>
      </c>
      <c r="E30" s="6">
        <f>91687+16410</f>
        <v>108097</v>
      </c>
      <c r="F30" s="6">
        <f>93765+16820</f>
        <v>110585</v>
      </c>
      <c r="G30" s="57">
        <f t="shared" si="0"/>
        <v>2.3016364931496711E-2</v>
      </c>
      <c r="H30" s="7" t="s">
        <v>2243</v>
      </c>
    </row>
    <row r="31" spans="1:8" ht="76.5" x14ac:dyDescent="0.2">
      <c r="A31" s="13" t="s">
        <v>1</v>
      </c>
      <c r="B31" s="2" t="s">
        <v>9</v>
      </c>
      <c r="C31" s="1" t="s">
        <v>1687</v>
      </c>
      <c r="D31" s="5" t="s">
        <v>450</v>
      </c>
      <c r="E31" s="3">
        <f>131162+24260</f>
        <v>155422</v>
      </c>
      <c r="F31" s="3">
        <f>122490+22586</f>
        <v>145076</v>
      </c>
      <c r="G31" s="57">
        <f t="shared" si="0"/>
        <v>-6.6567152655351236E-2</v>
      </c>
      <c r="H31" s="5" t="s">
        <v>4085</v>
      </c>
    </row>
    <row r="32" spans="1:8" x14ac:dyDescent="0.2">
      <c r="A32" s="13" t="s">
        <v>1</v>
      </c>
      <c r="B32" s="2" t="s">
        <v>9</v>
      </c>
      <c r="C32" s="1"/>
      <c r="D32" s="5" t="s">
        <v>464</v>
      </c>
      <c r="E32" s="3" t="s">
        <v>465</v>
      </c>
      <c r="F32" s="3">
        <v>102500</v>
      </c>
      <c r="G32" s="57" t="str">
        <f t="shared" si="0"/>
        <v>-</v>
      </c>
    </row>
    <row r="33" spans="1:8" x14ac:dyDescent="0.2">
      <c r="A33" s="13" t="s">
        <v>1</v>
      </c>
      <c r="B33" s="2" t="s">
        <v>9</v>
      </c>
      <c r="C33" s="1"/>
      <c r="D33" s="5" t="s">
        <v>464</v>
      </c>
      <c r="E33" s="3" t="s">
        <v>465</v>
      </c>
      <c r="F33" s="3">
        <v>107500</v>
      </c>
      <c r="G33" s="57" t="str">
        <f t="shared" si="0"/>
        <v>-</v>
      </c>
    </row>
    <row r="34" spans="1:8" ht="25.5" x14ac:dyDescent="0.2">
      <c r="A34" s="1" t="s">
        <v>11</v>
      </c>
      <c r="B34" s="2" t="s">
        <v>10</v>
      </c>
      <c r="C34" s="29" t="s">
        <v>2697</v>
      </c>
      <c r="G34" s="57" t="str">
        <f t="shared" si="0"/>
        <v>-</v>
      </c>
    </row>
    <row r="35" spans="1:8" ht="25.5" x14ac:dyDescent="0.2">
      <c r="A35" s="1" t="s">
        <v>11</v>
      </c>
      <c r="B35" s="2" t="s">
        <v>12</v>
      </c>
      <c r="C35" s="29" t="s">
        <v>2697</v>
      </c>
      <c r="G35" s="57" t="str">
        <f t="shared" si="0"/>
        <v>-</v>
      </c>
    </row>
    <row r="36" spans="1:8" ht="25.5" x14ac:dyDescent="0.2">
      <c r="A36" s="1" t="s">
        <v>1</v>
      </c>
      <c r="B36" s="2" t="s">
        <v>13</v>
      </c>
      <c r="C36" s="1" t="s">
        <v>1688</v>
      </c>
      <c r="D36" s="5" t="s">
        <v>450</v>
      </c>
      <c r="E36" s="3">
        <f>115549+19525</f>
        <v>135074</v>
      </c>
      <c r="F36" s="3">
        <f>118239+21085</f>
        <v>139324</v>
      </c>
      <c r="G36" s="57">
        <f t="shared" si="0"/>
        <v>3.1464234419651453E-2</v>
      </c>
      <c r="H36" s="5" t="s">
        <v>3646</v>
      </c>
    </row>
    <row r="37" spans="1:8" ht="25.5" x14ac:dyDescent="0.2">
      <c r="A37" s="1" t="s">
        <v>1</v>
      </c>
      <c r="B37" s="2" t="s">
        <v>13</v>
      </c>
      <c r="C37" s="1" t="s">
        <v>2244</v>
      </c>
      <c r="D37" s="5" t="s">
        <v>1761</v>
      </c>
      <c r="E37" s="3">
        <f>90970+15594</f>
        <v>106564</v>
      </c>
      <c r="F37" s="3">
        <f>93173+16812</f>
        <v>109985</v>
      </c>
      <c r="G37" s="57">
        <f t="shared" si="0"/>
        <v>3.2102773919897902E-2</v>
      </c>
      <c r="H37" s="5" t="s">
        <v>4598</v>
      </c>
    </row>
    <row r="38" spans="1:8" ht="38.25" x14ac:dyDescent="0.2">
      <c r="A38" s="1" t="s">
        <v>1</v>
      </c>
      <c r="B38" s="2" t="s">
        <v>13</v>
      </c>
      <c r="C38" s="1" t="s">
        <v>2245</v>
      </c>
      <c r="D38" s="5" t="s">
        <v>4140</v>
      </c>
      <c r="E38" s="3" t="s">
        <v>465</v>
      </c>
      <c r="F38" s="3">
        <f>92433+16619</f>
        <v>109052</v>
      </c>
      <c r="G38" s="57" t="str">
        <f t="shared" si="0"/>
        <v>-</v>
      </c>
      <c r="H38" s="5" t="s">
        <v>4141</v>
      </c>
    </row>
    <row r="39" spans="1:8" x14ac:dyDescent="0.2">
      <c r="A39" s="1" t="s">
        <v>1</v>
      </c>
      <c r="B39" s="2" t="s">
        <v>13</v>
      </c>
      <c r="C39" s="1"/>
      <c r="D39" s="5" t="s">
        <v>464</v>
      </c>
      <c r="E39" s="3">
        <v>112500</v>
      </c>
      <c r="F39" s="3" t="s">
        <v>465</v>
      </c>
      <c r="G39" s="57" t="str">
        <f t="shared" si="0"/>
        <v>-</v>
      </c>
    </row>
    <row r="40" spans="1:8" x14ac:dyDescent="0.2">
      <c r="A40" s="1" t="s">
        <v>1</v>
      </c>
      <c r="B40" s="2" t="s">
        <v>13</v>
      </c>
      <c r="C40" s="1"/>
      <c r="D40" s="5" t="s">
        <v>464</v>
      </c>
      <c r="E40" s="3" t="s">
        <v>465</v>
      </c>
      <c r="F40" s="3">
        <v>112500</v>
      </c>
      <c r="G40" s="57" t="str">
        <f t="shared" si="0"/>
        <v>-</v>
      </c>
    </row>
    <row r="41" spans="1:8" x14ac:dyDescent="0.2">
      <c r="A41" s="1" t="s">
        <v>1</v>
      </c>
      <c r="B41" s="2" t="s">
        <v>13</v>
      </c>
      <c r="C41" s="1"/>
      <c r="D41" s="5" t="s">
        <v>464</v>
      </c>
      <c r="E41" s="3">
        <v>152500</v>
      </c>
      <c r="F41" s="3" t="s">
        <v>465</v>
      </c>
      <c r="G41" s="57" t="str">
        <f t="shared" si="0"/>
        <v>-</v>
      </c>
    </row>
    <row r="42" spans="1:8" x14ac:dyDescent="0.2">
      <c r="A42" s="1" t="s">
        <v>1</v>
      </c>
      <c r="B42" s="2" t="s">
        <v>13</v>
      </c>
      <c r="C42" s="1"/>
      <c r="D42" s="5" t="s">
        <v>464</v>
      </c>
      <c r="E42" s="3">
        <v>212500</v>
      </c>
      <c r="F42" s="3" t="s">
        <v>465</v>
      </c>
      <c r="G42" s="57" t="str">
        <f t="shared" si="0"/>
        <v>-</v>
      </c>
    </row>
    <row r="43" spans="1:8" ht="25.5" x14ac:dyDescent="0.2">
      <c r="A43" s="1" t="s">
        <v>11</v>
      </c>
      <c r="B43" s="2" t="s">
        <v>14</v>
      </c>
      <c r="C43" s="29" t="s">
        <v>2697</v>
      </c>
      <c r="G43" s="57" t="str">
        <f t="shared" si="0"/>
        <v>-</v>
      </c>
    </row>
    <row r="44" spans="1:8" ht="25.5" x14ac:dyDescent="0.2">
      <c r="A44" s="1" t="s">
        <v>4</v>
      </c>
      <c r="B44" s="2" t="s">
        <v>15</v>
      </c>
      <c r="C44" s="1"/>
      <c r="D44" s="5" t="s">
        <v>450</v>
      </c>
      <c r="E44" s="3">
        <v>146683</v>
      </c>
      <c r="F44" s="3">
        <v>149580</v>
      </c>
      <c r="G44" s="57">
        <f t="shared" si="0"/>
        <v>1.9750073287293005E-2</v>
      </c>
      <c r="H44" s="5" t="s">
        <v>3647</v>
      </c>
    </row>
    <row r="45" spans="1:8" ht="25.5" x14ac:dyDescent="0.2">
      <c r="A45" s="1" t="s">
        <v>4</v>
      </c>
      <c r="B45" s="2" t="s">
        <v>15</v>
      </c>
      <c r="C45" s="1"/>
      <c r="D45" s="5" t="s">
        <v>1689</v>
      </c>
      <c r="E45" s="3">
        <v>103638</v>
      </c>
      <c r="F45" s="3">
        <v>106371</v>
      </c>
      <c r="G45" s="57">
        <f t="shared" si="0"/>
        <v>2.6370636253111791E-2</v>
      </c>
      <c r="H45" s="5" t="s">
        <v>3648</v>
      </c>
    </row>
    <row r="46" spans="1:8" ht="25.5" x14ac:dyDescent="0.2">
      <c r="A46" s="1" t="s">
        <v>4</v>
      </c>
      <c r="B46" s="2" t="s">
        <v>15</v>
      </c>
      <c r="C46" s="1"/>
      <c r="D46" s="5" t="s">
        <v>1690</v>
      </c>
      <c r="E46" s="3">
        <v>105610</v>
      </c>
      <c r="F46" s="3">
        <v>150151</v>
      </c>
      <c r="G46" s="57">
        <f t="shared" si="0"/>
        <v>0.42174983429599472</v>
      </c>
      <c r="H46" s="5" t="s">
        <v>4599</v>
      </c>
    </row>
    <row r="47" spans="1:8" x14ac:dyDescent="0.2">
      <c r="A47" s="1" t="s">
        <v>4</v>
      </c>
      <c r="B47" s="2" t="s">
        <v>15</v>
      </c>
      <c r="C47" s="1"/>
      <c r="D47" s="5" t="s">
        <v>464</v>
      </c>
      <c r="E47" s="3" t="s">
        <v>465</v>
      </c>
      <c r="F47" s="3">
        <v>157500</v>
      </c>
      <c r="G47" s="57" t="str">
        <f t="shared" si="0"/>
        <v>-</v>
      </c>
      <c r="H47" s="5" t="s">
        <v>1241</v>
      </c>
    </row>
    <row r="48" spans="1:8" s="13" customFormat="1" ht="51" x14ac:dyDescent="0.2">
      <c r="A48" s="13" t="s">
        <v>8</v>
      </c>
      <c r="B48" s="12" t="s">
        <v>16</v>
      </c>
      <c r="D48" s="7" t="s">
        <v>450</v>
      </c>
      <c r="E48" s="6">
        <v>107322</v>
      </c>
      <c r="F48" s="6">
        <v>116400</v>
      </c>
      <c r="G48" s="57">
        <f t="shared" si="0"/>
        <v>8.4586571252865214E-2</v>
      </c>
      <c r="H48" s="7" t="s">
        <v>4086</v>
      </c>
    </row>
    <row r="49" spans="1:8" s="13" customFormat="1" x14ac:dyDescent="0.2">
      <c r="A49" s="13" t="s">
        <v>8</v>
      </c>
      <c r="B49" s="12" t="s">
        <v>16</v>
      </c>
      <c r="D49" s="7" t="s">
        <v>4087</v>
      </c>
      <c r="E49" s="6">
        <v>133825</v>
      </c>
      <c r="F49" s="6" t="s">
        <v>465</v>
      </c>
      <c r="G49" s="57" t="str">
        <f t="shared" si="0"/>
        <v>-</v>
      </c>
      <c r="H49" s="7" t="s">
        <v>4088</v>
      </c>
    </row>
    <row r="50" spans="1:8" s="13" customFormat="1" ht="38.25" x14ac:dyDescent="0.2">
      <c r="A50" s="13" t="s">
        <v>4</v>
      </c>
      <c r="B50" s="12" t="s">
        <v>17</v>
      </c>
      <c r="D50" s="7" t="s">
        <v>450</v>
      </c>
      <c r="E50" s="6">
        <v>62916.2</v>
      </c>
      <c r="F50" s="6">
        <v>135352.79</v>
      </c>
      <c r="G50" s="57">
        <f t="shared" si="0"/>
        <v>1.151318579316615</v>
      </c>
      <c r="H50" s="7" t="s">
        <v>4089</v>
      </c>
    </row>
    <row r="51" spans="1:8" ht="25.5" x14ac:dyDescent="0.2">
      <c r="A51" s="13" t="s">
        <v>4</v>
      </c>
      <c r="B51" s="2" t="s">
        <v>17</v>
      </c>
      <c r="C51" s="1"/>
      <c r="D51" s="5" t="s">
        <v>455</v>
      </c>
      <c r="E51" s="3">
        <v>118284.02</v>
      </c>
      <c r="F51" s="3">
        <v>119362.79</v>
      </c>
      <c r="G51" s="57">
        <f t="shared" si="0"/>
        <v>9.1201668661581633E-3</v>
      </c>
      <c r="H51" s="5" t="s">
        <v>3649</v>
      </c>
    </row>
    <row r="52" spans="1:8" ht="25.5" x14ac:dyDescent="0.2">
      <c r="A52" s="13" t="s">
        <v>4</v>
      </c>
      <c r="B52" s="2" t="s">
        <v>17</v>
      </c>
      <c r="C52" s="1"/>
      <c r="D52" s="5" t="s">
        <v>1691</v>
      </c>
      <c r="E52" s="3">
        <v>113026.99</v>
      </c>
      <c r="F52" s="3">
        <v>113773.59</v>
      </c>
      <c r="G52" s="57">
        <f t="shared" si="0"/>
        <v>6.6055019248056701E-3</v>
      </c>
      <c r="H52" s="5" t="s">
        <v>3650</v>
      </c>
    </row>
    <row r="53" spans="1:8" ht="25.5" x14ac:dyDescent="0.2">
      <c r="A53" s="1" t="s">
        <v>4</v>
      </c>
      <c r="B53" s="2" t="s">
        <v>18</v>
      </c>
      <c r="C53" s="1" t="s">
        <v>3651</v>
      </c>
      <c r="D53" s="5" t="s">
        <v>450</v>
      </c>
      <c r="E53" s="3">
        <v>181000</v>
      </c>
      <c r="F53" s="3">
        <v>174000</v>
      </c>
      <c r="G53" s="57">
        <f t="shared" si="0"/>
        <v>-3.8674033149171269E-2</v>
      </c>
      <c r="H53" s="5" t="s">
        <v>3652</v>
      </c>
    </row>
    <row r="54" spans="1:8" x14ac:dyDescent="0.2">
      <c r="A54" s="1" t="s">
        <v>4</v>
      </c>
      <c r="B54" s="2" t="s">
        <v>18</v>
      </c>
      <c r="C54" s="1"/>
      <c r="D54" s="5" t="s">
        <v>666</v>
      </c>
      <c r="E54" s="3">
        <v>118000</v>
      </c>
      <c r="F54" s="3" t="s">
        <v>465</v>
      </c>
      <c r="G54" s="57" t="str">
        <f t="shared" si="0"/>
        <v>-</v>
      </c>
    </row>
    <row r="55" spans="1:8" ht="25.5" x14ac:dyDescent="0.2">
      <c r="A55" s="1" t="s">
        <v>4</v>
      </c>
      <c r="B55" s="2" t="s">
        <v>18</v>
      </c>
      <c r="C55" s="1"/>
      <c r="D55" s="5" t="s">
        <v>655</v>
      </c>
      <c r="E55" s="3">
        <v>122000</v>
      </c>
      <c r="F55" s="3">
        <v>88000</v>
      </c>
      <c r="G55" s="57">
        <f t="shared" si="0"/>
        <v>-0.27868852459016391</v>
      </c>
      <c r="H55" s="5" t="s">
        <v>3653</v>
      </c>
    </row>
    <row r="56" spans="1:8" s="13" customFormat="1" ht="25.5" x14ac:dyDescent="0.2">
      <c r="A56" s="1" t="s">
        <v>4</v>
      </c>
      <c r="B56" s="12" t="s">
        <v>18</v>
      </c>
      <c r="D56" s="7" t="s">
        <v>455</v>
      </c>
      <c r="E56" s="6" t="s">
        <v>465</v>
      </c>
      <c r="F56" s="6">
        <v>126000</v>
      </c>
      <c r="G56" s="57" t="str">
        <f t="shared" si="0"/>
        <v>-</v>
      </c>
      <c r="H56" s="7" t="s">
        <v>4099</v>
      </c>
    </row>
    <row r="57" spans="1:8" ht="25.5" x14ac:dyDescent="0.2">
      <c r="A57" s="1" t="s">
        <v>20</v>
      </c>
      <c r="B57" s="2" t="s">
        <v>19</v>
      </c>
      <c r="C57" s="1"/>
      <c r="D57" s="5" t="s">
        <v>450</v>
      </c>
      <c r="E57" s="3">
        <v>146945</v>
      </c>
      <c r="F57" s="3">
        <v>140543</v>
      </c>
      <c r="G57" s="57">
        <f t="shared" si="0"/>
        <v>-4.3567321106536459E-2</v>
      </c>
      <c r="H57" s="5" t="s">
        <v>3654</v>
      </c>
    </row>
    <row r="58" spans="1:8" ht="25.5" x14ac:dyDescent="0.2">
      <c r="A58" s="1" t="s">
        <v>20</v>
      </c>
      <c r="B58" s="2" t="s">
        <v>19</v>
      </c>
      <c r="C58" s="1"/>
      <c r="D58" s="5" t="s">
        <v>455</v>
      </c>
      <c r="E58" s="3">
        <v>113645</v>
      </c>
      <c r="F58" s="3">
        <v>110154</v>
      </c>
      <c r="G58" s="57">
        <f t="shared" si="0"/>
        <v>-3.0718465396629858E-2</v>
      </c>
      <c r="H58" s="5" t="s">
        <v>3655</v>
      </c>
    </row>
    <row r="59" spans="1:8" ht="25.5" x14ac:dyDescent="0.2">
      <c r="A59" s="1" t="s">
        <v>11</v>
      </c>
      <c r="B59" s="2" t="s">
        <v>21</v>
      </c>
      <c r="C59" s="29" t="s">
        <v>2697</v>
      </c>
      <c r="G59" s="57" t="str">
        <f t="shared" si="0"/>
        <v>-</v>
      </c>
    </row>
    <row r="60" spans="1:8" ht="25.5" x14ac:dyDescent="0.2">
      <c r="A60" s="1" t="s">
        <v>11</v>
      </c>
      <c r="B60" s="2" t="s">
        <v>22</v>
      </c>
      <c r="C60" s="29" t="s">
        <v>2697</v>
      </c>
      <c r="G60" s="57" t="str">
        <f t="shared" si="0"/>
        <v>-</v>
      </c>
    </row>
    <row r="61" spans="1:8" ht="25.5" x14ac:dyDescent="0.2">
      <c r="A61" s="1" t="s">
        <v>11</v>
      </c>
      <c r="B61" s="2" t="s">
        <v>23</v>
      </c>
      <c r="C61" s="29" t="s">
        <v>2697</v>
      </c>
      <c r="G61" s="57" t="str">
        <f t="shared" si="0"/>
        <v>-</v>
      </c>
    </row>
    <row r="62" spans="1:8" ht="51" x14ac:dyDescent="0.2">
      <c r="A62" s="1" t="s">
        <v>25</v>
      </c>
      <c r="B62" s="2" t="s">
        <v>24</v>
      </c>
      <c r="C62" s="1" t="s">
        <v>1695</v>
      </c>
      <c r="D62" s="5" t="s">
        <v>450</v>
      </c>
      <c r="E62" s="3">
        <v>224046</v>
      </c>
      <c r="F62" s="3">
        <v>192832</v>
      </c>
      <c r="G62" s="57">
        <f t="shared" si="0"/>
        <v>-0.13931960400989082</v>
      </c>
      <c r="H62" s="5" t="s">
        <v>4091</v>
      </c>
    </row>
    <row r="63" spans="1:8" ht="25.5" x14ac:dyDescent="0.2">
      <c r="A63" s="1" t="s">
        <v>25</v>
      </c>
      <c r="B63" s="2" t="s">
        <v>24</v>
      </c>
      <c r="C63" s="1"/>
      <c r="D63" s="5" t="s">
        <v>1692</v>
      </c>
      <c r="E63" s="3">
        <v>155863</v>
      </c>
      <c r="F63" s="3">
        <v>156286</v>
      </c>
      <c r="G63" s="57">
        <f t="shared" si="0"/>
        <v>2.7139218416173177E-3</v>
      </c>
      <c r="H63" s="5" t="s">
        <v>3656</v>
      </c>
    </row>
    <row r="64" spans="1:8" ht="25.5" x14ac:dyDescent="0.2">
      <c r="A64" s="1" t="s">
        <v>25</v>
      </c>
      <c r="B64" s="2" t="s">
        <v>24</v>
      </c>
      <c r="C64" s="1"/>
      <c r="D64" s="5" t="s">
        <v>1693</v>
      </c>
      <c r="E64" s="3">
        <v>149529</v>
      </c>
      <c r="F64" s="3">
        <v>157321</v>
      </c>
      <c r="G64" s="57">
        <f t="shared" si="0"/>
        <v>5.2110292986644734E-2</v>
      </c>
      <c r="H64" s="5" t="s">
        <v>3657</v>
      </c>
    </row>
    <row r="65" spans="1:8" ht="25.5" x14ac:dyDescent="0.2">
      <c r="A65" s="1" t="s">
        <v>25</v>
      </c>
      <c r="B65" s="2" t="s">
        <v>24</v>
      </c>
      <c r="C65" s="1"/>
      <c r="D65" s="5" t="s">
        <v>1694</v>
      </c>
      <c r="E65" s="3">
        <v>157388</v>
      </c>
      <c r="F65" s="3">
        <v>155313</v>
      </c>
      <c r="G65" s="57">
        <f t="shared" si="0"/>
        <v>-1.3183978448166316E-2</v>
      </c>
      <c r="H65" s="5" t="s">
        <v>3658</v>
      </c>
    </row>
    <row r="66" spans="1:8" s="13" customFormat="1" ht="25.5" x14ac:dyDescent="0.2">
      <c r="A66" s="1" t="s">
        <v>25</v>
      </c>
      <c r="B66" s="12" t="s">
        <v>24</v>
      </c>
      <c r="C66" s="1"/>
      <c r="D66" s="5" t="s">
        <v>1505</v>
      </c>
      <c r="E66" s="3">
        <v>42775</v>
      </c>
      <c r="F66" s="3">
        <v>172550</v>
      </c>
      <c r="G66" s="57">
        <f t="shared" si="0"/>
        <v>3.0338983050847457</v>
      </c>
      <c r="H66" s="5" t="s">
        <v>3659</v>
      </c>
    </row>
    <row r="67" spans="1:8" ht="25.5" x14ac:dyDescent="0.2">
      <c r="A67" s="1" t="s">
        <v>25</v>
      </c>
      <c r="B67" s="2" t="s">
        <v>24</v>
      </c>
      <c r="C67" s="13"/>
      <c r="D67" s="7" t="s">
        <v>1376</v>
      </c>
      <c r="E67" s="6">
        <v>155863</v>
      </c>
      <c r="F67" s="6" t="s">
        <v>465</v>
      </c>
      <c r="G67" s="57" t="str">
        <f t="shared" ref="G67:G130" si="1">IF(ISERROR((F67-E67)/E67),"-",(F67-E67)/E67)</f>
        <v>-</v>
      </c>
      <c r="H67" s="7" t="s">
        <v>4090</v>
      </c>
    </row>
    <row r="68" spans="1:8" s="13" customFormat="1" x14ac:dyDescent="0.2">
      <c r="A68" s="1" t="s">
        <v>25</v>
      </c>
      <c r="B68" s="12" t="s">
        <v>24</v>
      </c>
      <c r="D68" s="7" t="s">
        <v>464</v>
      </c>
      <c r="E68" s="6">
        <v>107500</v>
      </c>
      <c r="F68" s="6" t="s">
        <v>465</v>
      </c>
      <c r="G68" s="57" t="str">
        <f t="shared" si="1"/>
        <v>-</v>
      </c>
      <c r="H68" s="7"/>
    </row>
    <row r="69" spans="1:8" s="13" customFormat="1" x14ac:dyDescent="0.2">
      <c r="A69" s="1" t="s">
        <v>25</v>
      </c>
      <c r="B69" s="12" t="s">
        <v>24</v>
      </c>
      <c r="D69" s="7" t="s">
        <v>464</v>
      </c>
      <c r="E69" s="6">
        <v>107500</v>
      </c>
      <c r="F69" s="6" t="s">
        <v>465</v>
      </c>
      <c r="G69" s="57" t="str">
        <f t="shared" si="1"/>
        <v>-</v>
      </c>
      <c r="H69" s="7"/>
    </row>
    <row r="70" spans="1:8" s="13" customFormat="1" x14ac:dyDescent="0.2">
      <c r="A70" s="1" t="s">
        <v>25</v>
      </c>
      <c r="B70" s="12" t="s">
        <v>24</v>
      </c>
      <c r="D70" s="7" t="s">
        <v>464</v>
      </c>
      <c r="E70" s="6">
        <v>107500</v>
      </c>
      <c r="F70" s="6" t="s">
        <v>465</v>
      </c>
      <c r="G70" s="57" t="str">
        <f t="shared" si="1"/>
        <v>-</v>
      </c>
      <c r="H70" s="7"/>
    </row>
    <row r="71" spans="1:8" s="13" customFormat="1" x14ac:dyDescent="0.2">
      <c r="A71" s="1" t="s">
        <v>25</v>
      </c>
      <c r="B71" s="12" t="s">
        <v>24</v>
      </c>
      <c r="D71" s="7" t="s">
        <v>464</v>
      </c>
      <c r="E71" s="6" t="s">
        <v>465</v>
      </c>
      <c r="F71" s="6">
        <v>107500</v>
      </c>
      <c r="G71" s="57" t="str">
        <f t="shared" si="1"/>
        <v>-</v>
      </c>
      <c r="H71" s="7"/>
    </row>
    <row r="72" spans="1:8" s="13" customFormat="1" x14ac:dyDescent="0.2">
      <c r="A72" s="1" t="s">
        <v>25</v>
      </c>
      <c r="B72" s="12" t="s">
        <v>24</v>
      </c>
      <c r="D72" s="7" t="s">
        <v>464</v>
      </c>
      <c r="E72" s="6">
        <v>112500</v>
      </c>
      <c r="F72" s="6" t="s">
        <v>465</v>
      </c>
      <c r="G72" s="57" t="str">
        <f t="shared" si="1"/>
        <v>-</v>
      </c>
      <c r="H72" s="7"/>
    </row>
    <row r="73" spans="1:8" s="13" customFormat="1" x14ac:dyDescent="0.2">
      <c r="A73" s="1" t="s">
        <v>25</v>
      </c>
      <c r="B73" s="12" t="s">
        <v>24</v>
      </c>
      <c r="D73" s="7" t="s">
        <v>464</v>
      </c>
      <c r="E73" s="6" t="s">
        <v>465</v>
      </c>
      <c r="F73" s="6">
        <v>112500</v>
      </c>
      <c r="G73" s="57" t="str">
        <f t="shared" si="1"/>
        <v>-</v>
      </c>
      <c r="H73" s="7"/>
    </row>
    <row r="74" spans="1:8" s="13" customFormat="1" x14ac:dyDescent="0.2">
      <c r="A74" s="1" t="s">
        <v>25</v>
      </c>
      <c r="B74" s="12" t="s">
        <v>24</v>
      </c>
      <c r="D74" s="7" t="s">
        <v>464</v>
      </c>
      <c r="E74" s="6">
        <v>117500</v>
      </c>
      <c r="F74" s="6" t="s">
        <v>465</v>
      </c>
      <c r="G74" s="57" t="str">
        <f t="shared" si="1"/>
        <v>-</v>
      </c>
      <c r="H74" s="7"/>
    </row>
    <row r="75" spans="1:8" s="13" customFormat="1" x14ac:dyDescent="0.2">
      <c r="A75" s="1" t="s">
        <v>25</v>
      </c>
      <c r="B75" s="12" t="s">
        <v>24</v>
      </c>
      <c r="D75" s="7" t="s">
        <v>464</v>
      </c>
      <c r="E75" s="6" t="s">
        <v>465</v>
      </c>
      <c r="F75" s="6">
        <v>122500</v>
      </c>
      <c r="G75" s="57" t="str">
        <f t="shared" si="1"/>
        <v>-</v>
      </c>
      <c r="H75" s="7"/>
    </row>
    <row r="76" spans="1:8" s="13" customFormat="1" x14ac:dyDescent="0.2">
      <c r="A76" s="1" t="s">
        <v>25</v>
      </c>
      <c r="B76" s="12" t="s">
        <v>24</v>
      </c>
      <c r="D76" s="7" t="s">
        <v>464</v>
      </c>
      <c r="E76" s="6" t="s">
        <v>465</v>
      </c>
      <c r="F76" s="6">
        <v>142500</v>
      </c>
      <c r="G76" s="57" t="str">
        <f t="shared" si="1"/>
        <v>-</v>
      </c>
      <c r="H76" s="7"/>
    </row>
    <row r="77" spans="1:8" s="13" customFormat="1" x14ac:dyDescent="0.2">
      <c r="A77" s="1" t="s">
        <v>25</v>
      </c>
      <c r="B77" s="12" t="s">
        <v>24</v>
      </c>
      <c r="D77" s="7" t="s">
        <v>464</v>
      </c>
      <c r="E77" s="6" t="s">
        <v>465</v>
      </c>
      <c r="F77" s="6">
        <v>247500</v>
      </c>
      <c r="G77" s="57" t="str">
        <f t="shared" si="1"/>
        <v>-</v>
      </c>
      <c r="H77" s="7" t="s">
        <v>1241</v>
      </c>
    </row>
    <row r="78" spans="1:8" ht="25.5" x14ac:dyDescent="0.2">
      <c r="A78" s="1" t="s">
        <v>25</v>
      </c>
      <c r="B78" s="2" t="s">
        <v>26</v>
      </c>
      <c r="C78" s="1" t="s">
        <v>1696</v>
      </c>
      <c r="D78" s="5" t="s">
        <v>450</v>
      </c>
      <c r="E78" s="3">
        <v>249210</v>
      </c>
      <c r="F78" s="3">
        <v>250818</v>
      </c>
      <c r="G78" s="57">
        <f t="shared" si="1"/>
        <v>6.4523895509811004E-3</v>
      </c>
      <c r="H78" s="5" t="s">
        <v>3662</v>
      </c>
    </row>
    <row r="79" spans="1:8" ht="38.25" x14ac:dyDescent="0.2">
      <c r="A79" s="1" t="s">
        <v>25</v>
      </c>
      <c r="B79" s="2" t="s">
        <v>26</v>
      </c>
      <c r="C79" s="1" t="s">
        <v>1697</v>
      </c>
      <c r="D79" s="5" t="s">
        <v>1698</v>
      </c>
      <c r="E79" s="3">
        <v>221247</v>
      </c>
      <c r="F79" s="3">
        <v>388948</v>
      </c>
      <c r="G79" s="57">
        <f t="shared" si="1"/>
        <v>0.75798089917603406</v>
      </c>
      <c r="H79" s="5" t="s">
        <v>4093</v>
      </c>
    </row>
    <row r="80" spans="1:8" ht="25.5" x14ac:dyDescent="0.2">
      <c r="A80" s="1" t="s">
        <v>25</v>
      </c>
      <c r="B80" s="2" t="s">
        <v>26</v>
      </c>
      <c r="C80" s="1" t="s">
        <v>1699</v>
      </c>
      <c r="D80" s="5" t="s">
        <v>456</v>
      </c>
      <c r="E80" s="3">
        <v>171021</v>
      </c>
      <c r="F80" s="3">
        <v>206549</v>
      </c>
      <c r="G80" s="57">
        <f t="shared" si="1"/>
        <v>0.20774056987153625</v>
      </c>
      <c r="H80" s="5" t="s">
        <v>4098</v>
      </c>
    </row>
    <row r="81" spans="1:8" ht="63.75" x14ac:dyDescent="0.2">
      <c r="A81" s="1" t="s">
        <v>25</v>
      </c>
      <c r="B81" s="2" t="s">
        <v>26</v>
      </c>
      <c r="C81" s="1" t="s">
        <v>1700</v>
      </c>
      <c r="D81" s="5" t="s">
        <v>1701</v>
      </c>
      <c r="E81" s="3">
        <v>202306</v>
      </c>
      <c r="F81" s="3">
        <v>313234</v>
      </c>
      <c r="G81" s="57">
        <f t="shared" si="1"/>
        <v>0.54831789467440417</v>
      </c>
      <c r="H81" s="5" t="s">
        <v>4094</v>
      </c>
    </row>
    <row r="82" spans="1:8" s="13" customFormat="1" ht="25.5" x14ac:dyDescent="0.2">
      <c r="A82" s="1" t="s">
        <v>25</v>
      </c>
      <c r="B82" s="2" t="s">
        <v>26</v>
      </c>
      <c r="C82" s="13" t="s">
        <v>3663</v>
      </c>
      <c r="D82" s="7" t="s">
        <v>3664</v>
      </c>
      <c r="E82" s="8" t="s">
        <v>465</v>
      </c>
      <c r="F82" s="6">
        <v>206000</v>
      </c>
      <c r="G82" s="57" t="str">
        <f t="shared" si="1"/>
        <v>-</v>
      </c>
      <c r="H82" s="7" t="s">
        <v>4092</v>
      </c>
    </row>
    <row r="83" spans="1:8" ht="51" x14ac:dyDescent="0.2">
      <c r="A83" s="1" t="s">
        <v>25</v>
      </c>
      <c r="B83" s="2" t="s">
        <v>26</v>
      </c>
      <c r="C83" s="1"/>
      <c r="D83" s="5" t="s">
        <v>1702</v>
      </c>
      <c r="E83" s="6">
        <v>173365</v>
      </c>
      <c r="F83" s="3">
        <v>228206</v>
      </c>
      <c r="G83" s="57">
        <f t="shared" si="1"/>
        <v>0.31633259308395584</v>
      </c>
      <c r="H83" s="5" t="s">
        <v>4095</v>
      </c>
    </row>
    <row r="84" spans="1:8" ht="25.5" x14ac:dyDescent="0.2">
      <c r="A84" s="1" t="s">
        <v>25</v>
      </c>
      <c r="B84" s="2" t="s">
        <v>26</v>
      </c>
      <c r="C84" s="1"/>
      <c r="D84" s="5" t="s">
        <v>1703</v>
      </c>
      <c r="E84" s="6" t="s">
        <v>465</v>
      </c>
      <c r="F84" s="3">
        <v>215349</v>
      </c>
      <c r="G84" s="57" t="str">
        <f t="shared" si="1"/>
        <v>-</v>
      </c>
      <c r="H84" s="5" t="s">
        <v>3665</v>
      </c>
    </row>
    <row r="85" spans="1:8" ht="38.25" x14ac:dyDescent="0.2">
      <c r="A85" s="1" t="s">
        <v>25</v>
      </c>
      <c r="B85" s="2" t="s">
        <v>26</v>
      </c>
      <c r="C85" s="1"/>
      <c r="D85" s="5" t="s">
        <v>1704</v>
      </c>
      <c r="E85" s="6">
        <v>106185</v>
      </c>
      <c r="F85" s="3">
        <v>185108</v>
      </c>
      <c r="G85" s="57">
        <f t="shared" si="1"/>
        <v>0.74325940575410843</v>
      </c>
      <c r="H85" s="5" t="s">
        <v>4096</v>
      </c>
    </row>
    <row r="86" spans="1:8" ht="38.25" x14ac:dyDescent="0.2">
      <c r="A86" s="1" t="s">
        <v>25</v>
      </c>
      <c r="B86" s="2" t="s">
        <v>26</v>
      </c>
      <c r="C86" s="1"/>
      <c r="D86" s="5" t="s">
        <v>1705</v>
      </c>
      <c r="E86" s="6" t="s">
        <v>465</v>
      </c>
      <c r="F86" s="3">
        <v>181310</v>
      </c>
      <c r="G86" s="57" t="str">
        <f t="shared" si="1"/>
        <v>-</v>
      </c>
      <c r="H86" s="5" t="s">
        <v>4097</v>
      </c>
    </row>
    <row r="87" spans="1:8" ht="25.5" x14ac:dyDescent="0.2">
      <c r="A87" s="1" t="s">
        <v>25</v>
      </c>
      <c r="B87" s="2" t="s">
        <v>26</v>
      </c>
      <c r="C87" s="1"/>
      <c r="D87" s="5" t="s">
        <v>1706</v>
      </c>
      <c r="E87" s="6">
        <v>170535</v>
      </c>
      <c r="F87" s="3">
        <v>173722</v>
      </c>
      <c r="G87" s="57">
        <f t="shared" si="1"/>
        <v>1.8688245814642155E-2</v>
      </c>
      <c r="H87" s="5" t="s">
        <v>3666</v>
      </c>
    </row>
    <row r="88" spans="1:8" ht="25.5" x14ac:dyDescent="0.2">
      <c r="A88" s="1" t="s">
        <v>25</v>
      </c>
      <c r="B88" s="2" t="s">
        <v>26</v>
      </c>
      <c r="C88" s="1"/>
      <c r="D88" s="5" t="s">
        <v>790</v>
      </c>
      <c r="E88" s="6" t="s">
        <v>465</v>
      </c>
      <c r="F88" s="3">
        <v>173427</v>
      </c>
      <c r="G88" s="57" t="str">
        <f t="shared" si="1"/>
        <v>-</v>
      </c>
      <c r="H88" s="5" t="s">
        <v>3667</v>
      </c>
    </row>
    <row r="89" spans="1:8" ht="25.5" x14ac:dyDescent="0.2">
      <c r="A89" s="1" t="s">
        <v>25</v>
      </c>
      <c r="B89" s="2" t="s">
        <v>26</v>
      </c>
      <c r="C89" s="1"/>
      <c r="D89" s="5" t="s">
        <v>457</v>
      </c>
      <c r="E89" s="6" t="s">
        <v>465</v>
      </c>
      <c r="F89" s="3">
        <v>165335</v>
      </c>
      <c r="G89" s="57" t="str">
        <f t="shared" si="1"/>
        <v>-</v>
      </c>
      <c r="H89" s="5" t="s">
        <v>3668</v>
      </c>
    </row>
    <row r="90" spans="1:8" ht="25.5" x14ac:dyDescent="0.2">
      <c r="A90" s="1" t="s">
        <v>25</v>
      </c>
      <c r="B90" s="2" t="s">
        <v>26</v>
      </c>
      <c r="C90" s="1"/>
      <c r="D90" s="5" t="s">
        <v>1271</v>
      </c>
      <c r="E90" s="6">
        <v>164275</v>
      </c>
      <c r="F90" s="3">
        <v>165335</v>
      </c>
      <c r="G90" s="57">
        <f t="shared" si="1"/>
        <v>6.4525947344392029E-3</v>
      </c>
      <c r="H90" s="5" t="s">
        <v>3668</v>
      </c>
    </row>
    <row r="91" spans="1:8" s="13" customFormat="1" ht="38.25" x14ac:dyDescent="0.2">
      <c r="A91" s="1" t="s">
        <v>25</v>
      </c>
      <c r="B91" s="12" t="s">
        <v>26</v>
      </c>
      <c r="D91" s="7" t="s">
        <v>452</v>
      </c>
      <c r="E91" s="6" t="s">
        <v>465</v>
      </c>
      <c r="F91" s="6">
        <v>161491</v>
      </c>
      <c r="G91" s="57" t="str">
        <f t="shared" si="1"/>
        <v>-</v>
      </c>
      <c r="H91" s="7" t="s">
        <v>4101</v>
      </c>
    </row>
    <row r="92" spans="1:8" ht="25.5" x14ac:dyDescent="0.2">
      <c r="A92" s="1" t="s">
        <v>25</v>
      </c>
      <c r="B92" s="2" t="s">
        <v>26</v>
      </c>
      <c r="C92" s="1"/>
      <c r="D92" s="5" t="s">
        <v>1707</v>
      </c>
      <c r="E92" s="3" t="s">
        <v>465</v>
      </c>
      <c r="F92" s="3">
        <v>152273</v>
      </c>
      <c r="G92" s="57" t="str">
        <f t="shared" si="1"/>
        <v>-</v>
      </c>
      <c r="H92" s="5" t="s">
        <v>3669</v>
      </c>
    </row>
    <row r="93" spans="1:8" ht="25.5" x14ac:dyDescent="0.2">
      <c r="A93" s="1" t="s">
        <v>25</v>
      </c>
      <c r="B93" s="2" t="s">
        <v>26</v>
      </c>
      <c r="C93" s="1"/>
      <c r="D93" s="5" t="s">
        <v>1708</v>
      </c>
      <c r="E93" s="3" t="s">
        <v>465</v>
      </c>
      <c r="F93" s="3">
        <v>137193</v>
      </c>
      <c r="G93" s="57" t="str">
        <f t="shared" si="1"/>
        <v>-</v>
      </c>
      <c r="H93" s="5" t="s">
        <v>3670</v>
      </c>
    </row>
    <row r="94" spans="1:8" ht="25.5" x14ac:dyDescent="0.2">
      <c r="A94" s="1" t="s">
        <v>25</v>
      </c>
      <c r="B94" s="2" t="s">
        <v>26</v>
      </c>
      <c r="C94" s="1"/>
      <c r="D94" s="5" t="s">
        <v>1709</v>
      </c>
      <c r="E94" s="6">
        <v>128484</v>
      </c>
      <c r="F94" s="3">
        <v>134668</v>
      </c>
      <c r="G94" s="57">
        <f t="shared" si="1"/>
        <v>4.8130506522212881E-2</v>
      </c>
      <c r="H94" s="5" t="s">
        <v>3671</v>
      </c>
    </row>
    <row r="95" spans="1:8" ht="38.25" x14ac:dyDescent="0.2">
      <c r="A95" s="1" t="s">
        <v>25</v>
      </c>
      <c r="B95" s="2" t="s">
        <v>26</v>
      </c>
      <c r="C95" s="1"/>
      <c r="D95" s="5" t="s">
        <v>1710</v>
      </c>
      <c r="E95" s="6">
        <v>156344</v>
      </c>
      <c r="F95" s="3">
        <v>134668</v>
      </c>
      <c r="G95" s="57">
        <f t="shared" si="1"/>
        <v>-0.13864299237578673</v>
      </c>
      <c r="H95" s="5" t="s">
        <v>4102</v>
      </c>
    </row>
    <row r="96" spans="1:8" ht="25.5" x14ac:dyDescent="0.2">
      <c r="A96" s="1" t="s">
        <v>25</v>
      </c>
      <c r="B96" s="2" t="s">
        <v>26</v>
      </c>
      <c r="C96" s="1"/>
      <c r="D96" s="5" t="s">
        <v>1711</v>
      </c>
      <c r="E96" s="6" t="s">
        <v>465</v>
      </c>
      <c r="F96" s="3">
        <v>133975</v>
      </c>
      <c r="G96" s="57" t="str">
        <f t="shared" si="1"/>
        <v>-</v>
      </c>
      <c r="H96" s="5" t="s">
        <v>4100</v>
      </c>
    </row>
    <row r="97" spans="1:10" ht="25.5" x14ac:dyDescent="0.2">
      <c r="A97" s="1" t="s">
        <v>25</v>
      </c>
      <c r="B97" s="2" t="s">
        <v>26</v>
      </c>
      <c r="C97" s="1"/>
      <c r="D97" s="5" t="s">
        <v>1712</v>
      </c>
      <c r="E97" s="6">
        <v>105256</v>
      </c>
      <c r="F97" s="3">
        <v>130632</v>
      </c>
      <c r="G97" s="57">
        <f t="shared" si="1"/>
        <v>0.24108839401079274</v>
      </c>
      <c r="H97" s="5" t="s">
        <v>3672</v>
      </c>
    </row>
    <row r="98" spans="1:10" ht="25.5" x14ac:dyDescent="0.2">
      <c r="A98" s="1" t="s">
        <v>25</v>
      </c>
      <c r="B98" s="2" t="s">
        <v>26</v>
      </c>
      <c r="C98" s="1"/>
      <c r="D98" s="5" t="s">
        <v>1713</v>
      </c>
      <c r="E98" s="6" t="s">
        <v>465</v>
      </c>
      <c r="F98" s="3">
        <v>124245</v>
      </c>
      <c r="G98" s="57" t="str">
        <f t="shared" si="1"/>
        <v>-</v>
      </c>
      <c r="H98" s="5" t="s">
        <v>3673</v>
      </c>
    </row>
    <row r="99" spans="1:10" ht="25.5" x14ac:dyDescent="0.2">
      <c r="A99" s="1" t="s">
        <v>25</v>
      </c>
      <c r="B99" s="2" t="s">
        <v>26</v>
      </c>
      <c r="C99" s="1"/>
      <c r="D99" s="5" t="s">
        <v>1714</v>
      </c>
      <c r="E99" s="6" t="s">
        <v>465</v>
      </c>
      <c r="F99" s="3">
        <v>119143</v>
      </c>
      <c r="G99" s="57" t="str">
        <f t="shared" si="1"/>
        <v>-</v>
      </c>
      <c r="H99" s="5" t="s">
        <v>3674</v>
      </c>
    </row>
    <row r="100" spans="1:10" ht="25.5" x14ac:dyDescent="0.2">
      <c r="A100" s="1" t="s">
        <v>25</v>
      </c>
      <c r="B100" s="2" t="s">
        <v>26</v>
      </c>
      <c r="C100" s="1"/>
      <c r="D100" s="5" t="s">
        <v>1715</v>
      </c>
      <c r="E100" s="6" t="s">
        <v>465</v>
      </c>
      <c r="F100" s="3">
        <v>118574</v>
      </c>
      <c r="G100" s="57" t="str">
        <f t="shared" si="1"/>
        <v>-</v>
      </c>
      <c r="H100" s="5" t="s">
        <v>3675</v>
      </c>
    </row>
    <row r="101" spans="1:10" ht="25.5" x14ac:dyDescent="0.2">
      <c r="A101" s="1" t="s">
        <v>25</v>
      </c>
      <c r="B101" s="2" t="s">
        <v>26</v>
      </c>
      <c r="C101" s="1"/>
      <c r="D101" s="5" t="s">
        <v>1716</v>
      </c>
      <c r="E101" s="6" t="s">
        <v>465</v>
      </c>
      <c r="F101" s="3">
        <v>114912</v>
      </c>
      <c r="G101" s="57" t="str">
        <f t="shared" si="1"/>
        <v>-</v>
      </c>
      <c r="H101" s="5" t="s">
        <v>4103</v>
      </c>
    </row>
    <row r="102" spans="1:10" ht="25.5" x14ac:dyDescent="0.2">
      <c r="A102" s="1" t="s">
        <v>25</v>
      </c>
      <c r="B102" s="2" t="s">
        <v>26</v>
      </c>
      <c r="C102" s="1"/>
      <c r="D102" s="5" t="s">
        <v>1717</v>
      </c>
      <c r="E102" s="6">
        <v>107698</v>
      </c>
      <c r="F102" s="3">
        <v>113054</v>
      </c>
      <c r="G102" s="57">
        <f t="shared" si="1"/>
        <v>4.9731657040984978E-2</v>
      </c>
      <c r="H102" s="5" t="s">
        <v>3676</v>
      </c>
    </row>
    <row r="103" spans="1:10" ht="25.5" x14ac:dyDescent="0.2">
      <c r="A103" s="1" t="s">
        <v>25</v>
      </c>
      <c r="B103" s="2" t="s">
        <v>26</v>
      </c>
      <c r="C103" s="1"/>
      <c r="D103" s="5" t="s">
        <v>1718</v>
      </c>
      <c r="E103" s="3" t="s">
        <v>465</v>
      </c>
      <c r="F103" s="3">
        <v>111987</v>
      </c>
      <c r="G103" s="57" t="str">
        <f t="shared" si="1"/>
        <v>-</v>
      </c>
      <c r="H103" s="5" t="s">
        <v>3677</v>
      </c>
      <c r="J103" s="13"/>
    </row>
    <row r="104" spans="1:10" ht="25.5" x14ac:dyDescent="0.2">
      <c r="A104" s="1" t="s">
        <v>25</v>
      </c>
      <c r="B104" s="2" t="s">
        <v>26</v>
      </c>
      <c r="C104" s="1"/>
      <c r="D104" s="5" t="s">
        <v>1719</v>
      </c>
      <c r="E104" s="3" t="s">
        <v>465</v>
      </c>
      <c r="F104" s="3">
        <v>108355</v>
      </c>
      <c r="G104" s="57" t="str">
        <f t="shared" si="1"/>
        <v>-</v>
      </c>
      <c r="H104" s="5" t="s">
        <v>3678</v>
      </c>
    </row>
    <row r="105" spans="1:10" ht="25.5" x14ac:dyDescent="0.2">
      <c r="A105" s="1" t="s">
        <v>25</v>
      </c>
      <c r="B105" s="2" t="s">
        <v>26</v>
      </c>
      <c r="C105" s="1"/>
      <c r="D105" s="5" t="s">
        <v>1720</v>
      </c>
      <c r="E105" s="3" t="s">
        <v>465</v>
      </c>
      <c r="F105" s="3">
        <v>108355</v>
      </c>
      <c r="G105" s="57" t="str">
        <f t="shared" si="1"/>
        <v>-</v>
      </c>
      <c r="H105" s="5" t="s">
        <v>3678</v>
      </c>
    </row>
    <row r="106" spans="1:10" ht="25.5" x14ac:dyDescent="0.2">
      <c r="A106" s="1" t="s">
        <v>25</v>
      </c>
      <c r="B106" s="2" t="s">
        <v>26</v>
      </c>
      <c r="C106" s="1"/>
      <c r="D106" s="5" t="s">
        <v>1721</v>
      </c>
      <c r="E106" s="3" t="s">
        <v>465</v>
      </c>
      <c r="F106" s="3">
        <v>107782</v>
      </c>
      <c r="G106" s="57" t="str">
        <f t="shared" si="1"/>
        <v>-</v>
      </c>
      <c r="H106" s="5" t="s">
        <v>3679</v>
      </c>
    </row>
    <row r="107" spans="1:10" ht="25.5" x14ac:dyDescent="0.2">
      <c r="A107" s="1" t="s">
        <v>25</v>
      </c>
      <c r="B107" s="2" t="s">
        <v>26</v>
      </c>
      <c r="C107" s="1"/>
      <c r="D107" s="5" t="s">
        <v>3680</v>
      </c>
      <c r="E107" s="3" t="s">
        <v>465</v>
      </c>
      <c r="F107" s="3">
        <v>106704</v>
      </c>
      <c r="G107" s="57" t="str">
        <f t="shared" si="1"/>
        <v>-</v>
      </c>
      <c r="H107" s="5" t="s">
        <v>3681</v>
      </c>
    </row>
    <row r="108" spans="1:10" ht="38.25" x14ac:dyDescent="0.2">
      <c r="A108" s="1" t="s">
        <v>25</v>
      </c>
      <c r="B108" s="2" t="s">
        <v>26</v>
      </c>
      <c r="C108" s="1"/>
      <c r="D108" s="5" t="s">
        <v>3682</v>
      </c>
      <c r="E108" s="3" t="s">
        <v>465</v>
      </c>
      <c r="F108" s="3">
        <v>106701</v>
      </c>
      <c r="G108" s="57" t="str">
        <f t="shared" si="1"/>
        <v>-</v>
      </c>
      <c r="H108" s="5" t="s">
        <v>4104</v>
      </c>
    </row>
    <row r="109" spans="1:10" ht="25.5" x14ac:dyDescent="0.2">
      <c r="A109" s="1" t="s">
        <v>25</v>
      </c>
      <c r="B109" s="2" t="s">
        <v>26</v>
      </c>
      <c r="C109" s="1"/>
      <c r="D109" s="5" t="s">
        <v>1722</v>
      </c>
      <c r="E109" s="3" t="s">
        <v>465</v>
      </c>
      <c r="F109" s="3">
        <v>105204</v>
      </c>
      <c r="G109" s="57" t="str">
        <f t="shared" si="1"/>
        <v>-</v>
      </c>
      <c r="H109" s="5" t="s">
        <v>4105</v>
      </c>
    </row>
    <row r="110" spans="1:10" ht="25.5" x14ac:dyDescent="0.2">
      <c r="A110" s="1" t="s">
        <v>25</v>
      </c>
      <c r="B110" s="2" t="s">
        <v>26</v>
      </c>
      <c r="C110" s="1"/>
      <c r="D110" s="5" t="s">
        <v>1723</v>
      </c>
      <c r="E110" s="3" t="s">
        <v>465</v>
      </c>
      <c r="F110" s="3">
        <v>103327</v>
      </c>
      <c r="G110" s="57" t="str">
        <f t="shared" si="1"/>
        <v>-</v>
      </c>
      <c r="H110" s="5" t="s">
        <v>3683</v>
      </c>
    </row>
    <row r="111" spans="1:10" s="13" customFormat="1" x14ac:dyDescent="0.2">
      <c r="A111" s="1" t="s">
        <v>25</v>
      </c>
      <c r="B111" s="12" t="s">
        <v>26</v>
      </c>
      <c r="D111" s="7" t="s">
        <v>3684</v>
      </c>
      <c r="E111" s="6">
        <v>164290</v>
      </c>
      <c r="F111" s="6" t="s">
        <v>465</v>
      </c>
      <c r="G111" s="57" t="str">
        <f t="shared" si="1"/>
        <v>-</v>
      </c>
      <c r="H111" s="7"/>
    </row>
    <row r="112" spans="1:10" s="13" customFormat="1" x14ac:dyDescent="0.2">
      <c r="A112" s="1" t="s">
        <v>25</v>
      </c>
      <c r="B112" s="12" t="s">
        <v>26</v>
      </c>
      <c r="D112" s="7" t="s">
        <v>3685</v>
      </c>
      <c r="E112" s="6">
        <v>133304</v>
      </c>
      <c r="F112" s="6" t="s">
        <v>465</v>
      </c>
      <c r="G112" s="57" t="str">
        <f t="shared" si="1"/>
        <v>-</v>
      </c>
      <c r="H112" s="7"/>
    </row>
    <row r="113" spans="1:8" s="13" customFormat="1" x14ac:dyDescent="0.2">
      <c r="A113" s="1" t="s">
        <v>25</v>
      </c>
      <c r="B113" s="12" t="s">
        <v>26</v>
      </c>
      <c r="D113" s="7" t="s">
        <v>507</v>
      </c>
      <c r="E113" s="6">
        <v>123375</v>
      </c>
      <c r="F113" s="6" t="s">
        <v>465</v>
      </c>
      <c r="G113" s="57" t="str">
        <f t="shared" si="1"/>
        <v>-</v>
      </c>
      <c r="H113" s="7"/>
    </row>
    <row r="114" spans="1:8" s="13" customFormat="1" x14ac:dyDescent="0.2">
      <c r="A114" s="1" t="s">
        <v>25</v>
      </c>
      <c r="B114" s="12" t="s">
        <v>26</v>
      </c>
      <c r="D114" s="7" t="s">
        <v>4600</v>
      </c>
      <c r="E114" s="6">
        <v>124354</v>
      </c>
      <c r="F114" s="6" t="s">
        <v>465</v>
      </c>
      <c r="G114" s="57" t="str">
        <f t="shared" si="1"/>
        <v>-</v>
      </c>
      <c r="H114" s="7"/>
    </row>
    <row r="115" spans="1:8" s="13" customFormat="1" x14ac:dyDescent="0.2">
      <c r="A115" s="1" t="s">
        <v>25</v>
      </c>
      <c r="B115" s="12" t="s">
        <v>26</v>
      </c>
      <c r="D115" s="7" t="s">
        <v>3686</v>
      </c>
      <c r="E115" s="6">
        <v>123448</v>
      </c>
      <c r="F115" s="6" t="s">
        <v>465</v>
      </c>
      <c r="G115" s="57" t="str">
        <f t="shared" si="1"/>
        <v>-</v>
      </c>
      <c r="H115" s="7"/>
    </row>
    <row r="116" spans="1:8" s="13" customFormat="1" x14ac:dyDescent="0.2">
      <c r="A116" s="1" t="s">
        <v>25</v>
      </c>
      <c r="B116" s="12" t="s">
        <v>26</v>
      </c>
      <c r="D116" s="7" t="s">
        <v>3687</v>
      </c>
      <c r="E116" s="6">
        <v>120548</v>
      </c>
      <c r="F116" s="6" t="s">
        <v>465</v>
      </c>
      <c r="G116" s="57" t="str">
        <f t="shared" si="1"/>
        <v>-</v>
      </c>
      <c r="H116" s="7"/>
    </row>
    <row r="117" spans="1:8" s="13" customFormat="1" x14ac:dyDescent="0.2">
      <c r="A117" s="1" t="s">
        <v>25</v>
      </c>
      <c r="B117" s="12" t="s">
        <v>26</v>
      </c>
      <c r="D117" s="7" t="s">
        <v>3688</v>
      </c>
      <c r="E117" s="6">
        <v>116659</v>
      </c>
      <c r="F117" s="6" t="s">
        <v>465</v>
      </c>
      <c r="G117" s="57" t="str">
        <f t="shared" si="1"/>
        <v>-</v>
      </c>
      <c r="H117" s="7"/>
    </row>
    <row r="118" spans="1:8" s="13" customFormat="1" ht="25.5" x14ac:dyDescent="0.2">
      <c r="A118" s="1" t="s">
        <v>25</v>
      </c>
      <c r="B118" s="12" t="s">
        <v>26</v>
      </c>
      <c r="D118" s="7" t="s">
        <v>4107</v>
      </c>
      <c r="E118" s="6">
        <v>115622</v>
      </c>
      <c r="F118" s="6" t="s">
        <v>465</v>
      </c>
      <c r="G118" s="57" t="str">
        <f t="shared" si="1"/>
        <v>-</v>
      </c>
      <c r="H118" s="7"/>
    </row>
    <row r="119" spans="1:8" s="13" customFormat="1" x14ac:dyDescent="0.2">
      <c r="A119" s="1" t="s">
        <v>25</v>
      </c>
      <c r="B119" s="12" t="s">
        <v>26</v>
      </c>
      <c r="D119" s="7" t="s">
        <v>4108</v>
      </c>
      <c r="E119" s="6">
        <v>105367</v>
      </c>
      <c r="F119" s="6" t="s">
        <v>465</v>
      </c>
      <c r="G119" s="57" t="str">
        <f t="shared" si="1"/>
        <v>-</v>
      </c>
      <c r="H119" s="7"/>
    </row>
    <row r="120" spans="1:8" s="13" customFormat="1" x14ac:dyDescent="0.2">
      <c r="A120" s="1" t="s">
        <v>25</v>
      </c>
      <c r="B120" s="12" t="s">
        <v>26</v>
      </c>
      <c r="D120" s="7" t="s">
        <v>3689</v>
      </c>
      <c r="E120" s="6">
        <v>104833</v>
      </c>
      <c r="F120" s="6" t="s">
        <v>465</v>
      </c>
      <c r="G120" s="57" t="str">
        <f t="shared" si="1"/>
        <v>-</v>
      </c>
      <c r="H120" s="7"/>
    </row>
    <row r="121" spans="1:8" s="13" customFormat="1" x14ac:dyDescent="0.2">
      <c r="A121" s="1" t="s">
        <v>25</v>
      </c>
      <c r="B121" s="12" t="s">
        <v>26</v>
      </c>
      <c r="D121" s="7" t="s">
        <v>3690</v>
      </c>
      <c r="E121" s="6">
        <v>104982</v>
      </c>
      <c r="F121" s="6" t="s">
        <v>465</v>
      </c>
      <c r="G121" s="57" t="str">
        <f t="shared" si="1"/>
        <v>-</v>
      </c>
      <c r="H121" s="7"/>
    </row>
    <row r="122" spans="1:8" s="13" customFormat="1" ht="38.25" x14ac:dyDescent="0.2">
      <c r="A122" s="1" t="s">
        <v>25</v>
      </c>
      <c r="B122" s="12" t="s">
        <v>26</v>
      </c>
      <c r="D122" s="7" t="s">
        <v>3691</v>
      </c>
      <c r="E122" s="6">
        <v>104649</v>
      </c>
      <c r="F122" s="6">
        <v>59931</v>
      </c>
      <c r="G122" s="57">
        <f t="shared" si="1"/>
        <v>-0.42731416449273285</v>
      </c>
      <c r="H122" s="7" t="s">
        <v>4106</v>
      </c>
    </row>
    <row r="123" spans="1:8" s="13" customFormat="1" ht="38.25" x14ac:dyDescent="0.2">
      <c r="A123" s="1" t="s">
        <v>25</v>
      </c>
      <c r="B123" s="12" t="s">
        <v>26</v>
      </c>
      <c r="D123" s="7" t="s">
        <v>3692</v>
      </c>
      <c r="E123" s="6">
        <v>104069</v>
      </c>
      <c r="F123" s="6">
        <v>68278</v>
      </c>
      <c r="G123" s="57">
        <f t="shared" si="1"/>
        <v>-0.3439160556938185</v>
      </c>
      <c r="H123" s="7" t="s">
        <v>4109</v>
      </c>
    </row>
    <row r="124" spans="1:8" s="13" customFormat="1" x14ac:dyDescent="0.2">
      <c r="A124" s="1" t="s">
        <v>25</v>
      </c>
      <c r="B124" s="12" t="s">
        <v>26</v>
      </c>
      <c r="D124" s="7" t="s">
        <v>3693</v>
      </c>
      <c r="E124" s="6">
        <v>103061</v>
      </c>
      <c r="F124" s="6" t="s">
        <v>465</v>
      </c>
      <c r="G124" s="57" t="str">
        <f t="shared" si="1"/>
        <v>-</v>
      </c>
      <c r="H124" s="7"/>
    </row>
    <row r="125" spans="1:8" s="13" customFormat="1" x14ac:dyDescent="0.2">
      <c r="A125" s="1" t="s">
        <v>25</v>
      </c>
      <c r="B125" s="12" t="s">
        <v>26</v>
      </c>
      <c r="D125" s="7" t="s">
        <v>1717</v>
      </c>
      <c r="E125" s="6">
        <v>101148</v>
      </c>
      <c r="F125" s="6" t="s">
        <v>465</v>
      </c>
      <c r="G125" s="57" t="str">
        <f t="shared" si="1"/>
        <v>-</v>
      </c>
      <c r="H125" s="7"/>
    </row>
    <row r="126" spans="1:8" s="13" customFormat="1" x14ac:dyDescent="0.2">
      <c r="A126" s="1" t="s">
        <v>25</v>
      </c>
      <c r="B126" s="12" t="s">
        <v>26</v>
      </c>
      <c r="D126" s="7" t="s">
        <v>1450</v>
      </c>
      <c r="E126" s="6">
        <v>100641</v>
      </c>
      <c r="F126" s="6" t="s">
        <v>465</v>
      </c>
      <c r="G126" s="57" t="str">
        <f t="shared" si="1"/>
        <v>-</v>
      </c>
      <c r="H126" s="7"/>
    </row>
    <row r="127" spans="1:8" s="13" customFormat="1" x14ac:dyDescent="0.2">
      <c r="A127" s="1" t="s">
        <v>25</v>
      </c>
      <c r="B127" s="12" t="s">
        <v>26</v>
      </c>
      <c r="D127" s="7" t="s">
        <v>3694</v>
      </c>
      <c r="E127" s="6">
        <v>132348</v>
      </c>
      <c r="F127" s="6" t="s">
        <v>465</v>
      </c>
      <c r="G127" s="57" t="str">
        <f t="shared" si="1"/>
        <v>-</v>
      </c>
      <c r="H127" s="7"/>
    </row>
    <row r="128" spans="1:8" ht="38.25" x14ac:dyDescent="0.2">
      <c r="A128" s="1" t="s">
        <v>25</v>
      </c>
      <c r="B128" s="2" t="s">
        <v>26</v>
      </c>
      <c r="C128" s="1"/>
      <c r="D128" s="5" t="s">
        <v>1724</v>
      </c>
      <c r="E128" s="3" t="s">
        <v>465</v>
      </c>
      <c r="F128" s="3">
        <v>102981</v>
      </c>
      <c r="G128" s="57" t="str">
        <f t="shared" si="1"/>
        <v>-</v>
      </c>
      <c r="H128" s="5" t="s">
        <v>4110</v>
      </c>
    </row>
    <row r="129" spans="1:8" x14ac:dyDescent="0.2">
      <c r="A129" s="1" t="s">
        <v>25</v>
      </c>
      <c r="B129" s="2" t="s">
        <v>26</v>
      </c>
      <c r="C129" s="1"/>
      <c r="D129" s="5" t="s">
        <v>464</v>
      </c>
      <c r="E129" s="3">
        <v>102500</v>
      </c>
      <c r="F129" s="58" t="s">
        <v>465</v>
      </c>
      <c r="G129" s="57" t="str">
        <f t="shared" si="1"/>
        <v>-</v>
      </c>
      <c r="H129" s="1"/>
    </row>
    <row r="130" spans="1:8" x14ac:dyDescent="0.2">
      <c r="A130" s="1" t="s">
        <v>25</v>
      </c>
      <c r="B130" s="2" t="s">
        <v>26</v>
      </c>
      <c r="C130" s="1"/>
      <c r="D130" s="5" t="s">
        <v>464</v>
      </c>
      <c r="E130" s="3">
        <v>102500</v>
      </c>
      <c r="F130" s="58" t="s">
        <v>465</v>
      </c>
      <c r="G130" s="57" t="str">
        <f t="shared" si="1"/>
        <v>-</v>
      </c>
      <c r="H130" s="1"/>
    </row>
    <row r="131" spans="1:8" x14ac:dyDescent="0.2">
      <c r="A131" s="1" t="s">
        <v>25</v>
      </c>
      <c r="B131" s="2" t="s">
        <v>26</v>
      </c>
      <c r="C131" s="1"/>
      <c r="D131" s="5" t="s">
        <v>464</v>
      </c>
      <c r="E131" s="58" t="s">
        <v>465</v>
      </c>
      <c r="F131" s="3">
        <v>102500</v>
      </c>
      <c r="G131" s="57" t="str">
        <f t="shared" ref="G131:G194" si="2">IF(ISERROR((F131-E131)/E131),"-",(F131-E131)/E131)</f>
        <v>-</v>
      </c>
      <c r="H131" s="1"/>
    </row>
    <row r="132" spans="1:8" x14ac:dyDescent="0.2">
      <c r="A132" s="1" t="s">
        <v>25</v>
      </c>
      <c r="B132" s="2" t="s">
        <v>26</v>
      </c>
      <c r="C132" s="1"/>
      <c r="D132" s="5" t="s">
        <v>464</v>
      </c>
      <c r="E132" s="58" t="s">
        <v>465</v>
      </c>
      <c r="F132" s="3">
        <v>102500</v>
      </c>
      <c r="G132" s="57" t="str">
        <f t="shared" si="2"/>
        <v>-</v>
      </c>
      <c r="H132" s="1"/>
    </row>
    <row r="133" spans="1:8" x14ac:dyDescent="0.2">
      <c r="A133" s="1" t="s">
        <v>25</v>
      </c>
      <c r="B133" s="2" t="s">
        <v>26</v>
      </c>
      <c r="C133" s="1"/>
      <c r="D133" s="5" t="s">
        <v>464</v>
      </c>
      <c r="E133" s="58" t="s">
        <v>465</v>
      </c>
      <c r="F133" s="3">
        <v>102500</v>
      </c>
      <c r="G133" s="57" t="str">
        <f t="shared" si="2"/>
        <v>-</v>
      </c>
      <c r="H133" s="1"/>
    </row>
    <row r="134" spans="1:8" x14ac:dyDescent="0.2">
      <c r="A134" s="1" t="s">
        <v>25</v>
      </c>
      <c r="B134" s="2" t="s">
        <v>26</v>
      </c>
      <c r="C134" s="1"/>
      <c r="D134" s="5" t="s">
        <v>464</v>
      </c>
      <c r="E134" s="58" t="s">
        <v>465</v>
      </c>
      <c r="F134" s="3">
        <v>102500</v>
      </c>
      <c r="G134" s="57" t="str">
        <f t="shared" si="2"/>
        <v>-</v>
      </c>
      <c r="H134" s="1"/>
    </row>
    <row r="135" spans="1:8" x14ac:dyDescent="0.2">
      <c r="A135" s="1" t="s">
        <v>25</v>
      </c>
      <c r="B135" s="2" t="s">
        <v>26</v>
      </c>
      <c r="C135" s="1"/>
      <c r="D135" s="5" t="s">
        <v>464</v>
      </c>
      <c r="E135" s="3">
        <v>107500</v>
      </c>
      <c r="F135" s="58" t="s">
        <v>465</v>
      </c>
      <c r="G135" s="57" t="str">
        <f t="shared" si="2"/>
        <v>-</v>
      </c>
      <c r="H135" s="1"/>
    </row>
    <row r="136" spans="1:8" x14ac:dyDescent="0.2">
      <c r="A136" s="1" t="s">
        <v>25</v>
      </c>
      <c r="B136" s="2" t="s">
        <v>26</v>
      </c>
      <c r="C136" s="1"/>
      <c r="D136" s="5" t="s">
        <v>464</v>
      </c>
      <c r="E136" s="3">
        <v>107500</v>
      </c>
      <c r="F136" s="58" t="s">
        <v>465</v>
      </c>
      <c r="G136" s="57" t="str">
        <f t="shared" si="2"/>
        <v>-</v>
      </c>
      <c r="H136" s="1"/>
    </row>
    <row r="137" spans="1:8" x14ac:dyDescent="0.2">
      <c r="A137" s="1" t="s">
        <v>25</v>
      </c>
      <c r="B137" s="2" t="s">
        <v>26</v>
      </c>
      <c r="C137" s="1"/>
      <c r="D137" s="5" t="s">
        <v>464</v>
      </c>
      <c r="E137" s="3">
        <v>107500</v>
      </c>
      <c r="F137" s="58" t="s">
        <v>465</v>
      </c>
      <c r="G137" s="57" t="str">
        <f t="shared" si="2"/>
        <v>-</v>
      </c>
      <c r="H137" s="1"/>
    </row>
    <row r="138" spans="1:8" x14ac:dyDescent="0.2">
      <c r="A138" s="1" t="s">
        <v>25</v>
      </c>
      <c r="B138" s="2" t="s">
        <v>26</v>
      </c>
      <c r="C138" s="1"/>
      <c r="D138" s="5" t="s">
        <v>464</v>
      </c>
      <c r="E138" s="58" t="s">
        <v>465</v>
      </c>
      <c r="F138" s="3">
        <v>107500</v>
      </c>
      <c r="G138" s="57" t="str">
        <f t="shared" si="2"/>
        <v>-</v>
      </c>
      <c r="H138" s="1"/>
    </row>
    <row r="139" spans="1:8" x14ac:dyDescent="0.2">
      <c r="A139" s="1" t="s">
        <v>25</v>
      </c>
      <c r="B139" s="2" t="s">
        <v>26</v>
      </c>
      <c r="C139" s="1"/>
      <c r="D139" s="5" t="s">
        <v>464</v>
      </c>
      <c r="E139" s="58" t="s">
        <v>465</v>
      </c>
      <c r="F139" s="3">
        <v>112500</v>
      </c>
      <c r="G139" s="57" t="str">
        <f t="shared" si="2"/>
        <v>-</v>
      </c>
      <c r="H139" s="1"/>
    </row>
    <row r="140" spans="1:8" x14ac:dyDescent="0.2">
      <c r="A140" s="1" t="s">
        <v>25</v>
      </c>
      <c r="B140" s="2" t="s">
        <v>26</v>
      </c>
      <c r="C140" s="1"/>
      <c r="D140" s="5" t="s">
        <v>464</v>
      </c>
      <c r="E140" s="58" t="s">
        <v>465</v>
      </c>
      <c r="F140" s="3">
        <v>117500</v>
      </c>
      <c r="G140" s="57" t="str">
        <f t="shared" si="2"/>
        <v>-</v>
      </c>
      <c r="H140" s="1"/>
    </row>
    <row r="141" spans="1:8" x14ac:dyDescent="0.2">
      <c r="A141" s="1" t="s">
        <v>25</v>
      </c>
      <c r="B141" s="2" t="s">
        <v>26</v>
      </c>
      <c r="C141" s="1"/>
      <c r="D141" s="5" t="s">
        <v>464</v>
      </c>
      <c r="E141" s="58" t="s">
        <v>465</v>
      </c>
      <c r="F141" s="3">
        <v>117500</v>
      </c>
      <c r="G141" s="57" t="str">
        <f t="shared" si="2"/>
        <v>-</v>
      </c>
      <c r="H141" s="1"/>
    </row>
    <row r="142" spans="1:8" x14ac:dyDescent="0.2">
      <c r="A142" s="1" t="s">
        <v>25</v>
      </c>
      <c r="B142" s="2" t="s">
        <v>26</v>
      </c>
      <c r="C142" s="1"/>
      <c r="D142" s="5" t="s">
        <v>464</v>
      </c>
      <c r="E142" s="3">
        <v>117500</v>
      </c>
      <c r="F142" s="58" t="s">
        <v>465</v>
      </c>
      <c r="G142" s="57" t="str">
        <f t="shared" si="2"/>
        <v>-</v>
      </c>
      <c r="H142" s="1"/>
    </row>
    <row r="143" spans="1:8" x14ac:dyDescent="0.2">
      <c r="A143" s="1" t="s">
        <v>25</v>
      </c>
      <c r="B143" s="2" t="s">
        <v>26</v>
      </c>
      <c r="C143" s="1"/>
      <c r="D143" s="5" t="s">
        <v>464</v>
      </c>
      <c r="E143" s="3">
        <v>117500</v>
      </c>
      <c r="F143" s="58" t="s">
        <v>465</v>
      </c>
      <c r="G143" s="57" t="str">
        <f t="shared" si="2"/>
        <v>-</v>
      </c>
      <c r="H143" s="1"/>
    </row>
    <row r="144" spans="1:8" x14ac:dyDescent="0.2">
      <c r="A144" s="1" t="s">
        <v>25</v>
      </c>
      <c r="B144" s="2" t="s">
        <v>26</v>
      </c>
      <c r="C144" s="1"/>
      <c r="D144" s="5" t="s">
        <v>464</v>
      </c>
      <c r="E144" s="3">
        <v>117500</v>
      </c>
      <c r="F144" s="58" t="s">
        <v>465</v>
      </c>
      <c r="G144" s="57" t="str">
        <f t="shared" si="2"/>
        <v>-</v>
      </c>
      <c r="H144" s="1"/>
    </row>
    <row r="145" spans="1:8" x14ac:dyDescent="0.2">
      <c r="A145" s="1" t="s">
        <v>25</v>
      </c>
      <c r="B145" s="2" t="s">
        <v>26</v>
      </c>
      <c r="C145" s="1"/>
      <c r="D145" s="5" t="s">
        <v>464</v>
      </c>
      <c r="E145" s="3">
        <v>117500</v>
      </c>
      <c r="F145" s="58" t="s">
        <v>465</v>
      </c>
      <c r="G145" s="57" t="str">
        <f t="shared" si="2"/>
        <v>-</v>
      </c>
      <c r="H145" s="1"/>
    </row>
    <row r="146" spans="1:8" x14ac:dyDescent="0.2">
      <c r="A146" s="1" t="s">
        <v>25</v>
      </c>
      <c r="B146" s="2" t="s">
        <v>26</v>
      </c>
      <c r="C146" s="1"/>
      <c r="D146" s="5" t="s">
        <v>464</v>
      </c>
      <c r="E146" s="3">
        <v>117500</v>
      </c>
      <c r="F146" s="58" t="s">
        <v>465</v>
      </c>
      <c r="G146" s="57" t="str">
        <f t="shared" si="2"/>
        <v>-</v>
      </c>
      <c r="H146" s="1"/>
    </row>
    <row r="147" spans="1:8" x14ac:dyDescent="0.2">
      <c r="A147" s="1" t="s">
        <v>25</v>
      </c>
      <c r="B147" s="2" t="s">
        <v>26</v>
      </c>
      <c r="C147" s="1"/>
      <c r="D147" s="5" t="s">
        <v>464</v>
      </c>
      <c r="E147" s="3">
        <v>117500</v>
      </c>
      <c r="F147" s="58" t="s">
        <v>465</v>
      </c>
      <c r="G147" s="57" t="str">
        <f t="shared" si="2"/>
        <v>-</v>
      </c>
      <c r="H147" s="1"/>
    </row>
    <row r="148" spans="1:8" x14ac:dyDescent="0.2">
      <c r="A148" s="1" t="s">
        <v>25</v>
      </c>
      <c r="B148" s="2" t="s">
        <v>26</v>
      </c>
      <c r="C148" s="1"/>
      <c r="D148" s="5" t="s">
        <v>464</v>
      </c>
      <c r="E148" s="58" t="s">
        <v>465</v>
      </c>
      <c r="F148" s="3">
        <v>122500</v>
      </c>
      <c r="G148" s="57" t="str">
        <f t="shared" si="2"/>
        <v>-</v>
      </c>
      <c r="H148" s="1"/>
    </row>
    <row r="149" spans="1:8" x14ac:dyDescent="0.2">
      <c r="A149" s="1" t="s">
        <v>25</v>
      </c>
      <c r="B149" s="2" t="s">
        <v>26</v>
      </c>
      <c r="C149" s="1"/>
      <c r="D149" s="5" t="s">
        <v>464</v>
      </c>
      <c r="E149" s="3">
        <v>122500</v>
      </c>
      <c r="F149" s="58" t="s">
        <v>465</v>
      </c>
      <c r="G149" s="57" t="str">
        <f t="shared" si="2"/>
        <v>-</v>
      </c>
      <c r="H149" s="1"/>
    </row>
    <row r="150" spans="1:8" x14ac:dyDescent="0.2">
      <c r="A150" s="1" t="s">
        <v>25</v>
      </c>
      <c r="B150" s="2" t="s">
        <v>26</v>
      </c>
      <c r="C150" s="1"/>
      <c r="D150" s="5" t="s">
        <v>464</v>
      </c>
      <c r="E150" s="3">
        <v>122500</v>
      </c>
      <c r="F150" s="58" t="s">
        <v>465</v>
      </c>
      <c r="G150" s="57" t="str">
        <f t="shared" si="2"/>
        <v>-</v>
      </c>
      <c r="H150" s="1"/>
    </row>
    <row r="151" spans="1:8" x14ac:dyDescent="0.2">
      <c r="A151" s="1" t="s">
        <v>25</v>
      </c>
      <c r="B151" s="2" t="s">
        <v>26</v>
      </c>
      <c r="C151" s="1"/>
      <c r="D151" s="5" t="s">
        <v>464</v>
      </c>
      <c r="E151" s="3">
        <v>122500</v>
      </c>
      <c r="F151" s="58" t="s">
        <v>465</v>
      </c>
      <c r="G151" s="57" t="str">
        <f t="shared" si="2"/>
        <v>-</v>
      </c>
      <c r="H151" s="1"/>
    </row>
    <row r="152" spans="1:8" x14ac:dyDescent="0.2">
      <c r="A152" s="1" t="s">
        <v>25</v>
      </c>
      <c r="B152" s="2" t="s">
        <v>26</v>
      </c>
      <c r="C152" s="1"/>
      <c r="D152" s="5" t="s">
        <v>464</v>
      </c>
      <c r="E152" s="3">
        <v>122500</v>
      </c>
      <c r="F152" s="58" t="s">
        <v>465</v>
      </c>
      <c r="G152" s="57" t="str">
        <f t="shared" si="2"/>
        <v>-</v>
      </c>
      <c r="H152" s="1"/>
    </row>
    <row r="153" spans="1:8" x14ac:dyDescent="0.2">
      <c r="A153" s="1" t="s">
        <v>25</v>
      </c>
      <c r="B153" s="2" t="s">
        <v>26</v>
      </c>
      <c r="C153" s="1"/>
      <c r="D153" s="5" t="s">
        <v>464</v>
      </c>
      <c r="E153" s="58" t="s">
        <v>465</v>
      </c>
      <c r="F153" s="3">
        <v>127500</v>
      </c>
      <c r="G153" s="57" t="str">
        <f t="shared" si="2"/>
        <v>-</v>
      </c>
      <c r="H153" s="1"/>
    </row>
    <row r="154" spans="1:8" x14ac:dyDescent="0.2">
      <c r="A154" s="1" t="s">
        <v>25</v>
      </c>
      <c r="B154" s="2" t="s">
        <v>26</v>
      </c>
      <c r="C154" s="1"/>
      <c r="D154" s="5" t="s">
        <v>464</v>
      </c>
      <c r="E154" s="58" t="s">
        <v>465</v>
      </c>
      <c r="F154" s="3">
        <v>127500</v>
      </c>
      <c r="G154" s="57" t="str">
        <f t="shared" si="2"/>
        <v>-</v>
      </c>
      <c r="H154" s="1"/>
    </row>
    <row r="155" spans="1:8" x14ac:dyDescent="0.2">
      <c r="A155" s="1" t="s">
        <v>25</v>
      </c>
      <c r="B155" s="2" t="s">
        <v>26</v>
      </c>
      <c r="C155" s="1"/>
      <c r="D155" s="5" t="s">
        <v>464</v>
      </c>
      <c r="E155" s="3">
        <v>137500</v>
      </c>
      <c r="F155" s="58" t="s">
        <v>465</v>
      </c>
      <c r="G155" s="57" t="str">
        <f t="shared" si="2"/>
        <v>-</v>
      </c>
      <c r="H155" s="1"/>
    </row>
    <row r="156" spans="1:8" x14ac:dyDescent="0.2">
      <c r="A156" s="1" t="s">
        <v>25</v>
      </c>
      <c r="B156" s="2" t="s">
        <v>26</v>
      </c>
      <c r="C156" s="1"/>
      <c r="D156" s="5" t="s">
        <v>464</v>
      </c>
      <c r="E156" s="3">
        <v>147500</v>
      </c>
      <c r="F156" s="58" t="s">
        <v>465</v>
      </c>
      <c r="G156" s="57" t="str">
        <f t="shared" si="2"/>
        <v>-</v>
      </c>
      <c r="H156" s="1"/>
    </row>
    <row r="157" spans="1:8" x14ac:dyDescent="0.2">
      <c r="A157" s="1" t="s">
        <v>25</v>
      </c>
      <c r="B157" s="2" t="s">
        <v>26</v>
      </c>
      <c r="C157" s="1"/>
      <c r="D157" s="5" t="s">
        <v>464</v>
      </c>
      <c r="E157" s="3">
        <v>147500</v>
      </c>
      <c r="F157" s="58" t="s">
        <v>465</v>
      </c>
      <c r="G157" s="57" t="str">
        <f t="shared" si="2"/>
        <v>-</v>
      </c>
      <c r="H157" s="1"/>
    </row>
    <row r="158" spans="1:8" x14ac:dyDescent="0.2">
      <c r="A158" s="1" t="s">
        <v>25</v>
      </c>
      <c r="B158" s="2" t="s">
        <v>26</v>
      </c>
      <c r="C158" s="1"/>
      <c r="D158" s="5" t="s">
        <v>464</v>
      </c>
      <c r="E158" s="58" t="s">
        <v>465</v>
      </c>
      <c r="F158" s="3">
        <v>147500</v>
      </c>
      <c r="G158" s="57" t="str">
        <f t="shared" si="2"/>
        <v>-</v>
      </c>
      <c r="H158" s="1"/>
    </row>
    <row r="159" spans="1:8" x14ac:dyDescent="0.2">
      <c r="A159" s="1" t="s">
        <v>25</v>
      </c>
      <c r="B159" s="2" t="s">
        <v>26</v>
      </c>
      <c r="C159" s="1"/>
      <c r="D159" s="5" t="s">
        <v>464</v>
      </c>
      <c r="E159" s="58" t="s">
        <v>465</v>
      </c>
      <c r="F159" s="3">
        <v>147500</v>
      </c>
      <c r="G159" s="57" t="str">
        <f t="shared" si="2"/>
        <v>-</v>
      </c>
    </row>
    <row r="160" spans="1:8" x14ac:dyDescent="0.2">
      <c r="A160" s="1" t="s">
        <v>25</v>
      </c>
      <c r="B160" s="2" t="s">
        <v>26</v>
      </c>
      <c r="C160" s="1"/>
      <c r="D160" s="5" t="s">
        <v>464</v>
      </c>
      <c r="E160" s="3" t="s">
        <v>935</v>
      </c>
      <c r="F160" s="58" t="s">
        <v>465</v>
      </c>
      <c r="G160" s="57" t="str">
        <f t="shared" si="2"/>
        <v>-</v>
      </c>
    </row>
    <row r="161" spans="1:8" x14ac:dyDescent="0.2">
      <c r="A161" s="1" t="s">
        <v>25</v>
      </c>
      <c r="B161" s="2" t="s">
        <v>26</v>
      </c>
      <c r="C161" s="1"/>
      <c r="D161" s="5" t="s">
        <v>464</v>
      </c>
      <c r="E161" s="3" t="s">
        <v>935</v>
      </c>
      <c r="F161" s="58" t="s">
        <v>465</v>
      </c>
      <c r="G161" s="57" t="str">
        <f t="shared" si="2"/>
        <v>-</v>
      </c>
    </row>
    <row r="162" spans="1:8" x14ac:dyDescent="0.2">
      <c r="A162" s="1" t="s">
        <v>25</v>
      </c>
      <c r="B162" s="2" t="s">
        <v>26</v>
      </c>
      <c r="C162" s="1"/>
      <c r="D162" s="5" t="s">
        <v>464</v>
      </c>
      <c r="E162" s="3" t="s">
        <v>935</v>
      </c>
      <c r="F162" s="58" t="s">
        <v>465</v>
      </c>
      <c r="G162" s="57" t="str">
        <f t="shared" si="2"/>
        <v>-</v>
      </c>
    </row>
    <row r="163" spans="1:8" x14ac:dyDescent="0.2">
      <c r="A163" s="1" t="s">
        <v>25</v>
      </c>
      <c r="B163" s="2" t="s">
        <v>26</v>
      </c>
      <c r="C163" s="1"/>
      <c r="D163" s="5" t="s">
        <v>464</v>
      </c>
      <c r="E163" s="3" t="s">
        <v>935</v>
      </c>
      <c r="F163" s="58" t="s">
        <v>465</v>
      </c>
      <c r="G163" s="57" t="str">
        <f t="shared" si="2"/>
        <v>-</v>
      </c>
    </row>
    <row r="164" spans="1:8" x14ac:dyDescent="0.2">
      <c r="A164" s="1" t="s">
        <v>25</v>
      </c>
      <c r="B164" s="2" t="s">
        <v>26</v>
      </c>
      <c r="C164" s="1"/>
      <c r="D164" s="5" t="s">
        <v>464</v>
      </c>
      <c r="E164" s="3" t="s">
        <v>935</v>
      </c>
      <c r="F164" s="58" t="s">
        <v>465</v>
      </c>
      <c r="G164" s="57" t="str">
        <f t="shared" si="2"/>
        <v>-</v>
      </c>
    </row>
    <row r="165" spans="1:8" ht="25.5" x14ac:dyDescent="0.2">
      <c r="A165" s="1" t="s">
        <v>28</v>
      </c>
      <c r="B165" s="2" t="s">
        <v>27</v>
      </c>
      <c r="C165" s="1"/>
      <c r="D165" s="5" t="s">
        <v>450</v>
      </c>
      <c r="E165" s="3">
        <v>161000</v>
      </c>
      <c r="F165" s="3">
        <v>167000</v>
      </c>
      <c r="G165" s="57">
        <f t="shared" si="2"/>
        <v>3.7267080745341616E-2</v>
      </c>
      <c r="H165" s="7" t="s">
        <v>4111</v>
      </c>
    </row>
    <row r="166" spans="1:8" ht="25.5" x14ac:dyDescent="0.2">
      <c r="A166" s="1" t="s">
        <v>28</v>
      </c>
      <c r="B166" s="2" t="s">
        <v>27</v>
      </c>
      <c r="C166" s="1"/>
      <c r="D166" s="5" t="s">
        <v>1725</v>
      </c>
      <c r="E166" s="3">
        <v>141000</v>
      </c>
      <c r="F166" s="3">
        <v>136000</v>
      </c>
      <c r="G166" s="57">
        <f t="shared" si="2"/>
        <v>-3.5460992907801421E-2</v>
      </c>
      <c r="H166" s="7" t="s">
        <v>4112</v>
      </c>
    </row>
    <row r="167" spans="1:8" ht="25.5" x14ac:dyDescent="0.2">
      <c r="A167" s="1" t="s">
        <v>28</v>
      </c>
      <c r="B167" s="2" t="s">
        <v>27</v>
      </c>
      <c r="C167" s="1"/>
      <c r="D167" s="5" t="s">
        <v>1726</v>
      </c>
      <c r="E167" s="3">
        <v>131000</v>
      </c>
      <c r="F167" s="3">
        <v>132000</v>
      </c>
      <c r="G167" s="57">
        <f t="shared" si="2"/>
        <v>7.6335877862595417E-3</v>
      </c>
      <c r="H167" s="7" t="s">
        <v>4113</v>
      </c>
    </row>
    <row r="168" spans="1:8" x14ac:dyDescent="0.2">
      <c r="A168" s="1" t="s">
        <v>28</v>
      </c>
      <c r="B168" s="2" t="s">
        <v>27</v>
      </c>
      <c r="C168" s="1"/>
      <c r="D168" s="5" t="s">
        <v>1727</v>
      </c>
      <c r="E168" s="3">
        <v>119000</v>
      </c>
      <c r="F168" s="3">
        <v>119000</v>
      </c>
      <c r="G168" s="57">
        <f t="shared" si="2"/>
        <v>0</v>
      </c>
      <c r="H168" s="7" t="s">
        <v>4114</v>
      </c>
    </row>
    <row r="169" spans="1:8" x14ac:dyDescent="0.2">
      <c r="A169" s="1" t="s">
        <v>28</v>
      </c>
      <c r="B169" s="2" t="s">
        <v>27</v>
      </c>
      <c r="C169" s="1"/>
      <c r="D169" s="5" t="s">
        <v>1728</v>
      </c>
      <c r="E169" s="3">
        <v>119000</v>
      </c>
      <c r="F169" s="3">
        <v>119000</v>
      </c>
      <c r="G169" s="57">
        <f t="shared" si="2"/>
        <v>0</v>
      </c>
      <c r="H169" s="7" t="s">
        <v>4114</v>
      </c>
    </row>
    <row r="170" spans="1:8" x14ac:dyDescent="0.2">
      <c r="A170" s="1" t="s">
        <v>28</v>
      </c>
      <c r="B170" s="2" t="s">
        <v>27</v>
      </c>
      <c r="C170" s="1"/>
      <c r="D170" s="5" t="s">
        <v>1729</v>
      </c>
      <c r="E170" s="3">
        <v>119000</v>
      </c>
      <c r="F170" s="3">
        <v>119000</v>
      </c>
      <c r="G170" s="57">
        <f t="shared" si="2"/>
        <v>0</v>
      </c>
      <c r="H170" s="7" t="s">
        <v>4114</v>
      </c>
    </row>
    <row r="171" spans="1:8" s="13" customFormat="1" x14ac:dyDescent="0.2">
      <c r="A171" s="1" t="s">
        <v>28</v>
      </c>
      <c r="B171" s="12" t="s">
        <v>27</v>
      </c>
      <c r="D171" s="7" t="s">
        <v>3695</v>
      </c>
      <c r="E171" s="6">
        <v>119000</v>
      </c>
      <c r="F171" s="6">
        <v>58000</v>
      </c>
      <c r="G171" s="57">
        <f t="shared" si="2"/>
        <v>-0.51260504201680668</v>
      </c>
      <c r="H171" s="7" t="s">
        <v>3696</v>
      </c>
    </row>
    <row r="172" spans="1:8" s="13" customFormat="1" x14ac:dyDescent="0.2">
      <c r="A172" s="1" t="s">
        <v>28</v>
      </c>
      <c r="B172" s="12" t="s">
        <v>27</v>
      </c>
      <c r="D172" s="7" t="s">
        <v>1730</v>
      </c>
      <c r="E172" s="6">
        <v>105000</v>
      </c>
      <c r="F172" s="6">
        <v>105000</v>
      </c>
      <c r="G172" s="57">
        <f t="shared" si="2"/>
        <v>0</v>
      </c>
      <c r="H172" s="7" t="s">
        <v>4115</v>
      </c>
    </row>
    <row r="173" spans="1:8" x14ac:dyDescent="0.2">
      <c r="A173" s="1" t="s">
        <v>6</v>
      </c>
      <c r="B173" s="2" t="s">
        <v>29</v>
      </c>
      <c r="C173" s="1"/>
      <c r="D173" s="5" t="s">
        <v>450</v>
      </c>
      <c r="E173" s="3">
        <v>110000</v>
      </c>
      <c r="F173" s="3">
        <v>111000</v>
      </c>
      <c r="G173" s="57">
        <f t="shared" si="2"/>
        <v>9.0909090909090905E-3</v>
      </c>
      <c r="H173" s="7" t="s">
        <v>4116</v>
      </c>
    </row>
    <row r="174" spans="1:8" ht="38.25" x14ac:dyDescent="0.2">
      <c r="A174" s="1" t="s">
        <v>20</v>
      </c>
      <c r="B174" s="2" t="s">
        <v>30</v>
      </c>
      <c r="C174" s="1" t="s">
        <v>1731</v>
      </c>
      <c r="D174" s="5" t="s">
        <v>450</v>
      </c>
      <c r="E174" s="3">
        <v>227968</v>
      </c>
      <c r="F174" s="3">
        <v>232820</v>
      </c>
      <c r="G174" s="57">
        <f t="shared" si="2"/>
        <v>2.1283688938798426E-2</v>
      </c>
      <c r="H174" s="7" t="s">
        <v>4117</v>
      </c>
    </row>
    <row r="175" spans="1:8" s="13" customFormat="1" ht="38.25" x14ac:dyDescent="0.2">
      <c r="A175" s="1" t="s">
        <v>20</v>
      </c>
      <c r="B175" s="12" t="s">
        <v>30</v>
      </c>
      <c r="D175" s="7" t="s">
        <v>529</v>
      </c>
      <c r="E175" s="6">
        <v>156581</v>
      </c>
      <c r="F175" s="6">
        <v>155462</v>
      </c>
      <c r="G175" s="57">
        <f t="shared" si="2"/>
        <v>-7.1464609371507401E-3</v>
      </c>
      <c r="H175" s="7" t="s">
        <v>4118</v>
      </c>
    </row>
    <row r="176" spans="1:8" s="13" customFormat="1" ht="38.25" x14ac:dyDescent="0.2">
      <c r="A176" s="1" t="s">
        <v>20</v>
      </c>
      <c r="B176" s="12" t="s">
        <v>30</v>
      </c>
      <c r="D176" s="7" t="s">
        <v>529</v>
      </c>
      <c r="E176" s="6">
        <v>155612</v>
      </c>
      <c r="F176" s="6">
        <v>167035</v>
      </c>
      <c r="G176" s="57">
        <f t="shared" si="2"/>
        <v>7.3406935197799658E-2</v>
      </c>
      <c r="H176" s="7" t="s">
        <v>4119</v>
      </c>
    </row>
    <row r="177" spans="1:8" s="13" customFormat="1" ht="25.5" x14ac:dyDescent="0.2">
      <c r="A177" s="1" t="s">
        <v>20</v>
      </c>
      <c r="B177" s="12" t="s">
        <v>30</v>
      </c>
      <c r="D177" s="7" t="s">
        <v>529</v>
      </c>
      <c r="E177" s="6">
        <v>9886</v>
      </c>
      <c r="F177" s="6">
        <v>124684</v>
      </c>
      <c r="G177" s="57">
        <f t="shared" si="2"/>
        <v>11.612178838761885</v>
      </c>
      <c r="H177" s="7" t="s">
        <v>4120</v>
      </c>
    </row>
    <row r="178" spans="1:8" s="13" customFormat="1" ht="38.25" x14ac:dyDescent="0.2">
      <c r="A178" s="1" t="s">
        <v>20</v>
      </c>
      <c r="B178" s="12" t="s">
        <v>30</v>
      </c>
      <c r="D178" s="7" t="s">
        <v>1732</v>
      </c>
      <c r="E178" s="6">
        <v>101322</v>
      </c>
      <c r="F178" s="6">
        <v>102918</v>
      </c>
      <c r="G178" s="57">
        <f t="shared" si="2"/>
        <v>1.575176171019127E-2</v>
      </c>
      <c r="H178" s="7" t="s">
        <v>4121</v>
      </c>
    </row>
    <row r="179" spans="1:8" s="13" customFormat="1" ht="38.25" x14ac:dyDescent="0.2">
      <c r="A179" s="1" t="s">
        <v>20</v>
      </c>
      <c r="B179" s="12" t="s">
        <v>30</v>
      </c>
      <c r="D179" s="7" t="s">
        <v>1449</v>
      </c>
      <c r="E179" s="6">
        <v>100302</v>
      </c>
      <c r="F179" s="6">
        <v>104170</v>
      </c>
      <c r="G179" s="57">
        <f t="shared" si="2"/>
        <v>3.856353811489302E-2</v>
      </c>
      <c r="H179" s="7" t="s">
        <v>4122</v>
      </c>
    </row>
    <row r="180" spans="1:8" ht="38.25" x14ac:dyDescent="0.2">
      <c r="A180" s="1" t="s">
        <v>20</v>
      </c>
      <c r="B180" s="2" t="s">
        <v>30</v>
      </c>
      <c r="C180" s="1"/>
      <c r="D180" s="5" t="s">
        <v>1733</v>
      </c>
      <c r="E180" s="3">
        <v>98114</v>
      </c>
      <c r="F180" s="3">
        <v>101030</v>
      </c>
      <c r="G180" s="57">
        <f t="shared" si="2"/>
        <v>2.9720529180341234E-2</v>
      </c>
      <c r="H180" s="7" t="s">
        <v>4123</v>
      </c>
    </row>
    <row r="181" spans="1:8" ht="25.5" x14ac:dyDescent="0.2">
      <c r="A181" s="1" t="s">
        <v>4</v>
      </c>
      <c r="B181" s="2" t="s">
        <v>31</v>
      </c>
      <c r="C181" s="1"/>
      <c r="D181" s="5" t="s">
        <v>450</v>
      </c>
      <c r="E181" s="3">
        <v>139470</v>
      </c>
      <c r="F181" s="3">
        <v>142574</v>
      </c>
      <c r="G181" s="57">
        <f t="shared" si="2"/>
        <v>2.2255682225568223E-2</v>
      </c>
      <c r="H181" s="7" t="s">
        <v>4124</v>
      </c>
    </row>
    <row r="182" spans="1:8" ht="38.25" x14ac:dyDescent="0.2">
      <c r="A182" s="1" t="s">
        <v>4</v>
      </c>
      <c r="B182" s="2" t="s">
        <v>31</v>
      </c>
      <c r="C182" s="1"/>
      <c r="D182" s="5" t="s">
        <v>468</v>
      </c>
      <c r="E182" s="3">
        <v>125214</v>
      </c>
      <c r="F182" s="3">
        <v>131276</v>
      </c>
      <c r="G182" s="57">
        <f t="shared" si="2"/>
        <v>4.8413116744134045E-2</v>
      </c>
      <c r="H182" s="7" t="s">
        <v>4125</v>
      </c>
    </row>
    <row r="183" spans="1:8" ht="25.5" x14ac:dyDescent="0.2">
      <c r="A183" s="1" t="s">
        <v>4</v>
      </c>
      <c r="B183" s="2" t="s">
        <v>31</v>
      </c>
      <c r="C183" s="1"/>
      <c r="D183" s="5" t="s">
        <v>1734</v>
      </c>
      <c r="E183" s="3">
        <v>112532</v>
      </c>
      <c r="F183" s="3">
        <v>112173</v>
      </c>
      <c r="G183" s="57">
        <f t="shared" si="2"/>
        <v>-3.1902036753989975E-3</v>
      </c>
      <c r="H183" s="7" t="s">
        <v>4126</v>
      </c>
    </row>
    <row r="184" spans="1:8" s="13" customFormat="1" ht="25.5" x14ac:dyDescent="0.2">
      <c r="A184" s="1" t="s">
        <v>4</v>
      </c>
      <c r="B184" s="2" t="s">
        <v>31</v>
      </c>
      <c r="D184" s="7" t="s">
        <v>4127</v>
      </c>
      <c r="E184" s="6">
        <v>113273</v>
      </c>
      <c r="F184" s="6" t="s">
        <v>465</v>
      </c>
      <c r="G184" s="57" t="str">
        <f t="shared" si="2"/>
        <v>-</v>
      </c>
      <c r="H184" s="7" t="s">
        <v>4128</v>
      </c>
    </row>
    <row r="185" spans="1:8" ht="25.5" x14ac:dyDescent="0.2">
      <c r="A185" s="1" t="s">
        <v>8</v>
      </c>
      <c r="B185" s="2" t="s">
        <v>32</v>
      </c>
      <c r="C185" s="1"/>
      <c r="D185" s="5" t="s">
        <v>450</v>
      </c>
      <c r="E185" s="3">
        <v>137152</v>
      </c>
      <c r="F185" s="3">
        <v>137476</v>
      </c>
      <c r="G185" s="57">
        <f t="shared" si="2"/>
        <v>2.3623425104992999E-3</v>
      </c>
      <c r="H185" s="7" t="s">
        <v>4129</v>
      </c>
    </row>
    <row r="186" spans="1:8" ht="63.75" x14ac:dyDescent="0.2">
      <c r="A186" s="1" t="s">
        <v>8</v>
      </c>
      <c r="B186" s="2" t="s">
        <v>32</v>
      </c>
      <c r="C186" s="1"/>
      <c r="D186" s="5" t="s">
        <v>463</v>
      </c>
      <c r="E186" s="3">
        <v>102352</v>
      </c>
      <c r="F186" s="3">
        <v>106159</v>
      </c>
      <c r="G186" s="57">
        <f t="shared" si="2"/>
        <v>3.7195169610755044E-2</v>
      </c>
      <c r="H186" s="7" t="s">
        <v>4132</v>
      </c>
    </row>
    <row r="187" spans="1:8" ht="25.5" x14ac:dyDescent="0.2">
      <c r="A187" s="1" t="s">
        <v>8</v>
      </c>
      <c r="B187" s="2" t="s">
        <v>32</v>
      </c>
      <c r="C187" s="1"/>
      <c r="D187" s="5" t="s">
        <v>1735</v>
      </c>
      <c r="E187" s="3">
        <v>102226</v>
      </c>
      <c r="F187" s="3">
        <v>102970</v>
      </c>
      <c r="G187" s="57">
        <f t="shared" si="2"/>
        <v>7.277991900299337E-3</v>
      </c>
      <c r="H187" s="7" t="s">
        <v>4130</v>
      </c>
    </row>
    <row r="188" spans="1:8" ht="25.5" x14ac:dyDescent="0.2">
      <c r="A188" s="1" t="s">
        <v>8</v>
      </c>
      <c r="B188" s="2" t="s">
        <v>32</v>
      </c>
      <c r="C188" s="1"/>
      <c r="D188" s="5" t="s">
        <v>855</v>
      </c>
      <c r="E188" s="3">
        <v>96419</v>
      </c>
      <c r="F188" s="3">
        <v>100017</v>
      </c>
      <c r="G188" s="57">
        <f t="shared" si="2"/>
        <v>3.7316296580549475E-2</v>
      </c>
      <c r="H188" s="7" t="s">
        <v>4131</v>
      </c>
    </row>
    <row r="189" spans="1:8" s="13" customFormat="1" ht="25.5" x14ac:dyDescent="0.2">
      <c r="A189" s="13" t="s">
        <v>34</v>
      </c>
      <c r="B189" s="12" t="s">
        <v>33</v>
      </c>
      <c r="C189" s="13" t="s">
        <v>1736</v>
      </c>
      <c r="D189" s="7" t="s">
        <v>450</v>
      </c>
      <c r="E189" s="6">
        <v>211859</v>
      </c>
      <c r="F189" s="6">
        <v>212186</v>
      </c>
      <c r="G189" s="57">
        <f t="shared" si="2"/>
        <v>1.5434793895940224E-3</v>
      </c>
      <c r="H189" s="7" t="s">
        <v>4133</v>
      </c>
    </row>
    <row r="190" spans="1:8" s="13" customFormat="1" ht="25.5" x14ac:dyDescent="0.2">
      <c r="A190" s="13" t="s">
        <v>34</v>
      </c>
      <c r="B190" s="12" t="s">
        <v>33</v>
      </c>
      <c r="D190" s="7" t="s">
        <v>1737</v>
      </c>
      <c r="E190" s="6">
        <v>155102</v>
      </c>
      <c r="F190" s="6">
        <v>155526</v>
      </c>
      <c r="G190" s="57">
        <f t="shared" si="2"/>
        <v>2.733684929917087E-3</v>
      </c>
      <c r="H190" s="7" t="s">
        <v>4601</v>
      </c>
    </row>
    <row r="191" spans="1:8" s="13" customFormat="1" ht="25.5" x14ac:dyDescent="0.2">
      <c r="A191" s="13" t="s">
        <v>34</v>
      </c>
      <c r="B191" s="12" t="s">
        <v>33</v>
      </c>
      <c r="D191" s="7" t="s">
        <v>1738</v>
      </c>
      <c r="E191" s="6">
        <v>134505</v>
      </c>
      <c r="F191" s="6">
        <v>134041</v>
      </c>
      <c r="G191" s="57">
        <f t="shared" si="2"/>
        <v>-3.4496858852830748E-3</v>
      </c>
      <c r="H191" s="7" t="s">
        <v>4134</v>
      </c>
    </row>
    <row r="192" spans="1:8" s="13" customFormat="1" ht="25.5" x14ac:dyDescent="0.2">
      <c r="A192" s="13" t="s">
        <v>34</v>
      </c>
      <c r="B192" s="12" t="s">
        <v>33</v>
      </c>
      <c r="D192" s="7" t="s">
        <v>1739</v>
      </c>
      <c r="E192" s="6">
        <v>136378</v>
      </c>
      <c r="F192" s="6">
        <v>135398</v>
      </c>
      <c r="G192" s="57">
        <f t="shared" si="2"/>
        <v>-7.1859097508395779E-3</v>
      </c>
      <c r="H192" s="7" t="s">
        <v>4135</v>
      </c>
    </row>
    <row r="193" spans="1:8" s="13" customFormat="1" ht="25.5" x14ac:dyDescent="0.2">
      <c r="A193" s="13" t="s">
        <v>34</v>
      </c>
      <c r="B193" s="12" t="s">
        <v>33</v>
      </c>
      <c r="D193" s="7" t="s">
        <v>1740</v>
      </c>
      <c r="E193" s="6">
        <v>115204</v>
      </c>
      <c r="F193" s="6">
        <v>115261</v>
      </c>
      <c r="G193" s="57">
        <f t="shared" si="2"/>
        <v>4.9477448699697922E-4</v>
      </c>
      <c r="H193" s="7" t="s">
        <v>4136</v>
      </c>
    </row>
    <row r="194" spans="1:8" s="13" customFormat="1" ht="25.5" x14ac:dyDescent="0.2">
      <c r="A194" s="13" t="s">
        <v>34</v>
      </c>
      <c r="B194" s="12" t="s">
        <v>33</v>
      </c>
      <c r="D194" s="7" t="s">
        <v>1741</v>
      </c>
      <c r="E194" s="6">
        <v>102498</v>
      </c>
      <c r="F194" s="6">
        <v>102564</v>
      </c>
      <c r="G194" s="57">
        <f t="shared" si="2"/>
        <v>6.43915003219575E-4</v>
      </c>
      <c r="H194" s="7" t="s">
        <v>4137</v>
      </c>
    </row>
    <row r="195" spans="1:8" s="13" customFormat="1" ht="38.25" x14ac:dyDescent="0.2">
      <c r="A195" s="13" t="s">
        <v>34</v>
      </c>
      <c r="B195" s="12" t="s">
        <v>33</v>
      </c>
      <c r="D195" s="7" t="s">
        <v>1742</v>
      </c>
      <c r="E195" s="6">
        <v>48841</v>
      </c>
      <c r="F195" s="6">
        <v>118408</v>
      </c>
      <c r="G195" s="57">
        <f t="shared" ref="G195:G258" si="3">IF(ISERROR((F195-E195)/E195),"-",(F195-E195)/E195)</f>
        <v>1.4243565856554943</v>
      </c>
      <c r="H195" s="7" t="s">
        <v>4138</v>
      </c>
    </row>
    <row r="196" spans="1:8" x14ac:dyDescent="0.2">
      <c r="A196" s="1" t="s">
        <v>20</v>
      </c>
      <c r="B196" s="2" t="s">
        <v>35</v>
      </c>
      <c r="C196" s="1" t="s">
        <v>1743</v>
      </c>
      <c r="D196" s="5" t="s">
        <v>450</v>
      </c>
      <c r="E196" s="3">
        <v>175145</v>
      </c>
      <c r="F196" s="3">
        <v>202470</v>
      </c>
      <c r="G196" s="57">
        <f t="shared" si="3"/>
        <v>0.15601358874075766</v>
      </c>
      <c r="H196" s="5" t="s">
        <v>1744</v>
      </c>
    </row>
    <row r="197" spans="1:8" ht="25.5" x14ac:dyDescent="0.2">
      <c r="A197" s="1" t="s">
        <v>20</v>
      </c>
      <c r="B197" s="2" t="s">
        <v>35</v>
      </c>
      <c r="C197" s="1"/>
      <c r="D197" s="5" t="s">
        <v>4602</v>
      </c>
      <c r="E197" s="3">
        <v>139854</v>
      </c>
      <c r="F197" s="3">
        <v>156813</v>
      </c>
      <c r="G197" s="57">
        <f t="shared" si="3"/>
        <v>0.12126217340941267</v>
      </c>
      <c r="H197" s="5" t="s">
        <v>1745</v>
      </c>
    </row>
    <row r="198" spans="1:8" ht="25.5" x14ac:dyDescent="0.2">
      <c r="A198" s="1" t="s">
        <v>20</v>
      </c>
      <c r="B198" s="2" t="s">
        <v>35</v>
      </c>
      <c r="C198" s="1"/>
      <c r="D198" s="5" t="s">
        <v>1746</v>
      </c>
      <c r="E198" s="3">
        <v>138849</v>
      </c>
      <c r="F198" s="3">
        <v>156800</v>
      </c>
      <c r="G198" s="57">
        <f t="shared" si="3"/>
        <v>0.12928433045970802</v>
      </c>
      <c r="H198" s="5" t="s">
        <v>1747</v>
      </c>
    </row>
    <row r="199" spans="1:8" ht="25.5" x14ac:dyDescent="0.2">
      <c r="A199" s="1" t="s">
        <v>20</v>
      </c>
      <c r="B199" s="2" t="s">
        <v>35</v>
      </c>
      <c r="C199" s="1"/>
      <c r="D199" s="5" t="s">
        <v>825</v>
      </c>
      <c r="E199" s="3">
        <v>128591</v>
      </c>
      <c r="F199" s="3">
        <v>171365</v>
      </c>
      <c r="G199" s="57">
        <f t="shared" si="3"/>
        <v>0.33263603207067366</v>
      </c>
      <c r="H199" s="5" t="s">
        <v>1748</v>
      </c>
    </row>
    <row r="200" spans="1:8" ht="25.5" x14ac:dyDescent="0.2">
      <c r="A200" s="1" t="s">
        <v>20</v>
      </c>
      <c r="B200" s="2" t="s">
        <v>35</v>
      </c>
      <c r="C200" s="1"/>
      <c r="D200" s="5" t="s">
        <v>938</v>
      </c>
      <c r="E200" s="3">
        <v>128734</v>
      </c>
      <c r="F200" s="3">
        <v>147066</v>
      </c>
      <c r="G200" s="57">
        <f t="shared" si="3"/>
        <v>0.14240216259884725</v>
      </c>
      <c r="H200" s="5" t="s">
        <v>1749</v>
      </c>
    </row>
    <row r="201" spans="1:8" ht="25.5" x14ac:dyDescent="0.2">
      <c r="A201" s="1" t="s">
        <v>20</v>
      </c>
      <c r="B201" s="2" t="s">
        <v>35</v>
      </c>
      <c r="C201" s="1"/>
      <c r="D201" s="5" t="s">
        <v>1750</v>
      </c>
      <c r="E201" s="3">
        <v>95502</v>
      </c>
      <c r="F201" s="3">
        <v>103276</v>
      </c>
      <c r="G201" s="57">
        <f t="shared" si="3"/>
        <v>8.1401436619128395E-2</v>
      </c>
      <c r="H201" s="5" t="s">
        <v>1751</v>
      </c>
    </row>
    <row r="202" spans="1:8" ht="25.5" x14ac:dyDescent="0.2">
      <c r="A202" s="1" t="s">
        <v>20</v>
      </c>
      <c r="B202" s="2" t="s">
        <v>35</v>
      </c>
      <c r="C202" s="1"/>
      <c r="D202" s="5" t="s">
        <v>1752</v>
      </c>
      <c r="E202" s="3">
        <v>93301</v>
      </c>
      <c r="F202" s="3">
        <v>104083</v>
      </c>
      <c r="G202" s="57">
        <f t="shared" si="3"/>
        <v>0.11556146236374744</v>
      </c>
      <c r="H202" s="5" t="s">
        <v>1753</v>
      </c>
    </row>
    <row r="203" spans="1:8" ht="25.5" x14ac:dyDescent="0.2">
      <c r="A203" s="1" t="s">
        <v>20</v>
      </c>
      <c r="B203" s="2" t="s">
        <v>35</v>
      </c>
      <c r="C203" s="1"/>
      <c r="D203" s="5" t="s">
        <v>1754</v>
      </c>
      <c r="E203" s="3">
        <v>90719</v>
      </c>
      <c r="F203" s="3">
        <v>112522</v>
      </c>
      <c r="G203" s="57">
        <f t="shared" si="3"/>
        <v>0.24033554161752224</v>
      </c>
      <c r="H203" s="5" t="s">
        <v>4139</v>
      </c>
    </row>
    <row r="204" spans="1:8" x14ac:dyDescent="0.2">
      <c r="A204" s="1" t="s">
        <v>20</v>
      </c>
      <c r="B204" s="2" t="s">
        <v>35</v>
      </c>
      <c r="C204" s="1"/>
      <c r="D204" s="5" t="s">
        <v>464</v>
      </c>
      <c r="E204" s="3" t="s">
        <v>465</v>
      </c>
      <c r="F204" s="3">
        <v>102500</v>
      </c>
      <c r="G204" s="57" t="str">
        <f t="shared" si="3"/>
        <v>-</v>
      </c>
      <c r="H204" s="1"/>
    </row>
    <row r="205" spans="1:8" x14ac:dyDescent="0.2">
      <c r="A205" s="1" t="s">
        <v>20</v>
      </c>
      <c r="B205" s="2" t="s">
        <v>35</v>
      </c>
      <c r="C205" s="1"/>
      <c r="D205" s="5" t="s">
        <v>464</v>
      </c>
      <c r="E205" s="3" t="s">
        <v>465</v>
      </c>
      <c r="F205" s="3">
        <v>107500</v>
      </c>
      <c r="G205" s="57" t="str">
        <f t="shared" si="3"/>
        <v>-</v>
      </c>
      <c r="H205" s="1"/>
    </row>
    <row r="206" spans="1:8" x14ac:dyDescent="0.2">
      <c r="A206" s="1" t="s">
        <v>20</v>
      </c>
      <c r="B206" s="2" t="s">
        <v>35</v>
      </c>
      <c r="C206" s="1"/>
      <c r="D206" s="5" t="s">
        <v>464</v>
      </c>
      <c r="E206" s="3">
        <v>122500</v>
      </c>
      <c r="F206" s="3" t="s">
        <v>465</v>
      </c>
      <c r="G206" s="57" t="str">
        <f t="shared" si="3"/>
        <v>-</v>
      </c>
      <c r="H206" s="1"/>
    </row>
    <row r="207" spans="1:8" x14ac:dyDescent="0.2">
      <c r="A207" s="1" t="s">
        <v>20</v>
      </c>
      <c r="B207" s="2" t="s">
        <v>35</v>
      </c>
      <c r="C207" s="1"/>
      <c r="D207" s="5" t="s">
        <v>464</v>
      </c>
      <c r="E207" s="3">
        <v>127500</v>
      </c>
      <c r="F207" s="3" t="s">
        <v>465</v>
      </c>
      <c r="G207" s="57" t="str">
        <f t="shared" si="3"/>
        <v>-</v>
      </c>
      <c r="H207" s="1"/>
    </row>
    <row r="208" spans="1:8" x14ac:dyDescent="0.2">
      <c r="A208" s="1" t="s">
        <v>20</v>
      </c>
      <c r="B208" s="2" t="s">
        <v>35</v>
      </c>
      <c r="C208" s="1"/>
      <c r="D208" s="5" t="s">
        <v>464</v>
      </c>
      <c r="E208" s="3">
        <v>132500</v>
      </c>
      <c r="F208" s="3" t="s">
        <v>465</v>
      </c>
      <c r="G208" s="57" t="str">
        <f t="shared" si="3"/>
        <v>-</v>
      </c>
      <c r="H208" s="1"/>
    </row>
    <row r="209" spans="1:8" x14ac:dyDescent="0.2">
      <c r="A209" s="1" t="s">
        <v>20</v>
      </c>
      <c r="B209" s="2" t="s">
        <v>35</v>
      </c>
      <c r="C209" s="1"/>
      <c r="D209" s="5" t="s">
        <v>464</v>
      </c>
      <c r="E209" s="3">
        <v>137500</v>
      </c>
      <c r="F209" s="3" t="s">
        <v>465</v>
      </c>
      <c r="G209" s="57" t="str">
        <f t="shared" si="3"/>
        <v>-</v>
      </c>
      <c r="H209" s="1"/>
    </row>
    <row r="210" spans="1:8" x14ac:dyDescent="0.2">
      <c r="A210" s="1" t="s">
        <v>20</v>
      </c>
      <c r="B210" s="2" t="s">
        <v>35</v>
      </c>
      <c r="C210" s="1"/>
      <c r="D210" s="5" t="s">
        <v>464</v>
      </c>
      <c r="E210" s="3" t="s">
        <v>465</v>
      </c>
      <c r="F210" s="3">
        <v>142500</v>
      </c>
      <c r="G210" s="57" t="str">
        <f t="shared" si="3"/>
        <v>-</v>
      </c>
      <c r="H210" s="1"/>
    </row>
    <row r="211" spans="1:8" x14ac:dyDescent="0.2">
      <c r="A211" s="1" t="s">
        <v>20</v>
      </c>
      <c r="B211" s="2" t="s">
        <v>35</v>
      </c>
      <c r="C211" s="1"/>
      <c r="D211" s="5" t="s">
        <v>464</v>
      </c>
      <c r="E211" s="3">
        <v>217500</v>
      </c>
      <c r="F211" s="3" t="s">
        <v>465</v>
      </c>
      <c r="G211" s="57" t="str">
        <f t="shared" si="3"/>
        <v>-</v>
      </c>
      <c r="H211" s="1"/>
    </row>
    <row r="212" spans="1:8" x14ac:dyDescent="0.2">
      <c r="A212" s="1" t="s">
        <v>20</v>
      </c>
      <c r="B212" s="2" t="s">
        <v>35</v>
      </c>
      <c r="C212" s="1"/>
      <c r="D212" s="5" t="s">
        <v>464</v>
      </c>
      <c r="E212" s="3">
        <v>245000</v>
      </c>
      <c r="F212" s="3" t="s">
        <v>465</v>
      </c>
      <c r="G212" s="57" t="str">
        <f t="shared" si="3"/>
        <v>-</v>
      </c>
      <c r="H212" s="1"/>
    </row>
    <row r="213" spans="1:8" x14ac:dyDescent="0.2">
      <c r="A213" s="1" t="s">
        <v>20</v>
      </c>
      <c r="B213" s="2" t="s">
        <v>35</v>
      </c>
      <c r="C213" s="1"/>
      <c r="D213" s="5" t="s">
        <v>464</v>
      </c>
      <c r="E213" s="3">
        <v>407500</v>
      </c>
      <c r="F213" s="3" t="s">
        <v>465</v>
      </c>
      <c r="G213" s="57" t="str">
        <f t="shared" si="3"/>
        <v>-</v>
      </c>
      <c r="H213" s="1"/>
    </row>
    <row r="214" spans="1:8" x14ac:dyDescent="0.2">
      <c r="A214" s="1" t="s">
        <v>11</v>
      </c>
      <c r="B214" s="12" t="s">
        <v>36</v>
      </c>
      <c r="C214" s="1"/>
      <c r="D214" s="5" t="s">
        <v>464</v>
      </c>
      <c r="E214" s="3">
        <v>115000</v>
      </c>
      <c r="F214" s="3" t="s">
        <v>465</v>
      </c>
      <c r="G214" s="57" t="str">
        <f t="shared" si="3"/>
        <v>-</v>
      </c>
    </row>
    <row r="215" spans="1:8" x14ac:dyDescent="0.2">
      <c r="A215" s="1" t="s">
        <v>11</v>
      </c>
      <c r="B215" s="12" t="s">
        <v>36</v>
      </c>
      <c r="C215" s="1"/>
      <c r="D215" s="5" t="s">
        <v>464</v>
      </c>
      <c r="E215" s="3" t="s">
        <v>465</v>
      </c>
      <c r="F215" s="3">
        <v>115000</v>
      </c>
      <c r="G215" s="57" t="str">
        <f t="shared" si="3"/>
        <v>-</v>
      </c>
    </row>
    <row r="216" spans="1:8" s="13" customFormat="1" ht="38.25" x14ac:dyDescent="0.2">
      <c r="A216" s="13" t="s">
        <v>25</v>
      </c>
      <c r="B216" s="12" t="s">
        <v>37</v>
      </c>
      <c r="C216" s="13" t="s">
        <v>1755</v>
      </c>
      <c r="D216" s="7" t="s">
        <v>450</v>
      </c>
      <c r="E216" s="36">
        <f>206439+35924+8264</f>
        <v>250627</v>
      </c>
      <c r="F216" s="36">
        <f>199248+40957+18577</f>
        <v>258782</v>
      </c>
      <c r="G216" s="57">
        <f t="shared" si="3"/>
        <v>3.2538393708578882E-2</v>
      </c>
      <c r="H216" s="7" t="s">
        <v>4144</v>
      </c>
    </row>
    <row r="217" spans="1:8" s="13" customFormat="1" ht="25.5" x14ac:dyDescent="0.2">
      <c r="A217" s="13" t="s">
        <v>25</v>
      </c>
      <c r="B217" s="12" t="s">
        <v>37</v>
      </c>
      <c r="C217" s="13" t="s">
        <v>1756</v>
      </c>
      <c r="D217" s="7" t="s">
        <v>3697</v>
      </c>
      <c r="E217" s="36">
        <f>178892+32106</f>
        <v>210998</v>
      </c>
      <c r="F217" s="36">
        <f>173634+33631</f>
        <v>207265</v>
      </c>
      <c r="G217" s="57">
        <f t="shared" si="3"/>
        <v>-1.769211082569503E-2</v>
      </c>
      <c r="H217" s="7" t="s">
        <v>3698</v>
      </c>
    </row>
    <row r="218" spans="1:8" s="13" customFormat="1" ht="25.5" x14ac:dyDescent="0.2">
      <c r="A218" s="13" t="s">
        <v>25</v>
      </c>
      <c r="B218" s="12" t="s">
        <v>37</v>
      </c>
      <c r="C218" s="13" t="s">
        <v>1757</v>
      </c>
      <c r="D218" s="7" t="s">
        <v>1758</v>
      </c>
      <c r="E218" s="36">
        <f>178716+32102</f>
        <v>210818</v>
      </c>
      <c r="F218" s="36">
        <f>173332+33631</f>
        <v>206963</v>
      </c>
      <c r="G218" s="57">
        <f t="shared" si="3"/>
        <v>-1.8285914864954605E-2</v>
      </c>
      <c r="H218" s="7" t="s">
        <v>3699</v>
      </c>
    </row>
    <row r="219" spans="1:8" s="13" customFormat="1" ht="25.5" x14ac:dyDescent="0.2">
      <c r="A219" s="13" t="s">
        <v>25</v>
      </c>
      <c r="B219" s="12" t="s">
        <v>37</v>
      </c>
      <c r="D219" s="7" t="s">
        <v>1759</v>
      </c>
      <c r="E219" s="36">
        <f>144602+25471</f>
        <v>170073</v>
      </c>
      <c r="F219" s="36">
        <f>146660+28620</f>
        <v>175280</v>
      </c>
      <c r="G219" s="57">
        <f t="shared" si="3"/>
        <v>3.0616264780417821E-2</v>
      </c>
      <c r="H219" s="7" t="s">
        <v>1760</v>
      </c>
    </row>
    <row r="220" spans="1:8" s="13" customFormat="1" ht="38.25" x14ac:dyDescent="0.2">
      <c r="A220" s="13" t="s">
        <v>25</v>
      </c>
      <c r="B220" s="12" t="s">
        <v>37</v>
      </c>
      <c r="D220" s="7" t="s">
        <v>1761</v>
      </c>
      <c r="E220" s="36">
        <f>119453+21176</f>
        <v>140629</v>
      </c>
      <c r="F220" s="36">
        <f>127081+24588+892</f>
        <v>152561</v>
      </c>
      <c r="G220" s="57">
        <f t="shared" si="3"/>
        <v>8.4847364341636505E-2</v>
      </c>
      <c r="H220" s="7" t="s">
        <v>3700</v>
      </c>
    </row>
    <row r="221" spans="1:8" s="13" customFormat="1" ht="51" x14ac:dyDescent="0.2">
      <c r="A221" s="13" t="s">
        <v>25</v>
      </c>
      <c r="B221" s="12" t="s">
        <v>37</v>
      </c>
      <c r="D221" s="7" t="s">
        <v>1762</v>
      </c>
      <c r="E221" s="36">
        <f>115567+20496</f>
        <v>136063</v>
      </c>
      <c r="F221" s="36">
        <f>118271+23040+581</f>
        <v>141892</v>
      </c>
      <c r="G221" s="57">
        <f t="shared" si="3"/>
        <v>4.2840448909696245E-2</v>
      </c>
      <c r="H221" s="7" t="s">
        <v>4143</v>
      </c>
    </row>
    <row r="222" spans="1:8" s="13" customFormat="1" ht="25.5" x14ac:dyDescent="0.2">
      <c r="A222" s="13" t="s">
        <v>25</v>
      </c>
      <c r="B222" s="12" t="s">
        <v>37</v>
      </c>
      <c r="D222" s="7" t="s">
        <v>451</v>
      </c>
      <c r="E222" s="36">
        <f>103449+18312</f>
        <v>121761</v>
      </c>
      <c r="F222" s="36">
        <f>104305+19808</f>
        <v>124113</v>
      </c>
      <c r="G222" s="57">
        <f t="shared" si="3"/>
        <v>1.931652992337448E-2</v>
      </c>
      <c r="H222" s="7" t="s">
        <v>1763</v>
      </c>
    </row>
    <row r="223" spans="1:8" s="13" customFormat="1" ht="25.5" x14ac:dyDescent="0.2">
      <c r="A223" s="13" t="s">
        <v>25</v>
      </c>
      <c r="B223" s="12" t="s">
        <v>37</v>
      </c>
      <c r="D223" s="7" t="s">
        <v>3701</v>
      </c>
      <c r="E223" s="36">
        <f>90231+15084</f>
        <v>105315</v>
      </c>
      <c r="F223" s="36">
        <f>15438+2764</f>
        <v>18202</v>
      </c>
      <c r="G223" s="57">
        <f t="shared" si="3"/>
        <v>-0.82716612068556239</v>
      </c>
      <c r="H223" s="7" t="s">
        <v>3702</v>
      </c>
    </row>
    <row r="224" spans="1:8" s="13" customFormat="1" ht="89.25" x14ac:dyDescent="0.2">
      <c r="A224" s="13" t="s">
        <v>25</v>
      </c>
      <c r="B224" s="12" t="s">
        <v>37</v>
      </c>
      <c r="D224" s="7"/>
      <c r="E224" s="6"/>
      <c r="F224" s="6"/>
      <c r="G224" s="57" t="str">
        <f t="shared" si="3"/>
        <v>-</v>
      </c>
      <c r="H224" s="7" t="s">
        <v>4603</v>
      </c>
    </row>
    <row r="225" spans="1:8" x14ac:dyDescent="0.2">
      <c r="A225" s="1" t="s">
        <v>39</v>
      </c>
      <c r="B225" s="2" t="s">
        <v>38</v>
      </c>
      <c r="C225" s="1" t="s">
        <v>1764</v>
      </c>
      <c r="D225" s="5" t="s">
        <v>450</v>
      </c>
      <c r="E225" s="3">
        <v>233097</v>
      </c>
      <c r="F225" s="3">
        <v>228490</v>
      </c>
      <c r="G225" s="57">
        <f t="shared" si="3"/>
        <v>-1.9764304130898296E-2</v>
      </c>
      <c r="H225" s="5" t="s">
        <v>1765</v>
      </c>
    </row>
    <row r="226" spans="1:8" x14ac:dyDescent="0.2">
      <c r="A226" s="1" t="s">
        <v>39</v>
      </c>
      <c r="B226" s="2" t="s">
        <v>38</v>
      </c>
      <c r="C226" s="1"/>
      <c r="D226" s="5" t="s">
        <v>3703</v>
      </c>
      <c r="E226" s="3">
        <v>165488</v>
      </c>
      <c r="F226" s="3">
        <v>169530</v>
      </c>
      <c r="G226" s="57">
        <f t="shared" si="3"/>
        <v>2.4424731702600792E-2</v>
      </c>
      <c r="H226" s="5" t="s">
        <v>1766</v>
      </c>
    </row>
    <row r="227" spans="1:8" s="13" customFormat="1" x14ac:dyDescent="0.2">
      <c r="A227" s="1" t="s">
        <v>39</v>
      </c>
      <c r="B227" s="12" t="s">
        <v>38</v>
      </c>
      <c r="D227" s="7" t="s">
        <v>3704</v>
      </c>
      <c r="E227" s="6">
        <v>169597</v>
      </c>
      <c r="F227" s="6">
        <v>168955</v>
      </c>
      <c r="G227" s="57">
        <f t="shared" si="3"/>
        <v>-3.7854443180009079E-3</v>
      </c>
      <c r="H227" s="7" t="s">
        <v>1767</v>
      </c>
    </row>
    <row r="228" spans="1:8" s="13" customFormat="1" ht="25.5" x14ac:dyDescent="0.2">
      <c r="A228" s="1" t="s">
        <v>39</v>
      </c>
      <c r="B228" s="12" t="s">
        <v>38</v>
      </c>
      <c r="D228" s="7" t="s">
        <v>4145</v>
      </c>
      <c r="E228" s="6">
        <v>165455</v>
      </c>
      <c r="F228" s="6">
        <v>128027</v>
      </c>
      <c r="G228" s="57">
        <f t="shared" si="3"/>
        <v>-0.22621256535009518</v>
      </c>
      <c r="H228" s="7" t="s">
        <v>4146</v>
      </c>
    </row>
    <row r="229" spans="1:8" x14ac:dyDescent="0.2">
      <c r="A229" s="1" t="s">
        <v>39</v>
      </c>
      <c r="B229" s="2" t="s">
        <v>38</v>
      </c>
      <c r="C229" s="1"/>
      <c r="D229" s="5" t="s">
        <v>3705</v>
      </c>
      <c r="E229" s="3">
        <v>165445</v>
      </c>
      <c r="F229" s="3">
        <v>169436</v>
      </c>
      <c r="G229" s="57">
        <f t="shared" si="3"/>
        <v>2.4122820272598145E-2</v>
      </c>
      <c r="H229" s="5" t="s">
        <v>1768</v>
      </c>
    </row>
    <row r="230" spans="1:8" x14ac:dyDescent="0.2">
      <c r="A230" s="1" t="s">
        <v>39</v>
      </c>
      <c r="B230" s="2" t="s">
        <v>38</v>
      </c>
      <c r="C230" s="1"/>
      <c r="D230" s="5" t="s">
        <v>3706</v>
      </c>
      <c r="E230" s="3">
        <v>162622</v>
      </c>
      <c r="F230" s="3">
        <v>166176</v>
      </c>
      <c r="G230" s="57">
        <f t="shared" si="3"/>
        <v>2.1854361648485445E-2</v>
      </c>
      <c r="H230" s="5" t="s">
        <v>3707</v>
      </c>
    </row>
    <row r="231" spans="1:8" x14ac:dyDescent="0.2">
      <c r="A231" s="1" t="s">
        <v>39</v>
      </c>
      <c r="B231" s="2" t="s">
        <v>38</v>
      </c>
      <c r="C231" s="1"/>
      <c r="D231" s="5" t="s">
        <v>464</v>
      </c>
      <c r="E231" s="3" t="s">
        <v>465</v>
      </c>
      <c r="F231" s="3">
        <v>102500</v>
      </c>
      <c r="G231" s="57" t="str">
        <f t="shared" si="3"/>
        <v>-</v>
      </c>
      <c r="H231" s="1"/>
    </row>
    <row r="232" spans="1:8" x14ac:dyDescent="0.2">
      <c r="A232" s="1" t="s">
        <v>39</v>
      </c>
      <c r="B232" s="2" t="s">
        <v>38</v>
      </c>
      <c r="C232" s="1"/>
      <c r="D232" s="5" t="s">
        <v>464</v>
      </c>
      <c r="E232" s="3" t="s">
        <v>465</v>
      </c>
      <c r="F232" s="3">
        <v>102500</v>
      </c>
      <c r="G232" s="57" t="str">
        <f t="shared" si="3"/>
        <v>-</v>
      </c>
      <c r="H232" s="1"/>
    </row>
    <row r="233" spans="1:8" x14ac:dyDescent="0.2">
      <c r="A233" s="1" t="s">
        <v>39</v>
      </c>
      <c r="B233" s="2" t="s">
        <v>38</v>
      </c>
      <c r="C233" s="1"/>
      <c r="D233" s="5" t="s">
        <v>464</v>
      </c>
      <c r="E233" s="3">
        <v>102500</v>
      </c>
      <c r="F233" s="3" t="s">
        <v>465</v>
      </c>
      <c r="G233" s="57" t="str">
        <f t="shared" si="3"/>
        <v>-</v>
      </c>
    </row>
    <row r="234" spans="1:8" x14ac:dyDescent="0.2">
      <c r="A234" s="1" t="s">
        <v>39</v>
      </c>
      <c r="B234" s="2" t="s">
        <v>38</v>
      </c>
      <c r="C234" s="1"/>
      <c r="D234" s="5" t="s">
        <v>464</v>
      </c>
      <c r="E234" s="3">
        <v>102500</v>
      </c>
      <c r="F234" s="3" t="s">
        <v>465</v>
      </c>
      <c r="G234" s="57" t="str">
        <f t="shared" si="3"/>
        <v>-</v>
      </c>
    </row>
    <row r="235" spans="1:8" x14ac:dyDescent="0.2">
      <c r="A235" s="1" t="s">
        <v>39</v>
      </c>
      <c r="B235" s="2" t="s">
        <v>38</v>
      </c>
      <c r="C235" s="1"/>
      <c r="D235" s="5" t="s">
        <v>464</v>
      </c>
      <c r="E235" s="3">
        <v>102500</v>
      </c>
      <c r="F235" s="3" t="s">
        <v>465</v>
      </c>
      <c r="G235" s="57" t="str">
        <f t="shared" si="3"/>
        <v>-</v>
      </c>
    </row>
    <row r="236" spans="1:8" x14ac:dyDescent="0.2">
      <c r="A236" s="1" t="s">
        <v>39</v>
      </c>
      <c r="B236" s="2" t="s">
        <v>38</v>
      </c>
      <c r="C236" s="1"/>
      <c r="D236" s="5" t="s">
        <v>464</v>
      </c>
      <c r="E236" s="3" t="s">
        <v>465</v>
      </c>
      <c r="F236" s="3">
        <v>107500</v>
      </c>
      <c r="G236" s="57" t="str">
        <f t="shared" si="3"/>
        <v>-</v>
      </c>
    </row>
    <row r="237" spans="1:8" x14ac:dyDescent="0.2">
      <c r="A237" s="1" t="s">
        <v>39</v>
      </c>
      <c r="B237" s="2" t="s">
        <v>38</v>
      </c>
      <c r="C237" s="1"/>
      <c r="D237" s="5" t="s">
        <v>464</v>
      </c>
      <c r="E237" s="3" t="s">
        <v>465</v>
      </c>
      <c r="F237" s="3">
        <v>107500</v>
      </c>
      <c r="G237" s="57" t="str">
        <f t="shared" si="3"/>
        <v>-</v>
      </c>
    </row>
    <row r="238" spans="1:8" x14ac:dyDescent="0.2">
      <c r="A238" s="1" t="s">
        <v>39</v>
      </c>
      <c r="B238" s="2" t="s">
        <v>38</v>
      </c>
      <c r="C238" s="1"/>
      <c r="D238" s="5" t="s">
        <v>464</v>
      </c>
      <c r="E238" s="3">
        <v>107500</v>
      </c>
      <c r="F238" s="3" t="s">
        <v>465</v>
      </c>
      <c r="G238" s="57" t="str">
        <f t="shared" si="3"/>
        <v>-</v>
      </c>
    </row>
    <row r="239" spans="1:8" x14ac:dyDescent="0.2">
      <c r="A239" s="1" t="s">
        <v>39</v>
      </c>
      <c r="B239" s="2" t="s">
        <v>38</v>
      </c>
      <c r="C239" s="1"/>
      <c r="D239" s="5" t="s">
        <v>464</v>
      </c>
      <c r="E239" s="3" t="s">
        <v>465</v>
      </c>
      <c r="F239" s="3">
        <v>112500</v>
      </c>
      <c r="G239" s="57" t="str">
        <f t="shared" si="3"/>
        <v>-</v>
      </c>
    </row>
    <row r="240" spans="1:8" x14ac:dyDescent="0.2">
      <c r="A240" s="1" t="s">
        <v>39</v>
      </c>
      <c r="B240" s="2" t="s">
        <v>38</v>
      </c>
      <c r="C240" s="1"/>
      <c r="D240" s="5" t="s">
        <v>464</v>
      </c>
      <c r="E240" s="3" t="s">
        <v>465</v>
      </c>
      <c r="F240" s="3">
        <v>112500</v>
      </c>
      <c r="G240" s="57" t="str">
        <f t="shared" si="3"/>
        <v>-</v>
      </c>
    </row>
    <row r="241" spans="1:8" x14ac:dyDescent="0.2">
      <c r="A241" s="1" t="s">
        <v>39</v>
      </c>
      <c r="B241" s="2" t="s">
        <v>38</v>
      </c>
      <c r="C241" s="1"/>
      <c r="D241" s="5" t="s">
        <v>464</v>
      </c>
      <c r="E241" s="3">
        <v>117500</v>
      </c>
      <c r="F241" s="3" t="s">
        <v>465</v>
      </c>
      <c r="G241" s="57" t="str">
        <f t="shared" si="3"/>
        <v>-</v>
      </c>
    </row>
    <row r="242" spans="1:8" x14ac:dyDescent="0.2">
      <c r="A242" s="1" t="s">
        <v>39</v>
      </c>
      <c r="B242" s="2" t="s">
        <v>38</v>
      </c>
      <c r="C242" s="1"/>
      <c r="D242" s="5" t="s">
        <v>464</v>
      </c>
      <c r="E242" s="3" t="s">
        <v>465</v>
      </c>
      <c r="F242" s="3">
        <v>147500</v>
      </c>
      <c r="G242" s="57" t="str">
        <f t="shared" si="3"/>
        <v>-</v>
      </c>
    </row>
    <row r="243" spans="1:8" ht="25.5" x14ac:dyDescent="0.2">
      <c r="A243" s="1" t="s">
        <v>8</v>
      </c>
      <c r="B243" s="2" t="s">
        <v>40</v>
      </c>
      <c r="C243" s="1"/>
      <c r="D243" s="5" t="s">
        <v>450</v>
      </c>
      <c r="E243" s="3">
        <v>110064</v>
      </c>
      <c r="F243" s="3">
        <v>109699</v>
      </c>
      <c r="G243" s="57">
        <f t="shared" si="3"/>
        <v>-3.3162523622619565E-3</v>
      </c>
      <c r="H243" s="5" t="s">
        <v>1769</v>
      </c>
    </row>
    <row r="244" spans="1:8" ht="25.5" x14ac:dyDescent="0.2">
      <c r="A244" s="1" t="s">
        <v>8</v>
      </c>
      <c r="B244" s="2" t="s">
        <v>40</v>
      </c>
      <c r="C244" s="1"/>
      <c r="D244" s="5" t="s">
        <v>455</v>
      </c>
      <c r="E244" s="3">
        <v>102961</v>
      </c>
      <c r="F244" s="3">
        <v>102392</v>
      </c>
      <c r="G244" s="57">
        <f t="shared" si="3"/>
        <v>-5.526364351550587E-3</v>
      </c>
      <c r="H244" s="5" t="s">
        <v>1770</v>
      </c>
    </row>
    <row r="245" spans="1:8" ht="76.5" x14ac:dyDescent="0.2">
      <c r="A245" s="1" t="s">
        <v>6</v>
      </c>
      <c r="B245" s="2" t="s">
        <v>41</v>
      </c>
      <c r="C245" s="1" t="s">
        <v>1771</v>
      </c>
      <c r="D245" s="5" t="s">
        <v>4147</v>
      </c>
      <c r="E245" s="6">
        <v>183000</v>
      </c>
      <c r="F245" s="6">
        <v>183000</v>
      </c>
      <c r="G245" s="57">
        <f t="shared" si="3"/>
        <v>0</v>
      </c>
      <c r="H245" s="5" t="s">
        <v>4149</v>
      </c>
    </row>
    <row r="246" spans="1:8" s="13" customFormat="1" ht="25.5" x14ac:dyDescent="0.2">
      <c r="A246" s="1" t="s">
        <v>6</v>
      </c>
      <c r="B246" s="12" t="s">
        <v>41</v>
      </c>
      <c r="D246" s="7" t="s">
        <v>4148</v>
      </c>
      <c r="E246" s="6" t="s">
        <v>465</v>
      </c>
      <c r="F246" s="6">
        <v>145000</v>
      </c>
      <c r="G246" s="57" t="str">
        <f t="shared" si="3"/>
        <v>-</v>
      </c>
      <c r="H246" s="7" t="s">
        <v>1773</v>
      </c>
    </row>
    <row r="247" spans="1:8" x14ac:dyDescent="0.2">
      <c r="A247" s="1" t="s">
        <v>6</v>
      </c>
      <c r="B247" s="2" t="s">
        <v>41</v>
      </c>
      <c r="C247" s="1"/>
      <c r="D247" s="5" t="s">
        <v>1772</v>
      </c>
      <c r="E247" s="6">
        <v>145000</v>
      </c>
      <c r="F247" s="6" t="s">
        <v>465</v>
      </c>
      <c r="G247" s="57" t="str">
        <f t="shared" si="3"/>
        <v>-</v>
      </c>
    </row>
    <row r="248" spans="1:8" x14ac:dyDescent="0.2">
      <c r="A248" s="1" t="s">
        <v>6</v>
      </c>
      <c r="B248" s="2" t="s">
        <v>41</v>
      </c>
      <c r="C248" s="1"/>
      <c r="D248" s="5" t="s">
        <v>1774</v>
      </c>
      <c r="E248" s="6">
        <v>140000</v>
      </c>
      <c r="F248" s="6" t="s">
        <v>465</v>
      </c>
      <c r="G248" s="57" t="str">
        <f t="shared" si="3"/>
        <v>-</v>
      </c>
    </row>
    <row r="249" spans="1:8" x14ac:dyDescent="0.2">
      <c r="A249" s="1" t="s">
        <v>6</v>
      </c>
      <c r="B249" s="2" t="s">
        <v>41</v>
      </c>
      <c r="C249" s="1"/>
      <c r="D249" s="5" t="s">
        <v>496</v>
      </c>
      <c r="E249" s="6">
        <v>129000</v>
      </c>
      <c r="F249" s="6">
        <v>130000</v>
      </c>
      <c r="G249" s="57">
        <f t="shared" si="3"/>
        <v>7.7519379844961239E-3</v>
      </c>
      <c r="H249" s="5" t="s">
        <v>1776</v>
      </c>
    </row>
    <row r="250" spans="1:8" s="13" customFormat="1" ht="25.5" x14ac:dyDescent="0.2">
      <c r="A250" s="1" t="s">
        <v>6</v>
      </c>
      <c r="B250" s="12" t="s">
        <v>41</v>
      </c>
      <c r="D250" s="7" t="s">
        <v>1777</v>
      </c>
      <c r="E250" s="6">
        <v>126000</v>
      </c>
      <c r="F250" s="6">
        <v>174000</v>
      </c>
      <c r="G250" s="57">
        <f t="shared" si="3"/>
        <v>0.38095238095238093</v>
      </c>
      <c r="H250" s="7" t="s">
        <v>3708</v>
      </c>
    </row>
    <row r="251" spans="1:8" s="13" customFormat="1" ht="25.5" x14ac:dyDescent="0.2">
      <c r="A251" s="1" t="s">
        <v>6</v>
      </c>
      <c r="B251" s="12" t="s">
        <v>41</v>
      </c>
      <c r="D251" s="7" t="s">
        <v>1778</v>
      </c>
      <c r="E251" s="6">
        <v>126000</v>
      </c>
      <c r="F251" s="6">
        <v>160000</v>
      </c>
      <c r="G251" s="57">
        <f t="shared" si="3"/>
        <v>0.26984126984126983</v>
      </c>
      <c r="H251" s="7" t="s">
        <v>3709</v>
      </c>
    </row>
    <row r="252" spans="1:8" ht="25.5" x14ac:dyDescent="0.2">
      <c r="A252" s="1" t="s">
        <v>6</v>
      </c>
      <c r="B252" s="2" t="s">
        <v>41</v>
      </c>
      <c r="C252" s="1"/>
      <c r="D252" s="5" t="s">
        <v>4604</v>
      </c>
      <c r="E252" s="3">
        <v>119000</v>
      </c>
      <c r="F252" s="6">
        <v>111000</v>
      </c>
      <c r="G252" s="57">
        <f t="shared" si="3"/>
        <v>-6.7226890756302518E-2</v>
      </c>
      <c r="H252" s="5" t="s">
        <v>1779</v>
      </c>
    </row>
    <row r="253" spans="1:8" ht="25.5" x14ac:dyDescent="0.2">
      <c r="A253" s="1" t="s">
        <v>6</v>
      </c>
      <c r="B253" s="2" t="s">
        <v>41</v>
      </c>
      <c r="C253" s="1"/>
      <c r="D253" s="7" t="s">
        <v>3710</v>
      </c>
      <c r="E253" s="3">
        <v>114000</v>
      </c>
      <c r="F253" s="6">
        <v>124000</v>
      </c>
      <c r="G253" s="57">
        <f t="shared" si="3"/>
        <v>8.771929824561403E-2</v>
      </c>
      <c r="H253" s="5" t="s">
        <v>1780</v>
      </c>
    </row>
    <row r="254" spans="1:8" x14ac:dyDescent="0.2">
      <c r="A254" s="1" t="s">
        <v>6</v>
      </c>
      <c r="B254" s="2" t="s">
        <v>41</v>
      </c>
      <c r="C254" s="1"/>
      <c r="D254" s="5" t="s">
        <v>3749</v>
      </c>
      <c r="E254" s="3">
        <v>107000</v>
      </c>
      <c r="F254" s="6">
        <v>136000</v>
      </c>
      <c r="G254" s="57">
        <f t="shared" si="3"/>
        <v>0.27102803738317754</v>
      </c>
      <c r="H254" s="5" t="s">
        <v>1781</v>
      </c>
    </row>
    <row r="255" spans="1:8" x14ac:dyDescent="0.2">
      <c r="A255" s="1" t="s">
        <v>6</v>
      </c>
      <c r="B255" s="2" t="s">
        <v>41</v>
      </c>
      <c r="C255" s="1"/>
      <c r="D255" s="5" t="s">
        <v>1782</v>
      </c>
      <c r="E255" s="3">
        <v>106000</v>
      </c>
      <c r="F255" s="6">
        <v>105000</v>
      </c>
      <c r="G255" s="57">
        <f t="shared" si="3"/>
        <v>-9.433962264150943E-3</v>
      </c>
      <c r="H255" s="5" t="s">
        <v>1783</v>
      </c>
    </row>
    <row r="256" spans="1:8" s="13" customFormat="1" x14ac:dyDescent="0.2">
      <c r="A256" s="1" t="s">
        <v>6</v>
      </c>
      <c r="B256" s="12" t="s">
        <v>41</v>
      </c>
      <c r="D256" s="7" t="s">
        <v>3711</v>
      </c>
      <c r="E256" s="6" t="s">
        <v>465</v>
      </c>
      <c r="F256" s="6">
        <v>142000</v>
      </c>
      <c r="G256" s="57" t="str">
        <f t="shared" si="3"/>
        <v>-</v>
      </c>
      <c r="H256" s="7" t="s">
        <v>1775</v>
      </c>
    </row>
    <row r="257" spans="1:8" s="13" customFormat="1" ht="25.5" x14ac:dyDescent="0.2">
      <c r="A257" s="1" t="s">
        <v>6</v>
      </c>
      <c r="B257" s="12" t="s">
        <v>41</v>
      </c>
      <c r="D257" s="7" t="s">
        <v>3712</v>
      </c>
      <c r="E257" s="6">
        <v>97000</v>
      </c>
      <c r="F257" s="6">
        <v>130000</v>
      </c>
      <c r="G257" s="57">
        <f t="shared" si="3"/>
        <v>0.34020618556701032</v>
      </c>
      <c r="H257" s="7" t="s">
        <v>3713</v>
      </c>
    </row>
    <row r="258" spans="1:8" s="13" customFormat="1" ht="25.5" x14ac:dyDescent="0.2">
      <c r="A258" s="1" t="s">
        <v>6</v>
      </c>
      <c r="B258" s="12" t="s">
        <v>41</v>
      </c>
      <c r="D258" s="7" t="s">
        <v>3714</v>
      </c>
      <c r="E258" s="6">
        <v>86000</v>
      </c>
      <c r="F258" s="6">
        <v>117000</v>
      </c>
      <c r="G258" s="57">
        <f t="shared" si="3"/>
        <v>0.36046511627906974</v>
      </c>
      <c r="H258" s="7" t="s">
        <v>3715</v>
      </c>
    </row>
    <row r="259" spans="1:8" s="13" customFormat="1" x14ac:dyDescent="0.2">
      <c r="A259" s="1" t="s">
        <v>6</v>
      </c>
      <c r="B259" s="12" t="s">
        <v>41</v>
      </c>
      <c r="D259" s="7" t="s">
        <v>507</v>
      </c>
      <c r="E259" s="6">
        <v>83000</v>
      </c>
      <c r="F259" s="6">
        <v>105000</v>
      </c>
      <c r="G259" s="57">
        <f t="shared" ref="G259:G322" si="4">IF(ISERROR((F259-E259)/E259),"-",(F259-E259)/E259)</f>
        <v>0.26506024096385544</v>
      </c>
      <c r="H259" s="7" t="s">
        <v>1783</v>
      </c>
    </row>
    <row r="260" spans="1:8" s="13" customFormat="1" ht="25.5" x14ac:dyDescent="0.2">
      <c r="A260" s="1" t="s">
        <v>6</v>
      </c>
      <c r="B260" s="12" t="s">
        <v>41</v>
      </c>
      <c r="D260" s="7" t="s">
        <v>3716</v>
      </c>
      <c r="E260" s="6">
        <v>91000</v>
      </c>
      <c r="F260" s="6">
        <v>101000</v>
      </c>
      <c r="G260" s="57">
        <f t="shared" si="4"/>
        <v>0.10989010989010989</v>
      </c>
      <c r="H260" s="7" t="s">
        <v>3717</v>
      </c>
    </row>
    <row r="261" spans="1:8" x14ac:dyDescent="0.2">
      <c r="A261" s="1" t="s">
        <v>6</v>
      </c>
      <c r="B261" s="2" t="s">
        <v>41</v>
      </c>
      <c r="C261" s="1"/>
      <c r="D261" s="5" t="s">
        <v>464</v>
      </c>
      <c r="E261" s="3" t="s">
        <v>465</v>
      </c>
      <c r="F261" s="3">
        <v>107500</v>
      </c>
      <c r="G261" s="57" t="str">
        <f t="shared" si="4"/>
        <v>-</v>
      </c>
      <c r="H261" s="5" t="s">
        <v>3718</v>
      </c>
    </row>
    <row r="262" spans="1:8" x14ac:dyDescent="0.2">
      <c r="A262" s="1" t="s">
        <v>6</v>
      </c>
      <c r="B262" s="2" t="s">
        <v>41</v>
      </c>
      <c r="C262" s="1"/>
      <c r="D262" s="5" t="s">
        <v>464</v>
      </c>
      <c r="E262" s="3">
        <v>112500</v>
      </c>
      <c r="F262" s="3" t="s">
        <v>465</v>
      </c>
      <c r="G262" s="57" t="str">
        <f t="shared" si="4"/>
        <v>-</v>
      </c>
      <c r="H262" s="5" t="s">
        <v>3718</v>
      </c>
    </row>
    <row r="263" spans="1:8" x14ac:dyDescent="0.2">
      <c r="A263" s="1" t="s">
        <v>6</v>
      </c>
      <c r="B263" s="2" t="s">
        <v>41</v>
      </c>
      <c r="C263" s="1"/>
      <c r="D263" s="5" t="s">
        <v>464</v>
      </c>
      <c r="E263" s="3" t="s">
        <v>465</v>
      </c>
      <c r="F263" s="3">
        <v>112500</v>
      </c>
      <c r="G263" s="57" t="str">
        <f t="shared" si="4"/>
        <v>-</v>
      </c>
      <c r="H263" s="5" t="s">
        <v>3718</v>
      </c>
    </row>
    <row r="264" spans="1:8" x14ac:dyDescent="0.2">
      <c r="A264" s="1" t="s">
        <v>6</v>
      </c>
      <c r="B264" s="2" t="s">
        <v>41</v>
      </c>
      <c r="C264" s="1"/>
      <c r="D264" s="5" t="s">
        <v>464</v>
      </c>
      <c r="E264" s="3">
        <v>142500</v>
      </c>
      <c r="F264" s="3" t="s">
        <v>465</v>
      </c>
      <c r="G264" s="57" t="str">
        <f t="shared" si="4"/>
        <v>-</v>
      </c>
      <c r="H264" s="5" t="s">
        <v>3718</v>
      </c>
    </row>
    <row r="265" spans="1:8" ht="25.5" x14ac:dyDescent="0.2">
      <c r="A265" s="1" t="s">
        <v>6</v>
      </c>
      <c r="B265" s="2" t="s">
        <v>42</v>
      </c>
      <c r="C265" s="1"/>
      <c r="D265" s="5" t="s">
        <v>450</v>
      </c>
      <c r="E265" s="3">
        <v>168039</v>
      </c>
      <c r="F265" s="3">
        <v>169350</v>
      </c>
      <c r="G265" s="57">
        <f t="shared" si="4"/>
        <v>7.8017603056433332E-3</v>
      </c>
      <c r="H265" s="5" t="s">
        <v>1784</v>
      </c>
    </row>
    <row r="266" spans="1:8" ht="25.5" x14ac:dyDescent="0.2">
      <c r="A266" s="1" t="s">
        <v>6</v>
      </c>
      <c r="B266" s="2" t="s">
        <v>42</v>
      </c>
      <c r="C266" s="1"/>
      <c r="D266" s="5" t="s">
        <v>463</v>
      </c>
      <c r="E266" s="3" t="s">
        <v>465</v>
      </c>
      <c r="F266" s="3">
        <v>110116</v>
      </c>
      <c r="G266" s="57" t="str">
        <f t="shared" si="4"/>
        <v>-</v>
      </c>
      <c r="H266" s="5" t="s">
        <v>3719</v>
      </c>
    </row>
    <row r="267" spans="1:8" ht="25.5" x14ac:dyDescent="0.2">
      <c r="A267" s="1" t="s">
        <v>6</v>
      </c>
      <c r="B267" s="2" t="s">
        <v>42</v>
      </c>
      <c r="C267" s="1"/>
      <c r="D267" s="5" t="s">
        <v>1785</v>
      </c>
      <c r="E267" s="3" t="s">
        <v>465</v>
      </c>
      <c r="F267" s="3">
        <v>148654</v>
      </c>
      <c r="G267" s="57" t="str">
        <f t="shared" si="4"/>
        <v>-</v>
      </c>
      <c r="H267" s="5" t="s">
        <v>1786</v>
      </c>
    </row>
    <row r="268" spans="1:8" ht="25.5" x14ac:dyDescent="0.2">
      <c r="A268" s="1" t="s">
        <v>6</v>
      </c>
      <c r="B268" s="2" t="s">
        <v>42</v>
      </c>
      <c r="C268" s="1"/>
      <c r="D268" s="5" t="s">
        <v>1787</v>
      </c>
      <c r="E268" s="3" t="s">
        <v>465</v>
      </c>
      <c r="F268" s="3">
        <v>129096</v>
      </c>
      <c r="G268" s="57" t="str">
        <f t="shared" si="4"/>
        <v>-</v>
      </c>
      <c r="H268" s="5" t="s">
        <v>1788</v>
      </c>
    </row>
    <row r="269" spans="1:8" s="13" customFormat="1" ht="38.25" x14ac:dyDescent="0.2">
      <c r="A269" s="1" t="s">
        <v>6</v>
      </c>
      <c r="B269" s="12" t="s">
        <v>42</v>
      </c>
      <c r="D269" s="7" t="s">
        <v>3720</v>
      </c>
      <c r="E269" s="6">
        <v>175995</v>
      </c>
      <c r="F269" s="6">
        <v>195304</v>
      </c>
      <c r="G269" s="57">
        <f t="shared" si="4"/>
        <v>0.10971334412909457</v>
      </c>
      <c r="H269" s="7" t="s">
        <v>4150</v>
      </c>
    </row>
    <row r="270" spans="1:8" s="13" customFormat="1" x14ac:dyDescent="0.2">
      <c r="A270" s="1" t="s">
        <v>6</v>
      </c>
      <c r="B270" s="12" t="s">
        <v>42</v>
      </c>
      <c r="D270" s="7" t="s">
        <v>3721</v>
      </c>
      <c r="E270" s="6">
        <v>338447</v>
      </c>
      <c r="F270" s="6" t="s">
        <v>465</v>
      </c>
      <c r="G270" s="57" t="str">
        <f t="shared" si="4"/>
        <v>-</v>
      </c>
      <c r="H270" s="7" t="s">
        <v>3661</v>
      </c>
    </row>
    <row r="271" spans="1:8" s="13" customFormat="1" x14ac:dyDescent="0.2">
      <c r="A271" s="1" t="s">
        <v>6</v>
      </c>
      <c r="B271" s="12" t="s">
        <v>42</v>
      </c>
      <c r="D271" s="7" t="s">
        <v>3722</v>
      </c>
      <c r="E271" s="6">
        <v>135862</v>
      </c>
      <c r="F271" s="6" t="s">
        <v>465</v>
      </c>
      <c r="G271" s="57" t="str">
        <f t="shared" si="4"/>
        <v>-</v>
      </c>
      <c r="H271" s="7"/>
    </row>
    <row r="272" spans="1:8" s="13" customFormat="1" x14ac:dyDescent="0.2">
      <c r="A272" s="1" t="s">
        <v>6</v>
      </c>
      <c r="B272" s="12" t="s">
        <v>42</v>
      </c>
      <c r="D272" s="7" t="s">
        <v>3723</v>
      </c>
      <c r="E272" s="6">
        <v>311864</v>
      </c>
      <c r="F272" s="6" t="s">
        <v>465</v>
      </c>
      <c r="G272" s="57" t="str">
        <f t="shared" si="4"/>
        <v>-</v>
      </c>
      <c r="H272" s="7" t="s">
        <v>3661</v>
      </c>
    </row>
    <row r="273" spans="1:8" s="13" customFormat="1" x14ac:dyDescent="0.2">
      <c r="A273" s="1" t="s">
        <v>6</v>
      </c>
      <c r="B273" s="12" t="s">
        <v>42</v>
      </c>
      <c r="D273" s="7" t="s">
        <v>3724</v>
      </c>
      <c r="E273" s="6">
        <v>120636</v>
      </c>
      <c r="F273" s="6" t="s">
        <v>465</v>
      </c>
      <c r="G273" s="57" t="str">
        <f t="shared" si="4"/>
        <v>-</v>
      </c>
      <c r="H273" s="7" t="s">
        <v>3661</v>
      </c>
    </row>
    <row r="274" spans="1:8" s="13" customFormat="1" x14ac:dyDescent="0.2">
      <c r="A274" s="1" t="s">
        <v>6</v>
      </c>
      <c r="B274" s="12" t="s">
        <v>42</v>
      </c>
      <c r="D274" s="7" t="s">
        <v>3725</v>
      </c>
      <c r="E274" s="6">
        <v>130021</v>
      </c>
      <c r="F274" s="6" t="s">
        <v>465</v>
      </c>
      <c r="G274" s="57" t="str">
        <f t="shared" si="4"/>
        <v>-</v>
      </c>
      <c r="H274" s="7"/>
    </row>
    <row r="275" spans="1:8" x14ac:dyDescent="0.2">
      <c r="A275" s="1" t="s">
        <v>6</v>
      </c>
      <c r="B275" s="2" t="s">
        <v>42</v>
      </c>
      <c r="C275" s="1"/>
      <c r="D275" s="5" t="s">
        <v>464</v>
      </c>
      <c r="E275" s="3" t="s">
        <v>465</v>
      </c>
      <c r="F275" s="3">
        <v>102500</v>
      </c>
      <c r="G275" s="57" t="str">
        <f t="shared" si="4"/>
        <v>-</v>
      </c>
      <c r="H275" s="5" t="s">
        <v>3718</v>
      </c>
    </row>
    <row r="276" spans="1:8" x14ac:dyDescent="0.2">
      <c r="A276" s="1" t="s">
        <v>6</v>
      </c>
      <c r="B276" s="2" t="s">
        <v>42</v>
      </c>
      <c r="C276" s="1"/>
      <c r="D276" s="5" t="s">
        <v>464</v>
      </c>
      <c r="E276" s="3" t="s">
        <v>465</v>
      </c>
      <c r="F276" s="3">
        <v>107500</v>
      </c>
      <c r="G276" s="57" t="str">
        <f t="shared" si="4"/>
        <v>-</v>
      </c>
      <c r="H276" s="5" t="s">
        <v>3718</v>
      </c>
    </row>
    <row r="277" spans="1:8" x14ac:dyDescent="0.2">
      <c r="A277" s="1" t="s">
        <v>6</v>
      </c>
      <c r="B277" s="2" t="s">
        <v>42</v>
      </c>
      <c r="C277" s="1"/>
      <c r="D277" s="5" t="s">
        <v>464</v>
      </c>
      <c r="E277" s="3">
        <v>107500</v>
      </c>
      <c r="F277" s="3" t="s">
        <v>465</v>
      </c>
      <c r="G277" s="57" t="str">
        <f t="shared" si="4"/>
        <v>-</v>
      </c>
      <c r="H277" s="5" t="s">
        <v>3718</v>
      </c>
    </row>
    <row r="278" spans="1:8" x14ac:dyDescent="0.2">
      <c r="A278" s="1" t="s">
        <v>6</v>
      </c>
      <c r="B278" s="2" t="s">
        <v>42</v>
      </c>
      <c r="C278" s="1"/>
      <c r="D278" s="5" t="s">
        <v>464</v>
      </c>
      <c r="E278" s="3">
        <v>127500</v>
      </c>
      <c r="F278" s="3" t="s">
        <v>465</v>
      </c>
      <c r="G278" s="57" t="str">
        <f t="shared" si="4"/>
        <v>-</v>
      </c>
      <c r="H278" s="5" t="s">
        <v>3718</v>
      </c>
    </row>
    <row r="279" spans="1:8" x14ac:dyDescent="0.2">
      <c r="A279" s="1" t="s">
        <v>6</v>
      </c>
      <c r="B279" s="2" t="s">
        <v>42</v>
      </c>
      <c r="C279" s="1"/>
      <c r="D279" s="5" t="s">
        <v>464</v>
      </c>
      <c r="E279" s="3" t="s">
        <v>465</v>
      </c>
      <c r="F279" s="3">
        <v>132500</v>
      </c>
      <c r="G279" s="57" t="str">
        <f t="shared" si="4"/>
        <v>-</v>
      </c>
      <c r="H279" s="5" t="s">
        <v>3718</v>
      </c>
    </row>
    <row r="280" spans="1:8" x14ac:dyDescent="0.2">
      <c r="A280" s="1" t="s">
        <v>6</v>
      </c>
      <c r="B280" s="2" t="s">
        <v>42</v>
      </c>
      <c r="C280" s="1"/>
      <c r="D280" s="5" t="s">
        <v>464</v>
      </c>
      <c r="E280" s="3">
        <v>152500</v>
      </c>
      <c r="F280" s="3" t="s">
        <v>465</v>
      </c>
      <c r="G280" s="57" t="str">
        <f t="shared" si="4"/>
        <v>-</v>
      </c>
      <c r="H280" s="5" t="s">
        <v>3718</v>
      </c>
    </row>
    <row r="281" spans="1:8" ht="25.5" x14ac:dyDescent="0.2">
      <c r="A281" s="1" t="s">
        <v>44</v>
      </c>
      <c r="B281" s="2" t="s">
        <v>43</v>
      </c>
      <c r="C281" s="1"/>
      <c r="D281" s="5" t="s">
        <v>450</v>
      </c>
      <c r="E281" s="3">
        <v>141175</v>
      </c>
      <c r="F281" s="3">
        <v>163624</v>
      </c>
      <c r="G281" s="57">
        <f t="shared" si="4"/>
        <v>0.15901540641048345</v>
      </c>
      <c r="H281" s="5" t="s">
        <v>1789</v>
      </c>
    </row>
    <row r="282" spans="1:8" s="13" customFormat="1" ht="25.5" x14ac:dyDescent="0.2">
      <c r="A282" s="1" t="s">
        <v>44</v>
      </c>
      <c r="B282" s="12" t="s">
        <v>43</v>
      </c>
      <c r="D282" s="7" t="s">
        <v>690</v>
      </c>
      <c r="E282" s="6" t="s">
        <v>465</v>
      </c>
      <c r="F282" s="6">
        <v>100325</v>
      </c>
      <c r="G282" s="57" t="str">
        <f t="shared" si="4"/>
        <v>-</v>
      </c>
      <c r="H282" s="7" t="s">
        <v>4151</v>
      </c>
    </row>
    <row r="283" spans="1:8" s="13" customFormat="1" ht="25.5" x14ac:dyDescent="0.2">
      <c r="A283" s="1" t="s">
        <v>44</v>
      </c>
      <c r="B283" s="12" t="s">
        <v>43</v>
      </c>
      <c r="D283" s="7" t="s">
        <v>942</v>
      </c>
      <c r="E283" s="6" t="s">
        <v>465</v>
      </c>
      <c r="F283" s="6">
        <v>100891</v>
      </c>
      <c r="G283" s="57" t="str">
        <f t="shared" si="4"/>
        <v>-</v>
      </c>
      <c r="H283" s="7" t="s">
        <v>3726</v>
      </c>
    </row>
    <row r="284" spans="1:8" s="13" customFormat="1" ht="25.5" x14ac:dyDescent="0.2">
      <c r="A284" s="1" t="s">
        <v>44</v>
      </c>
      <c r="B284" s="12" t="s">
        <v>43</v>
      </c>
      <c r="D284" s="7" t="s">
        <v>463</v>
      </c>
      <c r="E284" s="6" t="s">
        <v>465</v>
      </c>
      <c r="F284" s="6">
        <v>101110</v>
      </c>
      <c r="G284" s="57" t="str">
        <f t="shared" si="4"/>
        <v>-</v>
      </c>
      <c r="H284" s="7" t="s">
        <v>3727</v>
      </c>
    </row>
    <row r="285" spans="1:8" s="13" customFormat="1" ht="38.25" x14ac:dyDescent="0.2">
      <c r="A285" s="1" t="s">
        <v>44</v>
      </c>
      <c r="B285" s="12" t="s">
        <v>43</v>
      </c>
      <c r="D285" s="7" t="s">
        <v>1790</v>
      </c>
      <c r="E285" s="6">
        <v>123707</v>
      </c>
      <c r="F285" s="6">
        <v>6523</v>
      </c>
      <c r="G285" s="57">
        <f t="shared" si="4"/>
        <v>-0.94727056674238319</v>
      </c>
      <c r="H285" s="7" t="s">
        <v>4152</v>
      </c>
    </row>
    <row r="286" spans="1:8" s="13" customFormat="1" x14ac:dyDescent="0.2">
      <c r="A286" s="1" t="s">
        <v>44</v>
      </c>
      <c r="B286" s="12" t="s">
        <v>43</v>
      </c>
      <c r="D286" s="7" t="s">
        <v>3728</v>
      </c>
      <c r="E286" s="6">
        <v>197057</v>
      </c>
      <c r="F286" s="6" t="s">
        <v>465</v>
      </c>
      <c r="G286" s="57" t="str">
        <f t="shared" si="4"/>
        <v>-</v>
      </c>
      <c r="H286" s="7" t="s">
        <v>3729</v>
      </c>
    </row>
    <row r="287" spans="1:8" s="13" customFormat="1" x14ac:dyDescent="0.2">
      <c r="A287" s="1" t="s">
        <v>44</v>
      </c>
      <c r="B287" s="12" t="s">
        <v>43</v>
      </c>
      <c r="D287" s="7" t="s">
        <v>3730</v>
      </c>
      <c r="E287" s="6">
        <v>100663</v>
      </c>
      <c r="F287" s="6" t="s">
        <v>465</v>
      </c>
      <c r="G287" s="57" t="str">
        <f t="shared" si="4"/>
        <v>-</v>
      </c>
      <c r="H287" s="7"/>
    </row>
    <row r="288" spans="1:8" s="13" customFormat="1" x14ac:dyDescent="0.2">
      <c r="A288" s="1" t="s">
        <v>44</v>
      </c>
      <c r="B288" s="12" t="s">
        <v>43</v>
      </c>
      <c r="D288" s="7" t="s">
        <v>3660</v>
      </c>
      <c r="E288" s="6">
        <v>100780</v>
      </c>
      <c r="F288" s="6" t="s">
        <v>465</v>
      </c>
      <c r="G288" s="57" t="str">
        <f t="shared" si="4"/>
        <v>-</v>
      </c>
      <c r="H288" s="7"/>
    </row>
    <row r="289" spans="1:8" x14ac:dyDescent="0.2">
      <c r="A289" s="1" t="s">
        <v>44</v>
      </c>
      <c r="B289" s="2" t="s">
        <v>43</v>
      </c>
      <c r="C289" s="1"/>
      <c r="D289" s="5" t="s">
        <v>464</v>
      </c>
      <c r="E289" s="3" t="s">
        <v>465</v>
      </c>
      <c r="F289" s="3">
        <v>127500</v>
      </c>
      <c r="G289" s="57" t="str">
        <f t="shared" si="4"/>
        <v>-</v>
      </c>
      <c r="H289" s="7" t="s">
        <v>539</v>
      </c>
    </row>
    <row r="290" spans="1:8" ht="25.5" x14ac:dyDescent="0.2">
      <c r="A290" s="1" t="s">
        <v>8</v>
      </c>
      <c r="B290" s="2" t="s">
        <v>45</v>
      </c>
      <c r="C290" s="1"/>
      <c r="D290" s="5" t="s">
        <v>450</v>
      </c>
      <c r="E290" s="3">
        <v>110869</v>
      </c>
      <c r="F290" s="3">
        <v>112848</v>
      </c>
      <c r="G290" s="57">
        <f t="shared" si="4"/>
        <v>1.7849894921032932E-2</v>
      </c>
      <c r="H290" s="5" t="s">
        <v>1791</v>
      </c>
    </row>
    <row r="291" spans="1:8" x14ac:dyDescent="0.2">
      <c r="A291" s="1" t="s">
        <v>6</v>
      </c>
      <c r="B291" s="2" t="s">
        <v>46</v>
      </c>
      <c r="C291" s="1" t="s">
        <v>1792</v>
      </c>
      <c r="D291" s="5" t="s">
        <v>450</v>
      </c>
      <c r="E291" s="3">
        <v>190647</v>
      </c>
      <c r="F291" s="3">
        <v>196860</v>
      </c>
      <c r="G291" s="57">
        <f t="shared" si="4"/>
        <v>3.2589025791121815E-2</v>
      </c>
      <c r="H291" s="5" t="s">
        <v>1793</v>
      </c>
    </row>
    <row r="292" spans="1:8" x14ac:dyDescent="0.2">
      <c r="A292" s="1" t="s">
        <v>6</v>
      </c>
      <c r="B292" s="2" t="s">
        <v>46</v>
      </c>
      <c r="C292" s="1"/>
      <c r="D292" s="5" t="s">
        <v>854</v>
      </c>
      <c r="E292" s="3">
        <v>151039</v>
      </c>
      <c r="F292" s="3">
        <v>153435</v>
      </c>
      <c r="G292" s="57">
        <f t="shared" si="4"/>
        <v>1.5863452485781818E-2</v>
      </c>
      <c r="H292" s="5" t="s">
        <v>1794</v>
      </c>
    </row>
    <row r="293" spans="1:8" x14ac:dyDescent="0.2">
      <c r="A293" s="1" t="s">
        <v>6</v>
      </c>
      <c r="B293" s="2" t="s">
        <v>46</v>
      </c>
      <c r="C293" s="1"/>
      <c r="D293" s="5" t="s">
        <v>562</v>
      </c>
      <c r="E293" s="3">
        <v>148101</v>
      </c>
      <c r="F293" s="3">
        <v>150540</v>
      </c>
      <c r="G293" s="57">
        <f t="shared" si="4"/>
        <v>1.6468491097291715E-2</v>
      </c>
      <c r="H293" s="5" t="s">
        <v>1795</v>
      </c>
    </row>
    <row r="294" spans="1:8" x14ac:dyDescent="0.2">
      <c r="A294" s="1" t="s">
        <v>6</v>
      </c>
      <c r="B294" s="2" t="s">
        <v>46</v>
      </c>
      <c r="C294" s="1"/>
      <c r="D294" s="5" t="s">
        <v>1796</v>
      </c>
      <c r="E294" s="3">
        <v>122873</v>
      </c>
      <c r="F294" s="3">
        <v>150540</v>
      </c>
      <c r="G294" s="57">
        <f t="shared" si="4"/>
        <v>0.22516744931758809</v>
      </c>
      <c r="H294" s="5" t="s">
        <v>1795</v>
      </c>
    </row>
    <row r="295" spans="1:8" x14ac:dyDescent="0.2">
      <c r="A295" s="1" t="s">
        <v>6</v>
      </c>
      <c r="B295" s="2" t="s">
        <v>46</v>
      </c>
      <c r="C295" s="1"/>
      <c r="D295" s="5" t="s">
        <v>1797</v>
      </c>
      <c r="E295" s="3">
        <v>148502</v>
      </c>
      <c r="F295" s="3">
        <v>150540</v>
      </c>
      <c r="G295" s="57">
        <f t="shared" si="4"/>
        <v>1.372372089264791E-2</v>
      </c>
      <c r="H295" s="5" t="s">
        <v>1795</v>
      </c>
    </row>
    <row r="296" spans="1:8" x14ac:dyDescent="0.2">
      <c r="A296" s="1" t="s">
        <v>6</v>
      </c>
      <c r="B296" s="2" t="s">
        <v>46</v>
      </c>
      <c r="C296" s="1"/>
      <c r="D296" s="5" t="s">
        <v>476</v>
      </c>
      <c r="E296" s="3">
        <v>148773</v>
      </c>
      <c r="F296" s="3">
        <v>127380</v>
      </c>
      <c r="G296" s="57">
        <f t="shared" si="4"/>
        <v>-0.14379625335242283</v>
      </c>
      <c r="H296" s="5" t="s">
        <v>1798</v>
      </c>
    </row>
    <row r="297" spans="1:8" x14ac:dyDescent="0.2">
      <c r="A297" s="1" t="s">
        <v>6</v>
      </c>
      <c r="B297" s="2" t="s">
        <v>46</v>
      </c>
      <c r="C297" s="1"/>
      <c r="D297" s="5" t="s">
        <v>1799</v>
      </c>
      <c r="E297" s="3">
        <v>125836</v>
      </c>
      <c r="F297" s="3">
        <v>127380</v>
      </c>
      <c r="G297" s="57">
        <f t="shared" si="4"/>
        <v>1.2269938650306749E-2</v>
      </c>
      <c r="H297" s="5" t="s">
        <v>1798</v>
      </c>
    </row>
    <row r="298" spans="1:8" x14ac:dyDescent="0.2">
      <c r="A298" s="1" t="s">
        <v>6</v>
      </c>
      <c r="B298" s="2" t="s">
        <v>46</v>
      </c>
      <c r="C298" s="1"/>
      <c r="D298" s="5" t="s">
        <v>464</v>
      </c>
      <c r="E298" s="3">
        <v>107500</v>
      </c>
      <c r="F298" s="3" t="s">
        <v>465</v>
      </c>
      <c r="G298" s="57" t="str">
        <f t="shared" si="4"/>
        <v>-</v>
      </c>
    </row>
    <row r="299" spans="1:8" x14ac:dyDescent="0.2">
      <c r="A299" s="1" t="s">
        <v>6</v>
      </c>
      <c r="B299" s="2" t="s">
        <v>46</v>
      </c>
      <c r="C299" s="1"/>
      <c r="D299" s="5" t="s">
        <v>464</v>
      </c>
      <c r="E299" s="3">
        <v>107500</v>
      </c>
      <c r="F299" s="3" t="s">
        <v>465</v>
      </c>
      <c r="G299" s="57" t="str">
        <f t="shared" si="4"/>
        <v>-</v>
      </c>
    </row>
    <row r="300" spans="1:8" x14ac:dyDescent="0.2">
      <c r="A300" s="1" t="s">
        <v>6</v>
      </c>
      <c r="B300" s="2" t="s">
        <v>46</v>
      </c>
      <c r="C300" s="1"/>
      <c r="D300" s="5" t="s">
        <v>464</v>
      </c>
      <c r="E300" s="3" t="s">
        <v>465</v>
      </c>
      <c r="F300" s="3">
        <v>112500</v>
      </c>
      <c r="G300" s="57" t="str">
        <f t="shared" si="4"/>
        <v>-</v>
      </c>
    </row>
    <row r="301" spans="1:8" x14ac:dyDescent="0.2">
      <c r="A301" s="1" t="s">
        <v>6</v>
      </c>
      <c r="B301" s="2" t="s">
        <v>46</v>
      </c>
      <c r="C301" s="1"/>
      <c r="D301" s="5" t="s">
        <v>464</v>
      </c>
      <c r="E301" s="3" t="s">
        <v>465</v>
      </c>
      <c r="F301" s="3">
        <v>112500</v>
      </c>
      <c r="G301" s="57" t="str">
        <f t="shared" si="4"/>
        <v>-</v>
      </c>
    </row>
    <row r="302" spans="1:8" x14ac:dyDescent="0.2">
      <c r="A302" s="1" t="s">
        <v>6</v>
      </c>
      <c r="B302" s="2" t="s">
        <v>46</v>
      </c>
      <c r="C302" s="1"/>
      <c r="D302" s="5" t="s">
        <v>464</v>
      </c>
      <c r="E302" s="3" t="s">
        <v>465</v>
      </c>
      <c r="F302" s="3">
        <v>122500</v>
      </c>
      <c r="G302" s="57" t="str">
        <f t="shared" si="4"/>
        <v>-</v>
      </c>
    </row>
    <row r="303" spans="1:8" x14ac:dyDescent="0.2">
      <c r="A303" s="1" t="s">
        <v>6</v>
      </c>
      <c r="B303" s="2" t="s">
        <v>46</v>
      </c>
      <c r="C303" s="1"/>
      <c r="D303" s="5" t="s">
        <v>464</v>
      </c>
      <c r="E303" s="3" t="s">
        <v>465</v>
      </c>
      <c r="F303" s="3">
        <v>127500</v>
      </c>
      <c r="G303" s="57" t="str">
        <f t="shared" si="4"/>
        <v>-</v>
      </c>
    </row>
    <row r="304" spans="1:8" x14ac:dyDescent="0.2">
      <c r="A304" s="1" t="s">
        <v>6</v>
      </c>
      <c r="B304" s="2" t="s">
        <v>46</v>
      </c>
      <c r="C304" s="1"/>
      <c r="D304" s="5" t="s">
        <v>464</v>
      </c>
      <c r="E304" s="3" t="s">
        <v>465</v>
      </c>
      <c r="F304" s="3">
        <v>127500</v>
      </c>
      <c r="G304" s="57" t="str">
        <f t="shared" si="4"/>
        <v>-</v>
      </c>
    </row>
    <row r="305" spans="1:8" x14ac:dyDescent="0.2">
      <c r="A305" s="1" t="s">
        <v>6</v>
      </c>
      <c r="B305" s="2" t="s">
        <v>46</v>
      </c>
      <c r="C305" s="1"/>
      <c r="D305" s="5" t="s">
        <v>464</v>
      </c>
      <c r="E305" s="3" t="s">
        <v>465</v>
      </c>
      <c r="F305" s="3">
        <v>127500</v>
      </c>
      <c r="G305" s="57" t="str">
        <f t="shared" si="4"/>
        <v>-</v>
      </c>
    </row>
    <row r="306" spans="1:8" x14ac:dyDescent="0.2">
      <c r="A306" s="1" t="s">
        <v>6</v>
      </c>
      <c r="B306" s="2" t="s">
        <v>46</v>
      </c>
      <c r="C306" s="1"/>
      <c r="D306" s="5" t="s">
        <v>464</v>
      </c>
      <c r="E306" s="3">
        <v>127500</v>
      </c>
      <c r="F306" s="3" t="s">
        <v>465</v>
      </c>
      <c r="G306" s="57" t="str">
        <f t="shared" si="4"/>
        <v>-</v>
      </c>
    </row>
    <row r="307" spans="1:8" x14ac:dyDescent="0.2">
      <c r="A307" s="1" t="s">
        <v>6</v>
      </c>
      <c r="B307" s="2" t="s">
        <v>46</v>
      </c>
      <c r="C307" s="1"/>
      <c r="D307" s="5" t="s">
        <v>464</v>
      </c>
      <c r="E307" s="3">
        <v>127500</v>
      </c>
      <c r="F307" s="3" t="s">
        <v>465</v>
      </c>
      <c r="G307" s="57" t="str">
        <f t="shared" si="4"/>
        <v>-</v>
      </c>
    </row>
    <row r="308" spans="1:8" x14ac:dyDescent="0.2">
      <c r="A308" s="1" t="s">
        <v>6</v>
      </c>
      <c r="B308" s="2" t="s">
        <v>46</v>
      </c>
      <c r="C308" s="1"/>
      <c r="D308" s="5" t="s">
        <v>464</v>
      </c>
      <c r="E308" s="3">
        <v>127500</v>
      </c>
      <c r="F308" s="3" t="s">
        <v>465</v>
      </c>
      <c r="G308" s="57" t="str">
        <f t="shared" si="4"/>
        <v>-</v>
      </c>
    </row>
    <row r="309" spans="1:8" x14ac:dyDescent="0.2">
      <c r="A309" s="1" t="s">
        <v>6</v>
      </c>
      <c r="B309" s="2" t="s">
        <v>46</v>
      </c>
      <c r="C309" s="1"/>
      <c r="D309" s="5" t="s">
        <v>464</v>
      </c>
      <c r="E309" s="3">
        <v>132500</v>
      </c>
      <c r="F309" s="3" t="s">
        <v>465</v>
      </c>
      <c r="G309" s="57" t="str">
        <f t="shared" si="4"/>
        <v>-</v>
      </c>
    </row>
    <row r="310" spans="1:8" x14ac:dyDescent="0.2">
      <c r="A310" s="1" t="s">
        <v>6</v>
      </c>
      <c r="B310" s="2" t="s">
        <v>46</v>
      </c>
      <c r="C310" s="1"/>
      <c r="D310" s="5" t="s">
        <v>464</v>
      </c>
      <c r="E310" s="3" t="s">
        <v>465</v>
      </c>
      <c r="F310" s="3">
        <v>132500</v>
      </c>
      <c r="G310" s="57" t="str">
        <f t="shared" si="4"/>
        <v>-</v>
      </c>
    </row>
    <row r="311" spans="1:8" x14ac:dyDescent="0.2">
      <c r="A311" s="1" t="s">
        <v>6</v>
      </c>
      <c r="B311" s="2" t="s">
        <v>46</v>
      </c>
      <c r="C311" s="1"/>
      <c r="D311" s="5" t="s">
        <v>464</v>
      </c>
      <c r="E311" s="3">
        <v>167500</v>
      </c>
      <c r="F311" s="3" t="s">
        <v>465</v>
      </c>
      <c r="G311" s="57" t="str">
        <f t="shared" si="4"/>
        <v>-</v>
      </c>
    </row>
    <row r="312" spans="1:8" x14ac:dyDescent="0.2">
      <c r="A312" s="1" t="s">
        <v>6</v>
      </c>
      <c r="B312" s="2" t="s">
        <v>46</v>
      </c>
      <c r="C312" s="1"/>
      <c r="D312" s="5" t="s">
        <v>464</v>
      </c>
      <c r="E312" s="3" t="s">
        <v>465</v>
      </c>
      <c r="F312" s="3">
        <v>172500</v>
      </c>
      <c r="G312" s="57" t="str">
        <f t="shared" si="4"/>
        <v>-</v>
      </c>
    </row>
    <row r="313" spans="1:8" ht="25.5" x14ac:dyDescent="0.2">
      <c r="A313" s="1" t="s">
        <v>8</v>
      </c>
      <c r="B313" s="2" t="s">
        <v>47</v>
      </c>
      <c r="C313" s="1"/>
      <c r="D313" s="5" t="s">
        <v>450</v>
      </c>
      <c r="E313" s="3">
        <v>91932</v>
      </c>
      <c r="F313" s="3">
        <v>107700</v>
      </c>
      <c r="G313" s="57">
        <f t="shared" si="4"/>
        <v>0.17151807857981988</v>
      </c>
      <c r="H313" s="5" t="s">
        <v>4153</v>
      </c>
    </row>
    <row r="314" spans="1:8" x14ac:dyDescent="0.2">
      <c r="A314" s="1" t="s">
        <v>8</v>
      </c>
      <c r="B314" s="2" t="s">
        <v>47</v>
      </c>
      <c r="C314" s="1"/>
      <c r="D314" s="5" t="s">
        <v>504</v>
      </c>
      <c r="E314" s="3">
        <v>101751</v>
      </c>
      <c r="F314" s="3" t="s">
        <v>465</v>
      </c>
      <c r="G314" s="57" t="str">
        <f t="shared" si="4"/>
        <v>-</v>
      </c>
    </row>
    <row r="315" spans="1:8" s="13" customFormat="1" ht="25.5" x14ac:dyDescent="0.2">
      <c r="A315" s="13" t="s">
        <v>34</v>
      </c>
      <c r="B315" s="12" t="s">
        <v>48</v>
      </c>
      <c r="D315" s="7" t="s">
        <v>450</v>
      </c>
      <c r="E315" s="6">
        <v>149343</v>
      </c>
      <c r="F315" s="6">
        <v>149749</v>
      </c>
      <c r="G315" s="57">
        <f t="shared" si="4"/>
        <v>2.7185740208781127E-3</v>
      </c>
      <c r="H315" s="7" t="s">
        <v>3731</v>
      </c>
    </row>
    <row r="316" spans="1:8" x14ac:dyDescent="0.2">
      <c r="A316" s="13" t="s">
        <v>34</v>
      </c>
      <c r="B316" s="2" t="s">
        <v>48</v>
      </c>
      <c r="C316" s="1"/>
      <c r="D316" s="5" t="s">
        <v>1800</v>
      </c>
      <c r="E316" s="6">
        <v>58149</v>
      </c>
      <c r="F316" s="3">
        <v>149995</v>
      </c>
      <c r="G316" s="57">
        <f t="shared" si="4"/>
        <v>1.5794940583672978</v>
      </c>
      <c r="H316" s="5" t="s">
        <v>1801</v>
      </c>
    </row>
    <row r="317" spans="1:8" ht="25.5" x14ac:dyDescent="0.2">
      <c r="A317" s="13" t="s">
        <v>34</v>
      </c>
      <c r="B317" s="2" t="s">
        <v>48</v>
      </c>
      <c r="C317" s="1"/>
      <c r="D317" s="5" t="s">
        <v>1802</v>
      </c>
      <c r="E317" s="6">
        <v>125628</v>
      </c>
      <c r="F317" s="3">
        <v>124822</v>
      </c>
      <c r="G317" s="57">
        <f t="shared" si="4"/>
        <v>-6.4157671856592477E-3</v>
      </c>
      <c r="H317" s="5" t="s">
        <v>1803</v>
      </c>
    </row>
    <row r="318" spans="1:8" ht="25.5" x14ac:dyDescent="0.2">
      <c r="A318" s="13" t="s">
        <v>34</v>
      </c>
      <c r="B318" s="2" t="s">
        <v>48</v>
      </c>
      <c r="C318" s="1"/>
      <c r="D318" s="5" t="s">
        <v>1804</v>
      </c>
      <c r="E318" s="6">
        <v>123817</v>
      </c>
      <c r="F318" s="3">
        <v>124949</v>
      </c>
      <c r="G318" s="57">
        <f t="shared" si="4"/>
        <v>9.1425248552298964E-3</v>
      </c>
      <c r="H318" s="5" t="s">
        <v>1805</v>
      </c>
    </row>
    <row r="319" spans="1:8" ht="25.5" x14ac:dyDescent="0.2">
      <c r="A319" s="13" t="s">
        <v>34</v>
      </c>
      <c r="B319" s="2" t="s">
        <v>48</v>
      </c>
      <c r="C319" s="1"/>
      <c r="D319" s="5" t="s">
        <v>1806</v>
      </c>
      <c r="E319" s="6">
        <v>123817</v>
      </c>
      <c r="F319" s="3">
        <v>123514</v>
      </c>
      <c r="G319" s="57">
        <f t="shared" si="4"/>
        <v>-2.4471599214970479E-3</v>
      </c>
      <c r="H319" s="5" t="s">
        <v>1807</v>
      </c>
    </row>
    <row r="320" spans="1:8" s="13" customFormat="1" ht="25.5" x14ac:dyDescent="0.2">
      <c r="A320" s="13" t="s">
        <v>34</v>
      </c>
      <c r="B320" s="12" t="s">
        <v>48</v>
      </c>
      <c r="D320" s="7" t="s">
        <v>3732</v>
      </c>
      <c r="E320" s="6">
        <v>87903</v>
      </c>
      <c r="F320" s="6">
        <v>104106</v>
      </c>
      <c r="G320" s="57">
        <f t="shared" si="4"/>
        <v>0.1843281799255998</v>
      </c>
      <c r="H320" s="7" t="s">
        <v>1808</v>
      </c>
    </row>
    <row r="321" spans="1:8" s="13" customFormat="1" ht="25.5" x14ac:dyDescent="0.2">
      <c r="A321" s="13" t="s">
        <v>34</v>
      </c>
      <c r="B321" s="12" t="s">
        <v>48</v>
      </c>
      <c r="D321" s="7" t="s">
        <v>3733</v>
      </c>
      <c r="E321" s="6" t="s">
        <v>465</v>
      </c>
      <c r="F321" s="6">
        <v>100275</v>
      </c>
      <c r="G321" s="57" t="str">
        <f t="shared" si="4"/>
        <v>-</v>
      </c>
      <c r="H321" s="7" t="s">
        <v>3734</v>
      </c>
    </row>
    <row r="322" spans="1:8" s="13" customFormat="1" ht="25.5" x14ac:dyDescent="0.2">
      <c r="A322" s="13" t="s">
        <v>34</v>
      </c>
      <c r="B322" s="12" t="s">
        <v>48</v>
      </c>
      <c r="D322" s="7" t="s">
        <v>3733</v>
      </c>
      <c r="E322" s="6">
        <v>265842</v>
      </c>
      <c r="F322" s="6" t="s">
        <v>465</v>
      </c>
      <c r="G322" s="57" t="str">
        <f t="shared" si="4"/>
        <v>-</v>
      </c>
      <c r="H322" s="7" t="s">
        <v>4154</v>
      </c>
    </row>
    <row r="323" spans="1:8" s="13" customFormat="1" ht="25.5" x14ac:dyDescent="0.2">
      <c r="A323" s="13" t="s">
        <v>34</v>
      </c>
      <c r="B323" s="12" t="s">
        <v>48</v>
      </c>
      <c r="D323" s="7" t="s">
        <v>3735</v>
      </c>
      <c r="E323" s="6">
        <v>84950</v>
      </c>
      <c r="F323" s="6">
        <v>101478</v>
      </c>
      <c r="G323" s="57">
        <f t="shared" ref="G323:G386" si="5">IF(ISERROR((F323-E323)/E323),"-",(F323-E323)/E323)</f>
        <v>0.19456150676868747</v>
      </c>
      <c r="H323" s="7" t="s">
        <v>3736</v>
      </c>
    </row>
    <row r="324" spans="1:8" s="13" customFormat="1" ht="25.5" x14ac:dyDescent="0.2">
      <c r="A324" s="13" t="s">
        <v>34</v>
      </c>
      <c r="B324" s="12" t="s">
        <v>48</v>
      </c>
      <c r="D324" s="7" t="s">
        <v>3737</v>
      </c>
      <c r="E324" s="6">
        <v>85058</v>
      </c>
      <c r="F324" s="6">
        <v>102871</v>
      </c>
      <c r="G324" s="57">
        <f t="shared" si="5"/>
        <v>0.20942180629687979</v>
      </c>
      <c r="H324" s="7" t="s">
        <v>1809</v>
      </c>
    </row>
    <row r="325" spans="1:8" s="13" customFormat="1" ht="38.25" x14ac:dyDescent="0.2">
      <c r="A325" s="13" t="s">
        <v>34</v>
      </c>
      <c r="B325" s="12" t="s">
        <v>48</v>
      </c>
      <c r="D325" s="7" t="s">
        <v>3738</v>
      </c>
      <c r="E325" s="6">
        <v>84950</v>
      </c>
      <c r="F325" s="6">
        <v>108139</v>
      </c>
      <c r="G325" s="57">
        <f t="shared" si="5"/>
        <v>0.27297233666862858</v>
      </c>
      <c r="H325" s="7" t="s">
        <v>4155</v>
      </c>
    </row>
    <row r="326" spans="1:8" s="13" customFormat="1" ht="25.5" x14ac:dyDescent="0.2">
      <c r="A326" s="13" t="s">
        <v>34</v>
      </c>
      <c r="B326" s="12" t="s">
        <v>48</v>
      </c>
      <c r="D326" s="7" t="s">
        <v>3739</v>
      </c>
      <c r="E326" s="6">
        <v>88902</v>
      </c>
      <c r="F326" s="6">
        <v>110609</v>
      </c>
      <c r="G326" s="57">
        <f t="shared" si="5"/>
        <v>0.24416773525904928</v>
      </c>
      <c r="H326" s="7" t="s">
        <v>3740</v>
      </c>
    </row>
    <row r="327" spans="1:8" s="13" customFormat="1" ht="25.5" x14ac:dyDescent="0.2">
      <c r="A327" s="13" t="s">
        <v>34</v>
      </c>
      <c r="B327" s="12" t="s">
        <v>48</v>
      </c>
      <c r="D327" s="7" t="s">
        <v>3741</v>
      </c>
      <c r="E327" s="6">
        <v>92211</v>
      </c>
      <c r="F327" s="6">
        <v>119055</v>
      </c>
      <c r="G327" s="57">
        <f t="shared" si="5"/>
        <v>0.29111494290269058</v>
      </c>
      <c r="H327" s="7" t="s">
        <v>1810</v>
      </c>
    </row>
    <row r="328" spans="1:8" s="13" customFormat="1" ht="25.5" x14ac:dyDescent="0.2">
      <c r="A328" s="13" t="s">
        <v>34</v>
      </c>
      <c r="B328" s="12" t="s">
        <v>48</v>
      </c>
      <c r="D328" s="7" t="s">
        <v>3742</v>
      </c>
      <c r="E328" s="6">
        <v>87066</v>
      </c>
      <c r="F328" s="6">
        <v>107564</v>
      </c>
      <c r="G328" s="57">
        <f t="shared" si="5"/>
        <v>0.23543059288355961</v>
      </c>
      <c r="H328" s="7" t="s">
        <v>3743</v>
      </c>
    </row>
    <row r="329" spans="1:8" s="13" customFormat="1" ht="25.5" x14ac:dyDescent="0.2">
      <c r="A329" s="13" t="s">
        <v>34</v>
      </c>
      <c r="B329" s="12" t="s">
        <v>48</v>
      </c>
      <c r="D329" s="7" t="s">
        <v>3744</v>
      </c>
      <c r="E329" s="6">
        <v>92232</v>
      </c>
      <c r="F329" s="6">
        <v>284767</v>
      </c>
      <c r="G329" s="57">
        <f t="shared" si="5"/>
        <v>2.0875075895567701</v>
      </c>
      <c r="H329" s="7" t="s">
        <v>4179</v>
      </c>
    </row>
    <row r="330" spans="1:8" s="13" customFormat="1" x14ac:dyDescent="0.2">
      <c r="A330" s="13" t="s">
        <v>34</v>
      </c>
      <c r="B330" s="12" t="s">
        <v>48</v>
      </c>
      <c r="D330" s="7" t="s">
        <v>464</v>
      </c>
      <c r="E330" s="6" t="s">
        <v>465</v>
      </c>
      <c r="F330" s="6">
        <v>102500</v>
      </c>
      <c r="G330" s="57" t="str">
        <f t="shared" si="5"/>
        <v>-</v>
      </c>
      <c r="H330" s="7"/>
    </row>
    <row r="331" spans="1:8" s="13" customFormat="1" x14ac:dyDescent="0.2">
      <c r="A331" s="13" t="s">
        <v>34</v>
      </c>
      <c r="B331" s="12" t="s">
        <v>48</v>
      </c>
      <c r="D331" s="7" t="s">
        <v>464</v>
      </c>
      <c r="E331" s="6" t="s">
        <v>465</v>
      </c>
      <c r="F331" s="6">
        <v>102500</v>
      </c>
      <c r="G331" s="57" t="str">
        <f t="shared" si="5"/>
        <v>-</v>
      </c>
      <c r="H331" s="7"/>
    </row>
    <row r="332" spans="1:8" s="13" customFormat="1" x14ac:dyDescent="0.2">
      <c r="A332" s="13" t="s">
        <v>34</v>
      </c>
      <c r="B332" s="12" t="s">
        <v>48</v>
      </c>
      <c r="D332" s="7" t="s">
        <v>464</v>
      </c>
      <c r="E332" s="6" t="s">
        <v>465</v>
      </c>
      <c r="F332" s="6">
        <v>102500</v>
      </c>
      <c r="G332" s="57" t="str">
        <f t="shared" si="5"/>
        <v>-</v>
      </c>
      <c r="H332" s="7"/>
    </row>
    <row r="333" spans="1:8" s="13" customFormat="1" x14ac:dyDescent="0.2">
      <c r="A333" s="13" t="s">
        <v>34</v>
      </c>
      <c r="B333" s="12" t="s">
        <v>48</v>
      </c>
      <c r="D333" s="7" t="s">
        <v>464</v>
      </c>
      <c r="E333" s="6">
        <v>102500</v>
      </c>
      <c r="F333" s="6" t="s">
        <v>465</v>
      </c>
      <c r="G333" s="57" t="str">
        <f t="shared" si="5"/>
        <v>-</v>
      </c>
      <c r="H333" s="7"/>
    </row>
    <row r="334" spans="1:8" s="13" customFormat="1" x14ac:dyDescent="0.2">
      <c r="A334" s="13" t="s">
        <v>34</v>
      </c>
      <c r="B334" s="12" t="s">
        <v>48</v>
      </c>
      <c r="D334" s="7" t="s">
        <v>464</v>
      </c>
      <c r="E334" s="6" t="s">
        <v>465</v>
      </c>
      <c r="F334" s="6">
        <v>107500</v>
      </c>
      <c r="G334" s="57" t="str">
        <f t="shared" si="5"/>
        <v>-</v>
      </c>
      <c r="H334" s="7"/>
    </row>
    <row r="335" spans="1:8" s="13" customFormat="1" x14ac:dyDescent="0.2">
      <c r="A335" s="13" t="s">
        <v>34</v>
      </c>
      <c r="B335" s="12" t="s">
        <v>48</v>
      </c>
      <c r="D335" s="7" t="s">
        <v>464</v>
      </c>
      <c r="E335" s="6">
        <v>107500</v>
      </c>
      <c r="F335" s="6" t="s">
        <v>465</v>
      </c>
      <c r="G335" s="57" t="str">
        <f t="shared" si="5"/>
        <v>-</v>
      </c>
      <c r="H335" s="7"/>
    </row>
    <row r="336" spans="1:8" s="13" customFormat="1" x14ac:dyDescent="0.2">
      <c r="A336" s="13" t="s">
        <v>34</v>
      </c>
      <c r="B336" s="12" t="s">
        <v>48</v>
      </c>
      <c r="D336" s="7" t="s">
        <v>464</v>
      </c>
      <c r="E336" s="6" t="s">
        <v>465</v>
      </c>
      <c r="F336" s="6">
        <v>117500</v>
      </c>
      <c r="G336" s="57" t="str">
        <f t="shared" si="5"/>
        <v>-</v>
      </c>
      <c r="H336" s="7"/>
    </row>
    <row r="337" spans="1:8" ht="25.5" x14ac:dyDescent="0.2">
      <c r="A337" s="1" t="s">
        <v>4</v>
      </c>
      <c r="B337" s="2" t="s">
        <v>49</v>
      </c>
      <c r="C337" s="1" t="s">
        <v>1811</v>
      </c>
      <c r="D337" s="5" t="s">
        <v>450</v>
      </c>
      <c r="E337" s="3">
        <v>182600</v>
      </c>
      <c r="F337" s="3">
        <v>187200</v>
      </c>
      <c r="G337" s="57">
        <f t="shared" si="5"/>
        <v>2.5191675794085433E-2</v>
      </c>
      <c r="H337" s="5" t="s">
        <v>1812</v>
      </c>
    </row>
    <row r="338" spans="1:8" x14ac:dyDescent="0.2">
      <c r="A338" s="1" t="s">
        <v>4</v>
      </c>
      <c r="B338" s="2" t="s">
        <v>49</v>
      </c>
      <c r="C338" s="1"/>
      <c r="D338" s="5" t="s">
        <v>452</v>
      </c>
      <c r="E338" s="3">
        <v>131100</v>
      </c>
      <c r="F338" s="3">
        <v>134100</v>
      </c>
      <c r="G338" s="57">
        <f t="shared" si="5"/>
        <v>2.2883295194508008E-2</v>
      </c>
      <c r="H338" s="5" t="s">
        <v>1813</v>
      </c>
    </row>
    <row r="339" spans="1:8" s="13" customFormat="1" ht="25.5" x14ac:dyDescent="0.2">
      <c r="A339" s="1" t="s">
        <v>4</v>
      </c>
      <c r="B339" s="12" t="s">
        <v>49</v>
      </c>
      <c r="D339" s="7" t="s">
        <v>1814</v>
      </c>
      <c r="E339" s="6">
        <v>5800</v>
      </c>
      <c r="F339" s="6">
        <v>126000</v>
      </c>
      <c r="G339" s="57">
        <f t="shared" si="5"/>
        <v>20.724137931034484</v>
      </c>
      <c r="H339" s="7" t="s">
        <v>4156</v>
      </c>
    </row>
    <row r="340" spans="1:8" s="13" customFormat="1" ht="25.5" x14ac:dyDescent="0.2">
      <c r="A340" s="1" t="s">
        <v>4</v>
      </c>
      <c r="B340" s="12" t="s">
        <v>49</v>
      </c>
      <c r="D340" s="7" t="s">
        <v>3745</v>
      </c>
      <c r="E340" s="6">
        <v>112900</v>
      </c>
      <c r="F340" s="6" t="s">
        <v>465</v>
      </c>
      <c r="G340" s="57" t="str">
        <f t="shared" si="5"/>
        <v>-</v>
      </c>
      <c r="H340" s="7" t="s">
        <v>3746</v>
      </c>
    </row>
    <row r="341" spans="1:8" s="13" customFormat="1" ht="25.5" x14ac:dyDescent="0.2">
      <c r="A341" s="1" t="s">
        <v>4</v>
      </c>
      <c r="B341" s="12" t="s">
        <v>49</v>
      </c>
      <c r="D341" s="7" t="s">
        <v>790</v>
      </c>
      <c r="E341" s="6">
        <v>108200</v>
      </c>
      <c r="F341" s="6">
        <v>123800</v>
      </c>
      <c r="G341" s="57">
        <f t="shared" si="5"/>
        <v>0.14417744916820702</v>
      </c>
      <c r="H341" s="7" t="s">
        <v>4157</v>
      </c>
    </row>
    <row r="342" spans="1:8" x14ac:dyDescent="0.2">
      <c r="A342" s="1" t="s">
        <v>4</v>
      </c>
      <c r="B342" s="2" t="s">
        <v>49</v>
      </c>
      <c r="C342" s="1"/>
      <c r="D342" s="5" t="s">
        <v>1815</v>
      </c>
      <c r="E342" s="3">
        <v>135300</v>
      </c>
      <c r="F342" s="3">
        <v>134600</v>
      </c>
      <c r="G342" s="57">
        <f t="shared" si="5"/>
        <v>-5.1736881005173688E-3</v>
      </c>
      <c r="H342" s="5" t="s">
        <v>1816</v>
      </c>
    </row>
    <row r="343" spans="1:8" x14ac:dyDescent="0.2">
      <c r="A343" s="1" t="s">
        <v>4</v>
      </c>
      <c r="B343" s="2" t="s">
        <v>49</v>
      </c>
      <c r="C343" s="1"/>
      <c r="D343" s="5" t="s">
        <v>1314</v>
      </c>
      <c r="E343" s="3">
        <v>117200</v>
      </c>
      <c r="F343" s="3">
        <v>118400</v>
      </c>
      <c r="G343" s="57">
        <f t="shared" si="5"/>
        <v>1.0238907849829351E-2</v>
      </c>
      <c r="H343" s="5" t="s">
        <v>1817</v>
      </c>
    </row>
    <row r="344" spans="1:8" x14ac:dyDescent="0.2">
      <c r="A344" s="1" t="s">
        <v>4</v>
      </c>
      <c r="B344" s="2" t="s">
        <v>49</v>
      </c>
      <c r="C344" s="1"/>
      <c r="D344" s="5" t="s">
        <v>532</v>
      </c>
      <c r="E344" s="3">
        <v>100400</v>
      </c>
      <c r="F344" s="3">
        <v>101100</v>
      </c>
      <c r="G344" s="57">
        <f t="shared" si="5"/>
        <v>6.9721115537848604E-3</v>
      </c>
      <c r="H344" s="5" t="s">
        <v>1818</v>
      </c>
    </row>
    <row r="345" spans="1:8" ht="25.5" x14ac:dyDescent="0.2">
      <c r="A345" s="1" t="s">
        <v>28</v>
      </c>
      <c r="B345" s="2" t="s">
        <v>50</v>
      </c>
      <c r="C345" s="1" t="s">
        <v>1819</v>
      </c>
      <c r="D345" s="5" t="s">
        <v>450</v>
      </c>
      <c r="E345" s="3">
        <v>223760</v>
      </c>
      <c r="F345" s="3">
        <v>227234</v>
      </c>
      <c r="G345" s="57">
        <f t="shared" si="5"/>
        <v>1.5525563103324992E-2</v>
      </c>
      <c r="H345" s="5" t="s">
        <v>1820</v>
      </c>
    </row>
    <row r="346" spans="1:8" s="13" customFormat="1" ht="25.5" x14ac:dyDescent="0.2">
      <c r="A346" s="1" t="s">
        <v>28</v>
      </c>
      <c r="B346" s="12" t="s">
        <v>50</v>
      </c>
      <c r="D346" s="7" t="s">
        <v>3747</v>
      </c>
      <c r="E346" s="6" t="s">
        <v>465</v>
      </c>
      <c r="F346" s="6">
        <v>132314</v>
      </c>
      <c r="G346" s="57" t="str">
        <f t="shared" si="5"/>
        <v>-</v>
      </c>
      <c r="H346" s="7" t="s">
        <v>3748</v>
      </c>
    </row>
    <row r="347" spans="1:8" s="13" customFormat="1" ht="25.5" x14ac:dyDescent="0.2">
      <c r="A347" s="1" t="s">
        <v>28</v>
      </c>
      <c r="B347" s="12" t="s">
        <v>50</v>
      </c>
      <c r="D347" s="7" t="s">
        <v>3749</v>
      </c>
      <c r="E347" s="6" t="s">
        <v>465</v>
      </c>
      <c r="F347" s="6">
        <v>157294</v>
      </c>
      <c r="G347" s="57" t="str">
        <f t="shared" si="5"/>
        <v>-</v>
      </c>
      <c r="H347" s="7" t="s">
        <v>1824</v>
      </c>
    </row>
    <row r="348" spans="1:8" ht="25.5" x14ac:dyDescent="0.2">
      <c r="A348" s="1" t="s">
        <v>28</v>
      </c>
      <c r="B348" s="2" t="s">
        <v>50</v>
      </c>
      <c r="C348" s="1"/>
      <c r="D348" s="5" t="s">
        <v>1821</v>
      </c>
      <c r="E348" s="6">
        <v>139029</v>
      </c>
      <c r="F348" s="3">
        <v>137048</v>
      </c>
      <c r="G348" s="57">
        <f t="shared" si="5"/>
        <v>-1.4248825784548547E-2</v>
      </c>
      <c r="H348" s="5" t="s">
        <v>1822</v>
      </c>
    </row>
    <row r="349" spans="1:8" x14ac:dyDescent="0.2">
      <c r="A349" s="1" t="s">
        <v>28</v>
      </c>
      <c r="B349" s="2" t="s">
        <v>50</v>
      </c>
      <c r="C349" s="1"/>
      <c r="D349" s="5" t="s">
        <v>1823</v>
      </c>
      <c r="E349" s="6">
        <v>164483</v>
      </c>
      <c r="F349" s="3" t="s">
        <v>465</v>
      </c>
      <c r="G349" s="57" t="str">
        <f t="shared" si="5"/>
        <v>-</v>
      </c>
      <c r="H349" s="1"/>
    </row>
    <row r="350" spans="1:8" ht="25.5" x14ac:dyDescent="0.2">
      <c r="A350" s="1" t="s">
        <v>28</v>
      </c>
      <c r="B350" s="2" t="s">
        <v>50</v>
      </c>
      <c r="C350" s="1"/>
      <c r="D350" s="5" t="s">
        <v>1825</v>
      </c>
      <c r="E350" s="6">
        <v>139466</v>
      </c>
      <c r="F350" s="3">
        <v>193807</v>
      </c>
      <c r="G350" s="57">
        <f t="shared" si="5"/>
        <v>0.38963618372936776</v>
      </c>
      <c r="H350" s="5" t="s">
        <v>4159</v>
      </c>
    </row>
    <row r="351" spans="1:8" ht="25.5" x14ac:dyDescent="0.2">
      <c r="A351" s="1" t="s">
        <v>28</v>
      </c>
      <c r="B351" s="2" t="s">
        <v>50</v>
      </c>
      <c r="C351" s="1"/>
      <c r="D351" s="5" t="s">
        <v>1826</v>
      </c>
      <c r="E351" s="6">
        <v>140040</v>
      </c>
      <c r="F351" s="3">
        <v>151235</v>
      </c>
      <c r="G351" s="57">
        <f t="shared" si="5"/>
        <v>7.9941445301342479E-2</v>
      </c>
      <c r="H351" s="5" t="s">
        <v>1827</v>
      </c>
    </row>
    <row r="352" spans="1:8" ht="25.5" x14ac:dyDescent="0.2">
      <c r="A352" s="1" t="s">
        <v>28</v>
      </c>
      <c r="B352" s="2" t="s">
        <v>50</v>
      </c>
      <c r="C352" s="1"/>
      <c r="D352" s="5" t="s">
        <v>1828</v>
      </c>
      <c r="E352" s="3" t="s">
        <v>465</v>
      </c>
      <c r="F352" s="3">
        <v>132214</v>
      </c>
      <c r="G352" s="57" t="str">
        <f t="shared" si="5"/>
        <v>-</v>
      </c>
      <c r="H352" s="5" t="s">
        <v>1829</v>
      </c>
    </row>
    <row r="353" spans="1:8" s="13" customFormat="1" ht="25.5" x14ac:dyDescent="0.2">
      <c r="A353" s="1" t="s">
        <v>28</v>
      </c>
      <c r="B353" s="12" t="s">
        <v>50</v>
      </c>
      <c r="D353" s="7" t="s">
        <v>4158</v>
      </c>
      <c r="E353" s="6" t="s">
        <v>465</v>
      </c>
      <c r="F353" s="6">
        <v>169997</v>
      </c>
      <c r="G353" s="57" t="str">
        <f t="shared" si="5"/>
        <v>-</v>
      </c>
      <c r="H353" s="7" t="s">
        <v>3750</v>
      </c>
    </row>
    <row r="354" spans="1:8" s="13" customFormat="1" ht="25.5" x14ac:dyDescent="0.2">
      <c r="A354" s="1" t="s">
        <v>28</v>
      </c>
      <c r="B354" s="12" t="s">
        <v>50</v>
      </c>
      <c r="D354" s="7" t="s">
        <v>3751</v>
      </c>
      <c r="E354" s="6">
        <v>117544</v>
      </c>
      <c r="F354" s="6">
        <v>127104</v>
      </c>
      <c r="G354" s="57">
        <f t="shared" si="5"/>
        <v>8.133124617164636E-2</v>
      </c>
      <c r="H354" s="7" t="s">
        <v>3752</v>
      </c>
    </row>
    <row r="355" spans="1:8" s="13" customFormat="1" x14ac:dyDescent="0.2">
      <c r="A355" s="1" t="s">
        <v>28</v>
      </c>
      <c r="B355" s="12" t="s">
        <v>50</v>
      </c>
      <c r="D355" s="7" t="s">
        <v>3753</v>
      </c>
      <c r="E355" s="6" t="s">
        <v>465</v>
      </c>
      <c r="F355" s="6">
        <v>105863</v>
      </c>
      <c r="G355" s="57" t="str">
        <f t="shared" si="5"/>
        <v>-</v>
      </c>
      <c r="H355" s="7" t="s">
        <v>3754</v>
      </c>
    </row>
    <row r="356" spans="1:8" s="13" customFormat="1" x14ac:dyDescent="0.2">
      <c r="A356" s="1" t="s">
        <v>28</v>
      </c>
      <c r="B356" s="12" t="s">
        <v>50</v>
      </c>
      <c r="D356" s="7" t="s">
        <v>3755</v>
      </c>
      <c r="E356" s="6">
        <v>174101</v>
      </c>
      <c r="F356" s="6" t="s">
        <v>465</v>
      </c>
      <c r="G356" s="57" t="str">
        <f t="shared" si="5"/>
        <v>-</v>
      </c>
      <c r="H356" s="7" t="s">
        <v>465</v>
      </c>
    </row>
    <row r="357" spans="1:8" s="13" customFormat="1" x14ac:dyDescent="0.2">
      <c r="A357" s="1" t="s">
        <v>28</v>
      </c>
      <c r="B357" s="12" t="s">
        <v>50</v>
      </c>
      <c r="D357" s="7" t="s">
        <v>3756</v>
      </c>
      <c r="E357" s="6">
        <v>134300</v>
      </c>
      <c r="F357" s="6" t="s">
        <v>465</v>
      </c>
      <c r="G357" s="57" t="str">
        <f t="shared" si="5"/>
        <v>-</v>
      </c>
      <c r="H357" s="7" t="s">
        <v>465</v>
      </c>
    </row>
    <row r="358" spans="1:8" x14ac:dyDescent="0.2">
      <c r="A358" s="1" t="s">
        <v>28</v>
      </c>
      <c r="B358" s="2" t="s">
        <v>50</v>
      </c>
      <c r="C358" s="1"/>
      <c r="D358" s="5" t="s">
        <v>464</v>
      </c>
      <c r="E358" s="3">
        <v>102500</v>
      </c>
      <c r="F358" s="58" t="s">
        <v>465</v>
      </c>
      <c r="G358" s="57" t="str">
        <f t="shared" si="5"/>
        <v>-</v>
      </c>
      <c r="H358" s="1"/>
    </row>
    <row r="359" spans="1:8" x14ac:dyDescent="0.2">
      <c r="A359" s="1" t="s">
        <v>28</v>
      </c>
      <c r="B359" s="2" t="s">
        <v>50</v>
      </c>
      <c r="C359" s="1"/>
      <c r="D359" s="5" t="s">
        <v>464</v>
      </c>
      <c r="E359" s="3">
        <v>102500</v>
      </c>
      <c r="F359" s="58" t="s">
        <v>465</v>
      </c>
      <c r="G359" s="57" t="str">
        <f t="shared" si="5"/>
        <v>-</v>
      </c>
    </row>
    <row r="360" spans="1:8" x14ac:dyDescent="0.2">
      <c r="A360" s="1" t="s">
        <v>28</v>
      </c>
      <c r="B360" s="2" t="s">
        <v>50</v>
      </c>
      <c r="C360" s="1"/>
      <c r="D360" s="5" t="s">
        <v>464</v>
      </c>
      <c r="E360" s="58" t="s">
        <v>465</v>
      </c>
      <c r="F360" s="3">
        <v>102500</v>
      </c>
      <c r="G360" s="57" t="str">
        <f t="shared" si="5"/>
        <v>-</v>
      </c>
    </row>
    <row r="361" spans="1:8" x14ac:dyDescent="0.2">
      <c r="A361" s="1" t="s">
        <v>28</v>
      </c>
      <c r="B361" s="2" t="s">
        <v>50</v>
      </c>
      <c r="C361" s="1"/>
      <c r="D361" s="5" t="s">
        <v>464</v>
      </c>
      <c r="E361" s="58" t="s">
        <v>465</v>
      </c>
      <c r="F361" s="3">
        <v>102500</v>
      </c>
      <c r="G361" s="57" t="str">
        <f t="shared" si="5"/>
        <v>-</v>
      </c>
    </row>
    <row r="362" spans="1:8" x14ac:dyDescent="0.2">
      <c r="A362" s="1" t="s">
        <v>28</v>
      </c>
      <c r="B362" s="2" t="s">
        <v>50</v>
      </c>
      <c r="C362" s="1"/>
      <c r="D362" s="5" t="s">
        <v>464</v>
      </c>
      <c r="E362" s="3">
        <v>107500</v>
      </c>
      <c r="F362" s="58" t="s">
        <v>465</v>
      </c>
      <c r="G362" s="57" t="str">
        <f t="shared" si="5"/>
        <v>-</v>
      </c>
    </row>
    <row r="363" spans="1:8" x14ac:dyDescent="0.2">
      <c r="A363" s="1" t="s">
        <v>28</v>
      </c>
      <c r="B363" s="2" t="s">
        <v>50</v>
      </c>
      <c r="C363" s="1"/>
      <c r="D363" s="5" t="s">
        <v>464</v>
      </c>
      <c r="E363" s="3">
        <v>107500</v>
      </c>
      <c r="F363" s="58" t="s">
        <v>465</v>
      </c>
      <c r="G363" s="57" t="str">
        <f t="shared" si="5"/>
        <v>-</v>
      </c>
    </row>
    <row r="364" spans="1:8" x14ac:dyDescent="0.2">
      <c r="A364" s="1" t="s">
        <v>28</v>
      </c>
      <c r="B364" s="2" t="s">
        <v>50</v>
      </c>
      <c r="C364" s="1"/>
      <c r="D364" s="5" t="s">
        <v>464</v>
      </c>
      <c r="E364" s="58" t="s">
        <v>465</v>
      </c>
      <c r="F364" s="3">
        <v>107500</v>
      </c>
      <c r="G364" s="57" t="str">
        <f t="shared" si="5"/>
        <v>-</v>
      </c>
    </row>
    <row r="365" spans="1:8" x14ac:dyDescent="0.2">
      <c r="A365" s="1" t="s">
        <v>28</v>
      </c>
      <c r="B365" s="2" t="s">
        <v>50</v>
      </c>
      <c r="C365" s="1"/>
      <c r="D365" s="5" t="s">
        <v>464</v>
      </c>
      <c r="E365" s="58" t="s">
        <v>465</v>
      </c>
      <c r="F365" s="3">
        <v>107500</v>
      </c>
      <c r="G365" s="57" t="str">
        <f t="shared" si="5"/>
        <v>-</v>
      </c>
    </row>
    <row r="366" spans="1:8" x14ac:dyDescent="0.2">
      <c r="A366" s="1" t="s">
        <v>28</v>
      </c>
      <c r="B366" s="2" t="s">
        <v>50</v>
      </c>
      <c r="C366" s="1"/>
      <c r="D366" s="5" t="s">
        <v>464</v>
      </c>
      <c r="E366" s="3">
        <v>122500</v>
      </c>
      <c r="F366" s="58" t="s">
        <v>465</v>
      </c>
      <c r="G366" s="57" t="str">
        <f t="shared" si="5"/>
        <v>-</v>
      </c>
    </row>
    <row r="367" spans="1:8" x14ac:dyDescent="0.2">
      <c r="A367" s="1" t="s">
        <v>28</v>
      </c>
      <c r="B367" s="2" t="s">
        <v>50</v>
      </c>
      <c r="C367" s="1"/>
      <c r="D367" s="5" t="s">
        <v>464</v>
      </c>
      <c r="E367" s="3">
        <v>122500</v>
      </c>
      <c r="F367" s="58" t="s">
        <v>465</v>
      </c>
      <c r="G367" s="57" t="str">
        <f t="shared" si="5"/>
        <v>-</v>
      </c>
    </row>
    <row r="368" spans="1:8" x14ac:dyDescent="0.2">
      <c r="A368" s="1" t="s">
        <v>28</v>
      </c>
      <c r="B368" s="2" t="s">
        <v>50</v>
      </c>
      <c r="C368" s="1"/>
      <c r="D368" s="5" t="s">
        <v>464</v>
      </c>
      <c r="E368" s="58" t="s">
        <v>465</v>
      </c>
      <c r="F368" s="3">
        <v>122500</v>
      </c>
      <c r="G368" s="57" t="str">
        <f t="shared" si="5"/>
        <v>-</v>
      </c>
    </row>
    <row r="369" spans="1:8" x14ac:dyDescent="0.2">
      <c r="A369" s="1" t="s">
        <v>28</v>
      </c>
      <c r="B369" s="2" t="s">
        <v>50</v>
      </c>
      <c r="C369" s="1"/>
      <c r="D369" s="5" t="s">
        <v>464</v>
      </c>
      <c r="E369" s="58" t="s">
        <v>465</v>
      </c>
      <c r="F369" s="3">
        <v>122500</v>
      </c>
      <c r="G369" s="57" t="str">
        <f t="shared" si="5"/>
        <v>-</v>
      </c>
    </row>
    <row r="370" spans="1:8" x14ac:dyDescent="0.2">
      <c r="A370" s="1" t="s">
        <v>28</v>
      </c>
      <c r="B370" s="2" t="s">
        <v>50</v>
      </c>
      <c r="C370" s="1"/>
      <c r="D370" s="5" t="s">
        <v>464</v>
      </c>
      <c r="E370" s="58" t="s">
        <v>465</v>
      </c>
      <c r="F370" s="3">
        <v>122500</v>
      </c>
      <c r="G370" s="57" t="str">
        <f t="shared" si="5"/>
        <v>-</v>
      </c>
    </row>
    <row r="371" spans="1:8" x14ac:dyDescent="0.2">
      <c r="A371" s="1" t="s">
        <v>28</v>
      </c>
      <c r="B371" s="2" t="s">
        <v>50</v>
      </c>
      <c r="C371" s="1"/>
      <c r="D371" s="5" t="s">
        <v>464</v>
      </c>
      <c r="E371" s="3">
        <v>147500</v>
      </c>
      <c r="F371" s="58" t="s">
        <v>465</v>
      </c>
      <c r="G371" s="57" t="str">
        <f t="shared" si="5"/>
        <v>-</v>
      </c>
    </row>
    <row r="372" spans="1:8" x14ac:dyDescent="0.2">
      <c r="A372" s="1" t="s">
        <v>20</v>
      </c>
      <c r="B372" s="2" t="s">
        <v>51</v>
      </c>
      <c r="C372" s="1"/>
      <c r="D372" s="5" t="s">
        <v>450</v>
      </c>
      <c r="E372" s="3">
        <v>147000</v>
      </c>
      <c r="F372" s="3">
        <v>149000</v>
      </c>
      <c r="G372" s="57">
        <f t="shared" si="5"/>
        <v>1.3605442176870748E-2</v>
      </c>
      <c r="H372" s="5" t="s">
        <v>1830</v>
      </c>
    </row>
    <row r="373" spans="1:8" s="13" customFormat="1" x14ac:dyDescent="0.2">
      <c r="A373" s="1" t="s">
        <v>20</v>
      </c>
      <c r="B373" s="12" t="s">
        <v>51</v>
      </c>
      <c r="D373" s="7" t="s">
        <v>468</v>
      </c>
      <c r="E373" s="6" t="s">
        <v>465</v>
      </c>
      <c r="F373" s="6">
        <v>103000</v>
      </c>
      <c r="G373" s="57" t="str">
        <f t="shared" si="5"/>
        <v>-</v>
      </c>
      <c r="H373" s="7" t="s">
        <v>1831</v>
      </c>
    </row>
    <row r="374" spans="1:8" s="13" customFormat="1" x14ac:dyDescent="0.2">
      <c r="A374" s="1" t="s">
        <v>20</v>
      </c>
      <c r="B374" s="12" t="s">
        <v>51</v>
      </c>
      <c r="D374" s="7" t="s">
        <v>468</v>
      </c>
      <c r="E374" s="6">
        <v>104000</v>
      </c>
      <c r="F374" s="6" t="s">
        <v>465</v>
      </c>
      <c r="G374" s="57" t="str">
        <f t="shared" si="5"/>
        <v>-</v>
      </c>
      <c r="H374" s="7"/>
    </row>
    <row r="375" spans="1:8" s="13" customFormat="1" x14ac:dyDescent="0.2">
      <c r="A375" s="1" t="s">
        <v>20</v>
      </c>
      <c r="B375" s="12" t="s">
        <v>51</v>
      </c>
      <c r="D375" s="7" t="s">
        <v>468</v>
      </c>
      <c r="E375" s="6">
        <v>108000</v>
      </c>
      <c r="F375" s="6" t="s">
        <v>465</v>
      </c>
      <c r="G375" s="57" t="str">
        <f t="shared" si="5"/>
        <v>-</v>
      </c>
      <c r="H375" s="7"/>
    </row>
    <row r="376" spans="1:8" ht="25.5" x14ac:dyDescent="0.2">
      <c r="A376" s="1" t="s">
        <v>20</v>
      </c>
      <c r="B376" s="2" t="s">
        <v>51</v>
      </c>
      <c r="C376" s="1"/>
      <c r="D376" s="5" t="s">
        <v>4160</v>
      </c>
      <c r="E376" s="3">
        <v>66000</v>
      </c>
      <c r="F376" s="3">
        <v>102000</v>
      </c>
      <c r="G376" s="57">
        <f t="shared" si="5"/>
        <v>0.54545454545454541</v>
      </c>
      <c r="H376" s="5" t="s">
        <v>4161</v>
      </c>
    </row>
    <row r="377" spans="1:8" ht="25.5" x14ac:dyDescent="0.2">
      <c r="A377" s="1" t="s">
        <v>20</v>
      </c>
      <c r="B377" s="2" t="s">
        <v>51</v>
      </c>
      <c r="C377" s="1"/>
      <c r="D377" s="5" t="s">
        <v>4162</v>
      </c>
      <c r="E377" s="3">
        <v>69000</v>
      </c>
      <c r="F377" s="3">
        <v>120000</v>
      </c>
      <c r="G377" s="57">
        <f t="shared" si="5"/>
        <v>0.73913043478260865</v>
      </c>
      <c r="H377" s="5" t="s">
        <v>4163</v>
      </c>
    </row>
    <row r="378" spans="1:8" s="13" customFormat="1" x14ac:dyDescent="0.2">
      <c r="A378" s="1" t="s">
        <v>20</v>
      </c>
      <c r="B378" s="12" t="s">
        <v>51</v>
      </c>
      <c r="D378" s="7" t="s">
        <v>635</v>
      </c>
      <c r="E378" s="6">
        <v>107000</v>
      </c>
      <c r="F378" s="6" t="s">
        <v>465</v>
      </c>
      <c r="G378" s="57" t="str">
        <f t="shared" si="5"/>
        <v>-</v>
      </c>
      <c r="H378" s="7" t="s">
        <v>4164</v>
      </c>
    </row>
    <row r="379" spans="1:8" x14ac:dyDescent="0.2">
      <c r="A379" s="1" t="s">
        <v>20</v>
      </c>
      <c r="B379" s="2" t="s">
        <v>51</v>
      </c>
      <c r="C379" s="1"/>
      <c r="D379" s="5" t="s">
        <v>464</v>
      </c>
      <c r="G379" s="57" t="str">
        <f t="shared" si="5"/>
        <v>-</v>
      </c>
      <c r="H379" s="5" t="s">
        <v>539</v>
      </c>
    </row>
    <row r="380" spans="1:8" x14ac:dyDescent="0.2">
      <c r="A380" s="1" t="s">
        <v>20</v>
      </c>
      <c r="B380" s="2" t="s">
        <v>51</v>
      </c>
      <c r="C380" s="1"/>
      <c r="D380" s="5" t="s">
        <v>464</v>
      </c>
      <c r="E380" s="3">
        <v>107500</v>
      </c>
      <c r="F380" s="3" t="s">
        <v>465</v>
      </c>
      <c r="G380" s="57" t="str">
        <f t="shared" si="5"/>
        <v>-</v>
      </c>
      <c r="H380" s="5" t="s">
        <v>539</v>
      </c>
    </row>
    <row r="381" spans="1:8" s="13" customFormat="1" ht="38.25" x14ac:dyDescent="0.2">
      <c r="A381" s="13" t="s">
        <v>20</v>
      </c>
      <c r="B381" s="17" t="s">
        <v>4166</v>
      </c>
      <c r="D381" s="7" t="s">
        <v>450</v>
      </c>
      <c r="E381" s="6">
        <v>133099</v>
      </c>
      <c r="F381" s="6">
        <v>38953</v>
      </c>
      <c r="G381" s="57">
        <f t="shared" si="5"/>
        <v>-0.70733814679298868</v>
      </c>
      <c r="H381" s="7" t="s">
        <v>4165</v>
      </c>
    </row>
    <row r="382" spans="1:8" x14ac:dyDescent="0.2">
      <c r="A382" s="13" t="s">
        <v>20</v>
      </c>
      <c r="B382" s="2" t="s">
        <v>52</v>
      </c>
      <c r="C382" s="1"/>
      <c r="D382" s="5" t="s">
        <v>455</v>
      </c>
      <c r="E382" s="3">
        <v>105862</v>
      </c>
      <c r="F382" s="3">
        <v>110700</v>
      </c>
      <c r="G382" s="57">
        <f t="shared" si="5"/>
        <v>4.5701006971340045E-2</v>
      </c>
      <c r="H382" s="5" t="s">
        <v>1832</v>
      </c>
    </row>
    <row r="383" spans="1:8" x14ac:dyDescent="0.2">
      <c r="A383" s="1" t="s">
        <v>25</v>
      </c>
      <c r="B383" s="2" t="s">
        <v>53</v>
      </c>
      <c r="C383" s="1" t="s">
        <v>1833</v>
      </c>
      <c r="D383" s="5" t="s">
        <v>450</v>
      </c>
      <c r="E383" s="3">
        <v>233870</v>
      </c>
      <c r="F383" s="3">
        <v>232646</v>
      </c>
      <c r="G383" s="57">
        <f t="shared" si="5"/>
        <v>-5.2336768290075679E-3</v>
      </c>
      <c r="H383" s="5" t="s">
        <v>1834</v>
      </c>
    </row>
    <row r="384" spans="1:8" ht="25.5" x14ac:dyDescent="0.2">
      <c r="A384" s="1" t="s">
        <v>25</v>
      </c>
      <c r="B384" s="2" t="s">
        <v>53</v>
      </c>
      <c r="C384" s="1"/>
      <c r="D384" s="5" t="s">
        <v>4170</v>
      </c>
      <c r="E384" s="3">
        <v>161303</v>
      </c>
      <c r="F384" s="3">
        <v>230342</v>
      </c>
      <c r="G384" s="57">
        <f t="shared" si="5"/>
        <v>0.42800815855873731</v>
      </c>
      <c r="H384" s="5" t="s">
        <v>4171</v>
      </c>
    </row>
    <row r="385" spans="1:8" s="13" customFormat="1" ht="25.5" x14ac:dyDescent="0.2">
      <c r="A385" s="1" t="s">
        <v>25</v>
      </c>
      <c r="B385" s="2" t="s">
        <v>53</v>
      </c>
      <c r="D385" s="7" t="s">
        <v>4169</v>
      </c>
      <c r="E385" s="6">
        <v>161303</v>
      </c>
      <c r="F385" s="6">
        <v>69898</v>
      </c>
      <c r="G385" s="57">
        <f t="shared" si="5"/>
        <v>-0.56666646001624277</v>
      </c>
      <c r="H385" s="7" t="s">
        <v>4168</v>
      </c>
    </row>
    <row r="386" spans="1:8" x14ac:dyDescent="0.2">
      <c r="A386" s="1" t="s">
        <v>25</v>
      </c>
      <c r="B386" s="2" t="s">
        <v>53</v>
      </c>
      <c r="C386" s="1"/>
      <c r="D386" s="5" t="s">
        <v>977</v>
      </c>
      <c r="E386" s="3">
        <v>161303</v>
      </c>
      <c r="F386" s="3">
        <v>161303</v>
      </c>
      <c r="G386" s="57">
        <f t="shared" si="5"/>
        <v>0</v>
      </c>
      <c r="H386" s="5" t="s">
        <v>1835</v>
      </c>
    </row>
    <row r="387" spans="1:8" s="13" customFormat="1" ht="25.5" x14ac:dyDescent="0.2">
      <c r="A387" s="1" t="s">
        <v>25</v>
      </c>
      <c r="B387" s="12" t="s">
        <v>53</v>
      </c>
      <c r="D387" s="7" t="s">
        <v>3757</v>
      </c>
      <c r="E387" s="6">
        <v>161303</v>
      </c>
      <c r="F387" s="6">
        <v>86288</v>
      </c>
      <c r="G387" s="57">
        <f t="shared" ref="G387:G450" si="6">IF(ISERROR((F387-E387)/E387),"-",(F387-E387)/E387)</f>
        <v>-0.46505644656330014</v>
      </c>
      <c r="H387" s="7" t="s">
        <v>4174</v>
      </c>
    </row>
    <row r="388" spans="1:8" ht="25.5" x14ac:dyDescent="0.2">
      <c r="A388" s="1" t="s">
        <v>25</v>
      </c>
      <c r="B388" s="2" t="s">
        <v>53</v>
      </c>
      <c r="C388" s="1"/>
      <c r="D388" s="5" t="s">
        <v>4175</v>
      </c>
      <c r="E388" s="3">
        <v>161303</v>
      </c>
      <c r="F388" s="3">
        <v>161303</v>
      </c>
      <c r="G388" s="57">
        <f t="shared" si="6"/>
        <v>0</v>
      </c>
      <c r="H388" s="5" t="s">
        <v>1835</v>
      </c>
    </row>
    <row r="389" spans="1:8" s="13" customFormat="1" ht="25.5" x14ac:dyDescent="0.2">
      <c r="A389" s="1" t="s">
        <v>25</v>
      </c>
      <c r="B389" s="12" t="s">
        <v>53</v>
      </c>
      <c r="D389" s="7" t="s">
        <v>4172</v>
      </c>
      <c r="E389" s="6">
        <v>149781</v>
      </c>
      <c r="F389" s="6">
        <v>109675</v>
      </c>
      <c r="G389" s="57">
        <f t="shared" si="6"/>
        <v>-0.26776426916631618</v>
      </c>
      <c r="H389" s="7" t="s">
        <v>4173</v>
      </c>
    </row>
    <row r="390" spans="1:8" ht="38.25" x14ac:dyDescent="0.2">
      <c r="A390" s="1" t="s">
        <v>25</v>
      </c>
      <c r="B390" s="2" t="s">
        <v>53</v>
      </c>
      <c r="C390" s="1"/>
      <c r="D390" s="5" t="s">
        <v>4176</v>
      </c>
      <c r="E390" s="3">
        <v>144657</v>
      </c>
      <c r="F390" s="3">
        <v>124080</v>
      </c>
      <c r="G390" s="57">
        <f t="shared" si="6"/>
        <v>-0.14224683216159606</v>
      </c>
      <c r="H390" s="5" t="s">
        <v>1836</v>
      </c>
    </row>
    <row r="391" spans="1:8" ht="25.5" x14ac:dyDescent="0.2">
      <c r="A391" s="1" t="s">
        <v>25</v>
      </c>
      <c r="B391" s="2" t="s">
        <v>53</v>
      </c>
      <c r="C391" s="1"/>
      <c r="D391" s="5" t="s">
        <v>4177</v>
      </c>
      <c r="E391" s="3" t="s">
        <v>465</v>
      </c>
      <c r="F391" s="3">
        <v>104284</v>
      </c>
      <c r="G391" s="57" t="str">
        <f t="shared" si="6"/>
        <v>-</v>
      </c>
      <c r="H391" s="5" t="s">
        <v>4178</v>
      </c>
    </row>
    <row r="392" spans="1:8" x14ac:dyDescent="0.2">
      <c r="A392" s="1" t="s">
        <v>25</v>
      </c>
      <c r="B392" s="2" t="s">
        <v>53</v>
      </c>
      <c r="C392" s="1"/>
      <c r="D392" s="5" t="s">
        <v>3758</v>
      </c>
      <c r="E392" s="3">
        <v>105301</v>
      </c>
      <c r="F392" s="3" t="s">
        <v>465</v>
      </c>
      <c r="G392" s="57" t="str">
        <f t="shared" si="6"/>
        <v>-</v>
      </c>
      <c r="H392" s="5" t="s">
        <v>3759</v>
      </c>
    </row>
    <row r="393" spans="1:8" x14ac:dyDescent="0.2">
      <c r="A393" s="1" t="s">
        <v>25</v>
      </c>
      <c r="B393" s="2" t="s">
        <v>53</v>
      </c>
      <c r="C393" s="1"/>
      <c r="D393" s="5" t="s">
        <v>464</v>
      </c>
      <c r="E393" s="3" t="s">
        <v>465</v>
      </c>
      <c r="F393" s="3">
        <v>102500</v>
      </c>
      <c r="G393" s="57" t="str">
        <f t="shared" si="6"/>
        <v>-</v>
      </c>
    </row>
    <row r="394" spans="1:8" x14ac:dyDescent="0.2">
      <c r="A394" s="1" t="s">
        <v>25</v>
      </c>
      <c r="B394" s="2" t="s">
        <v>53</v>
      </c>
      <c r="C394" s="1"/>
      <c r="D394" s="5" t="s">
        <v>464</v>
      </c>
      <c r="E394" s="3" t="s">
        <v>465</v>
      </c>
      <c r="F394" s="3">
        <v>102500</v>
      </c>
      <c r="G394" s="57" t="str">
        <f t="shared" si="6"/>
        <v>-</v>
      </c>
    </row>
    <row r="395" spans="1:8" x14ac:dyDescent="0.2">
      <c r="A395" s="1" t="s">
        <v>25</v>
      </c>
      <c r="B395" s="2" t="s">
        <v>53</v>
      </c>
      <c r="C395" s="1"/>
      <c r="D395" s="5" t="s">
        <v>464</v>
      </c>
      <c r="E395" s="3" t="s">
        <v>465</v>
      </c>
      <c r="F395" s="3">
        <v>102500</v>
      </c>
      <c r="G395" s="57" t="str">
        <f t="shared" si="6"/>
        <v>-</v>
      </c>
    </row>
    <row r="396" spans="1:8" x14ac:dyDescent="0.2">
      <c r="A396" s="1" t="s">
        <v>25</v>
      </c>
      <c r="B396" s="2" t="s">
        <v>53</v>
      </c>
      <c r="C396" s="1"/>
      <c r="D396" s="5" t="s">
        <v>464</v>
      </c>
      <c r="E396" s="3" t="s">
        <v>465</v>
      </c>
      <c r="F396" s="3">
        <v>102500</v>
      </c>
      <c r="G396" s="57" t="str">
        <f t="shared" si="6"/>
        <v>-</v>
      </c>
    </row>
    <row r="397" spans="1:8" x14ac:dyDescent="0.2">
      <c r="A397" s="1" t="s">
        <v>25</v>
      </c>
      <c r="B397" s="2" t="s">
        <v>53</v>
      </c>
      <c r="C397" s="1"/>
      <c r="D397" s="5" t="s">
        <v>464</v>
      </c>
      <c r="E397" s="3" t="s">
        <v>465</v>
      </c>
      <c r="F397" s="3">
        <v>102500</v>
      </c>
      <c r="G397" s="57" t="str">
        <f t="shared" si="6"/>
        <v>-</v>
      </c>
    </row>
    <row r="398" spans="1:8" x14ac:dyDescent="0.2">
      <c r="A398" s="1" t="s">
        <v>25</v>
      </c>
      <c r="B398" s="2" t="s">
        <v>53</v>
      </c>
      <c r="C398" s="1"/>
      <c r="D398" s="5" t="s">
        <v>464</v>
      </c>
      <c r="E398" s="3" t="s">
        <v>465</v>
      </c>
      <c r="F398" s="3">
        <v>102500</v>
      </c>
      <c r="G398" s="57" t="str">
        <f t="shared" si="6"/>
        <v>-</v>
      </c>
    </row>
    <row r="399" spans="1:8" x14ac:dyDescent="0.2">
      <c r="A399" s="1" t="s">
        <v>25</v>
      </c>
      <c r="B399" s="2" t="s">
        <v>53</v>
      </c>
      <c r="C399" s="1"/>
      <c r="D399" s="5" t="s">
        <v>464</v>
      </c>
      <c r="E399" s="3">
        <v>102500</v>
      </c>
      <c r="F399" s="3" t="s">
        <v>465</v>
      </c>
      <c r="G399" s="57" t="str">
        <f t="shared" si="6"/>
        <v>-</v>
      </c>
      <c r="H399" s="1"/>
    </row>
    <row r="400" spans="1:8" x14ac:dyDescent="0.2">
      <c r="A400" s="1" t="s">
        <v>25</v>
      </c>
      <c r="B400" s="2" t="s">
        <v>53</v>
      </c>
      <c r="C400" s="1"/>
      <c r="D400" s="5" t="s">
        <v>464</v>
      </c>
      <c r="E400" s="3">
        <v>102500</v>
      </c>
      <c r="F400" s="3" t="s">
        <v>465</v>
      </c>
      <c r="G400" s="57" t="str">
        <f t="shared" si="6"/>
        <v>-</v>
      </c>
      <c r="H400" s="1"/>
    </row>
    <row r="401" spans="1:8" x14ac:dyDescent="0.2">
      <c r="A401" s="1" t="s">
        <v>25</v>
      </c>
      <c r="B401" s="2" t="s">
        <v>53</v>
      </c>
      <c r="C401" s="1"/>
      <c r="D401" s="5" t="s">
        <v>464</v>
      </c>
      <c r="E401" s="3">
        <v>102500</v>
      </c>
      <c r="F401" s="3" t="s">
        <v>465</v>
      </c>
      <c r="G401" s="57" t="str">
        <f t="shared" si="6"/>
        <v>-</v>
      </c>
      <c r="H401" s="1"/>
    </row>
    <row r="402" spans="1:8" x14ac:dyDescent="0.2">
      <c r="A402" s="1" t="s">
        <v>25</v>
      </c>
      <c r="B402" s="2" t="s">
        <v>53</v>
      </c>
      <c r="C402" s="1"/>
      <c r="D402" s="5" t="s">
        <v>464</v>
      </c>
      <c r="E402" s="3">
        <v>102500</v>
      </c>
      <c r="F402" s="3" t="s">
        <v>465</v>
      </c>
      <c r="G402" s="57" t="str">
        <f t="shared" si="6"/>
        <v>-</v>
      </c>
      <c r="H402" s="1"/>
    </row>
    <row r="403" spans="1:8" x14ac:dyDescent="0.2">
      <c r="A403" s="1" t="s">
        <v>25</v>
      </c>
      <c r="B403" s="2" t="s">
        <v>53</v>
      </c>
      <c r="C403" s="1"/>
      <c r="D403" s="5" t="s">
        <v>464</v>
      </c>
      <c r="E403" s="3">
        <v>102500</v>
      </c>
      <c r="F403" s="3" t="s">
        <v>465</v>
      </c>
      <c r="G403" s="57" t="str">
        <f t="shared" si="6"/>
        <v>-</v>
      </c>
      <c r="H403" s="1"/>
    </row>
    <row r="404" spans="1:8" x14ac:dyDescent="0.2">
      <c r="A404" s="1" t="s">
        <v>25</v>
      </c>
      <c r="B404" s="2" t="s">
        <v>53</v>
      </c>
      <c r="C404" s="1"/>
      <c r="D404" s="5" t="s">
        <v>464</v>
      </c>
      <c r="E404" s="3" t="s">
        <v>465</v>
      </c>
      <c r="F404" s="3">
        <v>107500</v>
      </c>
      <c r="G404" s="57" t="str">
        <f t="shared" si="6"/>
        <v>-</v>
      </c>
      <c r="H404" s="1"/>
    </row>
    <row r="405" spans="1:8" x14ac:dyDescent="0.2">
      <c r="A405" s="1" t="s">
        <v>25</v>
      </c>
      <c r="B405" s="2" t="s">
        <v>53</v>
      </c>
      <c r="C405" s="1"/>
      <c r="D405" s="5" t="s">
        <v>464</v>
      </c>
      <c r="E405" s="3" t="s">
        <v>465</v>
      </c>
      <c r="F405" s="3">
        <v>107500</v>
      </c>
      <c r="G405" s="57" t="str">
        <f t="shared" si="6"/>
        <v>-</v>
      </c>
      <c r="H405" s="1"/>
    </row>
    <row r="406" spans="1:8" x14ac:dyDescent="0.2">
      <c r="A406" s="1" t="s">
        <v>25</v>
      </c>
      <c r="B406" s="2" t="s">
        <v>53</v>
      </c>
      <c r="C406" s="1"/>
      <c r="D406" s="5" t="s">
        <v>464</v>
      </c>
      <c r="E406" s="3" t="s">
        <v>465</v>
      </c>
      <c r="F406" s="3">
        <v>107500</v>
      </c>
      <c r="G406" s="57" t="str">
        <f t="shared" si="6"/>
        <v>-</v>
      </c>
      <c r="H406" s="1"/>
    </row>
    <row r="407" spans="1:8" x14ac:dyDescent="0.2">
      <c r="A407" s="1" t="s">
        <v>25</v>
      </c>
      <c r="B407" s="2" t="s">
        <v>53</v>
      </c>
      <c r="C407" s="1"/>
      <c r="D407" s="5" t="s">
        <v>464</v>
      </c>
      <c r="E407" s="3" t="s">
        <v>465</v>
      </c>
      <c r="F407" s="3">
        <v>107500</v>
      </c>
      <c r="G407" s="57" t="str">
        <f t="shared" si="6"/>
        <v>-</v>
      </c>
      <c r="H407" s="1"/>
    </row>
    <row r="408" spans="1:8" x14ac:dyDescent="0.2">
      <c r="A408" s="1" t="s">
        <v>25</v>
      </c>
      <c r="B408" s="2" t="s">
        <v>53</v>
      </c>
      <c r="C408" s="1"/>
      <c r="D408" s="5" t="s">
        <v>464</v>
      </c>
      <c r="E408" s="3" t="s">
        <v>465</v>
      </c>
      <c r="F408" s="3">
        <v>107500</v>
      </c>
      <c r="G408" s="57" t="str">
        <f t="shared" si="6"/>
        <v>-</v>
      </c>
      <c r="H408" s="1"/>
    </row>
    <row r="409" spans="1:8" x14ac:dyDescent="0.2">
      <c r="A409" s="1" t="s">
        <v>25</v>
      </c>
      <c r="B409" s="2" t="s">
        <v>53</v>
      </c>
      <c r="C409" s="1"/>
      <c r="D409" s="5" t="s">
        <v>464</v>
      </c>
      <c r="E409" s="3">
        <v>107500</v>
      </c>
      <c r="F409" s="3" t="s">
        <v>465</v>
      </c>
      <c r="G409" s="57" t="str">
        <f t="shared" si="6"/>
        <v>-</v>
      </c>
      <c r="H409" s="1"/>
    </row>
    <row r="410" spans="1:8" x14ac:dyDescent="0.2">
      <c r="A410" s="1" t="s">
        <v>25</v>
      </c>
      <c r="B410" s="2" t="s">
        <v>53</v>
      </c>
      <c r="C410" s="1"/>
      <c r="D410" s="5" t="s">
        <v>464</v>
      </c>
      <c r="E410" s="3">
        <v>107500</v>
      </c>
      <c r="F410" s="3" t="s">
        <v>465</v>
      </c>
      <c r="G410" s="57" t="str">
        <f t="shared" si="6"/>
        <v>-</v>
      </c>
      <c r="H410" s="1"/>
    </row>
    <row r="411" spans="1:8" x14ac:dyDescent="0.2">
      <c r="A411" s="1" t="s">
        <v>25</v>
      </c>
      <c r="B411" s="2" t="s">
        <v>53</v>
      </c>
      <c r="C411" s="1"/>
      <c r="D411" s="5" t="s">
        <v>464</v>
      </c>
      <c r="E411" s="3">
        <v>107500</v>
      </c>
      <c r="F411" s="3" t="s">
        <v>465</v>
      </c>
      <c r="G411" s="57" t="str">
        <f t="shared" si="6"/>
        <v>-</v>
      </c>
      <c r="H411" s="1"/>
    </row>
    <row r="412" spans="1:8" x14ac:dyDescent="0.2">
      <c r="A412" s="1" t="s">
        <v>25</v>
      </c>
      <c r="B412" s="2" t="s">
        <v>53</v>
      </c>
      <c r="C412" s="1"/>
      <c r="D412" s="5" t="s">
        <v>464</v>
      </c>
      <c r="E412" s="3">
        <v>107500</v>
      </c>
      <c r="F412" s="3" t="s">
        <v>465</v>
      </c>
      <c r="G412" s="57" t="str">
        <f t="shared" si="6"/>
        <v>-</v>
      </c>
      <c r="H412" s="1"/>
    </row>
    <row r="413" spans="1:8" x14ac:dyDescent="0.2">
      <c r="A413" s="1" t="s">
        <v>25</v>
      </c>
      <c r="B413" s="2" t="s">
        <v>53</v>
      </c>
      <c r="C413" s="1"/>
      <c r="D413" s="5" t="s">
        <v>464</v>
      </c>
      <c r="E413" s="3">
        <v>107500</v>
      </c>
      <c r="F413" s="3" t="s">
        <v>465</v>
      </c>
      <c r="G413" s="57" t="str">
        <f t="shared" si="6"/>
        <v>-</v>
      </c>
      <c r="H413" s="1"/>
    </row>
    <row r="414" spans="1:8" x14ac:dyDescent="0.2">
      <c r="A414" s="1" t="s">
        <v>25</v>
      </c>
      <c r="B414" s="2" t="s">
        <v>53</v>
      </c>
      <c r="C414" s="1"/>
      <c r="D414" s="5" t="s">
        <v>464</v>
      </c>
      <c r="E414" s="3">
        <v>107500</v>
      </c>
      <c r="F414" s="3" t="s">
        <v>465</v>
      </c>
      <c r="G414" s="57" t="str">
        <f t="shared" si="6"/>
        <v>-</v>
      </c>
      <c r="H414" s="1"/>
    </row>
    <row r="415" spans="1:8" x14ac:dyDescent="0.2">
      <c r="A415" s="1" t="s">
        <v>25</v>
      </c>
      <c r="B415" s="2" t="s">
        <v>53</v>
      </c>
      <c r="C415" s="1"/>
      <c r="D415" s="5" t="s">
        <v>464</v>
      </c>
      <c r="E415" s="3" t="s">
        <v>465</v>
      </c>
      <c r="F415" s="3">
        <v>112500</v>
      </c>
      <c r="G415" s="57" t="str">
        <f t="shared" si="6"/>
        <v>-</v>
      </c>
    </row>
    <row r="416" spans="1:8" x14ac:dyDescent="0.2">
      <c r="A416" s="1" t="s">
        <v>25</v>
      </c>
      <c r="B416" s="2" t="s">
        <v>53</v>
      </c>
      <c r="C416" s="1"/>
      <c r="D416" s="5" t="s">
        <v>464</v>
      </c>
      <c r="E416" s="3" t="s">
        <v>465</v>
      </c>
      <c r="F416" s="3">
        <v>112500</v>
      </c>
      <c r="G416" s="57" t="str">
        <f t="shared" si="6"/>
        <v>-</v>
      </c>
    </row>
    <row r="417" spans="1:8" x14ac:dyDescent="0.2">
      <c r="A417" s="1" t="s">
        <v>25</v>
      </c>
      <c r="B417" s="2" t="s">
        <v>53</v>
      </c>
      <c r="C417" s="1"/>
      <c r="D417" s="5" t="s">
        <v>464</v>
      </c>
      <c r="E417" s="3" t="s">
        <v>465</v>
      </c>
      <c r="F417" s="3">
        <v>117500</v>
      </c>
      <c r="G417" s="57" t="str">
        <f t="shared" si="6"/>
        <v>-</v>
      </c>
    </row>
    <row r="418" spans="1:8" x14ac:dyDescent="0.2">
      <c r="A418" s="1" t="s">
        <v>25</v>
      </c>
      <c r="B418" s="2" t="s">
        <v>53</v>
      </c>
      <c r="C418" s="1"/>
      <c r="D418" s="5" t="s">
        <v>464</v>
      </c>
      <c r="E418" s="3" t="s">
        <v>465</v>
      </c>
      <c r="F418" s="3">
        <v>122500</v>
      </c>
      <c r="G418" s="57" t="str">
        <f t="shared" si="6"/>
        <v>-</v>
      </c>
    </row>
    <row r="419" spans="1:8" x14ac:dyDescent="0.2">
      <c r="A419" s="1" t="s">
        <v>25</v>
      </c>
      <c r="B419" s="2" t="s">
        <v>53</v>
      </c>
      <c r="C419" s="1"/>
      <c r="D419" s="5" t="s">
        <v>464</v>
      </c>
      <c r="E419" s="3" t="s">
        <v>465</v>
      </c>
      <c r="F419" s="3">
        <v>132500</v>
      </c>
      <c r="G419" s="57" t="str">
        <f t="shared" si="6"/>
        <v>-</v>
      </c>
    </row>
    <row r="420" spans="1:8" x14ac:dyDescent="0.2">
      <c r="A420" s="1" t="s">
        <v>25</v>
      </c>
      <c r="B420" s="2" t="s">
        <v>53</v>
      </c>
      <c r="C420" s="1"/>
      <c r="D420" s="5" t="s">
        <v>464</v>
      </c>
      <c r="E420" s="3" t="s">
        <v>465</v>
      </c>
      <c r="F420" s="3">
        <v>192500</v>
      </c>
      <c r="G420" s="57" t="str">
        <f t="shared" si="6"/>
        <v>-</v>
      </c>
    </row>
    <row r="421" spans="1:8" x14ac:dyDescent="0.2">
      <c r="A421" s="1" t="s">
        <v>25</v>
      </c>
      <c r="B421" s="2" t="s">
        <v>53</v>
      </c>
      <c r="C421" s="1"/>
      <c r="D421" s="5" t="s">
        <v>464</v>
      </c>
      <c r="E421" s="3">
        <v>192500</v>
      </c>
      <c r="F421" s="3" t="s">
        <v>465</v>
      </c>
      <c r="G421" s="57" t="str">
        <f t="shared" si="6"/>
        <v>-</v>
      </c>
    </row>
    <row r="422" spans="1:8" ht="25.5" x14ac:dyDescent="0.2">
      <c r="A422" s="1" t="s">
        <v>20</v>
      </c>
      <c r="B422" s="30" t="s">
        <v>4731</v>
      </c>
      <c r="C422" s="1"/>
      <c r="D422" s="5" t="s">
        <v>470</v>
      </c>
      <c r="E422" s="3">
        <v>106561</v>
      </c>
      <c r="F422" s="3">
        <v>105249</v>
      </c>
      <c r="G422" s="57">
        <f t="shared" si="6"/>
        <v>-1.2312196769925208E-2</v>
      </c>
      <c r="H422" s="5" t="s">
        <v>1837</v>
      </c>
    </row>
    <row r="423" spans="1:8" ht="25.5" x14ac:dyDescent="0.2">
      <c r="A423" s="1" t="s">
        <v>20</v>
      </c>
      <c r="B423" s="2" t="s">
        <v>54</v>
      </c>
      <c r="C423" s="1"/>
      <c r="D423" s="5" t="s">
        <v>1838</v>
      </c>
      <c r="E423" s="3">
        <v>34247</v>
      </c>
      <c r="F423" s="3">
        <v>120482</v>
      </c>
      <c r="G423" s="57">
        <f t="shared" si="6"/>
        <v>2.5180307764183723</v>
      </c>
      <c r="H423" s="5" t="s">
        <v>4428</v>
      </c>
    </row>
    <row r="424" spans="1:8" ht="25.5" x14ac:dyDescent="0.2">
      <c r="A424" s="1" t="s">
        <v>44</v>
      </c>
      <c r="B424" s="2" t="s">
        <v>55</v>
      </c>
      <c r="C424" s="1"/>
      <c r="D424" s="5" t="s">
        <v>450</v>
      </c>
      <c r="E424" s="3">
        <v>170310</v>
      </c>
      <c r="F424" s="3">
        <v>169469</v>
      </c>
      <c r="G424" s="57">
        <f t="shared" si="6"/>
        <v>-4.9380541365744816E-3</v>
      </c>
      <c r="H424" s="5" t="s">
        <v>1839</v>
      </c>
    </row>
    <row r="425" spans="1:8" ht="25.5" x14ac:dyDescent="0.2">
      <c r="A425" s="1" t="s">
        <v>44</v>
      </c>
      <c r="B425" s="2" t="s">
        <v>55</v>
      </c>
      <c r="C425" s="1"/>
      <c r="D425" s="5" t="s">
        <v>1840</v>
      </c>
      <c r="E425" s="3">
        <v>130027</v>
      </c>
      <c r="F425" s="3">
        <v>130990</v>
      </c>
      <c r="G425" s="57">
        <f t="shared" si="6"/>
        <v>7.4061541064548136E-3</v>
      </c>
      <c r="H425" s="5" t="s">
        <v>1841</v>
      </c>
    </row>
    <row r="426" spans="1:8" ht="25.5" x14ac:dyDescent="0.2">
      <c r="A426" s="1" t="s">
        <v>44</v>
      </c>
      <c r="B426" s="2" t="s">
        <v>55</v>
      </c>
      <c r="C426" s="1"/>
      <c r="D426" s="5" t="s">
        <v>655</v>
      </c>
      <c r="E426" s="3">
        <v>127875</v>
      </c>
      <c r="F426" s="3">
        <v>132500</v>
      </c>
      <c r="G426" s="57">
        <f t="shared" si="6"/>
        <v>3.6168132942326493E-2</v>
      </c>
      <c r="H426" s="5" t="s">
        <v>1842</v>
      </c>
    </row>
    <row r="427" spans="1:8" x14ac:dyDescent="0.2">
      <c r="A427" s="1" t="s">
        <v>44</v>
      </c>
      <c r="B427" s="2" t="s">
        <v>55</v>
      </c>
      <c r="C427" s="1"/>
      <c r="D427" s="5" t="s">
        <v>1843</v>
      </c>
      <c r="E427" s="3">
        <v>126773</v>
      </c>
      <c r="F427" s="3">
        <v>129173</v>
      </c>
      <c r="G427" s="57">
        <f t="shared" si="6"/>
        <v>1.8931475945193378E-2</v>
      </c>
      <c r="H427" s="5" t="s">
        <v>1844</v>
      </c>
    </row>
    <row r="428" spans="1:8" ht="25.5" x14ac:dyDescent="0.2">
      <c r="A428" s="1" t="s">
        <v>44</v>
      </c>
      <c r="B428" s="2" t="s">
        <v>55</v>
      </c>
      <c r="C428" s="1"/>
      <c r="D428" s="5" t="s">
        <v>1845</v>
      </c>
      <c r="E428" s="3">
        <v>116139</v>
      </c>
      <c r="F428" s="3">
        <v>120739</v>
      </c>
      <c r="G428" s="57">
        <f t="shared" si="6"/>
        <v>3.960771144921172E-2</v>
      </c>
      <c r="H428" s="5" t="s">
        <v>1846</v>
      </c>
    </row>
    <row r="429" spans="1:8" ht="25.5" x14ac:dyDescent="0.2">
      <c r="A429" s="1" t="s">
        <v>44</v>
      </c>
      <c r="B429" s="2" t="s">
        <v>55</v>
      </c>
      <c r="C429" s="1"/>
      <c r="D429" s="5" t="s">
        <v>1847</v>
      </c>
      <c r="E429" s="3">
        <v>112926</v>
      </c>
      <c r="F429" s="3">
        <v>116386</v>
      </c>
      <c r="G429" s="57">
        <f t="shared" si="6"/>
        <v>3.0639533854028303E-2</v>
      </c>
      <c r="H429" s="5" t="s">
        <v>1848</v>
      </c>
    </row>
    <row r="430" spans="1:8" x14ac:dyDescent="0.2">
      <c r="A430" s="1" t="s">
        <v>44</v>
      </c>
      <c r="B430" s="2" t="s">
        <v>55</v>
      </c>
      <c r="C430" s="1"/>
      <c r="D430" s="5" t="s">
        <v>464</v>
      </c>
      <c r="E430" s="3">
        <v>102500</v>
      </c>
      <c r="F430" s="3" t="s">
        <v>465</v>
      </c>
      <c r="G430" s="57" t="str">
        <f t="shared" si="6"/>
        <v>-</v>
      </c>
    </row>
    <row r="431" spans="1:8" x14ac:dyDescent="0.2">
      <c r="A431" s="1" t="s">
        <v>44</v>
      </c>
      <c r="B431" s="2" t="s">
        <v>55</v>
      </c>
      <c r="C431" s="1"/>
      <c r="D431" s="5" t="s">
        <v>464</v>
      </c>
      <c r="E431" s="3">
        <v>102500</v>
      </c>
      <c r="F431" s="3" t="s">
        <v>465</v>
      </c>
      <c r="G431" s="57" t="str">
        <f t="shared" si="6"/>
        <v>-</v>
      </c>
    </row>
    <row r="432" spans="1:8" x14ac:dyDescent="0.2">
      <c r="A432" s="1" t="s">
        <v>44</v>
      </c>
      <c r="B432" s="2" t="s">
        <v>55</v>
      </c>
      <c r="C432" s="1"/>
      <c r="D432" s="5" t="s">
        <v>464</v>
      </c>
      <c r="E432" s="3" t="s">
        <v>465</v>
      </c>
      <c r="F432" s="3">
        <v>107500</v>
      </c>
      <c r="G432" s="57" t="str">
        <f t="shared" si="6"/>
        <v>-</v>
      </c>
    </row>
    <row r="433" spans="1:8" x14ac:dyDescent="0.2">
      <c r="A433" s="1" t="s">
        <v>44</v>
      </c>
      <c r="B433" s="2" t="s">
        <v>55</v>
      </c>
      <c r="C433" s="1"/>
      <c r="D433" s="5" t="s">
        <v>464</v>
      </c>
      <c r="E433" s="3" t="s">
        <v>465</v>
      </c>
      <c r="F433" s="3">
        <v>107500</v>
      </c>
      <c r="G433" s="57" t="str">
        <f t="shared" si="6"/>
        <v>-</v>
      </c>
    </row>
    <row r="434" spans="1:8" ht="25.5" x14ac:dyDescent="0.2">
      <c r="A434" s="1" t="s">
        <v>4</v>
      </c>
      <c r="B434" s="2" t="s">
        <v>56</v>
      </c>
      <c r="C434" s="1" t="s">
        <v>1849</v>
      </c>
      <c r="D434" s="5" t="s">
        <v>450</v>
      </c>
      <c r="E434" s="3">
        <v>107900</v>
      </c>
      <c r="F434" s="3">
        <v>220100</v>
      </c>
      <c r="G434" s="57">
        <f t="shared" si="6"/>
        <v>1.0398517145505097</v>
      </c>
      <c r="H434" s="5" t="s">
        <v>4429</v>
      </c>
    </row>
    <row r="435" spans="1:8" ht="25.5" x14ac:dyDescent="0.2">
      <c r="A435" s="1" t="s">
        <v>4</v>
      </c>
      <c r="B435" s="2" t="s">
        <v>56</v>
      </c>
      <c r="C435" s="1"/>
      <c r="D435" s="5" t="s">
        <v>1850</v>
      </c>
      <c r="E435" s="3">
        <v>58500</v>
      </c>
      <c r="F435" s="3">
        <v>175500</v>
      </c>
      <c r="G435" s="57">
        <f t="shared" si="6"/>
        <v>2</v>
      </c>
      <c r="H435" s="5" t="s">
        <v>1851</v>
      </c>
    </row>
    <row r="436" spans="1:8" s="13" customFormat="1" ht="25.5" x14ac:dyDescent="0.2">
      <c r="A436" s="1" t="s">
        <v>4</v>
      </c>
      <c r="B436" s="12" t="s">
        <v>56</v>
      </c>
      <c r="D436" s="7" t="s">
        <v>1852</v>
      </c>
      <c r="E436" s="6">
        <v>110500</v>
      </c>
      <c r="F436" s="6">
        <v>154800</v>
      </c>
      <c r="G436" s="57">
        <f t="shared" si="6"/>
        <v>0.40090497737556563</v>
      </c>
      <c r="H436" s="7" t="s">
        <v>3760</v>
      </c>
    </row>
    <row r="437" spans="1:8" ht="25.5" x14ac:dyDescent="0.2">
      <c r="A437" s="1" t="s">
        <v>4</v>
      </c>
      <c r="B437" s="2" t="s">
        <v>56</v>
      </c>
      <c r="C437" s="1"/>
      <c r="D437" s="5" t="s">
        <v>1853</v>
      </c>
      <c r="E437" s="3">
        <v>126400</v>
      </c>
      <c r="F437" s="3">
        <v>219100</v>
      </c>
      <c r="G437" s="57">
        <f t="shared" si="6"/>
        <v>0.73338607594936711</v>
      </c>
      <c r="H437" s="5" t="s">
        <v>1854</v>
      </c>
    </row>
    <row r="438" spans="1:8" ht="25.5" x14ac:dyDescent="0.2">
      <c r="A438" s="1" t="s">
        <v>4</v>
      </c>
      <c r="B438" s="2" t="s">
        <v>56</v>
      </c>
      <c r="C438" s="1"/>
      <c r="D438" s="5" t="s">
        <v>562</v>
      </c>
      <c r="E438" s="3">
        <v>143400</v>
      </c>
      <c r="F438" s="3">
        <v>359500</v>
      </c>
      <c r="G438" s="57">
        <f t="shared" si="6"/>
        <v>1.5069735006973501</v>
      </c>
      <c r="H438" s="5" t="s">
        <v>1855</v>
      </c>
    </row>
    <row r="439" spans="1:8" x14ac:dyDescent="0.2">
      <c r="A439" s="1" t="s">
        <v>4</v>
      </c>
      <c r="B439" s="2" t="s">
        <v>56</v>
      </c>
      <c r="C439" s="1"/>
      <c r="D439" s="5" t="s">
        <v>790</v>
      </c>
      <c r="E439" s="3">
        <v>128500</v>
      </c>
      <c r="F439" s="3" t="s">
        <v>465</v>
      </c>
      <c r="G439" s="57" t="str">
        <f t="shared" si="6"/>
        <v>-</v>
      </c>
      <c r="H439" s="5" t="s">
        <v>3761</v>
      </c>
    </row>
    <row r="440" spans="1:8" x14ac:dyDescent="0.2">
      <c r="A440" s="1" t="s">
        <v>4</v>
      </c>
      <c r="B440" s="2" t="s">
        <v>56</v>
      </c>
      <c r="C440" s="1"/>
      <c r="D440" s="5" t="s">
        <v>464</v>
      </c>
      <c r="E440" s="3">
        <v>102500</v>
      </c>
      <c r="F440" s="3" t="s">
        <v>465</v>
      </c>
      <c r="G440" s="57" t="str">
        <f t="shared" si="6"/>
        <v>-</v>
      </c>
    </row>
    <row r="441" spans="1:8" x14ac:dyDescent="0.2">
      <c r="A441" s="1" t="s">
        <v>4</v>
      </c>
      <c r="B441" s="2" t="s">
        <v>56</v>
      </c>
      <c r="C441" s="1"/>
      <c r="D441" s="5" t="s">
        <v>464</v>
      </c>
      <c r="E441" s="3" t="s">
        <v>465</v>
      </c>
      <c r="F441" s="3">
        <v>102500</v>
      </c>
      <c r="G441" s="57" t="str">
        <f t="shared" si="6"/>
        <v>-</v>
      </c>
    </row>
    <row r="442" spans="1:8" x14ac:dyDescent="0.2">
      <c r="A442" s="1" t="s">
        <v>4</v>
      </c>
      <c r="B442" s="2" t="s">
        <v>56</v>
      </c>
      <c r="C442" s="1"/>
      <c r="D442" s="5" t="s">
        <v>464</v>
      </c>
      <c r="E442" s="3">
        <v>107500</v>
      </c>
      <c r="F442" s="3" t="s">
        <v>465</v>
      </c>
      <c r="G442" s="57" t="str">
        <f t="shared" si="6"/>
        <v>-</v>
      </c>
    </row>
    <row r="443" spans="1:8" x14ac:dyDescent="0.2">
      <c r="A443" s="1" t="s">
        <v>4</v>
      </c>
      <c r="B443" s="2" t="s">
        <v>56</v>
      </c>
      <c r="C443" s="1"/>
      <c r="D443" s="5" t="s">
        <v>464</v>
      </c>
      <c r="E443" s="3">
        <v>107500</v>
      </c>
      <c r="F443" s="3" t="s">
        <v>465</v>
      </c>
      <c r="G443" s="57" t="str">
        <f t="shared" si="6"/>
        <v>-</v>
      </c>
    </row>
    <row r="444" spans="1:8" x14ac:dyDescent="0.2">
      <c r="A444" s="1" t="s">
        <v>4</v>
      </c>
      <c r="B444" s="2" t="s">
        <v>56</v>
      </c>
      <c r="C444" s="1"/>
      <c r="D444" s="5" t="s">
        <v>464</v>
      </c>
      <c r="E444" s="3">
        <v>107500</v>
      </c>
      <c r="F444" s="3" t="s">
        <v>465</v>
      </c>
      <c r="G444" s="57" t="str">
        <f t="shared" si="6"/>
        <v>-</v>
      </c>
    </row>
    <row r="445" spans="1:8" x14ac:dyDescent="0.2">
      <c r="A445" s="1" t="s">
        <v>4</v>
      </c>
      <c r="B445" s="2" t="s">
        <v>56</v>
      </c>
      <c r="C445" s="1"/>
      <c r="D445" s="5" t="s">
        <v>464</v>
      </c>
      <c r="E445" s="3" t="s">
        <v>465</v>
      </c>
      <c r="F445" s="3">
        <v>107500</v>
      </c>
      <c r="G445" s="57" t="str">
        <f t="shared" si="6"/>
        <v>-</v>
      </c>
    </row>
    <row r="446" spans="1:8" x14ac:dyDescent="0.2">
      <c r="A446" s="1" t="s">
        <v>4</v>
      </c>
      <c r="B446" s="2" t="s">
        <v>56</v>
      </c>
      <c r="C446" s="1"/>
      <c r="D446" s="5" t="s">
        <v>464</v>
      </c>
      <c r="E446" s="3">
        <v>112500</v>
      </c>
      <c r="F446" s="3" t="s">
        <v>465</v>
      </c>
      <c r="G446" s="57" t="str">
        <f t="shared" si="6"/>
        <v>-</v>
      </c>
    </row>
    <row r="447" spans="1:8" x14ac:dyDescent="0.2">
      <c r="A447" s="1" t="s">
        <v>4</v>
      </c>
      <c r="B447" s="2" t="s">
        <v>56</v>
      </c>
      <c r="C447" s="1"/>
      <c r="D447" s="5" t="s">
        <v>464</v>
      </c>
      <c r="E447" s="3" t="s">
        <v>465</v>
      </c>
      <c r="F447" s="3">
        <v>112500</v>
      </c>
      <c r="G447" s="57" t="str">
        <f t="shared" si="6"/>
        <v>-</v>
      </c>
    </row>
    <row r="448" spans="1:8" x14ac:dyDescent="0.2">
      <c r="A448" s="1" t="s">
        <v>34</v>
      </c>
      <c r="B448" s="2" t="s">
        <v>57</v>
      </c>
      <c r="C448" s="1" t="s">
        <v>1856</v>
      </c>
      <c r="D448" s="5" t="s">
        <v>450</v>
      </c>
      <c r="E448" s="3">
        <v>220457</v>
      </c>
      <c r="F448" s="3">
        <v>222133</v>
      </c>
      <c r="G448" s="57">
        <f t="shared" si="6"/>
        <v>7.6023895816417714E-3</v>
      </c>
      <c r="H448" s="5" t="s">
        <v>1857</v>
      </c>
    </row>
    <row r="449" spans="1:8" s="13" customFormat="1" x14ac:dyDescent="0.2">
      <c r="A449" s="1" t="s">
        <v>34</v>
      </c>
      <c r="B449" s="12" t="s">
        <v>57</v>
      </c>
      <c r="D449" s="7" t="s">
        <v>455</v>
      </c>
      <c r="E449" s="6">
        <v>157876</v>
      </c>
      <c r="F449" s="6">
        <v>68666</v>
      </c>
      <c r="G449" s="57">
        <f t="shared" si="6"/>
        <v>-0.56506372089487955</v>
      </c>
      <c r="H449" s="7" t="s">
        <v>4184</v>
      </c>
    </row>
    <row r="450" spans="1:8" ht="25.5" x14ac:dyDescent="0.2">
      <c r="A450" s="1" t="s">
        <v>34</v>
      </c>
      <c r="B450" s="2" t="s">
        <v>57</v>
      </c>
      <c r="C450" s="1"/>
      <c r="D450" s="5" t="s">
        <v>3762</v>
      </c>
      <c r="E450" s="3">
        <v>144017</v>
      </c>
      <c r="F450" s="3">
        <v>150409</v>
      </c>
      <c r="G450" s="57">
        <f t="shared" si="6"/>
        <v>4.4383649152530603E-2</v>
      </c>
      <c r="H450" s="5" t="s">
        <v>1858</v>
      </c>
    </row>
    <row r="451" spans="1:8" x14ac:dyDescent="0.2">
      <c r="A451" s="1" t="s">
        <v>34</v>
      </c>
      <c r="B451" s="2" t="s">
        <v>57</v>
      </c>
      <c r="C451" s="1"/>
      <c r="D451" s="5" t="s">
        <v>1859</v>
      </c>
      <c r="E451" s="3">
        <v>130950</v>
      </c>
      <c r="F451" s="3">
        <v>131964</v>
      </c>
      <c r="G451" s="57">
        <f t="shared" ref="G451:G514" si="7">IF(ISERROR((F451-E451)/E451),"-",(F451-E451)/E451)</f>
        <v>7.7434135166093926E-3</v>
      </c>
      <c r="H451" s="5" t="s">
        <v>1860</v>
      </c>
    </row>
    <row r="452" spans="1:8" s="13" customFormat="1" ht="51" x14ac:dyDescent="0.2">
      <c r="A452" s="1" t="s">
        <v>34</v>
      </c>
      <c r="B452" s="12" t="s">
        <v>57</v>
      </c>
      <c r="D452" s="7" t="s">
        <v>4186</v>
      </c>
      <c r="E452" s="6" t="s">
        <v>465</v>
      </c>
      <c r="F452" s="6">
        <v>160235</v>
      </c>
      <c r="G452" s="57" t="str">
        <f t="shared" si="7"/>
        <v>-</v>
      </c>
      <c r="H452" s="7" t="s">
        <v>4185</v>
      </c>
    </row>
    <row r="453" spans="1:8" s="13" customFormat="1" ht="25.5" x14ac:dyDescent="0.2">
      <c r="A453" s="1" t="s">
        <v>34</v>
      </c>
      <c r="B453" s="12" t="s">
        <v>57</v>
      </c>
      <c r="D453" s="7" t="s">
        <v>4186</v>
      </c>
      <c r="E453" s="6">
        <v>121364</v>
      </c>
      <c r="F453" s="6">
        <v>33997</v>
      </c>
      <c r="G453" s="57">
        <f t="shared" si="7"/>
        <v>-0.7198757456906496</v>
      </c>
      <c r="H453" s="7" t="s">
        <v>4187</v>
      </c>
    </row>
    <row r="454" spans="1:8" s="13" customFormat="1" ht="25.5" x14ac:dyDescent="0.2">
      <c r="A454" s="1" t="s">
        <v>34</v>
      </c>
      <c r="B454" s="12" t="s">
        <v>57</v>
      </c>
      <c r="D454" s="7" t="s">
        <v>2378</v>
      </c>
      <c r="E454" s="6">
        <v>103387</v>
      </c>
      <c r="F454" s="6">
        <v>72580</v>
      </c>
      <c r="G454" s="57">
        <f t="shared" si="7"/>
        <v>-0.29797750200702217</v>
      </c>
      <c r="H454" s="7" t="s">
        <v>4188</v>
      </c>
    </row>
    <row r="455" spans="1:8" s="13" customFormat="1" x14ac:dyDescent="0.2">
      <c r="A455" s="1" t="s">
        <v>34</v>
      </c>
      <c r="B455" s="12" t="s">
        <v>57</v>
      </c>
      <c r="D455" s="7" t="s">
        <v>4190</v>
      </c>
      <c r="E455" s="6">
        <v>122273</v>
      </c>
      <c r="F455" s="6">
        <v>63042</v>
      </c>
      <c r="G455" s="57">
        <f t="shared" si="7"/>
        <v>-0.48441601988991845</v>
      </c>
      <c r="H455" s="7" t="s">
        <v>4189</v>
      </c>
    </row>
    <row r="456" spans="1:8" x14ac:dyDescent="0.2">
      <c r="A456" s="1" t="s">
        <v>34</v>
      </c>
      <c r="B456" s="2" t="s">
        <v>57</v>
      </c>
      <c r="C456" s="1"/>
      <c r="D456" s="5" t="s">
        <v>464</v>
      </c>
      <c r="E456" s="3">
        <v>102500</v>
      </c>
      <c r="F456" s="3" t="s">
        <v>465</v>
      </c>
      <c r="G456" s="57" t="str">
        <f t="shared" si="7"/>
        <v>-</v>
      </c>
    </row>
    <row r="457" spans="1:8" x14ac:dyDescent="0.2">
      <c r="A457" s="1" t="s">
        <v>34</v>
      </c>
      <c r="B457" s="2" t="s">
        <v>57</v>
      </c>
      <c r="C457" s="1"/>
      <c r="D457" s="5" t="s">
        <v>464</v>
      </c>
      <c r="E457" s="3">
        <v>102500</v>
      </c>
      <c r="F457" s="3" t="s">
        <v>465</v>
      </c>
      <c r="G457" s="57" t="str">
        <f t="shared" si="7"/>
        <v>-</v>
      </c>
    </row>
    <row r="458" spans="1:8" x14ac:dyDescent="0.2">
      <c r="A458" s="1" t="s">
        <v>34</v>
      </c>
      <c r="B458" s="2" t="s">
        <v>57</v>
      </c>
      <c r="C458" s="1"/>
      <c r="D458" s="5" t="s">
        <v>464</v>
      </c>
      <c r="E458" s="3">
        <v>102500</v>
      </c>
      <c r="F458" s="3" t="s">
        <v>465</v>
      </c>
      <c r="G458" s="57" t="str">
        <f t="shared" si="7"/>
        <v>-</v>
      </c>
    </row>
    <row r="459" spans="1:8" x14ac:dyDescent="0.2">
      <c r="A459" s="1" t="s">
        <v>34</v>
      </c>
      <c r="B459" s="2" t="s">
        <v>57</v>
      </c>
      <c r="C459" s="1"/>
      <c r="D459" s="5" t="s">
        <v>464</v>
      </c>
      <c r="E459" s="3" t="s">
        <v>465</v>
      </c>
      <c r="F459" s="3">
        <v>102500</v>
      </c>
      <c r="G459" s="57" t="str">
        <f t="shared" si="7"/>
        <v>-</v>
      </c>
    </row>
    <row r="460" spans="1:8" x14ac:dyDescent="0.2">
      <c r="A460" s="1" t="s">
        <v>34</v>
      </c>
      <c r="B460" s="2" t="s">
        <v>57</v>
      </c>
      <c r="C460" s="1"/>
      <c r="D460" s="5" t="s">
        <v>464</v>
      </c>
      <c r="E460" s="3">
        <v>122500</v>
      </c>
      <c r="F460" s="3" t="s">
        <v>465</v>
      </c>
      <c r="G460" s="57" t="str">
        <f t="shared" si="7"/>
        <v>-</v>
      </c>
    </row>
    <row r="461" spans="1:8" x14ac:dyDescent="0.2">
      <c r="A461" s="1" t="s">
        <v>34</v>
      </c>
      <c r="B461" s="2" t="s">
        <v>57</v>
      </c>
      <c r="C461" s="1"/>
      <c r="D461" s="5" t="s">
        <v>464</v>
      </c>
      <c r="E461" s="3" t="s">
        <v>465</v>
      </c>
      <c r="F461" s="3">
        <v>157500</v>
      </c>
      <c r="G461" s="57" t="str">
        <f t="shared" si="7"/>
        <v>-</v>
      </c>
    </row>
    <row r="462" spans="1:8" x14ac:dyDescent="0.2">
      <c r="A462" s="1" t="s">
        <v>20</v>
      </c>
      <c r="B462" s="2" t="s">
        <v>58</v>
      </c>
      <c r="C462" s="1"/>
      <c r="D462" s="5" t="s">
        <v>450</v>
      </c>
      <c r="E462" s="3">
        <v>135371</v>
      </c>
      <c r="F462" s="3">
        <v>130264</v>
      </c>
      <c r="G462" s="57">
        <f t="shared" si="7"/>
        <v>-3.7725953121421872E-2</v>
      </c>
      <c r="H462" s="5" t="s">
        <v>1861</v>
      </c>
    </row>
    <row r="463" spans="1:8" x14ac:dyDescent="0.2">
      <c r="A463" s="1" t="s">
        <v>25</v>
      </c>
      <c r="B463" s="2" t="s">
        <v>59</v>
      </c>
      <c r="C463" s="1" t="s">
        <v>1862</v>
      </c>
      <c r="D463" s="5" t="s">
        <v>450</v>
      </c>
      <c r="E463" s="3">
        <v>202760</v>
      </c>
      <c r="F463" s="3">
        <v>202295</v>
      </c>
      <c r="G463" s="57">
        <f t="shared" si="7"/>
        <v>-2.2933517459064905E-3</v>
      </c>
      <c r="H463" s="5" t="s">
        <v>1863</v>
      </c>
    </row>
    <row r="464" spans="1:8" x14ac:dyDescent="0.2">
      <c r="A464" s="1" t="s">
        <v>25</v>
      </c>
      <c r="B464" s="2" t="s">
        <v>59</v>
      </c>
      <c r="C464" s="1"/>
      <c r="D464" s="5" t="s">
        <v>1864</v>
      </c>
      <c r="E464" s="3">
        <v>155570</v>
      </c>
      <c r="F464" s="3">
        <v>159361</v>
      </c>
      <c r="G464" s="57">
        <f t="shared" si="7"/>
        <v>2.4368451500932056E-2</v>
      </c>
      <c r="H464" s="5" t="s">
        <v>1865</v>
      </c>
    </row>
    <row r="465" spans="1:8" s="13" customFormat="1" ht="25.5" x14ac:dyDescent="0.2">
      <c r="A465" s="1" t="s">
        <v>25</v>
      </c>
      <c r="B465" s="12" t="s">
        <v>59</v>
      </c>
      <c r="D465" s="7" t="s">
        <v>1866</v>
      </c>
      <c r="E465" s="6">
        <v>124026</v>
      </c>
      <c r="F465" s="6">
        <v>138534</v>
      </c>
      <c r="G465" s="57">
        <f t="shared" si="7"/>
        <v>0.11697547288471773</v>
      </c>
      <c r="H465" s="7" t="s">
        <v>3763</v>
      </c>
    </row>
    <row r="466" spans="1:8" x14ac:dyDescent="0.2">
      <c r="A466" s="1" t="s">
        <v>25</v>
      </c>
      <c r="B466" s="2" t="s">
        <v>59</v>
      </c>
      <c r="C466" s="1"/>
      <c r="D466" s="5" t="s">
        <v>1867</v>
      </c>
      <c r="E466" s="3">
        <v>123687</v>
      </c>
      <c r="F466" s="3">
        <v>128037</v>
      </c>
      <c r="G466" s="57">
        <f t="shared" si="7"/>
        <v>3.5169419583303017E-2</v>
      </c>
      <c r="H466" s="5" t="s">
        <v>1868</v>
      </c>
    </row>
    <row r="467" spans="1:8" x14ac:dyDescent="0.2">
      <c r="A467" s="1" t="s">
        <v>25</v>
      </c>
      <c r="B467" s="2" t="s">
        <v>59</v>
      </c>
      <c r="C467" s="1"/>
      <c r="D467" s="5" t="s">
        <v>1869</v>
      </c>
      <c r="E467" s="3">
        <v>134014</v>
      </c>
      <c r="F467" s="3">
        <v>134014</v>
      </c>
      <c r="G467" s="57">
        <f t="shared" si="7"/>
        <v>0</v>
      </c>
      <c r="H467" s="5" t="s">
        <v>1870</v>
      </c>
    </row>
    <row r="468" spans="1:8" ht="25.5" x14ac:dyDescent="0.2">
      <c r="A468" s="1" t="s">
        <v>25</v>
      </c>
      <c r="B468" s="2" t="s">
        <v>59</v>
      </c>
      <c r="C468" s="1"/>
      <c r="D468" s="5" t="s">
        <v>476</v>
      </c>
      <c r="E468" s="3">
        <v>134254</v>
      </c>
      <c r="F468" s="3">
        <v>134393</v>
      </c>
      <c r="G468" s="57">
        <f t="shared" si="7"/>
        <v>1.0353509020215412E-3</v>
      </c>
      <c r="H468" s="5" t="s">
        <v>1871</v>
      </c>
    </row>
    <row r="469" spans="1:8" x14ac:dyDescent="0.2">
      <c r="A469" s="1" t="s">
        <v>25</v>
      </c>
      <c r="B469" s="2" t="s">
        <v>59</v>
      </c>
      <c r="C469" s="1"/>
      <c r="D469" s="5" t="s">
        <v>1872</v>
      </c>
      <c r="E469" s="3">
        <v>154201</v>
      </c>
      <c r="F469" s="3">
        <v>154138</v>
      </c>
      <c r="G469" s="57">
        <f t="shared" si="7"/>
        <v>-4.085576617531663E-4</v>
      </c>
      <c r="H469" s="5" t="s">
        <v>1873</v>
      </c>
    </row>
    <row r="470" spans="1:8" s="13" customFormat="1" ht="25.5" x14ac:dyDescent="0.2">
      <c r="A470" s="1" t="s">
        <v>25</v>
      </c>
      <c r="B470" s="12" t="s">
        <v>59</v>
      </c>
      <c r="D470" s="7" t="s">
        <v>1797</v>
      </c>
      <c r="E470" s="6">
        <v>153934</v>
      </c>
      <c r="F470" s="6">
        <v>154455</v>
      </c>
      <c r="G470" s="57">
        <f t="shared" si="7"/>
        <v>3.3845674120077437E-3</v>
      </c>
      <c r="H470" s="7" t="s">
        <v>3764</v>
      </c>
    </row>
    <row r="471" spans="1:8" x14ac:dyDescent="0.2">
      <c r="A471" s="1" t="s">
        <v>25</v>
      </c>
      <c r="B471" s="2" t="s">
        <v>59</v>
      </c>
      <c r="C471" s="1"/>
      <c r="D471" s="5" t="s">
        <v>464</v>
      </c>
      <c r="E471" s="3">
        <v>102500</v>
      </c>
      <c r="F471" s="3" t="s">
        <v>465</v>
      </c>
      <c r="G471" s="57" t="str">
        <f t="shared" si="7"/>
        <v>-</v>
      </c>
    </row>
    <row r="472" spans="1:8" x14ac:dyDescent="0.2">
      <c r="A472" s="1" t="s">
        <v>25</v>
      </c>
      <c r="B472" s="2" t="s">
        <v>59</v>
      </c>
      <c r="C472" s="1"/>
      <c r="D472" s="5" t="s">
        <v>464</v>
      </c>
      <c r="E472" s="3">
        <v>102500</v>
      </c>
      <c r="F472" s="3" t="s">
        <v>465</v>
      </c>
      <c r="G472" s="57" t="str">
        <f t="shared" si="7"/>
        <v>-</v>
      </c>
    </row>
    <row r="473" spans="1:8" x14ac:dyDescent="0.2">
      <c r="A473" s="1" t="s">
        <v>25</v>
      </c>
      <c r="B473" s="2" t="s">
        <v>59</v>
      </c>
      <c r="C473" s="1"/>
      <c r="D473" s="5" t="s">
        <v>464</v>
      </c>
      <c r="E473" s="3" t="s">
        <v>465</v>
      </c>
      <c r="F473" s="3">
        <v>102500</v>
      </c>
      <c r="G473" s="57" t="str">
        <f t="shared" si="7"/>
        <v>-</v>
      </c>
    </row>
    <row r="474" spans="1:8" x14ac:dyDescent="0.2">
      <c r="A474" s="1" t="s">
        <v>25</v>
      </c>
      <c r="B474" s="2" t="s">
        <v>59</v>
      </c>
      <c r="C474" s="1"/>
      <c r="D474" s="5" t="s">
        <v>464</v>
      </c>
      <c r="E474" s="3" t="s">
        <v>465</v>
      </c>
      <c r="F474" s="3">
        <v>102500</v>
      </c>
      <c r="G474" s="57" t="str">
        <f t="shared" si="7"/>
        <v>-</v>
      </c>
    </row>
    <row r="475" spans="1:8" x14ac:dyDescent="0.2">
      <c r="A475" s="1" t="s">
        <v>25</v>
      </c>
      <c r="B475" s="2" t="s">
        <v>59</v>
      </c>
      <c r="C475" s="1"/>
      <c r="D475" s="5" t="s">
        <v>464</v>
      </c>
      <c r="E475" s="3">
        <v>107500</v>
      </c>
      <c r="F475" s="3" t="s">
        <v>465</v>
      </c>
      <c r="G475" s="57" t="str">
        <f t="shared" si="7"/>
        <v>-</v>
      </c>
    </row>
    <row r="476" spans="1:8" x14ac:dyDescent="0.2">
      <c r="A476" s="1" t="s">
        <v>25</v>
      </c>
      <c r="B476" s="2" t="s">
        <v>59</v>
      </c>
      <c r="C476" s="1"/>
      <c r="D476" s="5" t="s">
        <v>464</v>
      </c>
      <c r="E476" s="3">
        <v>107500</v>
      </c>
      <c r="F476" s="3" t="s">
        <v>465</v>
      </c>
      <c r="G476" s="57" t="str">
        <f t="shared" si="7"/>
        <v>-</v>
      </c>
    </row>
    <row r="477" spans="1:8" x14ac:dyDescent="0.2">
      <c r="A477" s="1" t="s">
        <v>25</v>
      </c>
      <c r="B477" s="2" t="s">
        <v>59</v>
      </c>
      <c r="C477" s="1"/>
      <c r="D477" s="5" t="s">
        <v>464</v>
      </c>
      <c r="E477" s="3">
        <v>122500</v>
      </c>
      <c r="F477" s="3" t="s">
        <v>465</v>
      </c>
      <c r="G477" s="57" t="str">
        <f t="shared" si="7"/>
        <v>-</v>
      </c>
    </row>
    <row r="478" spans="1:8" ht="38.25" x14ac:dyDescent="0.2">
      <c r="A478" s="1" t="s">
        <v>39</v>
      </c>
      <c r="B478" s="30" t="s">
        <v>4192</v>
      </c>
      <c r="C478" s="1"/>
      <c r="D478" s="5" t="s">
        <v>450</v>
      </c>
      <c r="E478" s="3">
        <v>132110</v>
      </c>
      <c r="F478" s="3">
        <v>137604</v>
      </c>
      <c r="G478" s="57">
        <f t="shared" si="7"/>
        <v>4.1586556657331013E-2</v>
      </c>
      <c r="H478" s="5" t="s">
        <v>4197</v>
      </c>
    </row>
    <row r="479" spans="1:8" s="13" customFormat="1" x14ac:dyDescent="0.2">
      <c r="A479" s="1" t="s">
        <v>39</v>
      </c>
      <c r="B479" s="12" t="s">
        <v>60</v>
      </c>
      <c r="D479" s="7" t="s">
        <v>4191</v>
      </c>
      <c r="E479" s="6">
        <v>100205</v>
      </c>
      <c r="F479" s="6" t="s">
        <v>465</v>
      </c>
      <c r="G479" s="57" t="str">
        <f t="shared" si="7"/>
        <v>-</v>
      </c>
      <c r="H479" s="7" t="s">
        <v>3765</v>
      </c>
    </row>
    <row r="480" spans="1:8" x14ac:dyDescent="0.2">
      <c r="A480" s="1" t="s">
        <v>20</v>
      </c>
      <c r="B480" s="2" t="s">
        <v>61</v>
      </c>
      <c r="C480" s="1"/>
      <c r="D480" s="5" t="s">
        <v>1874</v>
      </c>
      <c r="E480" s="3">
        <v>134080</v>
      </c>
      <c r="F480" s="3">
        <v>132147</v>
      </c>
      <c r="G480" s="57">
        <f t="shared" si="7"/>
        <v>-1.4416766109785203E-2</v>
      </c>
      <c r="H480" s="5" t="s">
        <v>1875</v>
      </c>
    </row>
    <row r="481" spans="1:8" s="13" customFormat="1" ht="25.5" x14ac:dyDescent="0.2">
      <c r="A481" s="1" t="s">
        <v>20</v>
      </c>
      <c r="B481" s="12" t="s">
        <v>61</v>
      </c>
      <c r="D481" s="7" t="s">
        <v>4196</v>
      </c>
      <c r="E481" s="6">
        <v>78293</v>
      </c>
      <c r="F481" s="6">
        <v>102230</v>
      </c>
      <c r="G481" s="57">
        <f t="shared" si="7"/>
        <v>0.3057361449938053</v>
      </c>
      <c r="H481" s="7" t="s">
        <v>3766</v>
      </c>
    </row>
    <row r="482" spans="1:8" x14ac:dyDescent="0.2">
      <c r="A482" s="1" t="s">
        <v>8</v>
      </c>
      <c r="B482" s="2" t="s">
        <v>62</v>
      </c>
      <c r="C482" s="1"/>
      <c r="D482" s="5" t="s">
        <v>450</v>
      </c>
      <c r="E482" s="3">
        <v>124328</v>
      </c>
      <c r="F482" s="3">
        <v>127448</v>
      </c>
      <c r="G482" s="57">
        <f t="shared" si="7"/>
        <v>2.5094910237436457E-2</v>
      </c>
      <c r="H482" s="5" t="s">
        <v>1876</v>
      </c>
    </row>
    <row r="483" spans="1:8" s="13" customFormat="1" x14ac:dyDescent="0.2">
      <c r="A483" s="1" t="s">
        <v>8</v>
      </c>
      <c r="B483" s="12" t="s">
        <v>62</v>
      </c>
      <c r="D483" s="7" t="s">
        <v>455</v>
      </c>
      <c r="E483" s="6">
        <v>105149</v>
      </c>
      <c r="F483" s="6">
        <v>101244</v>
      </c>
      <c r="G483" s="57">
        <f t="shared" si="7"/>
        <v>-3.7137775917983055E-2</v>
      </c>
      <c r="H483" s="7" t="s">
        <v>1877</v>
      </c>
    </row>
    <row r="484" spans="1:8" s="13" customFormat="1" ht="25.5" x14ac:dyDescent="0.2">
      <c r="A484" s="13" t="s">
        <v>4</v>
      </c>
      <c r="B484" s="12" t="s">
        <v>63</v>
      </c>
      <c r="C484" s="13" t="s">
        <v>1878</v>
      </c>
      <c r="D484" s="7" t="s">
        <v>450</v>
      </c>
      <c r="E484" s="6">
        <v>258868</v>
      </c>
      <c r="F484" s="6">
        <v>259104</v>
      </c>
      <c r="G484" s="57">
        <f t="shared" si="7"/>
        <v>9.1166154178963792E-4</v>
      </c>
      <c r="H484" s="7" t="s">
        <v>4199</v>
      </c>
    </row>
    <row r="485" spans="1:8" s="13" customFormat="1" ht="25.5" x14ac:dyDescent="0.2">
      <c r="A485" s="13" t="s">
        <v>4</v>
      </c>
      <c r="B485" s="12" t="s">
        <v>63</v>
      </c>
      <c r="D485" s="7" t="s">
        <v>3767</v>
      </c>
      <c r="E485" s="6">
        <v>176174</v>
      </c>
      <c r="F485" s="6">
        <v>176253</v>
      </c>
      <c r="G485" s="57">
        <f t="shared" si="7"/>
        <v>4.4842031173725975E-4</v>
      </c>
      <c r="H485" s="7" t="s">
        <v>3768</v>
      </c>
    </row>
    <row r="486" spans="1:8" s="13" customFormat="1" ht="25.5" x14ac:dyDescent="0.2">
      <c r="A486" s="13" t="s">
        <v>4</v>
      </c>
      <c r="B486" s="12" t="s">
        <v>63</v>
      </c>
      <c r="D486" s="7" t="s">
        <v>3769</v>
      </c>
      <c r="E486" s="6">
        <v>180460</v>
      </c>
      <c r="F486" s="6">
        <v>180712</v>
      </c>
      <c r="G486" s="57">
        <f t="shared" si="7"/>
        <v>1.3964313421256788E-3</v>
      </c>
      <c r="H486" s="7" t="s">
        <v>3770</v>
      </c>
    </row>
    <row r="487" spans="1:8" s="13" customFormat="1" ht="25.5" x14ac:dyDescent="0.2">
      <c r="A487" s="13" t="s">
        <v>4</v>
      </c>
      <c r="B487" s="12" t="s">
        <v>63</v>
      </c>
      <c r="D487" s="7" t="s">
        <v>1823</v>
      </c>
      <c r="E487" s="6">
        <v>176290</v>
      </c>
      <c r="F487" s="6">
        <v>175647</v>
      </c>
      <c r="G487" s="57">
        <f t="shared" si="7"/>
        <v>-3.6473991718191617E-3</v>
      </c>
      <c r="H487" s="7" t="s">
        <v>3771</v>
      </c>
    </row>
    <row r="488" spans="1:8" s="13" customFormat="1" ht="25.5" x14ac:dyDescent="0.2">
      <c r="A488" s="13" t="s">
        <v>4</v>
      </c>
      <c r="B488" s="12" t="s">
        <v>63</v>
      </c>
      <c r="D488" s="7" t="s">
        <v>1879</v>
      </c>
      <c r="E488" s="6">
        <v>174621</v>
      </c>
      <c r="F488" s="6">
        <v>5332</v>
      </c>
      <c r="G488" s="57">
        <f t="shared" si="7"/>
        <v>-0.96946529913355206</v>
      </c>
      <c r="H488" s="7" t="s">
        <v>4200</v>
      </c>
    </row>
    <row r="489" spans="1:8" s="13" customFormat="1" ht="25.5" x14ac:dyDescent="0.2">
      <c r="A489" s="13" t="s">
        <v>4</v>
      </c>
      <c r="B489" s="12" t="s">
        <v>63</v>
      </c>
      <c r="D489" s="7" t="s">
        <v>3772</v>
      </c>
      <c r="E489" s="6" t="s">
        <v>465</v>
      </c>
      <c r="F489" s="6">
        <v>178937</v>
      </c>
      <c r="G489" s="57" t="str">
        <f t="shared" si="7"/>
        <v>-</v>
      </c>
      <c r="H489" s="7" t="s">
        <v>3773</v>
      </c>
    </row>
    <row r="490" spans="1:8" s="13" customFormat="1" ht="25.5" x14ac:dyDescent="0.2">
      <c r="A490" s="13" t="s">
        <v>4</v>
      </c>
      <c r="B490" s="12" t="s">
        <v>63</v>
      </c>
      <c r="D490" s="7" t="s">
        <v>3774</v>
      </c>
      <c r="E490" s="6">
        <v>103961</v>
      </c>
      <c r="F490" s="6">
        <v>104285</v>
      </c>
      <c r="G490" s="57">
        <f t="shared" si="7"/>
        <v>3.1165533228806955E-3</v>
      </c>
      <c r="H490" s="7" t="s">
        <v>3775</v>
      </c>
    </row>
    <row r="491" spans="1:8" s="13" customFormat="1" ht="25.5" x14ac:dyDescent="0.2">
      <c r="A491" s="13" t="s">
        <v>4</v>
      </c>
      <c r="B491" s="12" t="s">
        <v>63</v>
      </c>
      <c r="D491" s="7" t="s">
        <v>3776</v>
      </c>
      <c r="E491" s="6">
        <v>171461</v>
      </c>
      <c r="F491" s="6" t="s">
        <v>465</v>
      </c>
      <c r="G491" s="57" t="str">
        <f t="shared" si="7"/>
        <v>-</v>
      </c>
      <c r="H491" s="7"/>
    </row>
    <row r="492" spans="1:8" s="13" customFormat="1" ht="25.5" x14ac:dyDescent="0.2">
      <c r="A492" s="13" t="s">
        <v>4</v>
      </c>
      <c r="B492" s="12" t="s">
        <v>63</v>
      </c>
      <c r="D492" s="7" t="s">
        <v>3777</v>
      </c>
      <c r="E492" s="6">
        <v>120055</v>
      </c>
      <c r="F492" s="6">
        <v>10895</v>
      </c>
      <c r="G492" s="57">
        <f t="shared" si="7"/>
        <v>-0.90924992711673813</v>
      </c>
      <c r="H492" s="7" t="s">
        <v>4198</v>
      </c>
    </row>
    <row r="493" spans="1:8" x14ac:dyDescent="0.2">
      <c r="A493" s="13" t="s">
        <v>4</v>
      </c>
      <c r="B493" s="2" t="s">
        <v>63</v>
      </c>
      <c r="C493" s="1"/>
      <c r="D493" s="5" t="s">
        <v>464</v>
      </c>
      <c r="E493" s="3" t="s">
        <v>465</v>
      </c>
      <c r="F493" s="3">
        <v>102500</v>
      </c>
      <c r="G493" s="57" t="str">
        <f t="shared" si="7"/>
        <v>-</v>
      </c>
    </row>
    <row r="494" spans="1:8" ht="25.5" x14ac:dyDescent="0.2">
      <c r="A494" s="1" t="s">
        <v>6</v>
      </c>
      <c r="B494" s="2" t="s">
        <v>64</v>
      </c>
      <c r="C494" s="1" t="s">
        <v>1880</v>
      </c>
      <c r="D494" s="5" t="s">
        <v>450</v>
      </c>
      <c r="E494" s="3">
        <v>135404</v>
      </c>
      <c r="F494" s="3">
        <v>135432</v>
      </c>
      <c r="G494" s="57">
        <f t="shared" si="7"/>
        <v>2.0678857345425542E-4</v>
      </c>
      <c r="H494" s="5" t="s">
        <v>1881</v>
      </c>
    </row>
    <row r="495" spans="1:8" x14ac:dyDescent="0.2">
      <c r="A495" s="1" t="s">
        <v>6</v>
      </c>
      <c r="B495" s="2" t="s">
        <v>64</v>
      </c>
      <c r="C495" s="1"/>
      <c r="D495" s="5" t="s">
        <v>464</v>
      </c>
      <c r="G495" s="57" t="str">
        <f t="shared" si="7"/>
        <v>-</v>
      </c>
    </row>
    <row r="496" spans="1:8" s="13" customFormat="1" ht="25.5" x14ac:dyDescent="0.2">
      <c r="A496" s="1" t="s">
        <v>6</v>
      </c>
      <c r="B496" s="12" t="s">
        <v>65</v>
      </c>
      <c r="C496" s="13" t="s">
        <v>1882</v>
      </c>
      <c r="D496" s="7" t="s">
        <v>450</v>
      </c>
      <c r="E496" s="6">
        <v>192982</v>
      </c>
      <c r="F496" s="6">
        <v>173735</v>
      </c>
      <c r="G496" s="57">
        <f t="shared" si="7"/>
        <v>-9.9734690281995206E-2</v>
      </c>
      <c r="H496" s="7" t="s">
        <v>4201</v>
      </c>
    </row>
    <row r="497" spans="1:8" ht="25.5" x14ac:dyDescent="0.2">
      <c r="A497" s="1" t="s">
        <v>6</v>
      </c>
      <c r="B497" s="2" t="s">
        <v>65</v>
      </c>
      <c r="C497" s="1"/>
      <c r="D497" s="5" t="s">
        <v>455</v>
      </c>
      <c r="E497" s="3">
        <v>141870</v>
      </c>
      <c r="F497" s="3">
        <v>159040</v>
      </c>
      <c r="G497" s="57">
        <f t="shared" si="7"/>
        <v>0.12102629167547754</v>
      </c>
      <c r="H497" s="5" t="s">
        <v>3778</v>
      </c>
    </row>
    <row r="498" spans="1:8" x14ac:dyDescent="0.2">
      <c r="A498" s="1" t="s">
        <v>6</v>
      </c>
      <c r="B498" s="2" t="s">
        <v>65</v>
      </c>
      <c r="C498" s="1"/>
      <c r="D498" s="5" t="s">
        <v>4605</v>
      </c>
      <c r="E498" s="3">
        <v>125661</v>
      </c>
      <c r="F498" s="3">
        <v>129417</v>
      </c>
      <c r="G498" s="57">
        <f t="shared" si="7"/>
        <v>2.988994198677394E-2</v>
      </c>
      <c r="H498" s="5" t="s">
        <v>1883</v>
      </c>
    </row>
    <row r="499" spans="1:8" x14ac:dyDescent="0.2">
      <c r="A499" s="1" t="s">
        <v>6</v>
      </c>
      <c r="B499" s="2" t="s">
        <v>65</v>
      </c>
      <c r="C499" s="1"/>
      <c r="D499" s="5" t="s">
        <v>1884</v>
      </c>
      <c r="E499" s="3">
        <v>113843</v>
      </c>
      <c r="F499" s="3">
        <v>116882</v>
      </c>
      <c r="G499" s="57">
        <f t="shared" si="7"/>
        <v>2.6694658433105242E-2</v>
      </c>
      <c r="H499" s="5" t="s">
        <v>1885</v>
      </c>
    </row>
    <row r="500" spans="1:8" x14ac:dyDescent="0.2">
      <c r="A500" s="1" t="s">
        <v>6</v>
      </c>
      <c r="B500" s="2" t="s">
        <v>65</v>
      </c>
      <c r="C500" s="1"/>
      <c r="D500" s="5" t="s">
        <v>1886</v>
      </c>
      <c r="E500" s="3">
        <v>113843</v>
      </c>
      <c r="F500" s="3">
        <v>116882</v>
      </c>
      <c r="G500" s="57">
        <f t="shared" si="7"/>
        <v>2.6694658433105242E-2</v>
      </c>
      <c r="H500" s="5" t="s">
        <v>1885</v>
      </c>
    </row>
    <row r="501" spans="1:8" x14ac:dyDescent="0.2">
      <c r="A501" s="1" t="s">
        <v>6</v>
      </c>
      <c r="B501" s="2" t="s">
        <v>65</v>
      </c>
      <c r="C501" s="1"/>
      <c r="D501" s="5" t="s">
        <v>1887</v>
      </c>
      <c r="E501" s="3">
        <v>103424</v>
      </c>
      <c r="F501" s="3">
        <v>106545</v>
      </c>
      <c r="G501" s="57">
        <f t="shared" si="7"/>
        <v>3.0176748143564358E-2</v>
      </c>
      <c r="H501" s="5" t="s">
        <v>1888</v>
      </c>
    </row>
    <row r="502" spans="1:8" x14ac:dyDescent="0.2">
      <c r="A502" s="1" t="s">
        <v>6</v>
      </c>
      <c r="B502" s="2" t="s">
        <v>65</v>
      </c>
      <c r="C502" s="1"/>
      <c r="D502" s="5" t="s">
        <v>464</v>
      </c>
      <c r="E502" s="3">
        <v>112500</v>
      </c>
      <c r="F502" s="3" t="s">
        <v>465</v>
      </c>
      <c r="G502" s="57" t="str">
        <f t="shared" si="7"/>
        <v>-</v>
      </c>
    </row>
    <row r="503" spans="1:8" x14ac:dyDescent="0.2">
      <c r="A503" s="1" t="s">
        <v>6</v>
      </c>
      <c r="B503" s="2" t="s">
        <v>65</v>
      </c>
      <c r="C503" s="1"/>
      <c r="D503" s="5" t="s">
        <v>464</v>
      </c>
      <c r="E503" s="3" t="s">
        <v>465</v>
      </c>
      <c r="F503" s="3">
        <v>112500</v>
      </c>
      <c r="G503" s="57" t="str">
        <f t="shared" si="7"/>
        <v>-</v>
      </c>
    </row>
    <row r="504" spans="1:8" ht="25.5" x14ac:dyDescent="0.2">
      <c r="A504" s="1" t="s">
        <v>44</v>
      </c>
      <c r="B504" s="2" t="s">
        <v>66</v>
      </c>
      <c r="C504" s="1"/>
      <c r="D504" s="5" t="s">
        <v>450</v>
      </c>
      <c r="E504" s="3">
        <v>161229</v>
      </c>
      <c r="F504" s="3">
        <v>117926</v>
      </c>
      <c r="G504" s="57">
        <f t="shared" si="7"/>
        <v>-0.26858071438761016</v>
      </c>
      <c r="H504" s="5" t="s">
        <v>4430</v>
      </c>
    </row>
    <row r="505" spans="1:8" s="13" customFormat="1" ht="63.75" x14ac:dyDescent="0.2">
      <c r="A505" s="1" t="s">
        <v>44</v>
      </c>
      <c r="B505" s="12" t="s">
        <v>66</v>
      </c>
      <c r="D505" s="7" t="s">
        <v>4202</v>
      </c>
      <c r="E505" s="6">
        <v>122731</v>
      </c>
      <c r="F505" s="6">
        <f>61538+71525</f>
        <v>133063</v>
      </c>
      <c r="G505" s="57">
        <f t="shared" si="7"/>
        <v>8.4184109964067763E-2</v>
      </c>
      <c r="H505" s="7" t="s">
        <v>4606</v>
      </c>
    </row>
    <row r="506" spans="1:8" s="13" customFormat="1" ht="63.75" x14ac:dyDescent="0.2">
      <c r="A506" s="1" t="s">
        <v>44</v>
      </c>
      <c r="B506" s="12" t="s">
        <v>66</v>
      </c>
      <c r="D506" s="7" t="s">
        <v>4203</v>
      </c>
      <c r="E506" s="6">
        <v>119455</v>
      </c>
      <c r="F506" s="6">
        <f>63565+73074</f>
        <v>136639</v>
      </c>
      <c r="G506" s="57">
        <f t="shared" si="7"/>
        <v>0.14385333389142355</v>
      </c>
      <c r="H506" s="7" t="s">
        <v>4607</v>
      </c>
    </row>
    <row r="507" spans="1:8" x14ac:dyDescent="0.2">
      <c r="A507" s="1" t="s">
        <v>44</v>
      </c>
      <c r="B507" s="2" t="s">
        <v>66</v>
      </c>
      <c r="C507" s="1"/>
      <c r="D507" s="5" t="s">
        <v>690</v>
      </c>
      <c r="E507" s="3">
        <v>116642</v>
      </c>
      <c r="F507" s="3">
        <v>120520</v>
      </c>
      <c r="G507" s="57">
        <f t="shared" si="7"/>
        <v>3.324702937192435E-2</v>
      </c>
      <c r="H507" s="5" t="s">
        <v>1889</v>
      </c>
    </row>
    <row r="508" spans="1:8" x14ac:dyDescent="0.2">
      <c r="A508" s="1" t="s">
        <v>44</v>
      </c>
      <c r="B508" s="2" t="s">
        <v>66</v>
      </c>
      <c r="C508" s="1"/>
      <c r="D508" s="5" t="s">
        <v>1890</v>
      </c>
      <c r="E508" s="3">
        <v>115470</v>
      </c>
      <c r="F508" s="3">
        <v>119251</v>
      </c>
      <c r="G508" s="57">
        <f t="shared" si="7"/>
        <v>3.2744435784186371E-2</v>
      </c>
      <c r="H508" s="5" t="s">
        <v>1891</v>
      </c>
    </row>
    <row r="509" spans="1:8" ht="25.5" x14ac:dyDescent="0.2">
      <c r="A509" s="1" t="s">
        <v>28</v>
      </c>
      <c r="B509" s="2" t="s">
        <v>67</v>
      </c>
      <c r="C509" s="1"/>
      <c r="D509" s="5" t="s">
        <v>450</v>
      </c>
      <c r="E509" s="3">
        <v>166000</v>
      </c>
      <c r="F509" s="3">
        <v>170000</v>
      </c>
      <c r="G509" s="57">
        <f t="shared" si="7"/>
        <v>2.4096385542168676E-2</v>
      </c>
      <c r="H509" s="5" t="s">
        <v>1892</v>
      </c>
    </row>
    <row r="510" spans="1:8" ht="25.5" x14ac:dyDescent="0.2">
      <c r="A510" s="1" t="s">
        <v>28</v>
      </c>
      <c r="B510" s="2" t="s">
        <v>67</v>
      </c>
      <c r="C510" s="1"/>
      <c r="D510" s="5" t="s">
        <v>455</v>
      </c>
      <c r="E510" s="3">
        <v>138000</v>
      </c>
      <c r="F510" s="3">
        <v>132000</v>
      </c>
      <c r="G510" s="57">
        <f t="shared" si="7"/>
        <v>-4.3478260869565216E-2</v>
      </c>
      <c r="H510" s="5" t="s">
        <v>4431</v>
      </c>
    </row>
    <row r="511" spans="1:8" x14ac:dyDescent="0.2">
      <c r="A511" s="1" t="s">
        <v>28</v>
      </c>
      <c r="B511" s="2" t="s">
        <v>67</v>
      </c>
      <c r="C511" s="1"/>
      <c r="D511" s="5" t="s">
        <v>740</v>
      </c>
      <c r="E511" s="3">
        <v>103000</v>
      </c>
      <c r="F511" s="3">
        <v>106000</v>
      </c>
      <c r="G511" s="57">
        <f t="shared" si="7"/>
        <v>2.9126213592233011E-2</v>
      </c>
      <c r="H511" s="5" t="s">
        <v>1893</v>
      </c>
    </row>
    <row r="512" spans="1:8" ht="25.5" x14ac:dyDescent="0.2">
      <c r="A512" s="1" t="s">
        <v>28</v>
      </c>
      <c r="B512" s="2" t="s">
        <v>67</v>
      </c>
      <c r="C512" s="1"/>
      <c r="D512" s="5" t="s">
        <v>1894</v>
      </c>
      <c r="E512" s="3">
        <v>87000</v>
      </c>
      <c r="F512" s="3">
        <v>141000</v>
      </c>
      <c r="G512" s="57">
        <f t="shared" si="7"/>
        <v>0.62068965517241381</v>
      </c>
      <c r="H512" s="5" t="s">
        <v>4433</v>
      </c>
    </row>
    <row r="513" spans="1:8" ht="25.5" x14ac:dyDescent="0.2">
      <c r="A513" s="1" t="s">
        <v>28</v>
      </c>
      <c r="B513" s="2" t="s">
        <v>67</v>
      </c>
      <c r="C513" s="1"/>
      <c r="D513" s="5" t="s">
        <v>1895</v>
      </c>
      <c r="E513" s="3">
        <v>79000</v>
      </c>
      <c r="F513" s="3">
        <v>140000</v>
      </c>
      <c r="G513" s="57">
        <f t="shared" si="7"/>
        <v>0.77215189873417722</v>
      </c>
      <c r="H513" s="5" t="s">
        <v>4432</v>
      </c>
    </row>
    <row r="514" spans="1:8" ht="25.5" x14ac:dyDescent="0.2">
      <c r="A514" s="1" t="s">
        <v>28</v>
      </c>
      <c r="B514" s="2" t="s">
        <v>67</v>
      </c>
      <c r="C514" s="1"/>
      <c r="D514" s="5" t="s">
        <v>1896</v>
      </c>
      <c r="E514" s="3">
        <v>31000</v>
      </c>
      <c r="F514" s="3">
        <v>130000</v>
      </c>
      <c r="G514" s="57">
        <f t="shared" si="7"/>
        <v>3.193548387096774</v>
      </c>
      <c r="H514" s="5" t="s">
        <v>4434</v>
      </c>
    </row>
    <row r="515" spans="1:8" ht="25.5" x14ac:dyDescent="0.2">
      <c r="A515" s="1" t="s">
        <v>28</v>
      </c>
      <c r="B515" s="2" t="s">
        <v>67</v>
      </c>
      <c r="C515" s="1"/>
      <c r="D515" s="5" t="s">
        <v>1897</v>
      </c>
      <c r="E515" s="3">
        <v>134000</v>
      </c>
      <c r="F515" s="3">
        <v>135000</v>
      </c>
      <c r="G515" s="57">
        <f t="shared" ref="G515:G578" si="8">IF(ISERROR((F515-E515)/E515),"-",(F515-E515)/E515)</f>
        <v>7.462686567164179E-3</v>
      </c>
      <c r="H515" s="5" t="s">
        <v>1898</v>
      </c>
    </row>
    <row r="516" spans="1:8" x14ac:dyDescent="0.2">
      <c r="A516" s="1" t="s">
        <v>28</v>
      </c>
      <c r="B516" s="2" t="s">
        <v>67</v>
      </c>
      <c r="C516" s="1"/>
      <c r="D516" s="5" t="s">
        <v>3779</v>
      </c>
      <c r="E516" s="3">
        <v>246000</v>
      </c>
      <c r="F516" s="3" t="s">
        <v>465</v>
      </c>
      <c r="G516" s="57" t="str">
        <f t="shared" si="8"/>
        <v>-</v>
      </c>
      <c r="H516" s="5" t="s">
        <v>3780</v>
      </c>
    </row>
    <row r="517" spans="1:8" x14ac:dyDescent="0.2">
      <c r="A517" s="1" t="s">
        <v>28</v>
      </c>
      <c r="B517" s="2" t="s">
        <v>67</v>
      </c>
      <c r="C517" s="1"/>
      <c r="D517" s="5" t="s">
        <v>464</v>
      </c>
      <c r="E517" s="3">
        <v>102500</v>
      </c>
      <c r="F517" s="3" t="s">
        <v>465</v>
      </c>
      <c r="G517" s="57" t="str">
        <f t="shared" si="8"/>
        <v>-</v>
      </c>
    </row>
    <row r="518" spans="1:8" x14ac:dyDescent="0.2">
      <c r="A518" s="1" t="s">
        <v>28</v>
      </c>
      <c r="B518" s="2" t="s">
        <v>67</v>
      </c>
      <c r="C518" s="1"/>
      <c r="D518" s="5" t="s">
        <v>464</v>
      </c>
      <c r="E518" s="3">
        <v>112500</v>
      </c>
      <c r="F518" s="3" t="s">
        <v>465</v>
      </c>
      <c r="G518" s="57" t="str">
        <f t="shared" si="8"/>
        <v>-</v>
      </c>
    </row>
    <row r="519" spans="1:8" x14ac:dyDescent="0.2">
      <c r="A519" s="1" t="s">
        <v>28</v>
      </c>
      <c r="B519" s="2" t="s">
        <v>67</v>
      </c>
      <c r="C519" s="1"/>
      <c r="D519" s="5" t="s">
        <v>464</v>
      </c>
      <c r="E519" s="3" t="s">
        <v>465</v>
      </c>
      <c r="F519" s="3">
        <v>112500</v>
      </c>
      <c r="G519" s="57" t="str">
        <f t="shared" si="8"/>
        <v>-</v>
      </c>
    </row>
    <row r="520" spans="1:8" x14ac:dyDescent="0.2">
      <c r="A520" s="1" t="s">
        <v>28</v>
      </c>
      <c r="B520" s="2" t="s">
        <v>67</v>
      </c>
      <c r="C520" s="1"/>
      <c r="D520" s="5" t="s">
        <v>464</v>
      </c>
      <c r="E520" s="3" t="s">
        <v>465</v>
      </c>
      <c r="F520" s="3">
        <v>117500</v>
      </c>
      <c r="G520" s="57" t="str">
        <f t="shared" si="8"/>
        <v>-</v>
      </c>
    </row>
    <row r="521" spans="1:8" x14ac:dyDescent="0.2">
      <c r="A521" s="1" t="s">
        <v>28</v>
      </c>
      <c r="B521" s="2" t="s">
        <v>67</v>
      </c>
      <c r="C521" s="1"/>
      <c r="D521" s="5" t="s">
        <v>464</v>
      </c>
      <c r="E521" s="3">
        <v>127500</v>
      </c>
      <c r="F521" s="3" t="s">
        <v>465</v>
      </c>
      <c r="G521" s="57" t="str">
        <f t="shared" si="8"/>
        <v>-</v>
      </c>
    </row>
    <row r="522" spans="1:8" x14ac:dyDescent="0.2">
      <c r="A522" s="1" t="s">
        <v>28</v>
      </c>
      <c r="B522" s="2" t="s">
        <v>67</v>
      </c>
      <c r="C522" s="1"/>
      <c r="D522" s="5" t="s">
        <v>464</v>
      </c>
      <c r="E522" s="3">
        <v>127500</v>
      </c>
      <c r="F522" s="3" t="s">
        <v>465</v>
      </c>
      <c r="G522" s="57" t="str">
        <f t="shared" si="8"/>
        <v>-</v>
      </c>
    </row>
    <row r="523" spans="1:8" x14ac:dyDescent="0.2">
      <c r="A523" s="1" t="s">
        <v>28</v>
      </c>
      <c r="B523" s="2" t="s">
        <v>67</v>
      </c>
      <c r="C523" s="1"/>
      <c r="D523" s="5" t="s">
        <v>464</v>
      </c>
      <c r="E523" s="3">
        <v>132500</v>
      </c>
      <c r="F523" s="3" t="s">
        <v>465</v>
      </c>
      <c r="G523" s="57" t="str">
        <f t="shared" si="8"/>
        <v>-</v>
      </c>
    </row>
    <row r="524" spans="1:8" x14ac:dyDescent="0.2">
      <c r="A524" s="1" t="s">
        <v>28</v>
      </c>
      <c r="B524" s="2" t="s">
        <v>67</v>
      </c>
      <c r="C524" s="1"/>
      <c r="D524" s="5" t="s">
        <v>464</v>
      </c>
      <c r="E524" s="3">
        <v>132500</v>
      </c>
      <c r="F524" s="3" t="s">
        <v>465</v>
      </c>
      <c r="G524" s="57" t="str">
        <f t="shared" si="8"/>
        <v>-</v>
      </c>
    </row>
    <row r="525" spans="1:8" x14ac:dyDescent="0.2">
      <c r="A525" s="1" t="s">
        <v>28</v>
      </c>
      <c r="B525" s="2" t="s">
        <v>67</v>
      </c>
      <c r="C525" s="1"/>
      <c r="D525" s="5" t="s">
        <v>464</v>
      </c>
      <c r="E525" s="3">
        <v>162500</v>
      </c>
      <c r="F525" s="3" t="s">
        <v>465</v>
      </c>
      <c r="G525" s="57" t="str">
        <f t="shared" si="8"/>
        <v>-</v>
      </c>
    </row>
    <row r="526" spans="1:8" x14ac:dyDescent="0.2">
      <c r="A526" s="1" t="s">
        <v>28</v>
      </c>
      <c r="B526" s="2" t="s">
        <v>67</v>
      </c>
      <c r="C526" s="1"/>
      <c r="D526" s="5" t="s">
        <v>464</v>
      </c>
      <c r="E526" s="3">
        <v>172500</v>
      </c>
      <c r="F526" s="3" t="s">
        <v>465</v>
      </c>
      <c r="G526" s="57" t="str">
        <f t="shared" si="8"/>
        <v>-</v>
      </c>
    </row>
    <row r="527" spans="1:8" x14ac:dyDescent="0.2">
      <c r="A527" s="1" t="s">
        <v>28</v>
      </c>
      <c r="B527" s="2" t="s">
        <v>67</v>
      </c>
      <c r="C527" s="1"/>
      <c r="D527" s="5" t="s">
        <v>464</v>
      </c>
      <c r="E527" s="3">
        <v>212500</v>
      </c>
      <c r="F527" s="3" t="s">
        <v>465</v>
      </c>
      <c r="G527" s="57" t="str">
        <f t="shared" si="8"/>
        <v>-</v>
      </c>
    </row>
    <row r="528" spans="1:8" ht="25.5" x14ac:dyDescent="0.2">
      <c r="A528" s="1" t="s">
        <v>20</v>
      </c>
      <c r="B528" s="2" t="s">
        <v>68</v>
      </c>
      <c r="C528" s="1" t="s">
        <v>1899</v>
      </c>
      <c r="D528" s="5" t="s">
        <v>450</v>
      </c>
      <c r="E528" s="3">
        <v>107342</v>
      </c>
      <c r="F528" s="3">
        <v>134399</v>
      </c>
      <c r="G528" s="57">
        <f t="shared" si="8"/>
        <v>0.25206349797842409</v>
      </c>
      <c r="H528" s="5" t="s">
        <v>4206</v>
      </c>
    </row>
    <row r="529" spans="1:8" ht="25.5" x14ac:dyDescent="0.2">
      <c r="A529" s="1" t="s">
        <v>20</v>
      </c>
      <c r="B529" s="2" t="s">
        <v>68</v>
      </c>
      <c r="C529" s="1" t="s">
        <v>1900</v>
      </c>
      <c r="D529" s="5" t="s">
        <v>463</v>
      </c>
      <c r="E529" s="3">
        <v>109196</v>
      </c>
      <c r="F529" s="3">
        <v>109946</v>
      </c>
      <c r="G529" s="57">
        <f t="shared" si="8"/>
        <v>6.868383457269497E-3</v>
      </c>
      <c r="H529" s="5" t="s">
        <v>4207</v>
      </c>
    </row>
    <row r="530" spans="1:8" ht="25.5" x14ac:dyDescent="0.2">
      <c r="A530" s="1" t="s">
        <v>20</v>
      </c>
      <c r="B530" s="2" t="s">
        <v>68</v>
      </c>
      <c r="C530" s="1" t="s">
        <v>1901</v>
      </c>
      <c r="D530" s="5" t="s">
        <v>4208</v>
      </c>
      <c r="E530" s="3">
        <v>100650</v>
      </c>
      <c r="F530" s="3">
        <v>105134</v>
      </c>
      <c r="G530" s="57">
        <f t="shared" si="8"/>
        <v>4.455042225534029E-2</v>
      </c>
      <c r="H530" s="5" t="s">
        <v>4209</v>
      </c>
    </row>
    <row r="531" spans="1:8" s="13" customFormat="1" ht="25.5" x14ac:dyDescent="0.2">
      <c r="A531" s="1" t="s">
        <v>20</v>
      </c>
      <c r="B531" s="12" t="s">
        <v>68</v>
      </c>
      <c r="C531" s="13" t="s">
        <v>1902</v>
      </c>
      <c r="D531" s="7" t="s">
        <v>4204</v>
      </c>
      <c r="E531" s="6">
        <v>104944</v>
      </c>
      <c r="F531" s="6">
        <v>109921</v>
      </c>
      <c r="G531" s="57">
        <f t="shared" si="8"/>
        <v>4.7425293489861256E-2</v>
      </c>
      <c r="H531" s="7" t="s">
        <v>4205</v>
      </c>
    </row>
    <row r="532" spans="1:8" x14ac:dyDescent="0.2">
      <c r="A532" s="1" t="s">
        <v>20</v>
      </c>
      <c r="B532" s="2" t="s">
        <v>69</v>
      </c>
      <c r="C532" s="1" t="s">
        <v>1903</v>
      </c>
      <c r="D532" s="5" t="s">
        <v>450</v>
      </c>
      <c r="E532" s="3">
        <v>230456</v>
      </c>
      <c r="F532" s="3">
        <v>233200</v>
      </c>
      <c r="G532" s="57">
        <f t="shared" si="8"/>
        <v>1.1906828201478807E-2</v>
      </c>
      <c r="H532" s="5" t="s">
        <v>1904</v>
      </c>
    </row>
    <row r="533" spans="1:8" s="13" customFormat="1" ht="25.5" x14ac:dyDescent="0.2">
      <c r="A533" s="1" t="s">
        <v>20</v>
      </c>
      <c r="B533" s="12" t="s">
        <v>69</v>
      </c>
      <c r="C533" s="13" t="s">
        <v>4211</v>
      </c>
      <c r="D533" s="7" t="s">
        <v>1905</v>
      </c>
      <c r="E533" s="6">
        <v>178166</v>
      </c>
      <c r="F533" s="6">
        <v>97217</v>
      </c>
      <c r="G533" s="57">
        <f t="shared" si="8"/>
        <v>-0.45434594703815545</v>
      </c>
      <c r="H533" s="7" t="s">
        <v>4210</v>
      </c>
    </row>
    <row r="534" spans="1:8" s="13" customFormat="1" ht="38.25" x14ac:dyDescent="0.2">
      <c r="A534" s="1" t="s">
        <v>20</v>
      </c>
      <c r="B534" s="2" t="s">
        <v>69</v>
      </c>
      <c r="D534" s="7" t="s">
        <v>1905</v>
      </c>
      <c r="E534" s="6" t="s">
        <v>465</v>
      </c>
      <c r="F534" s="6">
        <v>136450</v>
      </c>
      <c r="G534" s="57" t="str">
        <f t="shared" si="8"/>
        <v>-</v>
      </c>
      <c r="H534" s="7" t="s">
        <v>4212</v>
      </c>
    </row>
    <row r="535" spans="1:8" x14ac:dyDescent="0.2">
      <c r="A535" s="1" t="s">
        <v>20</v>
      </c>
      <c r="B535" s="2" t="s">
        <v>69</v>
      </c>
      <c r="C535" s="1"/>
      <c r="D535" s="5" t="s">
        <v>1906</v>
      </c>
      <c r="E535" s="3">
        <v>144823</v>
      </c>
      <c r="F535" s="3">
        <v>143086</v>
      </c>
      <c r="G535" s="57">
        <f t="shared" si="8"/>
        <v>-1.1993951237027269E-2</v>
      </c>
      <c r="H535" s="5" t="s">
        <v>1907</v>
      </c>
    </row>
    <row r="536" spans="1:8" ht="25.5" x14ac:dyDescent="0.2">
      <c r="A536" s="1" t="s">
        <v>20</v>
      </c>
      <c r="B536" s="2" t="s">
        <v>69</v>
      </c>
      <c r="C536" s="1"/>
      <c r="D536" s="5" t="s">
        <v>1908</v>
      </c>
      <c r="E536" s="3">
        <v>140761</v>
      </c>
      <c r="F536" s="3">
        <v>145364</v>
      </c>
      <c r="G536" s="57">
        <f t="shared" si="8"/>
        <v>3.2700819118932092E-2</v>
      </c>
      <c r="H536" s="5" t="s">
        <v>1909</v>
      </c>
    </row>
    <row r="537" spans="1:8" ht="25.5" x14ac:dyDescent="0.2">
      <c r="A537" s="1" t="s">
        <v>20</v>
      </c>
      <c r="B537" s="2" t="s">
        <v>69</v>
      </c>
      <c r="C537" s="1"/>
      <c r="D537" s="5" t="s">
        <v>1910</v>
      </c>
      <c r="E537" s="4" t="s">
        <v>465</v>
      </c>
      <c r="F537" s="3">
        <v>143086</v>
      </c>
      <c r="G537" s="57" t="str">
        <f t="shared" si="8"/>
        <v>-</v>
      </c>
      <c r="H537" s="5" t="s">
        <v>3781</v>
      </c>
    </row>
    <row r="538" spans="1:8" x14ac:dyDescent="0.2">
      <c r="A538" s="1" t="s">
        <v>20</v>
      </c>
      <c r="B538" s="2" t="s">
        <v>69</v>
      </c>
      <c r="C538" s="1"/>
      <c r="D538" s="5" t="s">
        <v>1910</v>
      </c>
      <c r="E538" s="3">
        <v>399063</v>
      </c>
      <c r="F538" s="3" t="s">
        <v>465</v>
      </c>
      <c r="G538" s="57" t="str">
        <f t="shared" si="8"/>
        <v>-</v>
      </c>
      <c r="H538" s="5" t="s">
        <v>3661</v>
      </c>
    </row>
    <row r="539" spans="1:8" ht="38.25" x14ac:dyDescent="0.2">
      <c r="A539" s="1" t="s">
        <v>20</v>
      </c>
      <c r="B539" s="2" t="s">
        <v>69</v>
      </c>
      <c r="C539" s="1"/>
      <c r="D539" s="5" t="s">
        <v>4436</v>
      </c>
      <c r="E539" s="3">
        <v>136904</v>
      </c>
      <c r="F539" s="3">
        <v>171104</v>
      </c>
      <c r="G539" s="57">
        <f t="shared" si="8"/>
        <v>0.24981008589960849</v>
      </c>
      <c r="H539" s="5" t="s">
        <v>4435</v>
      </c>
    </row>
    <row r="540" spans="1:8" ht="25.5" x14ac:dyDescent="0.2">
      <c r="A540" s="1" t="s">
        <v>20</v>
      </c>
      <c r="B540" s="2" t="s">
        <v>69</v>
      </c>
      <c r="C540" s="1"/>
      <c r="D540" s="5" t="s">
        <v>1911</v>
      </c>
      <c r="E540" s="3">
        <v>121598</v>
      </c>
      <c r="F540" s="3">
        <v>123046</v>
      </c>
      <c r="G540" s="57">
        <f t="shared" si="8"/>
        <v>1.1908090593595289E-2</v>
      </c>
      <c r="H540" s="5" t="s">
        <v>4608</v>
      </c>
    </row>
    <row r="541" spans="1:8" x14ac:dyDescent="0.2">
      <c r="A541" s="1" t="s">
        <v>20</v>
      </c>
      <c r="B541" s="2" t="s">
        <v>69</v>
      </c>
      <c r="C541" s="1"/>
      <c r="D541" s="5" t="s">
        <v>464</v>
      </c>
      <c r="E541" s="3">
        <v>102500</v>
      </c>
      <c r="F541" s="3" t="s">
        <v>465</v>
      </c>
      <c r="G541" s="57" t="str">
        <f t="shared" si="8"/>
        <v>-</v>
      </c>
      <c r="H541" s="5" t="s">
        <v>3718</v>
      </c>
    </row>
    <row r="542" spans="1:8" x14ac:dyDescent="0.2">
      <c r="A542" s="1" t="s">
        <v>20</v>
      </c>
      <c r="B542" s="2" t="s">
        <v>69</v>
      </c>
      <c r="C542" s="1"/>
      <c r="D542" s="5" t="s">
        <v>464</v>
      </c>
      <c r="E542" s="3" t="s">
        <v>465</v>
      </c>
      <c r="F542" s="3">
        <v>102500</v>
      </c>
      <c r="G542" s="57" t="str">
        <f t="shared" si="8"/>
        <v>-</v>
      </c>
      <c r="H542" s="5" t="s">
        <v>3718</v>
      </c>
    </row>
    <row r="543" spans="1:8" x14ac:dyDescent="0.2">
      <c r="A543" s="1" t="s">
        <v>20</v>
      </c>
      <c r="B543" s="2" t="s">
        <v>69</v>
      </c>
      <c r="C543" s="1"/>
      <c r="D543" s="5" t="s">
        <v>464</v>
      </c>
      <c r="E543" s="3" t="s">
        <v>465</v>
      </c>
      <c r="F543" s="3">
        <v>102500</v>
      </c>
      <c r="G543" s="57" t="str">
        <f t="shared" si="8"/>
        <v>-</v>
      </c>
      <c r="H543" s="5" t="s">
        <v>3718</v>
      </c>
    </row>
    <row r="544" spans="1:8" x14ac:dyDescent="0.2">
      <c r="A544" s="1" t="s">
        <v>20</v>
      </c>
      <c r="B544" s="2" t="s">
        <v>69</v>
      </c>
      <c r="C544" s="1"/>
      <c r="D544" s="5" t="s">
        <v>464</v>
      </c>
      <c r="E544" s="3" t="s">
        <v>465</v>
      </c>
      <c r="F544" s="3">
        <v>102500</v>
      </c>
      <c r="G544" s="57" t="str">
        <f t="shared" si="8"/>
        <v>-</v>
      </c>
      <c r="H544" s="5" t="s">
        <v>3718</v>
      </c>
    </row>
    <row r="545" spans="1:8" x14ac:dyDescent="0.2">
      <c r="A545" s="1" t="s">
        <v>20</v>
      </c>
      <c r="B545" s="2" t="s">
        <v>69</v>
      </c>
      <c r="C545" s="1"/>
      <c r="D545" s="5" t="s">
        <v>464</v>
      </c>
      <c r="E545" s="3">
        <v>107500</v>
      </c>
      <c r="F545" s="3" t="s">
        <v>465</v>
      </c>
      <c r="G545" s="57" t="str">
        <f t="shared" si="8"/>
        <v>-</v>
      </c>
      <c r="H545" s="5" t="s">
        <v>3718</v>
      </c>
    </row>
    <row r="546" spans="1:8" x14ac:dyDescent="0.2">
      <c r="A546" s="1" t="s">
        <v>20</v>
      </c>
      <c r="B546" s="2" t="s">
        <v>69</v>
      </c>
      <c r="C546" s="1"/>
      <c r="D546" s="5" t="s">
        <v>464</v>
      </c>
      <c r="E546" s="3" t="s">
        <v>465</v>
      </c>
      <c r="F546" s="3">
        <v>107500</v>
      </c>
      <c r="G546" s="57" t="str">
        <f t="shared" si="8"/>
        <v>-</v>
      </c>
      <c r="H546" s="5" t="s">
        <v>3718</v>
      </c>
    </row>
    <row r="547" spans="1:8" x14ac:dyDescent="0.2">
      <c r="A547" s="1" t="s">
        <v>20</v>
      </c>
      <c r="B547" s="2" t="s">
        <v>69</v>
      </c>
      <c r="C547" s="1"/>
      <c r="D547" s="5" t="s">
        <v>464</v>
      </c>
      <c r="E547" s="3" t="s">
        <v>465</v>
      </c>
      <c r="F547" s="3">
        <v>107500</v>
      </c>
      <c r="G547" s="57" t="str">
        <f t="shared" si="8"/>
        <v>-</v>
      </c>
      <c r="H547" s="5" t="s">
        <v>3718</v>
      </c>
    </row>
    <row r="548" spans="1:8" x14ac:dyDescent="0.2">
      <c r="A548" s="1" t="s">
        <v>25</v>
      </c>
      <c r="B548" s="2" t="s">
        <v>70</v>
      </c>
      <c r="C548" s="1" t="s">
        <v>3782</v>
      </c>
      <c r="D548" s="5" t="s">
        <v>450</v>
      </c>
      <c r="E548" s="19">
        <f>211442+29998</f>
        <v>241440</v>
      </c>
      <c r="F548" s="19">
        <f>204961+31908</f>
        <v>236869</v>
      </c>
      <c r="G548" s="57">
        <f t="shared" si="8"/>
        <v>-1.8932239893969516E-2</v>
      </c>
      <c r="H548" s="5" t="s">
        <v>1912</v>
      </c>
    </row>
    <row r="549" spans="1:8" s="13" customFormat="1" x14ac:dyDescent="0.2">
      <c r="A549" s="1" t="s">
        <v>25</v>
      </c>
      <c r="B549" s="12" t="s">
        <v>70</v>
      </c>
      <c r="C549" s="13" t="s">
        <v>3783</v>
      </c>
      <c r="D549" s="7" t="s">
        <v>1913</v>
      </c>
      <c r="E549" s="21">
        <f>160446+22783</f>
        <v>183229</v>
      </c>
      <c r="F549" s="21">
        <f>23378+159010</f>
        <v>182388</v>
      </c>
      <c r="G549" s="57">
        <f t="shared" si="8"/>
        <v>-4.5898847889799107E-3</v>
      </c>
      <c r="H549" s="7" t="s">
        <v>1914</v>
      </c>
    </row>
    <row r="550" spans="1:8" x14ac:dyDescent="0.2">
      <c r="A550" s="1" t="s">
        <v>25</v>
      </c>
      <c r="B550" s="2" t="s">
        <v>70</v>
      </c>
      <c r="C550" s="1" t="s">
        <v>3784</v>
      </c>
      <c r="D550" s="5" t="s">
        <v>1915</v>
      </c>
      <c r="E550" s="19">
        <f>157304+21812</f>
        <v>179116</v>
      </c>
      <c r="F550" s="19">
        <f>156110+22864</f>
        <v>178974</v>
      </c>
      <c r="G550" s="57">
        <f t="shared" si="8"/>
        <v>-7.9278233100337208E-4</v>
      </c>
      <c r="H550" s="5" t="s">
        <v>1916</v>
      </c>
    </row>
    <row r="551" spans="1:8" x14ac:dyDescent="0.2">
      <c r="A551" s="1" t="s">
        <v>25</v>
      </c>
      <c r="B551" s="2" t="s">
        <v>70</v>
      </c>
      <c r="C551" s="1" t="s">
        <v>3785</v>
      </c>
      <c r="D551" s="5" t="s">
        <v>507</v>
      </c>
      <c r="E551" s="19">
        <f>157144+23009</f>
        <v>180153</v>
      </c>
      <c r="F551" s="19">
        <f>155035+23995</f>
        <v>179030</v>
      </c>
      <c r="G551" s="57">
        <f t="shared" si="8"/>
        <v>-6.2335903371023519E-3</v>
      </c>
      <c r="H551" s="5" t="s">
        <v>1917</v>
      </c>
    </row>
    <row r="552" spans="1:8" s="13" customFormat="1" ht="25.5" x14ac:dyDescent="0.2">
      <c r="A552" s="1" t="s">
        <v>25</v>
      </c>
      <c r="B552" s="12" t="s">
        <v>70</v>
      </c>
      <c r="D552" s="7" t="s">
        <v>3786</v>
      </c>
      <c r="E552" s="21">
        <f>149052+20585</f>
        <v>169637</v>
      </c>
      <c r="F552" s="21" t="s">
        <v>465</v>
      </c>
      <c r="G552" s="57" t="str">
        <f t="shared" si="8"/>
        <v>-</v>
      </c>
      <c r="H552" s="7"/>
    </row>
    <row r="553" spans="1:8" ht="51" x14ac:dyDescent="0.2">
      <c r="A553" s="1" t="s">
        <v>25</v>
      </c>
      <c r="B553" s="2" t="s">
        <v>70</v>
      </c>
      <c r="C553" s="1"/>
      <c r="D553" s="5" t="s">
        <v>4437</v>
      </c>
      <c r="E553" s="19">
        <f>149052+20585</f>
        <v>169637</v>
      </c>
      <c r="F553" s="19">
        <f>152294+22350</f>
        <v>174644</v>
      </c>
      <c r="G553" s="57">
        <f t="shared" si="8"/>
        <v>2.9515966445999398E-2</v>
      </c>
      <c r="H553" s="5" t="s">
        <v>4438</v>
      </c>
    </row>
    <row r="554" spans="1:8" ht="38.25" x14ac:dyDescent="0.2">
      <c r="A554" s="1" t="s">
        <v>25</v>
      </c>
      <c r="B554" s="2" t="s">
        <v>70</v>
      </c>
      <c r="C554" s="1"/>
      <c r="D554" s="5" t="s">
        <v>4215</v>
      </c>
      <c r="E554" s="19">
        <f>111618+15815</f>
        <v>127433</v>
      </c>
      <c r="F554" s="19">
        <f>108300+16074</f>
        <v>124374</v>
      </c>
      <c r="G554" s="57">
        <f t="shared" si="8"/>
        <v>-2.4004771134635457E-2</v>
      </c>
      <c r="H554" s="5" t="s">
        <v>1918</v>
      </c>
    </row>
    <row r="555" spans="1:8" x14ac:dyDescent="0.2">
      <c r="A555" s="1" t="s">
        <v>25</v>
      </c>
      <c r="B555" s="2" t="s">
        <v>70</v>
      </c>
      <c r="C555" s="1"/>
      <c r="D555" s="5" t="s">
        <v>1919</v>
      </c>
      <c r="E555" s="19">
        <f>109364+15501</f>
        <v>124865</v>
      </c>
      <c r="F555" s="19">
        <f>108050+15751</f>
        <v>123801</v>
      </c>
      <c r="G555" s="57">
        <f t="shared" si="8"/>
        <v>-8.5212028991310616E-3</v>
      </c>
      <c r="H555" s="5" t="s">
        <v>1920</v>
      </c>
    </row>
    <row r="556" spans="1:8" x14ac:dyDescent="0.2">
      <c r="A556" s="1" t="s">
        <v>25</v>
      </c>
      <c r="B556" s="2" t="s">
        <v>70</v>
      </c>
      <c r="C556" s="1"/>
      <c r="D556" s="5" t="s">
        <v>1921</v>
      </c>
      <c r="E556" s="19">
        <f>110217+15754</f>
        <v>125971</v>
      </c>
      <c r="F556" s="19">
        <f>108050+15946</f>
        <v>123996</v>
      </c>
      <c r="G556" s="57">
        <f t="shared" si="8"/>
        <v>-1.5678211651888135E-2</v>
      </c>
      <c r="H556" s="5" t="s">
        <v>1922</v>
      </c>
    </row>
    <row r="557" spans="1:8" ht="25.5" x14ac:dyDescent="0.2">
      <c r="A557" s="1" t="s">
        <v>25</v>
      </c>
      <c r="B557" s="2" t="s">
        <v>70</v>
      </c>
      <c r="C557" s="1"/>
      <c r="D557" s="5" t="s">
        <v>3787</v>
      </c>
      <c r="E557" s="19">
        <f>110523+15588</f>
        <v>126111</v>
      </c>
      <c r="F557" s="19">
        <f>107938+15924</f>
        <v>123862</v>
      </c>
      <c r="G557" s="57">
        <f t="shared" si="8"/>
        <v>-1.7833495888542633E-2</v>
      </c>
      <c r="H557" s="5" t="s">
        <v>1923</v>
      </c>
    </row>
    <row r="558" spans="1:8" ht="25.5" x14ac:dyDescent="0.2">
      <c r="A558" s="1" t="s">
        <v>25</v>
      </c>
      <c r="B558" s="2" t="s">
        <v>70</v>
      </c>
      <c r="C558" s="1"/>
      <c r="D558" s="5" t="s">
        <v>4214</v>
      </c>
      <c r="E558" s="19">
        <f>108436+15229</f>
        <v>123665</v>
      </c>
      <c r="F558" s="19">
        <f>108821+15618</f>
        <v>124439</v>
      </c>
      <c r="G558" s="57">
        <f t="shared" si="8"/>
        <v>6.2588444588202001E-3</v>
      </c>
      <c r="H558" s="5" t="s">
        <v>1924</v>
      </c>
    </row>
    <row r="559" spans="1:8" ht="51" x14ac:dyDescent="0.2">
      <c r="A559" s="1" t="s">
        <v>25</v>
      </c>
      <c r="B559" s="2" t="s">
        <v>70</v>
      </c>
      <c r="C559" s="1"/>
      <c r="D559" s="5" t="s">
        <v>4213</v>
      </c>
      <c r="E559" s="19">
        <f>108109+15334</f>
        <v>123443</v>
      </c>
      <c r="F559" s="19">
        <f>106991+15498</f>
        <v>122489</v>
      </c>
      <c r="G559" s="57">
        <f t="shared" si="8"/>
        <v>-7.7282632470046901E-3</v>
      </c>
      <c r="H559" s="5" t="s">
        <v>1925</v>
      </c>
    </row>
    <row r="560" spans="1:8" x14ac:dyDescent="0.2">
      <c r="A560" s="1" t="s">
        <v>25</v>
      </c>
      <c r="B560" s="2" t="s">
        <v>70</v>
      </c>
      <c r="C560" s="1"/>
      <c r="D560" s="5" t="s">
        <v>1926</v>
      </c>
      <c r="E560" s="19">
        <f>106236+14903</f>
        <v>121139</v>
      </c>
      <c r="F560" s="19">
        <f>104476+15263</f>
        <v>119739</v>
      </c>
      <c r="G560" s="57">
        <f t="shared" si="8"/>
        <v>-1.1556971743204088E-2</v>
      </c>
      <c r="H560" s="5" t="s">
        <v>1927</v>
      </c>
    </row>
    <row r="561" spans="1:8" ht="25.5" x14ac:dyDescent="0.2">
      <c r="A561" s="1" t="s">
        <v>25</v>
      </c>
      <c r="B561" s="2" t="s">
        <v>70</v>
      </c>
      <c r="C561" s="1"/>
      <c r="D561" s="5" t="s">
        <v>520</v>
      </c>
      <c r="E561" s="19">
        <f>114025+17237</f>
        <v>131262</v>
      </c>
      <c r="F561" s="19">
        <f>114749+17497</f>
        <v>132246</v>
      </c>
      <c r="G561" s="57">
        <f t="shared" si="8"/>
        <v>7.4964574667458978E-3</v>
      </c>
      <c r="H561" s="5" t="s">
        <v>3788</v>
      </c>
    </row>
    <row r="562" spans="1:8" s="13" customFormat="1" ht="38.25" x14ac:dyDescent="0.2">
      <c r="A562" s="1" t="s">
        <v>25</v>
      </c>
      <c r="B562" s="12" t="s">
        <v>70</v>
      </c>
      <c r="D562" s="7" t="s">
        <v>4216</v>
      </c>
      <c r="E562" s="21">
        <f>103956+14596</f>
        <v>118552</v>
      </c>
      <c r="F562" s="21">
        <f>102533+15040</f>
        <v>117573</v>
      </c>
      <c r="G562" s="57">
        <f t="shared" si="8"/>
        <v>-8.2579796207571353E-3</v>
      </c>
      <c r="H562" s="7" t="s">
        <v>1928</v>
      </c>
    </row>
    <row r="563" spans="1:8" ht="25.5" x14ac:dyDescent="0.2">
      <c r="A563" s="1" t="s">
        <v>25</v>
      </c>
      <c r="B563" s="2" t="s">
        <v>70</v>
      </c>
      <c r="C563" s="1"/>
      <c r="D563" s="5" t="s">
        <v>1929</v>
      </c>
      <c r="E563" s="19" t="s">
        <v>465</v>
      </c>
      <c r="F563" s="19">
        <f>103451+14814</f>
        <v>118265</v>
      </c>
      <c r="G563" s="57" t="str">
        <f t="shared" si="8"/>
        <v>-</v>
      </c>
      <c r="H563" s="5" t="s">
        <v>1930</v>
      </c>
    </row>
    <row r="564" spans="1:8" s="13" customFormat="1" ht="25.5" x14ac:dyDescent="0.2">
      <c r="A564" s="1" t="s">
        <v>25</v>
      </c>
      <c r="B564" s="12" t="s">
        <v>70</v>
      </c>
      <c r="D564" s="7" t="s">
        <v>1931</v>
      </c>
      <c r="E564" s="21">
        <f>112508+15800</f>
        <v>128308</v>
      </c>
      <c r="F564" s="21">
        <f>111522+16165</f>
        <v>127687</v>
      </c>
      <c r="G564" s="57">
        <f t="shared" si="8"/>
        <v>-4.8399164510396862E-3</v>
      </c>
      <c r="H564" s="7" t="s">
        <v>1932</v>
      </c>
    </row>
    <row r="565" spans="1:8" s="13" customFormat="1" ht="38.25" x14ac:dyDescent="0.2">
      <c r="A565" s="1" t="s">
        <v>25</v>
      </c>
      <c r="B565" s="12" t="s">
        <v>70</v>
      </c>
      <c r="D565" s="7" t="s">
        <v>4217</v>
      </c>
      <c r="E565" s="21">
        <f>98396+14036</f>
        <v>112432</v>
      </c>
      <c r="F565" s="21">
        <f>101003+14565</f>
        <v>115568</v>
      </c>
      <c r="G565" s="57">
        <f t="shared" si="8"/>
        <v>2.7892414970826812E-2</v>
      </c>
      <c r="H565" s="7" t="s">
        <v>1933</v>
      </c>
    </row>
    <row r="566" spans="1:8" ht="76.5" x14ac:dyDescent="0.2">
      <c r="A566" s="1" t="s">
        <v>25</v>
      </c>
      <c r="B566" s="2" t="s">
        <v>70</v>
      </c>
      <c r="C566" s="1"/>
      <c r="D566" s="5" t="s">
        <v>451</v>
      </c>
      <c r="E566" s="19" t="s">
        <v>465</v>
      </c>
      <c r="F566" s="19">
        <f>177146+15624</f>
        <v>192770</v>
      </c>
      <c r="G566" s="57" t="str">
        <f t="shared" si="8"/>
        <v>-</v>
      </c>
      <c r="H566" s="5" t="s">
        <v>4220</v>
      </c>
    </row>
    <row r="567" spans="1:8" x14ac:dyDescent="0.2">
      <c r="A567" s="1" t="s">
        <v>25</v>
      </c>
      <c r="B567" s="2" t="s">
        <v>70</v>
      </c>
      <c r="C567" s="1"/>
      <c r="D567" s="5" t="s">
        <v>1934</v>
      </c>
      <c r="E567" s="19">
        <f>96425+13659</f>
        <v>110084</v>
      </c>
      <c r="F567" s="19">
        <f>98516+14338</f>
        <v>112854</v>
      </c>
      <c r="G567" s="57">
        <f t="shared" si="8"/>
        <v>2.5162603103084918E-2</v>
      </c>
      <c r="H567" s="5" t="s">
        <v>1935</v>
      </c>
    </row>
    <row r="568" spans="1:8" s="13" customFormat="1" x14ac:dyDescent="0.2">
      <c r="A568" s="1" t="s">
        <v>25</v>
      </c>
      <c r="B568" s="12" t="s">
        <v>70</v>
      </c>
      <c r="D568" s="7" t="s">
        <v>1936</v>
      </c>
      <c r="E568" s="21">
        <f>97898+13621</f>
        <v>111519</v>
      </c>
      <c r="F568" s="21">
        <f>97135+14100</f>
        <v>111235</v>
      </c>
      <c r="G568" s="57">
        <f t="shared" si="8"/>
        <v>-2.5466512432858975E-3</v>
      </c>
      <c r="H568" s="7" t="s">
        <v>1937</v>
      </c>
    </row>
    <row r="569" spans="1:8" x14ac:dyDescent="0.2">
      <c r="A569" s="1" t="s">
        <v>25</v>
      </c>
      <c r="B569" s="2" t="s">
        <v>70</v>
      </c>
      <c r="C569" s="1"/>
      <c r="D569" s="5" t="s">
        <v>1938</v>
      </c>
      <c r="E569" s="19">
        <f>94982+13466</f>
        <v>108448</v>
      </c>
      <c r="F569" s="19">
        <f>95268+13744</f>
        <v>109012</v>
      </c>
      <c r="G569" s="57">
        <f t="shared" si="8"/>
        <v>5.2006491590439654E-3</v>
      </c>
      <c r="H569" s="5" t="s">
        <v>1939</v>
      </c>
    </row>
    <row r="570" spans="1:8" s="13" customFormat="1" ht="25.5" x14ac:dyDescent="0.2">
      <c r="A570" s="1" t="s">
        <v>25</v>
      </c>
      <c r="B570" s="12" t="s">
        <v>70</v>
      </c>
      <c r="D570" s="7" t="s">
        <v>4218</v>
      </c>
      <c r="E570" s="21">
        <f>92068+12566</f>
        <v>104634</v>
      </c>
      <c r="F570" s="21">
        <f>95070+13582</f>
        <v>108652</v>
      </c>
      <c r="G570" s="57">
        <f t="shared" si="8"/>
        <v>3.8400519907487052E-2</v>
      </c>
      <c r="H570" s="7" t="s">
        <v>1940</v>
      </c>
    </row>
    <row r="571" spans="1:8" s="13" customFormat="1" ht="38.25" x14ac:dyDescent="0.2">
      <c r="A571" s="1" t="s">
        <v>25</v>
      </c>
      <c r="B571" s="12" t="s">
        <v>70</v>
      </c>
      <c r="D571" s="7" t="s">
        <v>4219</v>
      </c>
      <c r="E571" s="21">
        <f>106723+15125</f>
        <v>121848</v>
      </c>
      <c r="F571" s="21">
        <f>88597+12421</f>
        <v>101018</v>
      </c>
      <c r="G571" s="57">
        <f t="shared" si="8"/>
        <v>-0.17095069266627275</v>
      </c>
      <c r="H571" s="7" t="s">
        <v>1941</v>
      </c>
    </row>
    <row r="572" spans="1:8" x14ac:dyDescent="0.2">
      <c r="A572" s="1" t="s">
        <v>25</v>
      </c>
      <c r="B572" s="2" t="s">
        <v>70</v>
      </c>
      <c r="C572" s="1"/>
      <c r="D572" s="5" t="s">
        <v>464</v>
      </c>
      <c r="E572" s="19" t="s">
        <v>465</v>
      </c>
      <c r="F572" s="19">
        <v>102500</v>
      </c>
      <c r="G572" s="57" t="str">
        <f t="shared" si="8"/>
        <v>-</v>
      </c>
      <c r="H572" s="5" t="s">
        <v>539</v>
      </c>
    </row>
    <row r="573" spans="1:8" x14ac:dyDescent="0.2">
      <c r="A573" s="1" t="s">
        <v>25</v>
      </c>
      <c r="B573" s="2" t="s">
        <v>70</v>
      </c>
      <c r="C573" s="1"/>
      <c r="D573" s="5" t="s">
        <v>464</v>
      </c>
      <c r="E573" s="19" t="s">
        <v>465</v>
      </c>
      <c r="F573" s="19">
        <v>107500</v>
      </c>
      <c r="G573" s="57" t="str">
        <f t="shared" si="8"/>
        <v>-</v>
      </c>
    </row>
    <row r="574" spans="1:8" x14ac:dyDescent="0.2">
      <c r="A574" s="1" t="s">
        <v>25</v>
      </c>
      <c r="B574" s="2" t="s">
        <v>70</v>
      </c>
      <c r="C574" s="1"/>
      <c r="D574" s="5" t="s">
        <v>464</v>
      </c>
      <c r="E574" s="19">
        <v>102500</v>
      </c>
      <c r="F574" s="19" t="s">
        <v>465</v>
      </c>
      <c r="G574" s="57" t="str">
        <f t="shared" si="8"/>
        <v>-</v>
      </c>
    </row>
    <row r="575" spans="1:8" x14ac:dyDescent="0.2">
      <c r="A575" s="1" t="s">
        <v>25</v>
      </c>
      <c r="B575" s="2" t="s">
        <v>70</v>
      </c>
      <c r="C575" s="1"/>
      <c r="D575" s="5" t="s">
        <v>464</v>
      </c>
      <c r="E575" s="19">
        <v>132500</v>
      </c>
      <c r="F575" s="19" t="s">
        <v>465</v>
      </c>
      <c r="G575" s="57" t="str">
        <f t="shared" si="8"/>
        <v>-</v>
      </c>
    </row>
    <row r="576" spans="1:8" x14ac:dyDescent="0.2">
      <c r="A576" s="1" t="s">
        <v>25</v>
      </c>
      <c r="B576" s="2" t="s">
        <v>70</v>
      </c>
      <c r="C576" s="1"/>
      <c r="D576" s="5" t="s">
        <v>464</v>
      </c>
      <c r="E576" s="19">
        <v>142500</v>
      </c>
      <c r="F576" s="19" t="s">
        <v>465</v>
      </c>
      <c r="G576" s="57" t="str">
        <f t="shared" si="8"/>
        <v>-</v>
      </c>
    </row>
    <row r="577" spans="1:8" x14ac:dyDescent="0.2">
      <c r="A577" s="1" t="s">
        <v>25</v>
      </c>
      <c r="B577" s="2" t="s">
        <v>70</v>
      </c>
      <c r="C577" s="1"/>
      <c r="D577" s="5" t="s">
        <v>464</v>
      </c>
      <c r="E577" s="19">
        <v>152500</v>
      </c>
      <c r="F577" s="19" t="s">
        <v>465</v>
      </c>
      <c r="G577" s="57" t="str">
        <f t="shared" si="8"/>
        <v>-</v>
      </c>
    </row>
    <row r="578" spans="1:8" x14ac:dyDescent="0.2">
      <c r="A578" s="1" t="s">
        <v>25</v>
      </c>
      <c r="B578" s="2" t="s">
        <v>70</v>
      </c>
      <c r="C578" s="1"/>
      <c r="D578" s="5" t="s">
        <v>464</v>
      </c>
      <c r="E578" s="19">
        <v>162500</v>
      </c>
      <c r="F578" s="19" t="s">
        <v>465</v>
      </c>
      <c r="G578" s="57" t="str">
        <f t="shared" si="8"/>
        <v>-</v>
      </c>
    </row>
    <row r="579" spans="1:8" x14ac:dyDescent="0.2">
      <c r="A579" s="1" t="s">
        <v>39</v>
      </c>
      <c r="B579" s="2" t="s">
        <v>71</v>
      </c>
      <c r="C579" s="1"/>
      <c r="D579" s="5" t="s">
        <v>450</v>
      </c>
      <c r="E579" s="3">
        <v>136053</v>
      </c>
      <c r="F579" s="3">
        <v>138367</v>
      </c>
      <c r="G579" s="57">
        <f t="shared" ref="G579:G642" si="9">IF(ISERROR((F579-E579)/E579),"-",(F579-E579)/E579)</f>
        <v>1.7008077734412326E-2</v>
      </c>
      <c r="H579" s="5" t="s">
        <v>1942</v>
      </c>
    </row>
    <row r="580" spans="1:8" x14ac:dyDescent="0.2">
      <c r="A580" s="1" t="s">
        <v>39</v>
      </c>
      <c r="B580" s="2" t="s">
        <v>71</v>
      </c>
      <c r="C580" s="1"/>
      <c r="D580" s="5" t="s">
        <v>455</v>
      </c>
      <c r="E580" s="3">
        <v>113931</v>
      </c>
      <c r="F580" s="3" t="s">
        <v>465</v>
      </c>
      <c r="G580" s="57" t="str">
        <f t="shared" si="9"/>
        <v>-</v>
      </c>
    </row>
    <row r="581" spans="1:8" x14ac:dyDescent="0.2">
      <c r="A581" s="1" t="s">
        <v>4</v>
      </c>
      <c r="B581" s="2" t="s">
        <v>72</v>
      </c>
      <c r="C581" s="1"/>
      <c r="D581" s="5" t="s">
        <v>450</v>
      </c>
      <c r="E581" s="3">
        <v>146000</v>
      </c>
      <c r="F581" s="3">
        <v>161000</v>
      </c>
      <c r="G581" s="57">
        <f t="shared" si="9"/>
        <v>0.10273972602739725</v>
      </c>
      <c r="H581" s="5" t="s">
        <v>1943</v>
      </c>
    </row>
    <row r="582" spans="1:8" ht="25.5" x14ac:dyDescent="0.2">
      <c r="A582" s="1" t="s">
        <v>4</v>
      </c>
      <c r="B582" s="2" t="s">
        <v>72</v>
      </c>
      <c r="C582" s="1"/>
      <c r="D582" s="5" t="s">
        <v>3789</v>
      </c>
      <c r="E582" s="3">
        <v>104000</v>
      </c>
      <c r="F582" s="3">
        <v>77000</v>
      </c>
      <c r="G582" s="57">
        <f t="shared" si="9"/>
        <v>-0.25961538461538464</v>
      </c>
      <c r="H582" s="5" t="s">
        <v>3790</v>
      </c>
    </row>
    <row r="583" spans="1:8" x14ac:dyDescent="0.2">
      <c r="A583" s="1" t="s">
        <v>44</v>
      </c>
      <c r="B583" s="2" t="s">
        <v>73</v>
      </c>
      <c r="C583" s="1"/>
      <c r="D583" s="5" t="s">
        <v>1944</v>
      </c>
      <c r="E583" s="3" t="s">
        <v>465</v>
      </c>
      <c r="F583" s="3">
        <v>159263</v>
      </c>
      <c r="G583" s="57" t="str">
        <f t="shared" si="9"/>
        <v>-</v>
      </c>
      <c r="H583" s="5" t="s">
        <v>1945</v>
      </c>
    </row>
    <row r="584" spans="1:8" x14ac:dyDescent="0.2">
      <c r="A584" s="1" t="s">
        <v>44</v>
      </c>
      <c r="B584" s="2" t="s">
        <v>73</v>
      </c>
      <c r="C584" s="1"/>
      <c r="D584" s="5" t="s">
        <v>1946</v>
      </c>
      <c r="E584" s="3">
        <v>158990</v>
      </c>
      <c r="F584" s="3">
        <v>158965</v>
      </c>
      <c r="G584" s="57">
        <f t="shared" si="9"/>
        <v>-1.5724259387382854E-4</v>
      </c>
      <c r="H584" s="5" t="s">
        <v>1947</v>
      </c>
    </row>
    <row r="585" spans="1:8" x14ac:dyDescent="0.2">
      <c r="A585" s="1" t="s">
        <v>44</v>
      </c>
      <c r="B585" s="2" t="s">
        <v>73</v>
      </c>
      <c r="C585" s="1"/>
      <c r="D585" s="5" t="s">
        <v>1948</v>
      </c>
      <c r="E585" s="3" t="s">
        <v>465</v>
      </c>
      <c r="F585" s="3">
        <v>129576</v>
      </c>
      <c r="G585" s="57" t="str">
        <f t="shared" si="9"/>
        <v>-</v>
      </c>
      <c r="H585" s="5" t="s">
        <v>1949</v>
      </c>
    </row>
    <row r="586" spans="1:8" x14ac:dyDescent="0.2">
      <c r="A586" s="1" t="s">
        <v>44</v>
      </c>
      <c r="B586" s="2" t="s">
        <v>73</v>
      </c>
      <c r="C586" s="1" t="s">
        <v>3791</v>
      </c>
      <c r="D586" s="5" t="s">
        <v>450</v>
      </c>
      <c r="E586" s="3" t="s">
        <v>465</v>
      </c>
      <c r="F586" s="3">
        <v>124492</v>
      </c>
      <c r="G586" s="57" t="str">
        <f t="shared" si="9"/>
        <v>-</v>
      </c>
      <c r="H586" s="5" t="s">
        <v>3792</v>
      </c>
    </row>
    <row r="587" spans="1:8" x14ac:dyDescent="0.2">
      <c r="A587" s="1" t="s">
        <v>44</v>
      </c>
      <c r="B587" s="2" t="s">
        <v>73</v>
      </c>
      <c r="C587" s="1"/>
      <c r="D587" s="5" t="s">
        <v>3793</v>
      </c>
      <c r="E587" s="3">
        <v>120766</v>
      </c>
      <c r="F587" s="3">
        <v>120993</v>
      </c>
      <c r="G587" s="57">
        <f t="shared" si="9"/>
        <v>1.8796681185101766E-3</v>
      </c>
      <c r="H587" s="5" t="s">
        <v>3794</v>
      </c>
    </row>
    <row r="588" spans="1:8" x14ac:dyDescent="0.2">
      <c r="A588" s="1" t="s">
        <v>44</v>
      </c>
      <c r="B588" s="2" t="s">
        <v>73</v>
      </c>
      <c r="C588" s="1"/>
      <c r="D588" s="5" t="s">
        <v>1950</v>
      </c>
      <c r="E588" s="3" t="s">
        <v>465</v>
      </c>
      <c r="F588" s="3">
        <v>120687</v>
      </c>
      <c r="G588" s="57" t="str">
        <f t="shared" si="9"/>
        <v>-</v>
      </c>
      <c r="H588" s="5" t="s">
        <v>1951</v>
      </c>
    </row>
    <row r="589" spans="1:8" s="13" customFormat="1" ht="38.25" x14ac:dyDescent="0.2">
      <c r="A589" s="1" t="s">
        <v>44</v>
      </c>
      <c r="B589" s="2" t="s">
        <v>73</v>
      </c>
      <c r="C589" s="7" t="s">
        <v>3795</v>
      </c>
      <c r="D589" s="7" t="s">
        <v>450</v>
      </c>
      <c r="E589" s="6">
        <v>177001</v>
      </c>
      <c r="F589" s="6">
        <v>139575</v>
      </c>
      <c r="G589" s="57">
        <f t="shared" si="9"/>
        <v>-0.2114451330783442</v>
      </c>
      <c r="H589" s="7" t="s">
        <v>4221</v>
      </c>
    </row>
    <row r="590" spans="1:8" x14ac:dyDescent="0.2">
      <c r="A590" s="1" t="s">
        <v>44</v>
      </c>
      <c r="B590" s="2" t="s">
        <v>73</v>
      </c>
      <c r="C590" s="1"/>
      <c r="D590" s="5" t="s">
        <v>1952</v>
      </c>
      <c r="E590" s="3">
        <v>101629</v>
      </c>
      <c r="F590" s="3">
        <v>101879</v>
      </c>
      <c r="G590" s="57">
        <f t="shared" si="9"/>
        <v>2.4599277765204814E-3</v>
      </c>
      <c r="H590" s="5" t="s">
        <v>1953</v>
      </c>
    </row>
    <row r="591" spans="1:8" ht="25.5" x14ac:dyDescent="0.2">
      <c r="A591" s="1" t="s">
        <v>44</v>
      </c>
      <c r="B591" s="2" t="s">
        <v>73</v>
      </c>
      <c r="C591" s="1"/>
      <c r="D591" s="5" t="s">
        <v>1954</v>
      </c>
      <c r="E591" s="3">
        <v>113041</v>
      </c>
      <c r="F591" s="3">
        <v>149117</v>
      </c>
      <c r="G591" s="57">
        <f t="shared" si="9"/>
        <v>0.31914084270309001</v>
      </c>
      <c r="H591" s="5" t="s">
        <v>3796</v>
      </c>
    </row>
    <row r="592" spans="1:8" ht="25.5" x14ac:dyDescent="0.2">
      <c r="A592" s="1" t="s">
        <v>44</v>
      </c>
      <c r="B592" s="2" t="s">
        <v>73</v>
      </c>
      <c r="C592" s="1"/>
      <c r="D592" s="5" t="s">
        <v>1955</v>
      </c>
      <c r="E592" s="3">
        <v>101629</v>
      </c>
      <c r="F592" s="3">
        <v>148978</v>
      </c>
      <c r="G592" s="57">
        <f t="shared" si="9"/>
        <v>0.4659004811618731</v>
      </c>
      <c r="H592" s="5" t="s">
        <v>3797</v>
      </c>
    </row>
    <row r="593" spans="1:8" ht="25.5" x14ac:dyDescent="0.2">
      <c r="A593" s="1" t="s">
        <v>44</v>
      </c>
      <c r="B593" s="2" t="s">
        <v>73</v>
      </c>
      <c r="C593" s="1"/>
      <c r="D593" s="5" t="s">
        <v>1956</v>
      </c>
      <c r="E593" s="3">
        <v>101629</v>
      </c>
      <c r="F593" s="3">
        <v>143251</v>
      </c>
      <c r="G593" s="57">
        <f t="shared" si="9"/>
        <v>0.40954845565734188</v>
      </c>
      <c r="H593" s="5" t="s">
        <v>3798</v>
      </c>
    </row>
    <row r="594" spans="1:8" x14ac:dyDescent="0.2">
      <c r="A594" s="1" t="s">
        <v>44</v>
      </c>
      <c r="B594" s="2" t="s">
        <v>73</v>
      </c>
      <c r="C594" s="1"/>
      <c r="D594" s="5" t="s">
        <v>1957</v>
      </c>
      <c r="E594" s="3">
        <v>101629</v>
      </c>
      <c r="F594" s="3">
        <v>101629</v>
      </c>
      <c r="G594" s="57">
        <f t="shared" si="9"/>
        <v>0</v>
      </c>
      <c r="H594" s="5" t="s">
        <v>1958</v>
      </c>
    </row>
    <row r="595" spans="1:8" x14ac:dyDescent="0.2">
      <c r="A595" s="1" t="s">
        <v>44</v>
      </c>
      <c r="B595" s="2" t="s">
        <v>73</v>
      </c>
      <c r="C595" s="1"/>
      <c r="D595" s="5" t="s">
        <v>1959</v>
      </c>
      <c r="E595" s="3">
        <v>101629</v>
      </c>
      <c r="F595" s="3">
        <v>101629</v>
      </c>
      <c r="G595" s="57">
        <f t="shared" si="9"/>
        <v>0</v>
      </c>
      <c r="H595" s="5" t="s">
        <v>1958</v>
      </c>
    </row>
    <row r="596" spans="1:8" x14ac:dyDescent="0.2">
      <c r="A596" s="1" t="s">
        <v>44</v>
      </c>
      <c r="B596" s="2" t="s">
        <v>73</v>
      </c>
      <c r="C596" s="1"/>
      <c r="D596" s="7" t="s">
        <v>1960</v>
      </c>
      <c r="E596" s="3">
        <v>101629</v>
      </c>
      <c r="F596" s="3">
        <v>101629</v>
      </c>
      <c r="G596" s="57">
        <f t="shared" si="9"/>
        <v>0</v>
      </c>
      <c r="H596" s="5" t="s">
        <v>1958</v>
      </c>
    </row>
    <row r="597" spans="1:8" ht="25.5" x14ac:dyDescent="0.2">
      <c r="A597" s="1" t="s">
        <v>44</v>
      </c>
      <c r="B597" s="2" t="s">
        <v>73</v>
      </c>
      <c r="C597" s="1"/>
      <c r="D597" s="5" t="s">
        <v>3799</v>
      </c>
      <c r="E597" s="3">
        <v>129576</v>
      </c>
      <c r="F597" s="3">
        <v>131708</v>
      </c>
      <c r="G597" s="57">
        <f t="shared" si="9"/>
        <v>1.6453664258813359E-2</v>
      </c>
      <c r="H597" s="5" t="s">
        <v>3800</v>
      </c>
    </row>
    <row r="598" spans="1:8" x14ac:dyDescent="0.2">
      <c r="A598" s="1" t="s">
        <v>44</v>
      </c>
      <c r="B598" s="2" t="s">
        <v>73</v>
      </c>
      <c r="C598" s="1" t="s">
        <v>3801</v>
      </c>
      <c r="D598" s="5" t="s">
        <v>3802</v>
      </c>
      <c r="E598" s="3">
        <v>163404</v>
      </c>
      <c r="F598" s="3" t="s">
        <v>465</v>
      </c>
      <c r="G598" s="57" t="str">
        <f t="shared" si="9"/>
        <v>-</v>
      </c>
      <c r="H598" s="5" t="s">
        <v>3803</v>
      </c>
    </row>
    <row r="599" spans="1:8" x14ac:dyDescent="0.2">
      <c r="A599" s="1" t="s">
        <v>44</v>
      </c>
      <c r="B599" s="2" t="s">
        <v>73</v>
      </c>
      <c r="C599" s="1"/>
      <c r="D599" s="5" t="s">
        <v>3804</v>
      </c>
      <c r="E599" s="3">
        <v>129576</v>
      </c>
      <c r="F599" s="3" t="s">
        <v>465</v>
      </c>
      <c r="G599" s="57" t="str">
        <f t="shared" si="9"/>
        <v>-</v>
      </c>
    </row>
    <row r="600" spans="1:8" ht="25.5" x14ac:dyDescent="0.2">
      <c r="A600" s="1" t="s">
        <v>44</v>
      </c>
      <c r="B600" s="2" t="s">
        <v>73</v>
      </c>
      <c r="C600" s="1"/>
      <c r="D600" s="5" t="s">
        <v>3805</v>
      </c>
      <c r="E600" s="3">
        <v>120687</v>
      </c>
      <c r="F600" s="3" t="s">
        <v>465</v>
      </c>
      <c r="G600" s="57" t="str">
        <f t="shared" si="9"/>
        <v>-</v>
      </c>
    </row>
    <row r="601" spans="1:8" ht="25.5" x14ac:dyDescent="0.2">
      <c r="A601" s="1" t="s">
        <v>44</v>
      </c>
      <c r="B601" s="2" t="s">
        <v>73</v>
      </c>
      <c r="C601" s="1"/>
      <c r="D601" s="5" t="s">
        <v>3806</v>
      </c>
      <c r="E601" s="3">
        <v>113041</v>
      </c>
      <c r="F601" s="3" t="s">
        <v>465</v>
      </c>
      <c r="G601" s="57" t="str">
        <f t="shared" si="9"/>
        <v>-</v>
      </c>
      <c r="H601" s="1"/>
    </row>
    <row r="602" spans="1:8" x14ac:dyDescent="0.2">
      <c r="A602" s="1" t="s">
        <v>44</v>
      </c>
      <c r="B602" s="2" t="s">
        <v>73</v>
      </c>
      <c r="C602" s="1"/>
      <c r="D602" s="5" t="s">
        <v>3807</v>
      </c>
      <c r="E602" s="3">
        <v>101629</v>
      </c>
      <c r="F602" s="3" t="s">
        <v>465</v>
      </c>
      <c r="G602" s="57" t="str">
        <f t="shared" si="9"/>
        <v>-</v>
      </c>
      <c r="H602" s="1"/>
    </row>
    <row r="603" spans="1:8" x14ac:dyDescent="0.2">
      <c r="A603" s="1" t="s">
        <v>44</v>
      </c>
      <c r="B603" s="2" t="s">
        <v>73</v>
      </c>
      <c r="C603" s="1"/>
      <c r="D603" s="5" t="s">
        <v>464</v>
      </c>
      <c r="E603" s="3" t="s">
        <v>465</v>
      </c>
      <c r="F603" s="3">
        <v>102500</v>
      </c>
      <c r="G603" s="57" t="str">
        <f t="shared" si="9"/>
        <v>-</v>
      </c>
    </row>
    <row r="604" spans="1:8" x14ac:dyDescent="0.2">
      <c r="A604" s="1" t="s">
        <v>44</v>
      </c>
      <c r="B604" s="2" t="s">
        <v>73</v>
      </c>
      <c r="C604" s="1"/>
      <c r="D604" s="5" t="s">
        <v>464</v>
      </c>
      <c r="E604" s="3" t="s">
        <v>465</v>
      </c>
      <c r="F604" s="3">
        <v>102500</v>
      </c>
      <c r="G604" s="57" t="str">
        <f t="shared" si="9"/>
        <v>-</v>
      </c>
    </row>
    <row r="605" spans="1:8" x14ac:dyDescent="0.2">
      <c r="A605" s="1" t="s">
        <v>44</v>
      </c>
      <c r="B605" s="2" t="s">
        <v>73</v>
      </c>
      <c r="C605" s="1"/>
      <c r="D605" s="5" t="s">
        <v>464</v>
      </c>
      <c r="E605" s="3" t="s">
        <v>465</v>
      </c>
      <c r="F605" s="3">
        <v>132500</v>
      </c>
      <c r="G605" s="57" t="str">
        <f t="shared" si="9"/>
        <v>-</v>
      </c>
    </row>
    <row r="606" spans="1:8" x14ac:dyDescent="0.2">
      <c r="A606" s="1" t="s">
        <v>44</v>
      </c>
      <c r="B606" s="2" t="s">
        <v>73</v>
      </c>
      <c r="C606" s="1"/>
      <c r="D606" s="5" t="s">
        <v>464</v>
      </c>
      <c r="E606" s="3" t="s">
        <v>465</v>
      </c>
      <c r="F606" s="3">
        <v>132500</v>
      </c>
      <c r="G606" s="57" t="str">
        <f t="shared" si="9"/>
        <v>-</v>
      </c>
    </row>
    <row r="607" spans="1:8" x14ac:dyDescent="0.2">
      <c r="A607" s="1" t="s">
        <v>6</v>
      </c>
      <c r="B607" s="2" t="s">
        <v>74</v>
      </c>
      <c r="C607" s="1"/>
      <c r="D607" s="5" t="s">
        <v>450</v>
      </c>
      <c r="E607" s="3">
        <v>130000</v>
      </c>
      <c r="F607" s="3">
        <v>131000</v>
      </c>
      <c r="G607" s="57">
        <f t="shared" si="9"/>
        <v>7.6923076923076927E-3</v>
      </c>
      <c r="H607" s="5" t="s">
        <v>1961</v>
      </c>
    </row>
    <row r="608" spans="1:8" x14ac:dyDescent="0.2">
      <c r="A608" s="1" t="s">
        <v>6</v>
      </c>
      <c r="B608" s="2" t="s">
        <v>74</v>
      </c>
      <c r="C608" s="1"/>
      <c r="D608" s="5" t="s">
        <v>3808</v>
      </c>
      <c r="E608" s="3">
        <v>100000</v>
      </c>
      <c r="F608" s="3">
        <v>103000</v>
      </c>
      <c r="G608" s="57">
        <f t="shared" si="9"/>
        <v>0.03</v>
      </c>
      <c r="H608" s="5" t="s">
        <v>1962</v>
      </c>
    </row>
    <row r="609" spans="1:8" x14ac:dyDescent="0.2">
      <c r="A609" s="1" t="s">
        <v>6</v>
      </c>
      <c r="B609" s="2" t="s">
        <v>74</v>
      </c>
      <c r="C609" s="1"/>
      <c r="D609" s="5" t="s">
        <v>855</v>
      </c>
      <c r="E609" s="3">
        <v>264000</v>
      </c>
      <c r="G609" s="57">
        <f t="shared" si="9"/>
        <v>-1</v>
      </c>
      <c r="H609" s="5" t="s">
        <v>3809</v>
      </c>
    </row>
    <row r="610" spans="1:8" x14ac:dyDescent="0.2">
      <c r="A610" s="1" t="s">
        <v>6</v>
      </c>
      <c r="B610" s="2" t="s">
        <v>74</v>
      </c>
      <c r="C610" s="1"/>
      <c r="D610" s="5" t="s">
        <v>1866</v>
      </c>
      <c r="E610" s="3">
        <v>220000</v>
      </c>
      <c r="G610" s="57">
        <f t="shared" si="9"/>
        <v>-1</v>
      </c>
      <c r="H610" s="5" t="s">
        <v>3809</v>
      </c>
    </row>
    <row r="611" spans="1:8" x14ac:dyDescent="0.2">
      <c r="A611" s="1" t="s">
        <v>6</v>
      </c>
      <c r="B611" s="2" t="s">
        <v>74</v>
      </c>
      <c r="C611" s="1"/>
      <c r="D611" s="5" t="s">
        <v>452</v>
      </c>
      <c r="E611" s="3">
        <v>140000</v>
      </c>
      <c r="G611" s="57">
        <f t="shared" si="9"/>
        <v>-1</v>
      </c>
      <c r="H611" s="5" t="s">
        <v>3810</v>
      </c>
    </row>
    <row r="612" spans="1:8" x14ac:dyDescent="0.2">
      <c r="A612" s="1" t="s">
        <v>44</v>
      </c>
      <c r="B612" s="2" t="s">
        <v>75</v>
      </c>
      <c r="C612" s="1" t="s">
        <v>1963</v>
      </c>
      <c r="D612" s="5" t="s">
        <v>450</v>
      </c>
      <c r="E612" s="3">
        <v>188018</v>
      </c>
      <c r="F612" s="3">
        <v>189178</v>
      </c>
      <c r="G612" s="57">
        <f t="shared" si="9"/>
        <v>6.1696220574625838E-3</v>
      </c>
      <c r="H612" s="5" t="s">
        <v>1964</v>
      </c>
    </row>
    <row r="613" spans="1:8" x14ac:dyDescent="0.2">
      <c r="A613" s="1" t="s">
        <v>44</v>
      </c>
      <c r="B613" s="2" t="s">
        <v>75</v>
      </c>
      <c r="C613" s="1"/>
      <c r="D613" s="5" t="s">
        <v>4609</v>
      </c>
      <c r="E613" s="3">
        <v>147637</v>
      </c>
      <c r="F613" s="3">
        <v>148710</v>
      </c>
      <c r="G613" s="57">
        <f t="shared" si="9"/>
        <v>7.2678258160217288E-3</v>
      </c>
      <c r="H613" s="5" t="s">
        <v>3811</v>
      </c>
    </row>
    <row r="614" spans="1:8" x14ac:dyDescent="0.2">
      <c r="A614" s="1" t="s">
        <v>44</v>
      </c>
      <c r="B614" s="2" t="s">
        <v>75</v>
      </c>
      <c r="C614" s="1"/>
      <c r="D614" s="5" t="s">
        <v>506</v>
      </c>
      <c r="E614" s="3">
        <v>135451</v>
      </c>
      <c r="F614" s="3">
        <v>136248</v>
      </c>
      <c r="G614" s="57">
        <f t="shared" si="9"/>
        <v>5.8840466294084208E-3</v>
      </c>
      <c r="H614" s="5" t="s">
        <v>1965</v>
      </c>
    </row>
    <row r="615" spans="1:8" x14ac:dyDescent="0.2">
      <c r="A615" s="1" t="s">
        <v>44</v>
      </c>
      <c r="B615" s="2" t="s">
        <v>75</v>
      </c>
      <c r="C615" s="1"/>
      <c r="D615" s="5" t="s">
        <v>1966</v>
      </c>
      <c r="E615" s="3">
        <v>135189</v>
      </c>
      <c r="F615" s="3">
        <v>135439</v>
      </c>
      <c r="G615" s="57">
        <f t="shared" si="9"/>
        <v>1.8492628838145115E-3</v>
      </c>
      <c r="H615" s="5" t="s">
        <v>1967</v>
      </c>
    </row>
    <row r="616" spans="1:8" x14ac:dyDescent="0.2">
      <c r="A616" s="1" t="s">
        <v>44</v>
      </c>
      <c r="B616" s="2" t="s">
        <v>75</v>
      </c>
      <c r="C616" s="1"/>
      <c r="D616" s="5" t="s">
        <v>463</v>
      </c>
      <c r="E616" s="3">
        <v>135219</v>
      </c>
      <c r="F616" s="3">
        <v>135321</v>
      </c>
      <c r="G616" s="57">
        <f t="shared" si="9"/>
        <v>7.5433186164666213E-4</v>
      </c>
      <c r="H616" s="5" t="s">
        <v>1968</v>
      </c>
    </row>
    <row r="617" spans="1:8" x14ac:dyDescent="0.2">
      <c r="A617" s="1" t="s">
        <v>44</v>
      </c>
      <c r="B617" s="2" t="s">
        <v>75</v>
      </c>
      <c r="C617" s="1"/>
      <c r="D617" s="5" t="s">
        <v>1011</v>
      </c>
      <c r="E617" s="3">
        <v>135333</v>
      </c>
      <c r="F617" s="3">
        <v>118565</v>
      </c>
      <c r="G617" s="57">
        <f t="shared" si="9"/>
        <v>-0.12390178300931776</v>
      </c>
      <c r="H617" s="5" t="s">
        <v>1969</v>
      </c>
    </row>
    <row r="618" spans="1:8" x14ac:dyDescent="0.2">
      <c r="A618" s="1" t="s">
        <v>44</v>
      </c>
      <c r="B618" s="2" t="s">
        <v>75</v>
      </c>
      <c r="C618" s="1"/>
      <c r="D618" s="5" t="s">
        <v>1970</v>
      </c>
      <c r="E618" s="3">
        <v>98984</v>
      </c>
      <c r="F618" s="3">
        <v>107649</v>
      </c>
      <c r="G618" s="57">
        <f t="shared" si="9"/>
        <v>8.7539400307120346E-2</v>
      </c>
      <c r="H618" s="5" t="s">
        <v>1971</v>
      </c>
    </row>
    <row r="619" spans="1:8" x14ac:dyDescent="0.2">
      <c r="A619" s="1" t="s">
        <v>44</v>
      </c>
      <c r="B619" s="2" t="s">
        <v>75</v>
      </c>
      <c r="C619" s="1"/>
      <c r="D619" s="5" t="s">
        <v>464</v>
      </c>
      <c r="E619" s="3">
        <v>102500</v>
      </c>
      <c r="F619" s="3" t="s">
        <v>465</v>
      </c>
      <c r="G619" s="57" t="str">
        <f t="shared" si="9"/>
        <v>-</v>
      </c>
    </row>
    <row r="620" spans="1:8" x14ac:dyDescent="0.2">
      <c r="A620" s="1" t="s">
        <v>44</v>
      </c>
      <c r="B620" s="2" t="s">
        <v>75</v>
      </c>
      <c r="C620" s="1"/>
      <c r="D620" s="5" t="s">
        <v>464</v>
      </c>
      <c r="E620" s="3">
        <v>102500</v>
      </c>
      <c r="F620" s="3" t="s">
        <v>465</v>
      </c>
      <c r="G620" s="57" t="str">
        <f t="shared" si="9"/>
        <v>-</v>
      </c>
    </row>
    <row r="621" spans="1:8" x14ac:dyDescent="0.2">
      <c r="A621" s="1" t="s">
        <v>44</v>
      </c>
      <c r="B621" s="2" t="s">
        <v>75</v>
      </c>
      <c r="C621" s="1"/>
      <c r="D621" s="5" t="s">
        <v>464</v>
      </c>
      <c r="E621" s="3" t="s">
        <v>465</v>
      </c>
      <c r="F621" s="3">
        <v>102500</v>
      </c>
      <c r="G621" s="57" t="str">
        <f t="shared" si="9"/>
        <v>-</v>
      </c>
    </row>
    <row r="622" spans="1:8" x14ac:dyDescent="0.2">
      <c r="A622" s="1" t="s">
        <v>44</v>
      </c>
      <c r="B622" s="2" t="s">
        <v>75</v>
      </c>
      <c r="C622" s="1"/>
      <c r="D622" s="5" t="s">
        <v>464</v>
      </c>
      <c r="E622" s="3" t="s">
        <v>465</v>
      </c>
      <c r="F622" s="3">
        <v>102500</v>
      </c>
      <c r="G622" s="57" t="str">
        <f t="shared" si="9"/>
        <v>-</v>
      </c>
    </row>
    <row r="623" spans="1:8" x14ac:dyDescent="0.2">
      <c r="A623" s="1" t="s">
        <v>11</v>
      </c>
      <c r="B623" s="2" t="s">
        <v>75</v>
      </c>
      <c r="C623" s="1"/>
      <c r="D623" s="5" t="s">
        <v>464</v>
      </c>
      <c r="E623" s="3" t="s">
        <v>465</v>
      </c>
      <c r="F623" s="3">
        <v>102500</v>
      </c>
      <c r="G623" s="57" t="str">
        <f t="shared" si="9"/>
        <v>-</v>
      </c>
    </row>
    <row r="624" spans="1:8" ht="25.5" x14ac:dyDescent="0.2">
      <c r="A624" s="1" t="s">
        <v>11</v>
      </c>
      <c r="B624" s="2" t="s">
        <v>76</v>
      </c>
      <c r="C624" s="29" t="s">
        <v>2697</v>
      </c>
      <c r="G624" s="57" t="str">
        <f t="shared" si="9"/>
        <v>-</v>
      </c>
    </row>
    <row r="625" spans="1:8" x14ac:dyDescent="0.2">
      <c r="A625" s="1" t="s">
        <v>20</v>
      </c>
      <c r="B625" s="2" t="s">
        <v>77</v>
      </c>
      <c r="C625" s="1" t="s">
        <v>1972</v>
      </c>
      <c r="D625" s="5" t="s">
        <v>450</v>
      </c>
      <c r="E625" s="3">
        <v>186293</v>
      </c>
      <c r="F625" s="3">
        <v>180200</v>
      </c>
      <c r="G625" s="57">
        <f t="shared" si="9"/>
        <v>-3.2706542918950254E-2</v>
      </c>
      <c r="H625" s="5" t="s">
        <v>1973</v>
      </c>
    </row>
    <row r="626" spans="1:8" x14ac:dyDescent="0.2">
      <c r="A626" s="1" t="s">
        <v>20</v>
      </c>
      <c r="B626" s="2" t="s">
        <v>77</v>
      </c>
      <c r="C626" s="1"/>
      <c r="D626" s="5" t="s">
        <v>504</v>
      </c>
      <c r="E626" s="3">
        <v>118852</v>
      </c>
      <c r="F626" s="3">
        <v>116645</v>
      </c>
      <c r="G626" s="57">
        <f t="shared" si="9"/>
        <v>-1.8569313095278161E-2</v>
      </c>
      <c r="H626" s="5" t="s">
        <v>1974</v>
      </c>
    </row>
    <row r="627" spans="1:8" x14ac:dyDescent="0.2">
      <c r="A627" s="1" t="s">
        <v>20</v>
      </c>
      <c r="B627" s="2" t="s">
        <v>77</v>
      </c>
      <c r="C627" s="1"/>
      <c r="D627" s="5" t="s">
        <v>504</v>
      </c>
      <c r="E627" s="3">
        <v>111775</v>
      </c>
      <c r="F627" s="3">
        <v>116668</v>
      </c>
      <c r="G627" s="57">
        <f t="shared" si="9"/>
        <v>4.3775441735629611E-2</v>
      </c>
      <c r="H627" s="5" t="s">
        <v>1975</v>
      </c>
    </row>
    <row r="628" spans="1:8" x14ac:dyDescent="0.2">
      <c r="A628" s="1" t="s">
        <v>20</v>
      </c>
      <c r="B628" s="2" t="s">
        <v>77</v>
      </c>
      <c r="C628" s="1"/>
      <c r="D628" s="5" t="s">
        <v>464</v>
      </c>
      <c r="E628" s="3" t="s">
        <v>465</v>
      </c>
      <c r="F628" s="3">
        <v>112500</v>
      </c>
      <c r="G628" s="57" t="str">
        <f t="shared" si="9"/>
        <v>-</v>
      </c>
      <c r="H628" s="5" t="s">
        <v>539</v>
      </c>
    </row>
    <row r="629" spans="1:8" ht="25.5" x14ac:dyDescent="0.2">
      <c r="A629" s="1" t="s">
        <v>11</v>
      </c>
      <c r="B629" s="2" t="s">
        <v>78</v>
      </c>
      <c r="C629" s="29" t="s">
        <v>2697</v>
      </c>
      <c r="G629" s="57" t="str">
        <f t="shared" si="9"/>
        <v>-</v>
      </c>
    </row>
    <row r="630" spans="1:8" x14ac:dyDescent="0.2">
      <c r="A630" s="1" t="s">
        <v>20</v>
      </c>
      <c r="B630" s="2" t="s">
        <v>79</v>
      </c>
      <c r="C630" s="1" t="s">
        <v>1976</v>
      </c>
      <c r="D630" s="5" t="s">
        <v>683</v>
      </c>
      <c r="E630" s="3">
        <v>152306</v>
      </c>
      <c r="F630" s="3">
        <v>158358</v>
      </c>
      <c r="G630" s="57">
        <f t="shared" si="9"/>
        <v>3.9735795044187359E-2</v>
      </c>
      <c r="H630" s="5" t="s">
        <v>1977</v>
      </c>
    </row>
    <row r="631" spans="1:8" ht="25.5" x14ac:dyDescent="0.2">
      <c r="A631" s="1" t="s">
        <v>20</v>
      </c>
      <c r="B631" s="2" t="s">
        <v>79</v>
      </c>
      <c r="C631" s="1" t="s">
        <v>1978</v>
      </c>
      <c r="D631" s="5" t="s">
        <v>1979</v>
      </c>
      <c r="E631" s="3">
        <v>106484</v>
      </c>
      <c r="F631" s="3">
        <v>101633</v>
      </c>
      <c r="G631" s="57">
        <f t="shared" si="9"/>
        <v>-4.5556139889560872E-2</v>
      </c>
      <c r="H631" s="5" t="s">
        <v>4610</v>
      </c>
    </row>
    <row r="632" spans="1:8" ht="25.5" x14ac:dyDescent="0.2">
      <c r="A632" s="1" t="s">
        <v>20</v>
      </c>
      <c r="B632" s="2" t="s">
        <v>79</v>
      </c>
      <c r="C632" s="1" t="s">
        <v>1980</v>
      </c>
      <c r="D632" s="5" t="s">
        <v>450</v>
      </c>
      <c r="E632" s="3">
        <v>98814</v>
      </c>
      <c r="F632" s="3">
        <v>228770</v>
      </c>
      <c r="G632" s="57">
        <f t="shared" si="9"/>
        <v>1.3151577711660292</v>
      </c>
      <c r="H632" s="5" t="s">
        <v>3812</v>
      </c>
    </row>
    <row r="633" spans="1:8" x14ac:dyDescent="0.2">
      <c r="A633" s="1" t="s">
        <v>20</v>
      </c>
      <c r="B633" s="2" t="s">
        <v>79</v>
      </c>
      <c r="C633" s="1" t="s">
        <v>1981</v>
      </c>
      <c r="D633" s="5" t="s">
        <v>1982</v>
      </c>
      <c r="E633" s="3">
        <v>153477</v>
      </c>
      <c r="F633" s="3">
        <v>160967</v>
      </c>
      <c r="G633" s="57">
        <f t="shared" si="9"/>
        <v>4.8802100640486845E-2</v>
      </c>
      <c r="H633" s="5" t="s">
        <v>1983</v>
      </c>
    </row>
    <row r="634" spans="1:8" ht="25.5" x14ac:dyDescent="0.2">
      <c r="A634" s="1" t="s">
        <v>20</v>
      </c>
      <c r="B634" s="2" t="s">
        <v>79</v>
      </c>
      <c r="C634" s="1" t="s">
        <v>1984</v>
      </c>
      <c r="D634" s="5" t="s">
        <v>1469</v>
      </c>
      <c r="E634" s="3">
        <v>195925</v>
      </c>
      <c r="F634" s="3">
        <v>194148</v>
      </c>
      <c r="G634" s="57">
        <f t="shared" si="9"/>
        <v>-9.0697971162434603E-3</v>
      </c>
      <c r="H634" s="5" t="s">
        <v>1985</v>
      </c>
    </row>
    <row r="635" spans="1:8" x14ac:dyDescent="0.2">
      <c r="A635" s="1" t="s">
        <v>20</v>
      </c>
      <c r="B635" s="2" t="s">
        <v>79</v>
      </c>
      <c r="C635" s="1" t="s">
        <v>1986</v>
      </c>
      <c r="D635" s="5" t="s">
        <v>1966</v>
      </c>
      <c r="E635" s="3">
        <v>176011</v>
      </c>
      <c r="F635" s="3">
        <v>176080</v>
      </c>
      <c r="G635" s="57">
        <f t="shared" si="9"/>
        <v>3.9202095323587731E-4</v>
      </c>
      <c r="H635" s="5" t="s">
        <v>1987</v>
      </c>
    </row>
    <row r="636" spans="1:8" x14ac:dyDescent="0.2">
      <c r="A636" s="1" t="s">
        <v>20</v>
      </c>
      <c r="B636" s="2" t="s">
        <v>79</v>
      </c>
      <c r="C636" s="1" t="s">
        <v>3813</v>
      </c>
      <c r="D636" s="5" t="s">
        <v>505</v>
      </c>
      <c r="E636" s="3">
        <v>368788</v>
      </c>
      <c r="F636" s="3" t="s">
        <v>465</v>
      </c>
      <c r="G636" s="57" t="str">
        <f t="shared" si="9"/>
        <v>-</v>
      </c>
      <c r="H636" s="5" t="s">
        <v>3814</v>
      </c>
    </row>
    <row r="637" spans="1:8" x14ac:dyDescent="0.2">
      <c r="A637" s="1" t="s">
        <v>20</v>
      </c>
      <c r="B637" s="2" t="s">
        <v>79</v>
      </c>
      <c r="C637" s="1"/>
      <c r="D637" s="5" t="s">
        <v>464</v>
      </c>
      <c r="E637" s="3">
        <v>112500</v>
      </c>
      <c r="G637" s="57">
        <f t="shared" si="9"/>
        <v>-1</v>
      </c>
    </row>
    <row r="638" spans="1:8" x14ac:dyDescent="0.2">
      <c r="A638" s="1" t="s">
        <v>20</v>
      </c>
      <c r="B638" s="2" t="s">
        <v>79</v>
      </c>
      <c r="C638" s="1"/>
      <c r="D638" s="5" t="s">
        <v>464</v>
      </c>
      <c r="E638" s="3" t="s">
        <v>465</v>
      </c>
      <c r="F638" s="3">
        <v>117500</v>
      </c>
      <c r="G638" s="57" t="str">
        <f t="shared" si="9"/>
        <v>-</v>
      </c>
    </row>
    <row r="639" spans="1:8" x14ac:dyDescent="0.2">
      <c r="A639" s="1" t="s">
        <v>20</v>
      </c>
      <c r="B639" s="2" t="s">
        <v>79</v>
      </c>
      <c r="C639" s="1"/>
      <c r="D639" s="5" t="s">
        <v>464</v>
      </c>
      <c r="E639" s="3" t="s">
        <v>465</v>
      </c>
      <c r="F639" s="3">
        <v>117500</v>
      </c>
      <c r="G639" s="57" t="str">
        <f t="shared" si="9"/>
        <v>-</v>
      </c>
      <c r="H639" s="5" t="s">
        <v>2256</v>
      </c>
    </row>
    <row r="640" spans="1:8" x14ac:dyDescent="0.2">
      <c r="A640" s="1" t="s">
        <v>20</v>
      </c>
      <c r="B640" s="2" t="s">
        <v>79</v>
      </c>
      <c r="C640" s="1"/>
      <c r="D640" s="5" t="s">
        <v>464</v>
      </c>
      <c r="E640" s="3" t="s">
        <v>465</v>
      </c>
      <c r="F640" s="3">
        <v>117500</v>
      </c>
      <c r="G640" s="57" t="str">
        <f t="shared" si="9"/>
        <v>-</v>
      </c>
      <c r="H640" s="5" t="s">
        <v>2256</v>
      </c>
    </row>
    <row r="641" spans="1:8" x14ac:dyDescent="0.2">
      <c r="A641" s="1" t="s">
        <v>20</v>
      </c>
      <c r="B641" s="2" t="s">
        <v>79</v>
      </c>
      <c r="C641" s="1"/>
      <c r="D641" s="5" t="s">
        <v>464</v>
      </c>
      <c r="E641" s="3">
        <v>122500</v>
      </c>
      <c r="F641" s="3" t="s">
        <v>465</v>
      </c>
      <c r="G641" s="57" t="str">
        <f t="shared" si="9"/>
        <v>-</v>
      </c>
    </row>
    <row r="642" spans="1:8" x14ac:dyDescent="0.2">
      <c r="A642" s="1" t="s">
        <v>20</v>
      </c>
      <c r="B642" s="2" t="s">
        <v>79</v>
      </c>
      <c r="C642" s="1"/>
      <c r="D642" s="5" t="s">
        <v>464</v>
      </c>
      <c r="E642" s="3">
        <v>127500</v>
      </c>
      <c r="F642" s="3" t="s">
        <v>465</v>
      </c>
      <c r="G642" s="57" t="str">
        <f t="shared" si="9"/>
        <v>-</v>
      </c>
    </row>
    <row r="643" spans="1:8" x14ac:dyDescent="0.2">
      <c r="A643" s="1" t="s">
        <v>20</v>
      </c>
      <c r="B643" s="2" t="s">
        <v>79</v>
      </c>
      <c r="C643" s="1"/>
      <c r="D643" s="5" t="s">
        <v>464</v>
      </c>
      <c r="E643" s="3">
        <v>127500</v>
      </c>
      <c r="F643" s="3" t="s">
        <v>465</v>
      </c>
      <c r="G643" s="57" t="str">
        <f t="shared" ref="G643:G706" si="10">IF(ISERROR((F643-E643)/E643),"-",(F643-E643)/E643)</f>
        <v>-</v>
      </c>
    </row>
    <row r="644" spans="1:8" x14ac:dyDescent="0.2">
      <c r="A644" s="1" t="s">
        <v>20</v>
      </c>
      <c r="B644" s="2" t="s">
        <v>79</v>
      </c>
      <c r="C644" s="1"/>
      <c r="D644" s="5" t="s">
        <v>464</v>
      </c>
      <c r="E644" s="3" t="s">
        <v>465</v>
      </c>
      <c r="F644" s="3">
        <v>127500</v>
      </c>
      <c r="G644" s="57" t="str">
        <f t="shared" si="10"/>
        <v>-</v>
      </c>
    </row>
    <row r="645" spans="1:8" x14ac:dyDescent="0.2">
      <c r="A645" s="1" t="s">
        <v>20</v>
      </c>
      <c r="B645" s="2" t="s">
        <v>79</v>
      </c>
      <c r="C645" s="1"/>
      <c r="D645" s="5" t="s">
        <v>464</v>
      </c>
      <c r="E645" s="3" t="s">
        <v>465</v>
      </c>
      <c r="F645" s="3">
        <v>137500</v>
      </c>
      <c r="G645" s="57" t="str">
        <f t="shared" si="10"/>
        <v>-</v>
      </c>
      <c r="H645" s="5" t="s">
        <v>2256</v>
      </c>
    </row>
    <row r="646" spans="1:8" x14ac:dyDescent="0.2">
      <c r="A646" s="1" t="s">
        <v>20</v>
      </c>
      <c r="B646" s="2" t="s">
        <v>79</v>
      </c>
      <c r="C646" s="1"/>
      <c r="D646" s="5" t="s">
        <v>464</v>
      </c>
      <c r="E646" s="3">
        <v>142500</v>
      </c>
      <c r="F646" s="3" t="s">
        <v>465</v>
      </c>
      <c r="G646" s="57" t="str">
        <f t="shared" si="10"/>
        <v>-</v>
      </c>
    </row>
    <row r="647" spans="1:8" x14ac:dyDescent="0.2">
      <c r="A647" s="1" t="s">
        <v>44</v>
      </c>
      <c r="B647" s="2" t="s">
        <v>80</v>
      </c>
      <c r="C647" s="1"/>
      <c r="D647" s="5" t="s">
        <v>450</v>
      </c>
      <c r="E647" s="3">
        <v>118571</v>
      </c>
      <c r="F647" s="3">
        <v>122797</v>
      </c>
      <c r="G647" s="57">
        <f t="shared" si="10"/>
        <v>3.5641092678648234E-2</v>
      </c>
      <c r="H647" s="5" t="s">
        <v>1988</v>
      </c>
    </row>
    <row r="648" spans="1:8" x14ac:dyDescent="0.2">
      <c r="A648" s="1" t="s">
        <v>44</v>
      </c>
      <c r="B648" s="2" t="s">
        <v>80</v>
      </c>
      <c r="C648" s="1"/>
      <c r="D648" s="5" t="s">
        <v>507</v>
      </c>
      <c r="E648" s="3">
        <v>96680</v>
      </c>
      <c r="F648" s="3">
        <v>100034</v>
      </c>
      <c r="G648" s="57">
        <f t="shared" si="10"/>
        <v>3.4691766652875468E-2</v>
      </c>
      <c r="H648" s="5" t="s">
        <v>1989</v>
      </c>
    </row>
    <row r="649" spans="1:8" x14ac:dyDescent="0.2">
      <c r="A649" s="1" t="s">
        <v>44</v>
      </c>
      <c r="B649" s="2" t="s">
        <v>80</v>
      </c>
      <c r="C649" s="1"/>
      <c r="D649" s="5" t="s">
        <v>1990</v>
      </c>
      <c r="E649" s="3">
        <v>96819</v>
      </c>
      <c r="F649" s="3">
        <v>100123</v>
      </c>
      <c r="G649" s="57">
        <f t="shared" si="10"/>
        <v>3.4125533211456428E-2</v>
      </c>
      <c r="H649" s="5" t="s">
        <v>1991</v>
      </c>
    </row>
    <row r="650" spans="1:8" x14ac:dyDescent="0.2">
      <c r="A650" s="1" t="s">
        <v>44</v>
      </c>
      <c r="B650" s="2" t="s">
        <v>80</v>
      </c>
      <c r="C650" s="1"/>
      <c r="D650" s="5" t="s">
        <v>1992</v>
      </c>
      <c r="E650" s="3">
        <v>96739</v>
      </c>
      <c r="F650" s="3">
        <v>100175</v>
      </c>
      <c r="G650" s="57">
        <f t="shared" si="10"/>
        <v>3.5518250136966474E-2</v>
      </c>
      <c r="H650" s="5" t="s">
        <v>1993</v>
      </c>
    </row>
    <row r="651" spans="1:8" x14ac:dyDescent="0.2">
      <c r="A651" s="1" t="s">
        <v>44</v>
      </c>
      <c r="B651" s="2" t="s">
        <v>80</v>
      </c>
      <c r="C651" s="1"/>
      <c r="D651" s="5" t="s">
        <v>464</v>
      </c>
      <c r="E651" s="3">
        <v>107500</v>
      </c>
      <c r="F651" s="3" t="s">
        <v>465</v>
      </c>
      <c r="G651" s="57" t="str">
        <f t="shared" si="10"/>
        <v>-</v>
      </c>
    </row>
    <row r="652" spans="1:8" x14ac:dyDescent="0.2">
      <c r="A652" s="1" t="s">
        <v>44</v>
      </c>
      <c r="B652" s="2" t="s">
        <v>80</v>
      </c>
      <c r="C652" s="1"/>
      <c r="D652" s="5" t="s">
        <v>464</v>
      </c>
      <c r="E652" s="3" t="s">
        <v>465</v>
      </c>
      <c r="F652" s="3">
        <v>112500</v>
      </c>
      <c r="G652" s="57" t="str">
        <f t="shared" si="10"/>
        <v>-</v>
      </c>
    </row>
    <row r="653" spans="1:8" x14ac:dyDescent="0.2">
      <c r="A653" s="1" t="s">
        <v>8</v>
      </c>
      <c r="B653" s="2" t="s">
        <v>81</v>
      </c>
      <c r="C653" s="1"/>
      <c r="D653" s="5" t="s">
        <v>450</v>
      </c>
      <c r="E653" s="3">
        <v>109059</v>
      </c>
      <c r="F653" s="3">
        <v>138663</v>
      </c>
      <c r="G653" s="57">
        <f t="shared" si="10"/>
        <v>0.27144939894919262</v>
      </c>
      <c r="H653" s="5" t="s">
        <v>3815</v>
      </c>
    </row>
    <row r="654" spans="1:8" ht="25.5" x14ac:dyDescent="0.2">
      <c r="A654" s="1" t="s">
        <v>8</v>
      </c>
      <c r="B654" s="2" t="s">
        <v>81</v>
      </c>
      <c r="C654" s="1"/>
      <c r="D654" s="5" t="s">
        <v>1994</v>
      </c>
      <c r="E654" s="3">
        <v>85016</v>
      </c>
      <c r="F654" s="3">
        <v>115392</v>
      </c>
      <c r="G654" s="57">
        <f t="shared" si="10"/>
        <v>0.35729744989178508</v>
      </c>
      <c r="H654" s="5" t="s">
        <v>3816</v>
      </c>
    </row>
    <row r="655" spans="1:8" ht="25.5" x14ac:dyDescent="0.2">
      <c r="A655" s="1" t="s">
        <v>8</v>
      </c>
      <c r="B655" s="2" t="s">
        <v>81</v>
      </c>
      <c r="C655" s="1" t="s">
        <v>3817</v>
      </c>
      <c r="D655" s="5" t="s">
        <v>1995</v>
      </c>
      <c r="E655" s="3">
        <v>83826</v>
      </c>
      <c r="F655" s="3">
        <v>165078</v>
      </c>
      <c r="G655" s="57">
        <f t="shared" si="10"/>
        <v>0.96929353661155249</v>
      </c>
      <c r="H655" s="5" t="s">
        <v>3818</v>
      </c>
    </row>
    <row r="656" spans="1:8" ht="25.5" x14ac:dyDescent="0.2">
      <c r="A656" s="1" t="s">
        <v>8</v>
      </c>
      <c r="B656" s="2" t="s">
        <v>81</v>
      </c>
      <c r="C656" s="1"/>
      <c r="D656" s="5" t="s">
        <v>1996</v>
      </c>
      <c r="E656" s="3">
        <v>82166</v>
      </c>
      <c r="F656" s="3">
        <v>161796</v>
      </c>
      <c r="G656" s="57">
        <f t="shared" si="10"/>
        <v>0.9691356522162452</v>
      </c>
      <c r="H656" s="5" t="s">
        <v>3819</v>
      </c>
    </row>
    <row r="657" spans="1:8" x14ac:dyDescent="0.2">
      <c r="A657" s="1" t="s">
        <v>8</v>
      </c>
      <c r="B657" s="2" t="s">
        <v>81</v>
      </c>
      <c r="C657" s="1"/>
      <c r="D657" s="5" t="s">
        <v>464</v>
      </c>
      <c r="E657" s="3" t="s">
        <v>465</v>
      </c>
      <c r="F657" s="3">
        <v>102500</v>
      </c>
      <c r="G657" s="57" t="str">
        <f t="shared" si="10"/>
        <v>-</v>
      </c>
    </row>
    <row r="658" spans="1:8" x14ac:dyDescent="0.2">
      <c r="A658" s="1" t="s">
        <v>8</v>
      </c>
      <c r="B658" s="2" t="s">
        <v>81</v>
      </c>
      <c r="C658" s="1"/>
      <c r="D658" s="5" t="s">
        <v>464</v>
      </c>
      <c r="E658" s="3" t="s">
        <v>465</v>
      </c>
      <c r="F658" s="3">
        <v>107500</v>
      </c>
      <c r="G658" s="57" t="str">
        <f t="shared" si="10"/>
        <v>-</v>
      </c>
    </row>
    <row r="659" spans="1:8" x14ac:dyDescent="0.2">
      <c r="A659" s="1" t="s">
        <v>8</v>
      </c>
      <c r="B659" s="2" t="s">
        <v>81</v>
      </c>
      <c r="C659" s="1"/>
      <c r="D659" s="5" t="s">
        <v>464</v>
      </c>
      <c r="E659" s="3" t="s">
        <v>465</v>
      </c>
      <c r="F659" s="3">
        <v>107500</v>
      </c>
      <c r="G659" s="57" t="str">
        <f t="shared" si="10"/>
        <v>-</v>
      </c>
    </row>
    <row r="660" spans="1:8" x14ac:dyDescent="0.2">
      <c r="A660" s="1" t="s">
        <v>8</v>
      </c>
      <c r="B660" s="2" t="s">
        <v>81</v>
      </c>
      <c r="C660" s="1"/>
      <c r="D660" s="5" t="s">
        <v>464</v>
      </c>
      <c r="E660" s="3" t="s">
        <v>465</v>
      </c>
      <c r="F660" s="3">
        <v>107500</v>
      </c>
      <c r="G660" s="57" t="str">
        <f t="shared" si="10"/>
        <v>-</v>
      </c>
    </row>
    <row r="661" spans="1:8" x14ac:dyDescent="0.2">
      <c r="A661" s="1" t="s">
        <v>8</v>
      </c>
      <c r="B661" s="2" t="s">
        <v>81</v>
      </c>
      <c r="C661" s="1"/>
      <c r="D661" s="5" t="s">
        <v>464</v>
      </c>
      <c r="E661" s="3">
        <v>112500</v>
      </c>
      <c r="F661" s="3" t="s">
        <v>465</v>
      </c>
      <c r="G661" s="57" t="str">
        <f t="shared" si="10"/>
        <v>-</v>
      </c>
    </row>
    <row r="662" spans="1:8" x14ac:dyDescent="0.2">
      <c r="A662" s="1" t="s">
        <v>8</v>
      </c>
      <c r="B662" s="2" t="s">
        <v>81</v>
      </c>
      <c r="C662" s="1"/>
      <c r="D662" s="5" t="s">
        <v>464</v>
      </c>
      <c r="E662" s="3">
        <v>112500</v>
      </c>
      <c r="F662" s="3" t="s">
        <v>465</v>
      </c>
      <c r="G662" s="57" t="str">
        <f t="shared" si="10"/>
        <v>-</v>
      </c>
    </row>
    <row r="663" spans="1:8" x14ac:dyDescent="0.2">
      <c r="A663" s="1" t="s">
        <v>8</v>
      </c>
      <c r="B663" s="2" t="s">
        <v>81</v>
      </c>
      <c r="C663" s="1"/>
      <c r="D663" s="5" t="s">
        <v>464</v>
      </c>
      <c r="E663" s="3">
        <v>117500</v>
      </c>
      <c r="F663" s="3" t="s">
        <v>465</v>
      </c>
      <c r="G663" s="57" t="str">
        <f t="shared" si="10"/>
        <v>-</v>
      </c>
    </row>
    <row r="664" spans="1:8" x14ac:dyDescent="0.2">
      <c r="A664" s="1" t="s">
        <v>8</v>
      </c>
      <c r="B664" s="2" t="s">
        <v>81</v>
      </c>
      <c r="C664" s="1"/>
      <c r="D664" s="5" t="s">
        <v>464</v>
      </c>
      <c r="E664" s="3">
        <v>137500</v>
      </c>
      <c r="G664" s="57">
        <f t="shared" si="10"/>
        <v>-1</v>
      </c>
    </row>
    <row r="665" spans="1:8" s="13" customFormat="1" x14ac:dyDescent="0.2">
      <c r="A665" s="13" t="s">
        <v>20</v>
      </c>
      <c r="B665" s="12" t="s">
        <v>82</v>
      </c>
      <c r="C665" s="13" t="s">
        <v>1997</v>
      </c>
      <c r="D665" s="7" t="s">
        <v>450</v>
      </c>
      <c r="E665" s="6">
        <v>189116</v>
      </c>
      <c r="F665" s="6">
        <v>131347</v>
      </c>
      <c r="G665" s="57">
        <f t="shared" si="10"/>
        <v>-0.30546860128175302</v>
      </c>
      <c r="H665" s="7" t="s">
        <v>1998</v>
      </c>
    </row>
    <row r="666" spans="1:8" x14ac:dyDescent="0.2">
      <c r="A666" s="13" t="s">
        <v>20</v>
      </c>
      <c r="B666" s="12" t="s">
        <v>82</v>
      </c>
      <c r="C666" s="1"/>
      <c r="D666" s="5" t="s">
        <v>455</v>
      </c>
      <c r="E666" s="3">
        <v>144537</v>
      </c>
      <c r="F666" s="3">
        <v>145355</v>
      </c>
      <c r="G666" s="57">
        <f t="shared" si="10"/>
        <v>5.6594505213198006E-3</v>
      </c>
      <c r="H666" s="5" t="s">
        <v>1999</v>
      </c>
    </row>
    <row r="667" spans="1:8" x14ac:dyDescent="0.2">
      <c r="A667" s="13" t="s">
        <v>20</v>
      </c>
      <c r="B667" s="12" t="s">
        <v>82</v>
      </c>
      <c r="C667" s="1"/>
      <c r="D667" s="5" t="s">
        <v>452</v>
      </c>
      <c r="E667" s="3">
        <v>128040</v>
      </c>
      <c r="F667" s="3">
        <v>130194</v>
      </c>
      <c r="G667" s="57">
        <f t="shared" si="10"/>
        <v>1.6822867853795689E-2</v>
      </c>
      <c r="H667" s="5" t="s">
        <v>2000</v>
      </c>
    </row>
    <row r="668" spans="1:8" x14ac:dyDescent="0.2">
      <c r="A668" s="13" t="s">
        <v>20</v>
      </c>
      <c r="B668" s="12" t="s">
        <v>82</v>
      </c>
      <c r="C668" s="1"/>
      <c r="D668" s="5" t="s">
        <v>477</v>
      </c>
      <c r="E668" s="3">
        <v>128320</v>
      </c>
      <c r="F668" s="3">
        <v>129131</v>
      </c>
      <c r="G668" s="57">
        <f t="shared" si="10"/>
        <v>6.3201371571072317E-3</v>
      </c>
      <c r="H668" s="5" t="s">
        <v>2001</v>
      </c>
    </row>
    <row r="669" spans="1:8" x14ac:dyDescent="0.2">
      <c r="A669" s="13" t="s">
        <v>20</v>
      </c>
      <c r="B669" s="12" t="s">
        <v>82</v>
      </c>
      <c r="C669" s="1"/>
      <c r="D669" s="5" t="s">
        <v>2002</v>
      </c>
      <c r="E669" s="3">
        <v>108510</v>
      </c>
      <c r="F669" s="3">
        <v>108500</v>
      </c>
      <c r="G669" s="57">
        <f t="shared" si="10"/>
        <v>-9.2157404847479493E-5</v>
      </c>
      <c r="H669" s="5" t="s">
        <v>2003</v>
      </c>
    </row>
    <row r="670" spans="1:8" x14ac:dyDescent="0.2">
      <c r="A670" s="13" t="s">
        <v>20</v>
      </c>
      <c r="B670" s="12" t="s">
        <v>82</v>
      </c>
      <c r="C670" s="1"/>
      <c r="D670" s="5" t="s">
        <v>3820</v>
      </c>
      <c r="E670" s="3">
        <v>121713</v>
      </c>
      <c r="F670" s="3">
        <v>125851</v>
      </c>
      <c r="G670" s="57">
        <f t="shared" si="10"/>
        <v>3.3998011716086206E-2</v>
      </c>
      <c r="H670" s="5" t="s">
        <v>2004</v>
      </c>
    </row>
    <row r="671" spans="1:8" x14ac:dyDescent="0.2">
      <c r="A671" s="13" t="s">
        <v>20</v>
      </c>
      <c r="B671" s="12" t="s">
        <v>82</v>
      </c>
      <c r="C671" s="1"/>
      <c r="D671" s="5" t="s">
        <v>2005</v>
      </c>
      <c r="E671" s="3">
        <v>102514</v>
      </c>
      <c r="F671" s="3">
        <v>113399</v>
      </c>
      <c r="G671" s="57">
        <f t="shared" si="10"/>
        <v>0.10618061923249507</v>
      </c>
      <c r="H671" s="5" t="s">
        <v>2006</v>
      </c>
    </row>
    <row r="672" spans="1:8" x14ac:dyDescent="0.2">
      <c r="A672" s="13" t="s">
        <v>20</v>
      </c>
      <c r="B672" s="12" t="s">
        <v>82</v>
      </c>
      <c r="C672" s="1"/>
      <c r="D672" s="5" t="s">
        <v>683</v>
      </c>
      <c r="E672" s="3">
        <v>129573</v>
      </c>
      <c r="F672" s="3">
        <v>129789</v>
      </c>
      <c r="G672" s="57">
        <f t="shared" si="10"/>
        <v>1.6670139612419254E-3</v>
      </c>
      <c r="H672" s="5" t="s">
        <v>2007</v>
      </c>
    </row>
    <row r="673" spans="1:8" ht="25.5" x14ac:dyDescent="0.2">
      <c r="A673" s="1" t="s">
        <v>34</v>
      </c>
      <c r="B673" s="2" t="s">
        <v>83</v>
      </c>
      <c r="C673" s="1"/>
      <c r="D673" s="5" t="s">
        <v>450</v>
      </c>
      <c r="E673" s="3">
        <v>127690</v>
      </c>
      <c r="F673" s="3">
        <v>138066</v>
      </c>
      <c r="G673" s="57">
        <f t="shared" si="10"/>
        <v>8.1259299866865059E-2</v>
      </c>
      <c r="H673" s="5" t="s">
        <v>2008</v>
      </c>
    </row>
    <row r="674" spans="1:8" ht="25.5" x14ac:dyDescent="0.2">
      <c r="A674" s="1" t="s">
        <v>34</v>
      </c>
      <c r="B674" s="2" t="s">
        <v>83</v>
      </c>
      <c r="C674" s="1"/>
      <c r="D674" s="5" t="s">
        <v>2009</v>
      </c>
      <c r="E674" s="3">
        <v>68518</v>
      </c>
      <c r="F674" s="3">
        <v>101305</v>
      </c>
      <c r="G674" s="57">
        <f t="shared" si="10"/>
        <v>0.4785165941796316</v>
      </c>
      <c r="H674" s="5" t="s">
        <v>4222</v>
      </c>
    </row>
    <row r="675" spans="1:8" ht="25.5" x14ac:dyDescent="0.2">
      <c r="A675" s="1" t="s">
        <v>34</v>
      </c>
      <c r="B675" s="2" t="s">
        <v>83</v>
      </c>
      <c r="C675" s="1"/>
      <c r="D675" s="5" t="s">
        <v>529</v>
      </c>
      <c r="E675" s="3" t="s">
        <v>465</v>
      </c>
      <c r="F675" s="3">
        <v>104129</v>
      </c>
      <c r="G675" s="57" t="str">
        <f t="shared" si="10"/>
        <v>-</v>
      </c>
      <c r="H675" s="5" t="s">
        <v>2010</v>
      </c>
    </row>
    <row r="676" spans="1:8" ht="25.5" x14ac:dyDescent="0.2">
      <c r="A676" s="1" t="s">
        <v>34</v>
      </c>
      <c r="B676" s="2" t="s">
        <v>83</v>
      </c>
      <c r="C676" s="1"/>
      <c r="D676" s="5" t="s">
        <v>529</v>
      </c>
      <c r="E676" s="3" t="s">
        <v>465</v>
      </c>
      <c r="F676" s="3">
        <v>104096</v>
      </c>
      <c r="G676" s="57" t="str">
        <f t="shared" si="10"/>
        <v>-</v>
      </c>
      <c r="H676" s="5" t="s">
        <v>2011</v>
      </c>
    </row>
    <row r="677" spans="1:8" s="13" customFormat="1" ht="25.5" x14ac:dyDescent="0.2">
      <c r="A677" s="13" t="s">
        <v>4</v>
      </c>
      <c r="B677" s="12" t="s">
        <v>84</v>
      </c>
      <c r="D677" s="7" t="s">
        <v>450</v>
      </c>
      <c r="E677" s="6">
        <v>138056</v>
      </c>
      <c r="F677" s="6">
        <v>112420</v>
      </c>
      <c r="G677" s="57">
        <f t="shared" si="10"/>
        <v>-0.18569276235730428</v>
      </c>
      <c r="H677" s="7" t="s">
        <v>4223</v>
      </c>
    </row>
    <row r="678" spans="1:8" s="13" customFormat="1" ht="25.5" x14ac:dyDescent="0.2">
      <c r="A678" s="13" t="s">
        <v>4</v>
      </c>
      <c r="B678" s="12" t="s">
        <v>84</v>
      </c>
      <c r="D678" s="7" t="s">
        <v>3821</v>
      </c>
      <c r="E678" s="6">
        <v>101010</v>
      </c>
      <c r="F678" s="6">
        <v>67431</v>
      </c>
      <c r="G678" s="57">
        <f t="shared" si="10"/>
        <v>-0.33243243243243242</v>
      </c>
      <c r="H678" s="7" t="s">
        <v>3822</v>
      </c>
    </row>
    <row r="679" spans="1:8" x14ac:dyDescent="0.2">
      <c r="A679" s="13" t="s">
        <v>4</v>
      </c>
      <c r="B679" s="12" t="s">
        <v>84</v>
      </c>
      <c r="C679" s="1"/>
      <c r="D679" s="5" t="s">
        <v>464</v>
      </c>
      <c r="E679" s="3">
        <v>112500</v>
      </c>
      <c r="F679" s="3" t="s">
        <v>465</v>
      </c>
      <c r="G679" s="57" t="str">
        <f t="shared" si="10"/>
        <v>-</v>
      </c>
      <c r="H679" s="5" t="s">
        <v>2255</v>
      </c>
    </row>
    <row r="680" spans="1:8" x14ac:dyDescent="0.2">
      <c r="A680" s="13" t="s">
        <v>4</v>
      </c>
      <c r="B680" s="12" t="s">
        <v>84</v>
      </c>
      <c r="C680" s="1"/>
      <c r="D680" s="5" t="s">
        <v>464</v>
      </c>
      <c r="E680" s="3">
        <v>112500</v>
      </c>
      <c r="F680" s="3" t="s">
        <v>465</v>
      </c>
      <c r="G680" s="57" t="str">
        <f t="shared" si="10"/>
        <v>-</v>
      </c>
    </row>
    <row r="681" spans="1:8" x14ac:dyDescent="0.2">
      <c r="A681" s="13" t="s">
        <v>4</v>
      </c>
      <c r="B681" s="12" t="s">
        <v>84</v>
      </c>
      <c r="C681" s="1"/>
      <c r="D681" s="5" t="s">
        <v>464</v>
      </c>
      <c r="E681" s="3">
        <v>127500</v>
      </c>
      <c r="F681" s="3" t="s">
        <v>465</v>
      </c>
      <c r="G681" s="57" t="str">
        <f t="shared" si="10"/>
        <v>-</v>
      </c>
    </row>
    <row r="682" spans="1:8" x14ac:dyDescent="0.2">
      <c r="A682" s="1" t="s">
        <v>6</v>
      </c>
      <c r="B682" s="2" t="s">
        <v>85</v>
      </c>
      <c r="C682" s="1" t="s">
        <v>2012</v>
      </c>
      <c r="D682" s="5" t="s">
        <v>450</v>
      </c>
      <c r="E682" s="6">
        <v>229291</v>
      </c>
      <c r="F682" s="3">
        <v>226318</v>
      </c>
      <c r="G682" s="57">
        <f t="shared" si="10"/>
        <v>-1.2966056234217654E-2</v>
      </c>
      <c r="H682" s="5" t="s">
        <v>2013</v>
      </c>
    </row>
    <row r="683" spans="1:8" x14ac:dyDescent="0.2">
      <c r="A683" s="1" t="s">
        <v>6</v>
      </c>
      <c r="B683" s="2" t="s">
        <v>85</v>
      </c>
      <c r="C683" s="1"/>
      <c r="D683" s="5" t="s">
        <v>2014</v>
      </c>
      <c r="E683" s="6">
        <v>148287</v>
      </c>
      <c r="F683" s="3">
        <v>149034</v>
      </c>
      <c r="G683" s="57">
        <f t="shared" si="10"/>
        <v>5.0375285763418235E-3</v>
      </c>
      <c r="H683" s="5" t="s">
        <v>2015</v>
      </c>
    </row>
    <row r="684" spans="1:8" x14ac:dyDescent="0.2">
      <c r="A684" s="1" t="s">
        <v>6</v>
      </c>
      <c r="B684" s="2" t="s">
        <v>85</v>
      </c>
      <c r="C684" s="1"/>
      <c r="D684" s="5" t="s">
        <v>2016</v>
      </c>
      <c r="E684" s="3">
        <v>76675</v>
      </c>
      <c r="F684" s="3">
        <v>135528</v>
      </c>
      <c r="G684" s="57">
        <f t="shared" si="10"/>
        <v>0.76756439517443753</v>
      </c>
      <c r="H684" s="5" t="s">
        <v>2017</v>
      </c>
    </row>
    <row r="685" spans="1:8" s="13" customFormat="1" x14ac:dyDescent="0.2">
      <c r="A685" s="1" t="s">
        <v>6</v>
      </c>
      <c r="B685" s="12" t="s">
        <v>85</v>
      </c>
      <c r="D685" s="7" t="s">
        <v>2018</v>
      </c>
      <c r="E685" s="6" t="s">
        <v>465</v>
      </c>
      <c r="F685" s="6">
        <v>135474</v>
      </c>
      <c r="G685" s="57" t="str">
        <f t="shared" si="10"/>
        <v>-</v>
      </c>
      <c r="H685" s="7" t="s">
        <v>2019</v>
      </c>
    </row>
    <row r="686" spans="1:8" s="13" customFormat="1" x14ac:dyDescent="0.2">
      <c r="A686" s="1" t="s">
        <v>6</v>
      </c>
      <c r="B686" s="12" t="s">
        <v>85</v>
      </c>
      <c r="D686" s="7" t="s">
        <v>2020</v>
      </c>
      <c r="E686" s="6" t="s">
        <v>465</v>
      </c>
      <c r="F686" s="6">
        <v>112093</v>
      </c>
      <c r="G686" s="57" t="str">
        <f t="shared" si="10"/>
        <v>-</v>
      </c>
      <c r="H686" s="7" t="s">
        <v>2021</v>
      </c>
    </row>
    <row r="687" spans="1:8" s="13" customFormat="1" x14ac:dyDescent="0.2">
      <c r="A687" s="1" t="s">
        <v>6</v>
      </c>
      <c r="B687" s="12" t="s">
        <v>85</v>
      </c>
      <c r="D687" s="7" t="s">
        <v>2022</v>
      </c>
      <c r="E687" s="6">
        <v>109821</v>
      </c>
      <c r="F687" s="6">
        <v>109845</v>
      </c>
      <c r="G687" s="57">
        <f t="shared" si="10"/>
        <v>2.1853743819488076E-4</v>
      </c>
      <c r="H687" s="7" t="s">
        <v>2023</v>
      </c>
    </row>
    <row r="688" spans="1:8" s="13" customFormat="1" x14ac:dyDescent="0.2">
      <c r="A688" s="1" t="s">
        <v>6</v>
      </c>
      <c r="B688" s="12" t="s">
        <v>85</v>
      </c>
      <c r="D688" s="7" t="s">
        <v>2024</v>
      </c>
      <c r="E688" s="6" t="s">
        <v>465</v>
      </c>
      <c r="F688" s="6">
        <v>109239</v>
      </c>
      <c r="G688" s="57" t="str">
        <f t="shared" si="10"/>
        <v>-</v>
      </c>
      <c r="H688" s="7" t="s">
        <v>2025</v>
      </c>
    </row>
    <row r="689" spans="1:8" s="13" customFormat="1" ht="25.5" x14ac:dyDescent="0.2">
      <c r="A689" s="1" t="s">
        <v>6</v>
      </c>
      <c r="B689" s="12" t="s">
        <v>85</v>
      </c>
      <c r="D689" s="7" t="s">
        <v>2026</v>
      </c>
      <c r="E689" s="6" t="s">
        <v>465</v>
      </c>
      <c r="F689" s="6">
        <v>107886</v>
      </c>
      <c r="G689" s="57" t="str">
        <f t="shared" si="10"/>
        <v>-</v>
      </c>
      <c r="H689" s="7" t="s">
        <v>2027</v>
      </c>
    </row>
    <row r="690" spans="1:8" x14ac:dyDescent="0.2">
      <c r="A690" s="1" t="s">
        <v>6</v>
      </c>
      <c r="B690" s="2" t="s">
        <v>85</v>
      </c>
      <c r="C690" s="1"/>
      <c r="D690" s="5" t="s">
        <v>2028</v>
      </c>
      <c r="E690" s="3">
        <v>70878</v>
      </c>
      <c r="F690" s="3">
        <v>101976</v>
      </c>
      <c r="G690" s="57">
        <f t="shared" si="10"/>
        <v>0.43875391517819351</v>
      </c>
      <c r="H690" s="5" t="s">
        <v>2029</v>
      </c>
    </row>
    <row r="691" spans="1:8" s="13" customFormat="1" x14ac:dyDescent="0.2">
      <c r="A691" s="1" t="s">
        <v>6</v>
      </c>
      <c r="B691" s="12" t="s">
        <v>85</v>
      </c>
      <c r="D691" s="7" t="s">
        <v>3823</v>
      </c>
      <c r="E691" s="6">
        <v>158426</v>
      </c>
      <c r="F691" s="6">
        <v>66072</v>
      </c>
      <c r="G691" s="57">
        <f t="shared" si="10"/>
        <v>-0.58294724350801008</v>
      </c>
      <c r="H691" s="7" t="s">
        <v>3824</v>
      </c>
    </row>
    <row r="692" spans="1:8" s="13" customFormat="1" x14ac:dyDescent="0.2">
      <c r="A692" s="1" t="s">
        <v>6</v>
      </c>
      <c r="B692" s="12" t="s">
        <v>85</v>
      </c>
      <c r="D692" s="7" t="s">
        <v>3825</v>
      </c>
      <c r="E692" s="6">
        <v>109554</v>
      </c>
      <c r="F692" s="6" t="s">
        <v>465</v>
      </c>
      <c r="G692" s="57" t="str">
        <f t="shared" si="10"/>
        <v>-</v>
      </c>
      <c r="H692" s="7"/>
    </row>
    <row r="693" spans="1:8" s="13" customFormat="1" x14ac:dyDescent="0.2">
      <c r="A693" s="1" t="s">
        <v>6</v>
      </c>
      <c r="B693" s="12" t="s">
        <v>85</v>
      </c>
      <c r="D693" s="7" t="s">
        <v>3826</v>
      </c>
      <c r="E693" s="6">
        <v>110274</v>
      </c>
      <c r="F693" s="6" t="s">
        <v>465</v>
      </c>
      <c r="G693" s="57" t="str">
        <f t="shared" si="10"/>
        <v>-</v>
      </c>
      <c r="H693" s="7"/>
    </row>
    <row r="694" spans="1:8" x14ac:dyDescent="0.2">
      <c r="A694" s="1" t="s">
        <v>6</v>
      </c>
      <c r="B694" s="2" t="s">
        <v>85</v>
      </c>
      <c r="C694" s="1"/>
      <c r="D694" s="5" t="s">
        <v>464</v>
      </c>
      <c r="E694" s="3">
        <v>102500</v>
      </c>
      <c r="F694" s="3" t="s">
        <v>465</v>
      </c>
      <c r="G694" s="57" t="str">
        <f t="shared" si="10"/>
        <v>-</v>
      </c>
      <c r="H694" s="1"/>
    </row>
    <row r="695" spans="1:8" x14ac:dyDescent="0.2">
      <c r="A695" s="1" t="s">
        <v>6</v>
      </c>
      <c r="B695" s="2" t="s">
        <v>85</v>
      </c>
      <c r="C695" s="1"/>
      <c r="D695" s="5" t="s">
        <v>464</v>
      </c>
      <c r="E695" s="3">
        <v>102500</v>
      </c>
      <c r="F695" s="3" t="s">
        <v>465</v>
      </c>
      <c r="G695" s="57" t="str">
        <f t="shared" si="10"/>
        <v>-</v>
      </c>
      <c r="H695" s="1"/>
    </row>
    <row r="696" spans="1:8" x14ac:dyDescent="0.2">
      <c r="A696" s="1" t="s">
        <v>6</v>
      </c>
      <c r="B696" s="2" t="s">
        <v>85</v>
      </c>
      <c r="C696" s="1"/>
      <c r="D696" s="5" t="s">
        <v>464</v>
      </c>
      <c r="E696" s="3" t="s">
        <v>465</v>
      </c>
      <c r="F696" s="3">
        <v>102500</v>
      </c>
      <c r="G696" s="57" t="str">
        <f t="shared" si="10"/>
        <v>-</v>
      </c>
      <c r="H696" s="1"/>
    </row>
    <row r="697" spans="1:8" x14ac:dyDescent="0.2">
      <c r="A697" s="1" t="s">
        <v>6</v>
      </c>
      <c r="B697" s="2" t="s">
        <v>85</v>
      </c>
      <c r="C697" s="1"/>
      <c r="D697" s="5" t="s">
        <v>464</v>
      </c>
      <c r="E697" s="3">
        <v>107500</v>
      </c>
      <c r="F697" s="3" t="s">
        <v>465</v>
      </c>
      <c r="G697" s="57" t="str">
        <f t="shared" si="10"/>
        <v>-</v>
      </c>
      <c r="H697" s="1"/>
    </row>
    <row r="698" spans="1:8" x14ac:dyDescent="0.2">
      <c r="A698" s="1" t="s">
        <v>6</v>
      </c>
      <c r="B698" s="2" t="s">
        <v>85</v>
      </c>
      <c r="C698" s="1"/>
      <c r="D698" s="5" t="s">
        <v>464</v>
      </c>
      <c r="E698" s="3">
        <v>107500</v>
      </c>
      <c r="F698" s="3" t="s">
        <v>465</v>
      </c>
      <c r="G698" s="57" t="str">
        <f t="shared" si="10"/>
        <v>-</v>
      </c>
      <c r="H698" s="1"/>
    </row>
    <row r="699" spans="1:8" x14ac:dyDescent="0.2">
      <c r="A699" s="1" t="s">
        <v>6</v>
      </c>
      <c r="B699" s="2" t="s">
        <v>85</v>
      </c>
      <c r="C699" s="1"/>
      <c r="D699" s="5" t="s">
        <v>464</v>
      </c>
      <c r="E699" s="3">
        <v>107500</v>
      </c>
      <c r="F699" s="3" t="s">
        <v>465</v>
      </c>
      <c r="G699" s="57" t="str">
        <f t="shared" si="10"/>
        <v>-</v>
      </c>
    </row>
    <row r="700" spans="1:8" x14ac:dyDescent="0.2">
      <c r="A700" s="1" t="s">
        <v>6</v>
      </c>
      <c r="B700" s="2" t="s">
        <v>85</v>
      </c>
      <c r="C700" s="1"/>
      <c r="D700" s="5" t="s">
        <v>464</v>
      </c>
      <c r="E700" s="3" t="s">
        <v>465</v>
      </c>
      <c r="F700" s="3">
        <v>107500</v>
      </c>
      <c r="G700" s="57" t="str">
        <f t="shared" si="10"/>
        <v>-</v>
      </c>
    </row>
    <row r="701" spans="1:8" x14ac:dyDescent="0.2">
      <c r="A701" s="1" t="s">
        <v>6</v>
      </c>
      <c r="B701" s="2" t="s">
        <v>85</v>
      </c>
      <c r="C701" s="1"/>
      <c r="D701" s="5" t="s">
        <v>464</v>
      </c>
      <c r="E701" s="3">
        <v>112500</v>
      </c>
      <c r="F701" s="3" t="s">
        <v>465</v>
      </c>
      <c r="G701" s="57" t="str">
        <f t="shared" si="10"/>
        <v>-</v>
      </c>
    </row>
    <row r="702" spans="1:8" x14ac:dyDescent="0.2">
      <c r="A702" s="1" t="s">
        <v>6</v>
      </c>
      <c r="B702" s="2" t="s">
        <v>85</v>
      </c>
      <c r="C702" s="1"/>
      <c r="D702" s="5" t="s">
        <v>464</v>
      </c>
      <c r="E702" s="3" t="s">
        <v>465</v>
      </c>
      <c r="F702" s="3">
        <v>117500</v>
      </c>
      <c r="G702" s="57" t="str">
        <f t="shared" si="10"/>
        <v>-</v>
      </c>
    </row>
    <row r="703" spans="1:8" x14ac:dyDescent="0.2">
      <c r="A703" s="1" t="s">
        <v>6</v>
      </c>
      <c r="B703" s="2" t="s">
        <v>85</v>
      </c>
      <c r="C703" s="1"/>
      <c r="D703" s="5" t="s">
        <v>464</v>
      </c>
      <c r="E703" s="3" t="s">
        <v>465</v>
      </c>
      <c r="F703" s="3">
        <v>117500</v>
      </c>
      <c r="G703" s="57" t="str">
        <f t="shared" si="10"/>
        <v>-</v>
      </c>
    </row>
    <row r="704" spans="1:8" x14ac:dyDescent="0.2">
      <c r="A704" s="1" t="s">
        <v>6</v>
      </c>
      <c r="B704" s="2" t="s">
        <v>85</v>
      </c>
      <c r="C704" s="1"/>
      <c r="D704" s="5" t="s">
        <v>464</v>
      </c>
      <c r="E704" s="3" t="s">
        <v>465</v>
      </c>
      <c r="F704" s="3">
        <v>127500</v>
      </c>
      <c r="G704" s="57" t="str">
        <f t="shared" si="10"/>
        <v>-</v>
      </c>
    </row>
    <row r="705" spans="1:8" x14ac:dyDescent="0.2">
      <c r="A705" s="1" t="s">
        <v>6</v>
      </c>
      <c r="B705" s="2" t="s">
        <v>85</v>
      </c>
      <c r="C705" s="1"/>
      <c r="D705" s="5" t="s">
        <v>464</v>
      </c>
      <c r="E705" s="3">
        <v>142500</v>
      </c>
      <c r="F705" s="3" t="s">
        <v>465</v>
      </c>
      <c r="G705" s="57" t="str">
        <f t="shared" si="10"/>
        <v>-</v>
      </c>
    </row>
    <row r="706" spans="1:8" x14ac:dyDescent="0.2">
      <c r="A706" s="1" t="s">
        <v>6</v>
      </c>
      <c r="B706" s="2" t="s">
        <v>85</v>
      </c>
      <c r="C706" s="1"/>
      <c r="D706" s="5" t="s">
        <v>464</v>
      </c>
      <c r="E706" s="3" t="s">
        <v>465</v>
      </c>
      <c r="F706" s="3">
        <v>172500</v>
      </c>
      <c r="G706" s="57" t="str">
        <f t="shared" si="10"/>
        <v>-</v>
      </c>
    </row>
    <row r="707" spans="1:8" x14ac:dyDescent="0.2">
      <c r="A707" s="1" t="s">
        <v>6</v>
      </c>
      <c r="B707" s="2" t="s">
        <v>86</v>
      </c>
      <c r="C707" s="1" t="s">
        <v>2030</v>
      </c>
      <c r="D707" s="5" t="s">
        <v>450</v>
      </c>
      <c r="E707" s="3">
        <v>218000</v>
      </c>
      <c r="F707" s="3">
        <v>235000</v>
      </c>
      <c r="G707" s="57">
        <f t="shared" ref="G707:G770" si="11">IF(ISERROR((F707-E707)/E707),"-",(F707-E707)/E707)</f>
        <v>7.7981651376146793E-2</v>
      </c>
      <c r="H707" s="5" t="s">
        <v>2031</v>
      </c>
    </row>
    <row r="708" spans="1:8" s="13" customFormat="1" ht="25.5" x14ac:dyDescent="0.2">
      <c r="A708" s="1" t="s">
        <v>6</v>
      </c>
      <c r="B708" s="12" t="s">
        <v>86</v>
      </c>
      <c r="D708" s="7" t="s">
        <v>4611</v>
      </c>
      <c r="E708" s="6">
        <v>152436</v>
      </c>
      <c r="F708" s="6">
        <v>152585</v>
      </c>
      <c r="G708" s="57">
        <f t="shared" si="11"/>
        <v>9.77459392794353E-4</v>
      </c>
      <c r="H708" s="7" t="s">
        <v>3827</v>
      </c>
    </row>
    <row r="709" spans="1:8" s="13" customFormat="1" x14ac:dyDescent="0.2">
      <c r="A709" s="1" t="s">
        <v>6</v>
      </c>
      <c r="B709" s="12" t="s">
        <v>86</v>
      </c>
      <c r="D709" s="7" t="s">
        <v>596</v>
      </c>
      <c r="E709" s="6" t="s">
        <v>465</v>
      </c>
      <c r="F709" s="6">
        <v>136162</v>
      </c>
      <c r="G709" s="57" t="str">
        <f t="shared" si="11"/>
        <v>-</v>
      </c>
      <c r="H709" s="7" t="s">
        <v>2032</v>
      </c>
    </row>
    <row r="710" spans="1:8" s="13" customFormat="1" x14ac:dyDescent="0.2">
      <c r="A710" s="1" t="s">
        <v>6</v>
      </c>
      <c r="B710" s="12" t="s">
        <v>86</v>
      </c>
      <c r="D710" s="7" t="s">
        <v>2033</v>
      </c>
      <c r="E710" s="6">
        <v>134493</v>
      </c>
      <c r="F710" s="6">
        <v>136568</v>
      </c>
      <c r="G710" s="57">
        <f t="shared" si="11"/>
        <v>1.5428312254169362E-2</v>
      </c>
      <c r="H710" s="7" t="s">
        <v>3828</v>
      </c>
    </row>
    <row r="711" spans="1:8" x14ac:dyDescent="0.2">
      <c r="A711" s="1" t="s">
        <v>6</v>
      </c>
      <c r="B711" s="2" t="s">
        <v>86</v>
      </c>
      <c r="C711" s="1"/>
      <c r="D711" s="5" t="s">
        <v>463</v>
      </c>
      <c r="E711" s="6">
        <v>151258</v>
      </c>
      <c r="F711" s="3">
        <v>151363</v>
      </c>
      <c r="G711" s="57">
        <f t="shared" si="11"/>
        <v>6.9417815917174625E-4</v>
      </c>
      <c r="H711" s="5" t="s">
        <v>2034</v>
      </c>
    </row>
    <row r="712" spans="1:8" ht="25.5" x14ac:dyDescent="0.2">
      <c r="A712" s="1" t="s">
        <v>6</v>
      </c>
      <c r="B712" s="2" t="s">
        <v>86</v>
      </c>
      <c r="C712" s="1"/>
      <c r="D712" s="5" t="s">
        <v>2035</v>
      </c>
      <c r="E712" s="6">
        <v>90830</v>
      </c>
      <c r="F712" s="3">
        <v>101772</v>
      </c>
      <c r="G712" s="57">
        <f t="shared" si="11"/>
        <v>0.12046680612132556</v>
      </c>
      <c r="H712" s="5" t="s">
        <v>4224</v>
      </c>
    </row>
    <row r="713" spans="1:8" ht="25.5" x14ac:dyDescent="0.2">
      <c r="A713" s="1" t="s">
        <v>6</v>
      </c>
      <c r="B713" s="2" t="s">
        <v>86</v>
      </c>
      <c r="C713" s="1"/>
      <c r="D713" s="5" t="s">
        <v>570</v>
      </c>
      <c r="E713" s="6">
        <v>95494</v>
      </c>
      <c r="F713" s="3">
        <v>101798</v>
      </c>
      <c r="G713" s="57">
        <f t="shared" si="11"/>
        <v>6.6014618719500706E-2</v>
      </c>
      <c r="H713" s="5" t="s">
        <v>4225</v>
      </c>
    </row>
    <row r="714" spans="1:8" x14ac:dyDescent="0.2">
      <c r="A714" s="1" t="s">
        <v>6</v>
      </c>
      <c r="B714" s="2" t="s">
        <v>86</v>
      </c>
      <c r="C714" s="1"/>
      <c r="D714" s="5" t="s">
        <v>2036</v>
      </c>
      <c r="E714" s="6">
        <v>104451</v>
      </c>
      <c r="F714" s="3">
        <v>104451</v>
      </c>
      <c r="G714" s="57">
        <f t="shared" si="11"/>
        <v>0</v>
      </c>
      <c r="H714" s="5" t="s">
        <v>2037</v>
      </c>
    </row>
    <row r="715" spans="1:8" x14ac:dyDescent="0.2">
      <c r="A715" s="1" t="s">
        <v>6</v>
      </c>
      <c r="B715" s="2" t="s">
        <v>86</v>
      </c>
      <c r="C715" s="1"/>
      <c r="D715" s="5" t="s">
        <v>740</v>
      </c>
      <c r="E715" s="6">
        <v>83874</v>
      </c>
      <c r="F715" s="3">
        <v>102301</v>
      </c>
      <c r="G715" s="57">
        <f t="shared" si="11"/>
        <v>0.2196985955123161</v>
      </c>
      <c r="H715" s="5" t="s">
        <v>2038</v>
      </c>
    </row>
    <row r="716" spans="1:8" x14ac:dyDescent="0.2">
      <c r="A716" s="1" t="s">
        <v>6</v>
      </c>
      <c r="B716" s="2" t="s">
        <v>86</v>
      </c>
      <c r="C716" s="1"/>
      <c r="D716" s="5" t="s">
        <v>2039</v>
      </c>
      <c r="E716" s="6">
        <v>99515</v>
      </c>
      <c r="F716" s="3">
        <v>102296</v>
      </c>
      <c r="G716" s="57">
        <f t="shared" si="11"/>
        <v>2.7945535848867005E-2</v>
      </c>
      <c r="H716" s="5" t="s">
        <v>2040</v>
      </c>
    </row>
    <row r="717" spans="1:8" s="13" customFormat="1" x14ac:dyDescent="0.2">
      <c r="A717" s="1" t="s">
        <v>6</v>
      </c>
      <c r="B717" s="12" t="s">
        <v>86</v>
      </c>
      <c r="D717" s="7" t="s">
        <v>2041</v>
      </c>
      <c r="E717" s="6" t="s">
        <v>465</v>
      </c>
      <c r="F717" s="6">
        <v>101496</v>
      </c>
      <c r="G717" s="57" t="str">
        <f t="shared" si="11"/>
        <v>-</v>
      </c>
      <c r="H717" s="7" t="s">
        <v>2042</v>
      </c>
    </row>
    <row r="718" spans="1:8" s="13" customFormat="1" ht="25.5" x14ac:dyDescent="0.2">
      <c r="A718" s="1" t="s">
        <v>6</v>
      </c>
      <c r="B718" s="12" t="s">
        <v>86</v>
      </c>
      <c r="D718" s="7" t="s">
        <v>2043</v>
      </c>
      <c r="E718" s="6">
        <v>96534</v>
      </c>
      <c r="F718" s="6">
        <v>107528</v>
      </c>
      <c r="G718" s="57">
        <f t="shared" si="11"/>
        <v>0.11388733503221662</v>
      </c>
      <c r="H718" s="7" t="s">
        <v>4226</v>
      </c>
    </row>
    <row r="719" spans="1:8" x14ac:dyDescent="0.2">
      <c r="A719" s="1" t="s">
        <v>6</v>
      </c>
      <c r="B719" s="2" t="s">
        <v>86</v>
      </c>
      <c r="C719" s="1"/>
      <c r="D719" s="5" t="s">
        <v>4612</v>
      </c>
      <c r="E719" s="3">
        <v>86022</v>
      </c>
      <c r="F719" s="3">
        <v>105094</v>
      </c>
      <c r="G719" s="57">
        <f t="shared" si="11"/>
        <v>0.22171072516333032</v>
      </c>
      <c r="H719" s="5" t="s">
        <v>2044</v>
      </c>
    </row>
    <row r="720" spans="1:8" s="13" customFormat="1" x14ac:dyDescent="0.2">
      <c r="A720" s="1" t="s">
        <v>6</v>
      </c>
      <c r="B720" s="12" t="s">
        <v>86</v>
      </c>
      <c r="D720" s="7" t="s">
        <v>2045</v>
      </c>
      <c r="E720" s="6" t="s">
        <v>465</v>
      </c>
      <c r="F720" s="6">
        <v>100696</v>
      </c>
      <c r="G720" s="57" t="str">
        <f t="shared" si="11"/>
        <v>-</v>
      </c>
      <c r="H720" s="7" t="s">
        <v>2046</v>
      </c>
    </row>
    <row r="721" spans="1:8" x14ac:dyDescent="0.2">
      <c r="A721" s="1" t="s">
        <v>6</v>
      </c>
      <c r="B721" s="2" t="s">
        <v>86</v>
      </c>
      <c r="C721" s="1"/>
      <c r="D721" s="5" t="s">
        <v>546</v>
      </c>
      <c r="E721" s="6">
        <v>104782</v>
      </c>
      <c r="F721" s="3">
        <v>107584</v>
      </c>
      <c r="G721" s="57">
        <f t="shared" si="11"/>
        <v>2.6741234181443377E-2</v>
      </c>
      <c r="H721" s="5" t="s">
        <v>2047</v>
      </c>
    </row>
    <row r="722" spans="1:8" x14ac:dyDescent="0.2">
      <c r="A722" s="1" t="s">
        <v>6</v>
      </c>
      <c r="B722" s="2" t="s">
        <v>86</v>
      </c>
      <c r="C722" s="1"/>
      <c r="D722" s="5" t="s">
        <v>2048</v>
      </c>
      <c r="E722" s="6">
        <v>101979</v>
      </c>
      <c r="F722" s="3">
        <v>103841</v>
      </c>
      <c r="G722" s="57">
        <f t="shared" si="11"/>
        <v>1.8258661096892496E-2</v>
      </c>
      <c r="H722" s="5" t="s">
        <v>2049</v>
      </c>
    </row>
    <row r="723" spans="1:8" x14ac:dyDescent="0.2">
      <c r="A723" s="1" t="s">
        <v>6</v>
      </c>
      <c r="B723" s="2" t="s">
        <v>86</v>
      </c>
      <c r="C723" s="1"/>
      <c r="D723" s="5" t="s">
        <v>516</v>
      </c>
      <c r="E723" s="6">
        <v>85361</v>
      </c>
      <c r="F723" s="3">
        <v>106843</v>
      </c>
      <c r="G723" s="57">
        <f t="shared" si="11"/>
        <v>0.25166059441665395</v>
      </c>
      <c r="H723" s="5" t="s">
        <v>2050</v>
      </c>
    </row>
    <row r="724" spans="1:8" x14ac:dyDescent="0.2">
      <c r="A724" s="1" t="s">
        <v>6</v>
      </c>
      <c r="B724" s="2" t="s">
        <v>86</v>
      </c>
      <c r="C724" s="1"/>
      <c r="D724" s="5" t="s">
        <v>2051</v>
      </c>
      <c r="E724" s="6">
        <v>101648</v>
      </c>
      <c r="F724" s="3">
        <v>101803</v>
      </c>
      <c r="G724" s="57">
        <f t="shared" si="11"/>
        <v>1.5248701400912956E-3</v>
      </c>
      <c r="H724" s="5" t="s">
        <v>2052</v>
      </c>
    </row>
    <row r="725" spans="1:8" x14ac:dyDescent="0.2">
      <c r="A725" s="1" t="s">
        <v>6</v>
      </c>
      <c r="B725" s="2" t="s">
        <v>86</v>
      </c>
      <c r="C725" s="1"/>
      <c r="D725" s="5" t="s">
        <v>2053</v>
      </c>
      <c r="E725" s="6">
        <v>102235</v>
      </c>
      <c r="F725" s="3">
        <v>102133</v>
      </c>
      <c r="G725" s="57">
        <f t="shared" si="11"/>
        <v>-9.9770137428473616E-4</v>
      </c>
      <c r="H725" s="5" t="s">
        <v>2054</v>
      </c>
    </row>
    <row r="726" spans="1:8" s="13" customFormat="1" ht="25.5" x14ac:dyDescent="0.2">
      <c r="A726" s="1" t="s">
        <v>6</v>
      </c>
      <c r="B726" s="12" t="s">
        <v>86</v>
      </c>
      <c r="D726" s="7" t="s">
        <v>790</v>
      </c>
      <c r="E726" s="6">
        <v>152325</v>
      </c>
      <c r="F726" s="6">
        <v>72089</v>
      </c>
      <c r="G726" s="57">
        <f t="shared" si="11"/>
        <v>-0.52674216313802724</v>
      </c>
      <c r="H726" s="7" t="s">
        <v>4228</v>
      </c>
    </row>
    <row r="727" spans="1:8" s="13" customFormat="1" x14ac:dyDescent="0.2">
      <c r="A727" s="1" t="s">
        <v>6</v>
      </c>
      <c r="B727" s="12" t="s">
        <v>86</v>
      </c>
      <c r="D727" s="7" t="s">
        <v>3829</v>
      </c>
      <c r="E727" s="6">
        <v>108670</v>
      </c>
      <c r="F727" s="6" t="s">
        <v>465</v>
      </c>
      <c r="G727" s="57" t="str">
        <f t="shared" si="11"/>
        <v>-</v>
      </c>
      <c r="H727" s="7" t="s">
        <v>4227</v>
      </c>
    </row>
    <row r="728" spans="1:8" s="13" customFormat="1" x14ac:dyDescent="0.2">
      <c r="A728" s="1" t="s">
        <v>6</v>
      </c>
      <c r="B728" s="12" t="s">
        <v>86</v>
      </c>
      <c r="D728" s="7" t="s">
        <v>476</v>
      </c>
      <c r="E728" s="6">
        <v>134253</v>
      </c>
      <c r="F728" s="6" t="s">
        <v>465</v>
      </c>
      <c r="G728" s="57" t="str">
        <f t="shared" si="11"/>
        <v>-</v>
      </c>
      <c r="H728" s="7"/>
    </row>
    <row r="729" spans="1:8" s="13" customFormat="1" x14ac:dyDescent="0.2">
      <c r="A729" s="1" t="s">
        <v>6</v>
      </c>
      <c r="B729" s="12" t="s">
        <v>86</v>
      </c>
      <c r="D729" s="7" t="s">
        <v>3830</v>
      </c>
      <c r="E729" s="6">
        <v>117896</v>
      </c>
      <c r="F729" s="6" t="s">
        <v>465</v>
      </c>
      <c r="G729" s="57" t="str">
        <f t="shared" si="11"/>
        <v>-</v>
      </c>
      <c r="H729" s="7" t="s">
        <v>3729</v>
      </c>
    </row>
    <row r="730" spans="1:8" x14ac:dyDescent="0.2">
      <c r="A730" s="1" t="s">
        <v>6</v>
      </c>
      <c r="B730" s="2" t="s">
        <v>86</v>
      </c>
      <c r="C730" s="1"/>
      <c r="D730" s="5" t="s">
        <v>464</v>
      </c>
      <c r="E730" s="3">
        <v>102500</v>
      </c>
      <c r="F730" s="3" t="s">
        <v>465</v>
      </c>
      <c r="G730" s="57" t="str">
        <f t="shared" si="11"/>
        <v>-</v>
      </c>
      <c r="H730" s="1"/>
    </row>
    <row r="731" spans="1:8" x14ac:dyDescent="0.2">
      <c r="A731" s="1" t="s">
        <v>6</v>
      </c>
      <c r="B731" s="2" t="s">
        <v>86</v>
      </c>
      <c r="C731" s="1"/>
      <c r="D731" s="5" t="s">
        <v>464</v>
      </c>
      <c r="E731" s="3">
        <v>102500</v>
      </c>
      <c r="F731" s="3" t="s">
        <v>465</v>
      </c>
      <c r="G731" s="57" t="str">
        <f t="shared" si="11"/>
        <v>-</v>
      </c>
      <c r="H731" s="1"/>
    </row>
    <row r="732" spans="1:8" x14ac:dyDescent="0.2">
      <c r="A732" s="1" t="s">
        <v>6</v>
      </c>
      <c r="B732" s="2" t="s">
        <v>86</v>
      </c>
      <c r="C732" s="1"/>
      <c r="D732" s="5" t="s">
        <v>464</v>
      </c>
      <c r="E732" s="3" t="s">
        <v>465</v>
      </c>
      <c r="F732" s="3">
        <v>102500</v>
      </c>
      <c r="G732" s="57" t="str">
        <f t="shared" si="11"/>
        <v>-</v>
      </c>
      <c r="H732" s="1"/>
    </row>
    <row r="733" spans="1:8" x14ac:dyDescent="0.2">
      <c r="A733" s="1" t="s">
        <v>6</v>
      </c>
      <c r="B733" s="2" t="s">
        <v>86</v>
      </c>
      <c r="C733" s="1"/>
      <c r="D733" s="5" t="s">
        <v>464</v>
      </c>
      <c r="E733" s="3" t="s">
        <v>465</v>
      </c>
      <c r="F733" s="3">
        <v>102500</v>
      </c>
      <c r="G733" s="57" t="str">
        <f t="shared" si="11"/>
        <v>-</v>
      </c>
      <c r="H733" s="1"/>
    </row>
    <row r="734" spans="1:8" x14ac:dyDescent="0.2">
      <c r="A734" s="1" t="s">
        <v>6</v>
      </c>
      <c r="B734" s="2" t="s">
        <v>86</v>
      </c>
      <c r="C734" s="1"/>
      <c r="D734" s="5" t="s">
        <v>464</v>
      </c>
      <c r="E734" s="3" t="s">
        <v>465</v>
      </c>
      <c r="F734" s="3">
        <v>102500</v>
      </c>
      <c r="G734" s="57" t="str">
        <f t="shared" si="11"/>
        <v>-</v>
      </c>
      <c r="H734" s="1"/>
    </row>
    <row r="735" spans="1:8" x14ac:dyDescent="0.2">
      <c r="A735" s="1" t="s">
        <v>6</v>
      </c>
      <c r="B735" s="2" t="s">
        <v>86</v>
      </c>
      <c r="C735" s="1"/>
      <c r="D735" s="5" t="s">
        <v>464</v>
      </c>
      <c r="E735" s="3">
        <v>107500</v>
      </c>
      <c r="F735" s="3" t="s">
        <v>465</v>
      </c>
      <c r="G735" s="57" t="str">
        <f t="shared" si="11"/>
        <v>-</v>
      </c>
      <c r="H735" s="1"/>
    </row>
    <row r="736" spans="1:8" x14ac:dyDescent="0.2">
      <c r="A736" s="1" t="s">
        <v>6</v>
      </c>
      <c r="B736" s="2" t="s">
        <v>86</v>
      </c>
      <c r="C736" s="1"/>
      <c r="D736" s="5" t="s">
        <v>464</v>
      </c>
      <c r="E736" s="3">
        <v>112500</v>
      </c>
      <c r="F736" s="3" t="s">
        <v>465</v>
      </c>
      <c r="G736" s="57" t="str">
        <f t="shared" si="11"/>
        <v>-</v>
      </c>
    </row>
    <row r="737" spans="1:8" x14ac:dyDescent="0.2">
      <c r="A737" s="1" t="s">
        <v>6</v>
      </c>
      <c r="B737" s="2" t="s">
        <v>86</v>
      </c>
      <c r="C737" s="1"/>
      <c r="D737" s="5" t="s">
        <v>464</v>
      </c>
      <c r="E737" s="3">
        <v>132500</v>
      </c>
      <c r="F737" s="3" t="s">
        <v>465</v>
      </c>
      <c r="G737" s="57" t="str">
        <f t="shared" si="11"/>
        <v>-</v>
      </c>
    </row>
    <row r="738" spans="1:8" x14ac:dyDescent="0.2">
      <c r="A738" s="1" t="s">
        <v>8</v>
      </c>
      <c r="B738" s="2" t="s">
        <v>87</v>
      </c>
      <c r="C738" s="1"/>
      <c r="D738" s="5" t="s">
        <v>450</v>
      </c>
      <c r="E738" s="3">
        <v>124868</v>
      </c>
      <c r="F738" s="3">
        <v>124630</v>
      </c>
      <c r="G738" s="57">
        <f t="shared" si="11"/>
        <v>-1.9060127494634335E-3</v>
      </c>
      <c r="H738" s="5" t="s">
        <v>2055</v>
      </c>
    </row>
    <row r="739" spans="1:8" x14ac:dyDescent="0.2">
      <c r="A739" s="1" t="s">
        <v>8</v>
      </c>
      <c r="B739" s="2" t="s">
        <v>87</v>
      </c>
      <c r="C739" s="1"/>
      <c r="D739" s="5" t="s">
        <v>455</v>
      </c>
      <c r="E739" s="3">
        <v>98708</v>
      </c>
      <c r="F739" s="3">
        <v>101972</v>
      </c>
      <c r="G739" s="57">
        <f t="shared" si="11"/>
        <v>3.3067228593427075E-2</v>
      </c>
      <c r="H739" s="5" t="s">
        <v>2056</v>
      </c>
    </row>
    <row r="740" spans="1:8" x14ac:dyDescent="0.2">
      <c r="A740" s="1" t="s">
        <v>4</v>
      </c>
      <c r="B740" s="2" t="s">
        <v>88</v>
      </c>
      <c r="C740" s="1"/>
      <c r="D740" s="5" t="s">
        <v>450</v>
      </c>
      <c r="E740" s="3">
        <v>138375</v>
      </c>
      <c r="F740" s="3">
        <v>134536</v>
      </c>
      <c r="G740" s="57">
        <f t="shared" si="11"/>
        <v>-2.7743450767841012E-2</v>
      </c>
      <c r="H740" s="5" t="s">
        <v>2057</v>
      </c>
    </row>
    <row r="741" spans="1:8" x14ac:dyDescent="0.2">
      <c r="A741" s="1" t="s">
        <v>4</v>
      </c>
      <c r="B741" s="2" t="s">
        <v>88</v>
      </c>
      <c r="C741" s="1"/>
      <c r="D741" s="5" t="s">
        <v>452</v>
      </c>
      <c r="E741" s="3">
        <v>88852</v>
      </c>
      <c r="F741" s="3">
        <v>100615</v>
      </c>
      <c r="G741" s="57">
        <f t="shared" si="11"/>
        <v>0.13238869130689235</v>
      </c>
      <c r="H741" s="5" t="s">
        <v>2058</v>
      </c>
    </row>
    <row r="742" spans="1:8" x14ac:dyDescent="0.2">
      <c r="A742" s="1" t="s">
        <v>4</v>
      </c>
      <c r="B742" s="2" t="s">
        <v>88</v>
      </c>
      <c r="C742" s="1"/>
      <c r="D742" s="5" t="s">
        <v>2059</v>
      </c>
      <c r="E742" s="3">
        <v>85948</v>
      </c>
      <c r="F742" s="3">
        <v>100434</v>
      </c>
      <c r="G742" s="57">
        <f t="shared" si="11"/>
        <v>0.16854377065202214</v>
      </c>
      <c r="H742" s="5" t="s">
        <v>2060</v>
      </c>
    </row>
    <row r="743" spans="1:8" x14ac:dyDescent="0.2">
      <c r="A743" s="1" t="s">
        <v>4</v>
      </c>
      <c r="B743" s="2" t="s">
        <v>88</v>
      </c>
      <c r="C743" s="1"/>
      <c r="D743" s="5" t="s">
        <v>2061</v>
      </c>
      <c r="E743" s="3">
        <v>86669</v>
      </c>
      <c r="F743" s="3">
        <v>120538</v>
      </c>
      <c r="G743" s="57">
        <f t="shared" si="11"/>
        <v>0.39078563269450439</v>
      </c>
      <c r="H743" s="5" t="s">
        <v>2062</v>
      </c>
    </row>
    <row r="744" spans="1:8" x14ac:dyDescent="0.2">
      <c r="A744" s="1" t="s">
        <v>4</v>
      </c>
      <c r="B744" s="2" t="s">
        <v>88</v>
      </c>
      <c r="C744" s="1"/>
      <c r="D744" s="5" t="s">
        <v>2063</v>
      </c>
      <c r="E744" s="3">
        <v>86963</v>
      </c>
      <c r="F744" s="3">
        <v>100511</v>
      </c>
      <c r="G744" s="57">
        <f t="shared" si="11"/>
        <v>0.15579039361567562</v>
      </c>
      <c r="H744" s="5" t="s">
        <v>2064</v>
      </c>
    </row>
    <row r="745" spans="1:8" x14ac:dyDescent="0.2">
      <c r="A745" s="1" t="s">
        <v>4</v>
      </c>
      <c r="B745" s="2" t="s">
        <v>88</v>
      </c>
      <c r="C745" s="1"/>
      <c r="D745" s="5" t="s">
        <v>942</v>
      </c>
      <c r="E745" s="3">
        <v>86489</v>
      </c>
      <c r="F745" s="3">
        <v>100511</v>
      </c>
      <c r="G745" s="57">
        <f t="shared" si="11"/>
        <v>0.16212466325197425</v>
      </c>
      <c r="H745" s="5" t="s">
        <v>2064</v>
      </c>
    </row>
    <row r="746" spans="1:8" x14ac:dyDescent="0.2">
      <c r="A746" s="1" t="s">
        <v>4</v>
      </c>
      <c r="B746" s="2" t="s">
        <v>88</v>
      </c>
      <c r="C746" s="1"/>
      <c r="D746" s="5" t="s">
        <v>464</v>
      </c>
      <c r="E746" s="3" t="s">
        <v>465</v>
      </c>
      <c r="F746" s="3">
        <v>237500</v>
      </c>
      <c r="G746" s="57" t="str">
        <f t="shared" si="11"/>
        <v>-</v>
      </c>
      <c r="H746" s="5" t="s">
        <v>2254</v>
      </c>
    </row>
    <row r="747" spans="1:8" x14ac:dyDescent="0.2">
      <c r="A747" s="1" t="s">
        <v>4</v>
      </c>
      <c r="B747" s="2" t="s">
        <v>88</v>
      </c>
      <c r="C747" s="1"/>
      <c r="D747" s="5" t="s">
        <v>464</v>
      </c>
      <c r="E747" s="3" t="s">
        <v>465</v>
      </c>
      <c r="F747" s="3">
        <v>237500</v>
      </c>
      <c r="G747" s="57" t="str">
        <f t="shared" si="11"/>
        <v>-</v>
      </c>
      <c r="H747" s="5" t="s">
        <v>2254</v>
      </c>
    </row>
    <row r="748" spans="1:8" ht="25.5" x14ac:dyDescent="0.2">
      <c r="A748" s="1" t="s">
        <v>4</v>
      </c>
      <c r="B748" s="2" t="s">
        <v>89</v>
      </c>
      <c r="C748" s="1"/>
      <c r="D748" s="5" t="s">
        <v>450</v>
      </c>
      <c r="E748" s="3">
        <v>132149</v>
      </c>
      <c r="F748" s="3">
        <v>132061</v>
      </c>
      <c r="G748" s="57">
        <f t="shared" si="11"/>
        <v>-6.6591498989776693E-4</v>
      </c>
      <c r="H748" s="5" t="s">
        <v>2065</v>
      </c>
    </row>
    <row r="749" spans="1:8" x14ac:dyDescent="0.2">
      <c r="A749" s="1" t="s">
        <v>6</v>
      </c>
      <c r="B749" s="2" t="s">
        <v>90</v>
      </c>
      <c r="C749" s="1"/>
      <c r="D749" s="5" t="s">
        <v>1874</v>
      </c>
      <c r="E749" s="3">
        <v>157144</v>
      </c>
      <c r="F749" s="3">
        <v>158004</v>
      </c>
      <c r="G749" s="57">
        <f t="shared" si="11"/>
        <v>5.472687471363845E-3</v>
      </c>
      <c r="H749" s="5" t="s">
        <v>2066</v>
      </c>
    </row>
    <row r="750" spans="1:8" s="13" customFormat="1" x14ac:dyDescent="0.2">
      <c r="A750" s="1" t="s">
        <v>6</v>
      </c>
      <c r="B750" s="12" t="s">
        <v>90</v>
      </c>
      <c r="D750" s="7" t="s">
        <v>2067</v>
      </c>
      <c r="E750" s="6" t="s">
        <v>465</v>
      </c>
      <c r="F750" s="6">
        <v>112931</v>
      </c>
      <c r="G750" s="57" t="str">
        <f t="shared" si="11"/>
        <v>-</v>
      </c>
      <c r="H750" s="7" t="s">
        <v>2068</v>
      </c>
    </row>
    <row r="751" spans="1:8" s="13" customFormat="1" ht="25.5" x14ac:dyDescent="0.2">
      <c r="A751" s="1" t="s">
        <v>6</v>
      </c>
      <c r="B751" s="12" t="s">
        <v>90</v>
      </c>
      <c r="D751" s="7" t="s">
        <v>501</v>
      </c>
      <c r="E751" s="6" t="s">
        <v>465</v>
      </c>
      <c r="F751" s="6">
        <v>112168</v>
      </c>
      <c r="G751" s="57" t="str">
        <f t="shared" si="11"/>
        <v>-</v>
      </c>
      <c r="H751" s="7" t="s">
        <v>2069</v>
      </c>
    </row>
    <row r="752" spans="1:8" s="13" customFormat="1" x14ac:dyDescent="0.2">
      <c r="A752" s="1" t="s">
        <v>6</v>
      </c>
      <c r="B752" s="12" t="s">
        <v>90</v>
      </c>
      <c r="D752" s="7" t="s">
        <v>2070</v>
      </c>
      <c r="E752" s="6" t="s">
        <v>465</v>
      </c>
      <c r="F752" s="6">
        <v>112121</v>
      </c>
      <c r="G752" s="57" t="str">
        <f t="shared" si="11"/>
        <v>-</v>
      </c>
      <c r="H752" s="7" t="s">
        <v>2071</v>
      </c>
    </row>
    <row r="753" spans="1:8" s="13" customFormat="1" x14ac:dyDescent="0.2">
      <c r="A753" s="1" t="s">
        <v>6</v>
      </c>
      <c r="B753" s="12" t="s">
        <v>90</v>
      </c>
      <c r="D753" s="7" t="s">
        <v>3831</v>
      </c>
      <c r="E753" s="6">
        <v>121450</v>
      </c>
      <c r="F753" s="6" t="s">
        <v>465</v>
      </c>
      <c r="G753" s="57" t="str">
        <f t="shared" si="11"/>
        <v>-</v>
      </c>
      <c r="H753" s="7"/>
    </row>
    <row r="754" spans="1:8" s="13" customFormat="1" x14ac:dyDescent="0.2">
      <c r="A754" s="1" t="s">
        <v>6</v>
      </c>
      <c r="B754" s="12" t="s">
        <v>90</v>
      </c>
      <c r="D754" s="7" t="s">
        <v>3832</v>
      </c>
      <c r="E754" s="6">
        <v>103330</v>
      </c>
      <c r="F754" s="6" t="s">
        <v>465</v>
      </c>
      <c r="G754" s="57" t="str">
        <f t="shared" si="11"/>
        <v>-</v>
      </c>
      <c r="H754" s="7"/>
    </row>
    <row r="755" spans="1:8" s="13" customFormat="1" ht="25.5" x14ac:dyDescent="0.2">
      <c r="A755" s="1" t="s">
        <v>6</v>
      </c>
      <c r="B755" s="12" t="s">
        <v>90</v>
      </c>
      <c r="D755" s="7" t="s">
        <v>3833</v>
      </c>
      <c r="E755" s="6">
        <v>103938</v>
      </c>
      <c r="F755" s="6" t="s">
        <v>465</v>
      </c>
      <c r="G755" s="57" t="str">
        <f t="shared" si="11"/>
        <v>-</v>
      </c>
      <c r="H755" s="7"/>
    </row>
    <row r="756" spans="1:8" x14ac:dyDescent="0.2">
      <c r="A756" s="1" t="s">
        <v>34</v>
      </c>
      <c r="B756" s="2" t="s">
        <v>91</v>
      </c>
      <c r="C756" s="1"/>
      <c r="D756" s="5" t="s">
        <v>450</v>
      </c>
      <c r="E756" s="3">
        <v>100687</v>
      </c>
      <c r="F756" s="3">
        <v>182960</v>
      </c>
      <c r="G756" s="57">
        <f t="shared" si="11"/>
        <v>0.8171164102615035</v>
      </c>
      <c r="H756" s="5" t="s">
        <v>2072</v>
      </c>
    </row>
    <row r="757" spans="1:8" x14ac:dyDescent="0.2">
      <c r="A757" s="1" t="s">
        <v>34</v>
      </c>
      <c r="B757" s="2" t="s">
        <v>91</v>
      </c>
      <c r="C757" s="1"/>
      <c r="D757" s="5" t="s">
        <v>3834</v>
      </c>
      <c r="E757" s="3">
        <v>81919</v>
      </c>
      <c r="F757" s="3">
        <v>211809</v>
      </c>
      <c r="G757" s="57">
        <f t="shared" si="11"/>
        <v>1.585590644417046</v>
      </c>
      <c r="H757" s="5" t="s">
        <v>2074</v>
      </c>
    </row>
    <row r="758" spans="1:8" x14ac:dyDescent="0.2">
      <c r="A758" s="1" t="s">
        <v>34</v>
      </c>
      <c r="B758" s="2" t="s">
        <v>91</v>
      </c>
      <c r="C758" s="1"/>
      <c r="D758" s="5" t="s">
        <v>570</v>
      </c>
      <c r="E758" s="3">
        <v>68645</v>
      </c>
      <c r="F758" s="3">
        <v>114324</v>
      </c>
      <c r="G758" s="57">
        <f t="shared" si="11"/>
        <v>0.66543812367980193</v>
      </c>
      <c r="H758" s="5" t="s">
        <v>2075</v>
      </c>
    </row>
    <row r="759" spans="1:8" x14ac:dyDescent="0.2">
      <c r="A759" s="1" t="s">
        <v>34</v>
      </c>
      <c r="B759" s="2" t="s">
        <v>91</v>
      </c>
      <c r="C759" s="1"/>
      <c r="D759" s="5" t="s">
        <v>718</v>
      </c>
      <c r="E759" s="3" t="s">
        <v>465</v>
      </c>
      <c r="F759" s="3">
        <v>102436</v>
      </c>
      <c r="G759" s="57" t="str">
        <f t="shared" si="11"/>
        <v>-</v>
      </c>
      <c r="H759" s="5" t="s">
        <v>2076</v>
      </c>
    </row>
    <row r="760" spans="1:8" s="13" customFormat="1" ht="25.5" x14ac:dyDescent="0.2">
      <c r="A760" s="13" t="s">
        <v>1</v>
      </c>
      <c r="B760" s="12" t="s">
        <v>92</v>
      </c>
      <c r="C760" s="13" t="s">
        <v>2246</v>
      </c>
      <c r="D760" s="7" t="s">
        <v>450</v>
      </c>
      <c r="E760" s="6">
        <f>158580+31711</f>
        <v>190291</v>
      </c>
      <c r="F760" s="6">
        <f>127888+36829</f>
        <v>164717</v>
      </c>
      <c r="G760" s="57">
        <f t="shared" si="11"/>
        <v>-0.1343941647266555</v>
      </c>
      <c r="H760" s="17" t="s">
        <v>4229</v>
      </c>
    </row>
    <row r="761" spans="1:8" ht="25.5" x14ac:dyDescent="0.2">
      <c r="A761" s="13" t="s">
        <v>1</v>
      </c>
      <c r="B761" s="12" t="s">
        <v>92</v>
      </c>
      <c r="C761" s="1" t="s">
        <v>2247</v>
      </c>
      <c r="D761" s="5" t="s">
        <v>4613</v>
      </c>
      <c r="E761" s="3">
        <f>137244+27449</f>
        <v>164693</v>
      </c>
      <c r="F761" s="3">
        <f>140676+28979</f>
        <v>169655</v>
      </c>
      <c r="G761" s="57">
        <f t="shared" si="11"/>
        <v>3.0128785072832481E-2</v>
      </c>
      <c r="H761" s="30" t="s">
        <v>3835</v>
      </c>
    </row>
    <row r="762" spans="1:8" ht="25.5" x14ac:dyDescent="0.2">
      <c r="A762" s="13" t="s">
        <v>1</v>
      </c>
      <c r="B762" s="12" t="s">
        <v>92</v>
      </c>
      <c r="C762" s="1" t="s">
        <v>2248</v>
      </c>
      <c r="D762" s="5" t="s">
        <v>2077</v>
      </c>
      <c r="E762" s="3">
        <f>120513+24103</f>
        <v>144616</v>
      </c>
      <c r="F762" s="3">
        <f>123525+25446</f>
        <v>148971</v>
      </c>
      <c r="G762" s="57">
        <f t="shared" si="11"/>
        <v>3.011423355645295E-2</v>
      </c>
      <c r="H762" s="30" t="s">
        <v>3836</v>
      </c>
    </row>
    <row r="763" spans="1:8" ht="25.5" x14ac:dyDescent="0.2">
      <c r="A763" s="13" t="s">
        <v>1</v>
      </c>
      <c r="B763" s="12" t="s">
        <v>92</v>
      </c>
      <c r="C763" s="1" t="s">
        <v>2249</v>
      </c>
      <c r="D763" s="5" t="s">
        <v>2078</v>
      </c>
      <c r="E763" s="3">
        <f>120513+24103</f>
        <v>144616</v>
      </c>
      <c r="F763" s="3">
        <f>123525+25446</f>
        <v>148971</v>
      </c>
      <c r="G763" s="57">
        <f t="shared" si="11"/>
        <v>3.011423355645295E-2</v>
      </c>
      <c r="H763" s="30" t="s">
        <v>3836</v>
      </c>
    </row>
    <row r="764" spans="1:8" ht="25.5" x14ac:dyDescent="0.2">
      <c r="A764" s="13" t="s">
        <v>1</v>
      </c>
      <c r="B764" s="12" t="s">
        <v>92</v>
      </c>
      <c r="C764" s="1" t="s">
        <v>2250</v>
      </c>
      <c r="D764" s="5" t="s">
        <v>2079</v>
      </c>
      <c r="E764" s="3">
        <f>120513+24967</f>
        <v>145480</v>
      </c>
      <c r="F764" s="3">
        <f>123525+25446</f>
        <v>148971</v>
      </c>
      <c r="G764" s="57">
        <f t="shared" si="11"/>
        <v>2.3996425625515534E-2</v>
      </c>
      <c r="H764" s="30" t="s">
        <v>3836</v>
      </c>
    </row>
    <row r="765" spans="1:8" ht="25.5" x14ac:dyDescent="0.2">
      <c r="A765" s="13" t="s">
        <v>1</v>
      </c>
      <c r="B765" s="12" t="s">
        <v>92</v>
      </c>
      <c r="C765" s="1" t="s">
        <v>2251</v>
      </c>
      <c r="D765" s="5" t="s">
        <v>2080</v>
      </c>
      <c r="E765" s="3">
        <f>120513+24103</f>
        <v>144616</v>
      </c>
      <c r="F765" s="3">
        <f>123525+25446</f>
        <v>148971</v>
      </c>
      <c r="G765" s="57">
        <f t="shared" si="11"/>
        <v>3.011423355645295E-2</v>
      </c>
      <c r="H765" s="30" t="s">
        <v>3836</v>
      </c>
    </row>
    <row r="766" spans="1:8" ht="25.5" x14ac:dyDescent="0.2">
      <c r="A766" s="13" t="s">
        <v>1</v>
      </c>
      <c r="B766" s="12" t="s">
        <v>92</v>
      </c>
      <c r="C766" s="1" t="s">
        <v>2252</v>
      </c>
      <c r="D766" s="5" t="s">
        <v>2253</v>
      </c>
      <c r="E766" s="3">
        <f>93726+18745</f>
        <v>112471</v>
      </c>
      <c r="F766" s="3">
        <f>97133+20009</f>
        <v>117142</v>
      </c>
      <c r="G766" s="57">
        <f t="shared" si="11"/>
        <v>4.1530705693023091E-2</v>
      </c>
      <c r="H766" s="30" t="s">
        <v>3837</v>
      </c>
    </row>
    <row r="767" spans="1:8" x14ac:dyDescent="0.2">
      <c r="A767" s="13" t="s">
        <v>1</v>
      </c>
      <c r="B767" s="12" t="s">
        <v>92</v>
      </c>
      <c r="C767" s="1"/>
      <c r="D767" s="5" t="s">
        <v>464</v>
      </c>
      <c r="E767" s="3">
        <v>102500</v>
      </c>
      <c r="F767" s="3" t="s">
        <v>465</v>
      </c>
      <c r="G767" s="57" t="str">
        <f t="shared" si="11"/>
        <v>-</v>
      </c>
      <c r="H767" s="16"/>
    </row>
    <row r="768" spans="1:8" x14ac:dyDescent="0.2">
      <c r="A768" s="13" t="s">
        <v>1</v>
      </c>
      <c r="B768" s="12" t="s">
        <v>92</v>
      </c>
      <c r="C768" s="1"/>
      <c r="D768" s="5" t="s">
        <v>464</v>
      </c>
      <c r="E768" s="3" t="s">
        <v>465</v>
      </c>
      <c r="F768" s="3">
        <v>102500</v>
      </c>
      <c r="G768" s="57" t="str">
        <f t="shared" si="11"/>
        <v>-</v>
      </c>
      <c r="H768" s="16"/>
    </row>
    <row r="769" spans="1:8" x14ac:dyDescent="0.2">
      <c r="A769" s="13" t="s">
        <v>1</v>
      </c>
      <c r="B769" s="12" t="s">
        <v>92</v>
      </c>
      <c r="C769" s="1"/>
      <c r="D769" s="5" t="s">
        <v>464</v>
      </c>
      <c r="E769" s="3" t="s">
        <v>465</v>
      </c>
      <c r="F769" s="3">
        <v>102500</v>
      </c>
      <c r="G769" s="57" t="str">
        <f t="shared" si="11"/>
        <v>-</v>
      </c>
      <c r="H769" s="16"/>
    </row>
    <row r="770" spans="1:8" x14ac:dyDescent="0.2">
      <c r="A770" s="13" t="s">
        <v>1</v>
      </c>
      <c r="B770" s="12" t="s">
        <v>92</v>
      </c>
      <c r="C770" s="1"/>
      <c r="D770" s="5" t="s">
        <v>464</v>
      </c>
      <c r="E770" s="3">
        <v>107500</v>
      </c>
      <c r="F770" s="3" t="s">
        <v>465</v>
      </c>
      <c r="G770" s="57" t="str">
        <f t="shared" si="11"/>
        <v>-</v>
      </c>
      <c r="H770" s="16"/>
    </row>
    <row r="771" spans="1:8" x14ac:dyDescent="0.2">
      <c r="A771" s="13" t="s">
        <v>1</v>
      </c>
      <c r="B771" s="12" t="s">
        <v>92</v>
      </c>
      <c r="C771" s="1"/>
      <c r="D771" s="5" t="s">
        <v>464</v>
      </c>
      <c r="E771" s="3" t="s">
        <v>465</v>
      </c>
      <c r="F771" s="3">
        <v>107500</v>
      </c>
      <c r="G771" s="57" t="str">
        <f t="shared" ref="G771:G834" si="12">IF(ISERROR((F771-E771)/E771),"-",(F771-E771)/E771)</f>
        <v>-</v>
      </c>
      <c r="H771" s="16"/>
    </row>
    <row r="772" spans="1:8" x14ac:dyDescent="0.2">
      <c r="A772" s="13" t="s">
        <v>1</v>
      </c>
      <c r="B772" s="12" t="s">
        <v>92</v>
      </c>
      <c r="C772" s="1"/>
      <c r="D772" s="5" t="s">
        <v>464</v>
      </c>
      <c r="E772" s="3" t="s">
        <v>465</v>
      </c>
      <c r="F772" s="3">
        <v>112500</v>
      </c>
      <c r="G772" s="57" t="str">
        <f t="shared" si="12"/>
        <v>-</v>
      </c>
      <c r="H772" s="16"/>
    </row>
    <row r="773" spans="1:8" x14ac:dyDescent="0.2">
      <c r="A773" s="13" t="s">
        <v>1</v>
      </c>
      <c r="B773" s="12" t="s">
        <v>92</v>
      </c>
      <c r="C773" s="1"/>
      <c r="D773" s="5" t="s">
        <v>464</v>
      </c>
      <c r="E773" s="3" t="s">
        <v>465</v>
      </c>
      <c r="F773" s="3">
        <v>112500</v>
      </c>
      <c r="G773" s="57" t="str">
        <f t="shared" si="12"/>
        <v>-</v>
      </c>
      <c r="H773" s="16"/>
    </row>
    <row r="774" spans="1:8" ht="63.75" x14ac:dyDescent="0.2">
      <c r="A774" s="1" t="s">
        <v>25</v>
      </c>
      <c r="B774" s="2" t="s">
        <v>93</v>
      </c>
      <c r="C774" s="1" t="s">
        <v>2221</v>
      </c>
      <c r="D774" s="5" t="s">
        <v>1358</v>
      </c>
      <c r="E774" s="3">
        <v>158000</v>
      </c>
      <c r="F774" s="3">
        <v>168000</v>
      </c>
      <c r="G774" s="57">
        <f t="shared" si="12"/>
        <v>6.3291139240506333E-2</v>
      </c>
      <c r="H774" s="5" t="s">
        <v>4230</v>
      </c>
    </row>
    <row r="775" spans="1:8" ht="76.5" x14ac:dyDescent="0.2">
      <c r="A775" s="1" t="s">
        <v>25</v>
      </c>
      <c r="B775" s="2" t="s">
        <v>93</v>
      </c>
      <c r="C775" s="1" t="s">
        <v>2222</v>
      </c>
      <c r="D775" s="5" t="s">
        <v>2223</v>
      </c>
      <c r="E775" s="3">
        <v>126000</v>
      </c>
      <c r="F775" s="3">
        <v>128000</v>
      </c>
      <c r="G775" s="57">
        <f t="shared" si="12"/>
        <v>1.5873015873015872E-2</v>
      </c>
      <c r="H775" s="5" t="s">
        <v>4231</v>
      </c>
    </row>
    <row r="776" spans="1:8" ht="51" x14ac:dyDescent="0.2">
      <c r="A776" s="1" t="s">
        <v>25</v>
      </c>
      <c r="B776" s="2" t="s">
        <v>93</v>
      </c>
      <c r="C776" s="1" t="s">
        <v>2224</v>
      </c>
      <c r="D776" s="5" t="s">
        <v>2225</v>
      </c>
      <c r="E776" s="3">
        <v>222000</v>
      </c>
      <c r="F776" s="3">
        <v>157000</v>
      </c>
      <c r="G776" s="57">
        <f t="shared" si="12"/>
        <v>-0.2927927927927928</v>
      </c>
      <c r="H776" s="5" t="s">
        <v>4232</v>
      </c>
    </row>
    <row r="777" spans="1:8" ht="25.5" x14ac:dyDescent="0.2">
      <c r="A777" s="1" t="s">
        <v>25</v>
      </c>
      <c r="B777" s="2" t="s">
        <v>93</v>
      </c>
      <c r="C777" s="1" t="s">
        <v>2226</v>
      </c>
      <c r="D777" s="5" t="s">
        <v>2227</v>
      </c>
      <c r="E777" s="3">
        <v>215000</v>
      </c>
      <c r="F777" s="3">
        <v>217000</v>
      </c>
      <c r="G777" s="57">
        <f t="shared" si="12"/>
        <v>9.3023255813953487E-3</v>
      </c>
      <c r="H777" s="5" t="s">
        <v>3838</v>
      </c>
    </row>
    <row r="778" spans="1:8" ht="76.5" x14ac:dyDescent="0.2">
      <c r="A778" s="1" t="s">
        <v>25</v>
      </c>
      <c r="B778" s="2" t="s">
        <v>93</v>
      </c>
      <c r="C778" s="1"/>
      <c r="D778" s="5" t="s">
        <v>2228</v>
      </c>
      <c r="E778" s="3">
        <v>149000</v>
      </c>
      <c r="F778" s="3">
        <v>152000</v>
      </c>
      <c r="G778" s="57">
        <f t="shared" si="12"/>
        <v>2.0134228187919462E-2</v>
      </c>
      <c r="H778" s="5" t="s">
        <v>4233</v>
      </c>
    </row>
    <row r="779" spans="1:8" s="13" customFormat="1" x14ac:dyDescent="0.2">
      <c r="A779" s="1" t="s">
        <v>25</v>
      </c>
      <c r="B779" s="12" t="s">
        <v>93</v>
      </c>
      <c r="D779" s="7" t="s">
        <v>3839</v>
      </c>
      <c r="E779" s="6">
        <v>114000</v>
      </c>
      <c r="F779" s="6" t="s">
        <v>465</v>
      </c>
      <c r="G779" s="57" t="str">
        <f t="shared" si="12"/>
        <v>-</v>
      </c>
      <c r="H779" s="7" t="s">
        <v>4234</v>
      </c>
    </row>
    <row r="780" spans="1:8" ht="38.25" x14ac:dyDescent="0.2">
      <c r="A780" s="1" t="s">
        <v>25</v>
      </c>
      <c r="B780" s="2" t="s">
        <v>93</v>
      </c>
      <c r="C780" s="1"/>
      <c r="D780" s="5" t="s">
        <v>3840</v>
      </c>
      <c r="E780" s="3">
        <v>15000</v>
      </c>
      <c r="F780" s="3">
        <v>146000</v>
      </c>
      <c r="G780" s="57">
        <f t="shared" si="12"/>
        <v>8.7333333333333325</v>
      </c>
      <c r="H780" s="5" t="s">
        <v>4235</v>
      </c>
    </row>
    <row r="781" spans="1:8" ht="38.25" x14ac:dyDescent="0.2">
      <c r="A781" s="1" t="s">
        <v>25</v>
      </c>
      <c r="B781" s="2" t="s">
        <v>93</v>
      </c>
      <c r="C781" s="1"/>
      <c r="D781" s="5" t="s">
        <v>2229</v>
      </c>
      <c r="E781" s="3">
        <v>101000</v>
      </c>
      <c r="F781" s="3">
        <v>115000</v>
      </c>
      <c r="G781" s="57">
        <f t="shared" si="12"/>
        <v>0.13861386138613863</v>
      </c>
      <c r="H781" s="5" t="s">
        <v>4236</v>
      </c>
    </row>
    <row r="782" spans="1:8" ht="25.5" x14ac:dyDescent="0.2">
      <c r="A782" s="1" t="s">
        <v>25</v>
      </c>
      <c r="B782" s="2" t="s">
        <v>93</v>
      </c>
      <c r="C782" s="1"/>
      <c r="D782" s="5" t="s">
        <v>2230</v>
      </c>
      <c r="E782" s="3">
        <v>153000</v>
      </c>
      <c r="F782" s="3">
        <v>154000</v>
      </c>
      <c r="G782" s="57">
        <f t="shared" si="12"/>
        <v>6.5359477124183009E-3</v>
      </c>
      <c r="H782" s="5" t="s">
        <v>3841</v>
      </c>
    </row>
    <row r="783" spans="1:8" ht="76.5" x14ac:dyDescent="0.2">
      <c r="A783" s="1" t="s">
        <v>25</v>
      </c>
      <c r="B783" s="2" t="s">
        <v>93</v>
      </c>
      <c r="C783" s="1"/>
      <c r="D783" s="5" t="s">
        <v>2231</v>
      </c>
      <c r="E783" s="3">
        <v>102000</v>
      </c>
      <c r="F783" s="3">
        <v>104000</v>
      </c>
      <c r="G783" s="57">
        <f t="shared" si="12"/>
        <v>1.9607843137254902E-2</v>
      </c>
      <c r="H783" s="5" t="s">
        <v>4237</v>
      </c>
    </row>
    <row r="784" spans="1:8" x14ac:dyDescent="0.2">
      <c r="A784" s="1" t="s">
        <v>25</v>
      </c>
      <c r="B784" s="2" t="s">
        <v>93</v>
      </c>
      <c r="C784" s="1"/>
      <c r="D784" s="5" t="s">
        <v>464</v>
      </c>
      <c r="E784" s="3" t="s">
        <v>465</v>
      </c>
      <c r="F784" s="3">
        <v>107500</v>
      </c>
      <c r="G784" s="57" t="str">
        <f t="shared" si="12"/>
        <v>-</v>
      </c>
    </row>
    <row r="785" spans="1:8" x14ac:dyDescent="0.2">
      <c r="A785" s="1" t="s">
        <v>25</v>
      </c>
      <c r="B785" s="2" t="s">
        <v>93</v>
      </c>
      <c r="C785" s="1"/>
      <c r="D785" s="5" t="s">
        <v>464</v>
      </c>
      <c r="E785" s="3">
        <v>117500</v>
      </c>
      <c r="F785" s="3" t="s">
        <v>465</v>
      </c>
      <c r="G785" s="57" t="str">
        <f t="shared" si="12"/>
        <v>-</v>
      </c>
    </row>
    <row r="786" spans="1:8" x14ac:dyDescent="0.2">
      <c r="A786" s="1" t="s">
        <v>25</v>
      </c>
      <c r="B786" s="2" t="s">
        <v>93</v>
      </c>
      <c r="C786" s="1"/>
      <c r="D786" s="5" t="s">
        <v>464</v>
      </c>
      <c r="E786" s="3" t="s">
        <v>465</v>
      </c>
      <c r="F786" s="3">
        <v>122500</v>
      </c>
      <c r="G786" s="57" t="str">
        <f t="shared" si="12"/>
        <v>-</v>
      </c>
    </row>
    <row r="787" spans="1:8" x14ac:dyDescent="0.2">
      <c r="A787" s="1" t="s">
        <v>25</v>
      </c>
      <c r="B787" s="2" t="s">
        <v>93</v>
      </c>
      <c r="C787" s="1"/>
      <c r="D787" s="5" t="s">
        <v>464</v>
      </c>
      <c r="E787" s="3">
        <v>122500</v>
      </c>
      <c r="F787" s="3" t="s">
        <v>465</v>
      </c>
      <c r="G787" s="57" t="str">
        <f t="shared" si="12"/>
        <v>-</v>
      </c>
    </row>
    <row r="788" spans="1:8" x14ac:dyDescent="0.2">
      <c r="A788" s="1" t="s">
        <v>25</v>
      </c>
      <c r="B788" s="2" t="s">
        <v>93</v>
      </c>
      <c r="C788" s="1"/>
      <c r="D788" s="5" t="s">
        <v>464</v>
      </c>
      <c r="E788" s="3" t="s">
        <v>465</v>
      </c>
      <c r="F788" s="3">
        <v>127500</v>
      </c>
      <c r="G788" s="57" t="str">
        <f t="shared" si="12"/>
        <v>-</v>
      </c>
    </row>
    <row r="789" spans="1:8" x14ac:dyDescent="0.2">
      <c r="A789" s="1" t="s">
        <v>25</v>
      </c>
      <c r="B789" s="2" t="s">
        <v>93</v>
      </c>
      <c r="C789" s="1"/>
      <c r="D789" s="5" t="s">
        <v>464</v>
      </c>
      <c r="E789" s="3" t="s">
        <v>465</v>
      </c>
      <c r="F789" s="3">
        <v>127500</v>
      </c>
      <c r="G789" s="57" t="str">
        <f t="shared" si="12"/>
        <v>-</v>
      </c>
    </row>
    <row r="790" spans="1:8" x14ac:dyDescent="0.2">
      <c r="A790" s="1" t="s">
        <v>25</v>
      </c>
      <c r="B790" s="2" t="s">
        <v>93</v>
      </c>
      <c r="C790" s="1"/>
      <c r="D790" s="5" t="s">
        <v>464</v>
      </c>
      <c r="E790" s="3">
        <v>127500</v>
      </c>
      <c r="F790" s="3" t="s">
        <v>465</v>
      </c>
      <c r="G790" s="57" t="str">
        <f t="shared" si="12"/>
        <v>-</v>
      </c>
    </row>
    <row r="791" spans="1:8" x14ac:dyDescent="0.2">
      <c r="A791" s="1" t="s">
        <v>25</v>
      </c>
      <c r="B791" s="2" t="s">
        <v>93</v>
      </c>
      <c r="C791" s="1"/>
      <c r="D791" s="5" t="s">
        <v>464</v>
      </c>
      <c r="E791" s="3">
        <v>137500</v>
      </c>
      <c r="F791" s="3" t="s">
        <v>465</v>
      </c>
      <c r="G791" s="57" t="str">
        <f t="shared" si="12"/>
        <v>-</v>
      </c>
    </row>
    <row r="792" spans="1:8" x14ac:dyDescent="0.2">
      <c r="A792" s="1" t="s">
        <v>25</v>
      </c>
      <c r="B792" s="2" t="s">
        <v>93</v>
      </c>
      <c r="C792" s="1"/>
      <c r="D792" s="5" t="s">
        <v>464</v>
      </c>
      <c r="E792" s="3">
        <v>152500</v>
      </c>
      <c r="F792" s="3" t="s">
        <v>465</v>
      </c>
      <c r="G792" s="57" t="str">
        <f t="shared" si="12"/>
        <v>-</v>
      </c>
    </row>
    <row r="793" spans="1:8" x14ac:dyDescent="0.2">
      <c r="A793" s="1" t="s">
        <v>25</v>
      </c>
      <c r="B793" s="2" t="s">
        <v>93</v>
      </c>
      <c r="C793" s="1"/>
      <c r="D793" s="5" t="s">
        <v>464</v>
      </c>
      <c r="E793" s="3" t="s">
        <v>465</v>
      </c>
      <c r="F793" s="3">
        <v>182500</v>
      </c>
      <c r="G793" s="57" t="str">
        <f t="shared" si="12"/>
        <v>-</v>
      </c>
    </row>
    <row r="794" spans="1:8" x14ac:dyDescent="0.2">
      <c r="A794" s="1" t="s">
        <v>25</v>
      </c>
      <c r="B794" s="2" t="s">
        <v>93</v>
      </c>
      <c r="C794" s="1"/>
      <c r="D794" s="5" t="s">
        <v>464</v>
      </c>
      <c r="E794" s="3">
        <v>182500</v>
      </c>
      <c r="F794" s="3" t="s">
        <v>465</v>
      </c>
      <c r="G794" s="57" t="str">
        <f t="shared" si="12"/>
        <v>-</v>
      </c>
    </row>
    <row r="795" spans="1:8" s="13" customFormat="1" ht="38.25" x14ac:dyDescent="0.2">
      <c r="A795" s="13" t="s">
        <v>1</v>
      </c>
      <c r="B795" s="12" t="s">
        <v>94</v>
      </c>
      <c r="C795" s="13" t="s">
        <v>2220</v>
      </c>
      <c r="D795" s="7" t="s">
        <v>450</v>
      </c>
      <c r="E795" s="6">
        <f>97095+2850+17451+513</f>
        <v>117909</v>
      </c>
      <c r="F795" s="6">
        <f>97095+3350+17224+620</f>
        <v>118289</v>
      </c>
      <c r="G795" s="57">
        <f t="shared" si="12"/>
        <v>3.2228243815145578E-3</v>
      </c>
      <c r="H795" s="7" t="s">
        <v>3842</v>
      </c>
    </row>
    <row r="796" spans="1:8" ht="25.5" x14ac:dyDescent="0.2">
      <c r="A796" s="1" t="s">
        <v>20</v>
      </c>
      <c r="B796" s="2" t="s">
        <v>95</v>
      </c>
      <c r="C796" s="1"/>
      <c r="D796" s="5" t="s">
        <v>450</v>
      </c>
      <c r="E796" s="3">
        <v>131518</v>
      </c>
      <c r="F796" s="3">
        <v>133813</v>
      </c>
      <c r="G796" s="57">
        <f t="shared" si="12"/>
        <v>1.745008287838927E-2</v>
      </c>
      <c r="H796" s="5" t="s">
        <v>3843</v>
      </c>
    </row>
    <row r="797" spans="1:8" ht="25.5" x14ac:dyDescent="0.2">
      <c r="A797" s="1" t="s">
        <v>20</v>
      </c>
      <c r="B797" s="2" t="s">
        <v>95</v>
      </c>
      <c r="C797" s="1"/>
      <c r="D797" s="5" t="s">
        <v>529</v>
      </c>
      <c r="E797" s="3">
        <v>104351</v>
      </c>
      <c r="F797" s="3">
        <v>105394</v>
      </c>
      <c r="G797" s="57">
        <f t="shared" si="12"/>
        <v>9.9951126486569359E-3</v>
      </c>
      <c r="H797" s="5" t="s">
        <v>3844</v>
      </c>
    </row>
    <row r="798" spans="1:8" s="13" customFormat="1" ht="25.5" x14ac:dyDescent="0.2">
      <c r="A798" s="1" t="s">
        <v>20</v>
      </c>
      <c r="B798" s="12" t="s">
        <v>95</v>
      </c>
      <c r="D798" s="7" t="s">
        <v>529</v>
      </c>
      <c r="E798" s="6">
        <v>104220</v>
      </c>
      <c r="F798" s="6">
        <v>105426</v>
      </c>
      <c r="G798" s="57">
        <f t="shared" si="12"/>
        <v>1.157167530224525E-2</v>
      </c>
      <c r="H798" s="7" t="s">
        <v>3845</v>
      </c>
    </row>
    <row r="799" spans="1:8" ht="25.5" x14ac:dyDescent="0.2">
      <c r="A799" s="1" t="s">
        <v>20</v>
      </c>
      <c r="B799" s="2" t="s">
        <v>95</v>
      </c>
      <c r="C799" s="1"/>
      <c r="D799" s="5" t="s">
        <v>529</v>
      </c>
      <c r="E799" s="3">
        <v>104252</v>
      </c>
      <c r="F799" s="3">
        <v>105394</v>
      </c>
      <c r="G799" s="57">
        <f t="shared" si="12"/>
        <v>1.0954226297816828E-2</v>
      </c>
      <c r="H799" s="5" t="s">
        <v>3844</v>
      </c>
    </row>
    <row r="800" spans="1:8" ht="25.5" x14ac:dyDescent="0.2">
      <c r="A800" s="1" t="s">
        <v>11</v>
      </c>
      <c r="B800" s="2" t="s">
        <v>96</v>
      </c>
      <c r="C800" s="29" t="s">
        <v>2697</v>
      </c>
      <c r="G800" s="57" t="str">
        <f t="shared" si="12"/>
        <v>-</v>
      </c>
    </row>
    <row r="801" spans="1:8" ht="25.5" x14ac:dyDescent="0.2">
      <c r="A801" s="1" t="s">
        <v>44</v>
      </c>
      <c r="B801" s="2" t="s">
        <v>97</v>
      </c>
      <c r="C801" s="1"/>
      <c r="D801" s="5" t="s">
        <v>450</v>
      </c>
      <c r="E801" s="3">
        <v>147452</v>
      </c>
      <c r="F801" s="3">
        <v>139032</v>
      </c>
      <c r="G801" s="57">
        <f t="shared" si="12"/>
        <v>-5.7103328540813285E-2</v>
      </c>
      <c r="H801" s="5" t="s">
        <v>3846</v>
      </c>
    </row>
    <row r="802" spans="1:8" ht="25.5" x14ac:dyDescent="0.2">
      <c r="A802" s="1" t="s">
        <v>44</v>
      </c>
      <c r="B802" s="2" t="s">
        <v>97</v>
      </c>
      <c r="C802" s="1"/>
      <c r="D802" s="5" t="s">
        <v>4592</v>
      </c>
      <c r="E802" s="3">
        <v>112145</v>
      </c>
      <c r="F802" s="3">
        <v>133319</v>
      </c>
      <c r="G802" s="57">
        <f t="shared" si="12"/>
        <v>0.1888091310357127</v>
      </c>
      <c r="H802" s="5" t="s">
        <v>3847</v>
      </c>
    </row>
    <row r="803" spans="1:8" ht="25.5" x14ac:dyDescent="0.2">
      <c r="A803" s="1" t="s">
        <v>44</v>
      </c>
      <c r="B803" s="2" t="s">
        <v>97</v>
      </c>
      <c r="C803" s="1"/>
      <c r="D803" s="5" t="s">
        <v>2218</v>
      </c>
      <c r="E803" s="3">
        <v>83034</v>
      </c>
      <c r="F803" s="3">
        <v>101457</v>
      </c>
      <c r="G803" s="57">
        <f t="shared" si="12"/>
        <v>0.22187296769997833</v>
      </c>
      <c r="H803" s="5" t="s">
        <v>3848</v>
      </c>
    </row>
    <row r="804" spans="1:8" ht="25.5" x14ac:dyDescent="0.2">
      <c r="A804" s="1" t="s">
        <v>44</v>
      </c>
      <c r="B804" s="2" t="s">
        <v>97</v>
      </c>
      <c r="C804" s="1"/>
      <c r="D804" s="5" t="s">
        <v>2219</v>
      </c>
      <c r="E804" s="3">
        <v>82991</v>
      </c>
      <c r="F804" s="3">
        <v>101143</v>
      </c>
      <c r="G804" s="57">
        <f t="shared" si="12"/>
        <v>0.21872251207962309</v>
      </c>
      <c r="H804" s="5" t="s">
        <v>3849</v>
      </c>
    </row>
    <row r="805" spans="1:8" ht="25.5" x14ac:dyDescent="0.2">
      <c r="A805" s="1" t="s">
        <v>11</v>
      </c>
      <c r="B805" s="2" t="s">
        <v>98</v>
      </c>
      <c r="C805" s="29" t="s">
        <v>2697</v>
      </c>
      <c r="G805" s="57" t="str">
        <f t="shared" si="12"/>
        <v>-</v>
      </c>
    </row>
    <row r="806" spans="1:8" ht="25.5" x14ac:dyDescent="0.2">
      <c r="A806" s="1" t="s">
        <v>6</v>
      </c>
      <c r="B806" s="2" t="s">
        <v>99</v>
      </c>
      <c r="C806" s="29" t="s">
        <v>2697</v>
      </c>
      <c r="G806" s="57" t="str">
        <f t="shared" si="12"/>
        <v>-</v>
      </c>
    </row>
    <row r="807" spans="1:8" ht="25.5" x14ac:dyDescent="0.2">
      <c r="A807" s="1" t="s">
        <v>8</v>
      </c>
      <c r="B807" s="2" t="s">
        <v>100</v>
      </c>
      <c r="C807" s="1"/>
      <c r="D807" s="5" t="s">
        <v>450</v>
      </c>
      <c r="E807" s="3">
        <v>120814</v>
      </c>
      <c r="F807" s="3">
        <v>123239</v>
      </c>
      <c r="G807" s="57">
        <f t="shared" si="12"/>
        <v>2.0072177065571871E-2</v>
      </c>
      <c r="H807" s="5" t="s">
        <v>3850</v>
      </c>
    </row>
    <row r="808" spans="1:8" ht="25.5" x14ac:dyDescent="0.2">
      <c r="A808" s="1" t="s">
        <v>8</v>
      </c>
      <c r="B808" s="2" t="s">
        <v>100</v>
      </c>
      <c r="C808" s="1"/>
      <c r="D808" s="5" t="s">
        <v>2216</v>
      </c>
      <c r="E808" s="3">
        <v>73535</v>
      </c>
      <c r="F808" s="3">
        <v>116779</v>
      </c>
      <c r="G808" s="57">
        <f t="shared" si="12"/>
        <v>0.58807370639831369</v>
      </c>
      <c r="H808" s="5" t="s">
        <v>3851</v>
      </c>
    </row>
    <row r="809" spans="1:8" ht="38.25" x14ac:dyDescent="0.2">
      <c r="A809" s="1" t="s">
        <v>8</v>
      </c>
      <c r="B809" s="2" t="s">
        <v>100</v>
      </c>
      <c r="C809" s="1"/>
      <c r="D809" s="5" t="s">
        <v>520</v>
      </c>
      <c r="E809" s="3">
        <v>76119</v>
      </c>
      <c r="F809" s="3">
        <v>103404</v>
      </c>
      <c r="G809" s="57">
        <f t="shared" si="12"/>
        <v>0.35845189768651714</v>
      </c>
      <c r="H809" s="5" t="s">
        <v>3852</v>
      </c>
    </row>
    <row r="810" spans="1:8" ht="38.25" x14ac:dyDescent="0.2">
      <c r="A810" s="1" t="s">
        <v>8</v>
      </c>
      <c r="B810" s="2" t="s">
        <v>100</v>
      </c>
      <c r="C810" s="1"/>
      <c r="D810" s="5" t="s">
        <v>2217</v>
      </c>
      <c r="E810" s="3">
        <v>74882</v>
      </c>
      <c r="F810" s="3">
        <v>106060</v>
      </c>
      <c r="G810" s="57">
        <f t="shared" si="12"/>
        <v>0.41636174247482705</v>
      </c>
      <c r="H810" s="5" t="s">
        <v>3853</v>
      </c>
    </row>
    <row r="811" spans="1:8" ht="51" x14ac:dyDescent="0.2">
      <c r="A811" s="1" t="s">
        <v>34</v>
      </c>
      <c r="B811" s="2" t="s">
        <v>101</v>
      </c>
      <c r="C811" s="1" t="s">
        <v>2210</v>
      </c>
      <c r="D811" s="5" t="s">
        <v>450</v>
      </c>
      <c r="E811" s="3">
        <v>238800</v>
      </c>
      <c r="F811" s="3">
        <v>245342</v>
      </c>
      <c r="G811" s="57">
        <f t="shared" si="12"/>
        <v>2.739530988274707E-2</v>
      </c>
      <c r="H811" s="5" t="s">
        <v>4238</v>
      </c>
    </row>
    <row r="812" spans="1:8" ht="76.5" x14ac:dyDescent="0.2">
      <c r="A812" s="1" t="s">
        <v>34</v>
      </c>
      <c r="B812" s="2" t="s">
        <v>101</v>
      </c>
      <c r="C812" s="1"/>
      <c r="D812" s="5" t="s">
        <v>451</v>
      </c>
      <c r="E812" s="3">
        <v>131340</v>
      </c>
      <c r="F812" s="3">
        <v>112716</v>
      </c>
      <c r="G812" s="57">
        <f t="shared" si="12"/>
        <v>-0.14179990863407949</v>
      </c>
      <c r="H812" s="5" t="s">
        <v>4239</v>
      </c>
    </row>
    <row r="813" spans="1:8" ht="51" x14ac:dyDescent="0.2">
      <c r="A813" s="1" t="s">
        <v>34</v>
      </c>
      <c r="B813" s="2" t="s">
        <v>101</v>
      </c>
      <c r="C813" s="1"/>
      <c r="D813" s="5" t="s">
        <v>2211</v>
      </c>
      <c r="E813" s="3">
        <v>143280</v>
      </c>
      <c r="F813" s="3">
        <v>156618</v>
      </c>
      <c r="G813" s="57">
        <f t="shared" si="12"/>
        <v>9.3090452261306536E-2</v>
      </c>
      <c r="H813" s="5" t="s">
        <v>4614</v>
      </c>
    </row>
    <row r="814" spans="1:8" ht="25.5" x14ac:dyDescent="0.2">
      <c r="A814" s="1" t="s">
        <v>34</v>
      </c>
      <c r="B814" s="2" t="s">
        <v>101</v>
      </c>
      <c r="C814" s="1"/>
      <c r="D814" s="5" t="s">
        <v>2212</v>
      </c>
      <c r="E814" s="3">
        <v>167160</v>
      </c>
      <c r="F814" s="3">
        <v>167257</v>
      </c>
      <c r="G814" s="57">
        <f t="shared" si="12"/>
        <v>5.8028236420196221E-4</v>
      </c>
      <c r="H814" s="5" t="s">
        <v>3854</v>
      </c>
    </row>
    <row r="815" spans="1:8" s="13" customFormat="1" ht="25.5" x14ac:dyDescent="0.2">
      <c r="A815" s="1" t="s">
        <v>34</v>
      </c>
      <c r="B815" s="12" t="s">
        <v>101</v>
      </c>
      <c r="D815" s="7" t="s">
        <v>3855</v>
      </c>
      <c r="E815" s="6">
        <v>231274</v>
      </c>
      <c r="F815" s="6">
        <v>69649</v>
      </c>
      <c r="G815" s="57">
        <f t="shared" si="12"/>
        <v>-0.69884638999628146</v>
      </c>
      <c r="H815" s="7" t="s">
        <v>4240</v>
      </c>
    </row>
    <row r="816" spans="1:8" ht="38.25" x14ac:dyDescent="0.2">
      <c r="A816" s="1" t="s">
        <v>34</v>
      </c>
      <c r="B816" s="2" t="s">
        <v>101</v>
      </c>
      <c r="C816" s="1"/>
      <c r="D816" s="5" t="s">
        <v>2213</v>
      </c>
      <c r="E816" s="3">
        <v>107266</v>
      </c>
      <c r="F816" s="3">
        <v>117734</v>
      </c>
      <c r="G816" s="57">
        <f t="shared" si="12"/>
        <v>9.7589170846307305E-2</v>
      </c>
      <c r="H816" s="5" t="s">
        <v>4241</v>
      </c>
    </row>
    <row r="817" spans="1:8" ht="51" x14ac:dyDescent="0.2">
      <c r="A817" s="1" t="s">
        <v>34</v>
      </c>
      <c r="B817" s="2" t="s">
        <v>101</v>
      </c>
      <c r="C817" s="1"/>
      <c r="D817" s="5" t="s">
        <v>2214</v>
      </c>
      <c r="E817" s="3">
        <v>155220</v>
      </c>
      <c r="F817" s="3">
        <v>162967</v>
      </c>
      <c r="G817" s="57">
        <f t="shared" si="12"/>
        <v>4.9909805437443631E-2</v>
      </c>
      <c r="H817" s="5" t="s">
        <v>4615</v>
      </c>
    </row>
    <row r="818" spans="1:8" ht="38.25" x14ac:dyDescent="0.2">
      <c r="A818" s="1" t="s">
        <v>34</v>
      </c>
      <c r="B818" s="2" t="s">
        <v>101</v>
      </c>
      <c r="C818" s="1"/>
      <c r="D818" s="5" t="s">
        <v>2215</v>
      </c>
      <c r="E818" s="3">
        <v>77610</v>
      </c>
      <c r="F818" s="3">
        <v>145141</v>
      </c>
      <c r="G818" s="57">
        <f t="shared" si="12"/>
        <v>0.87013271485633292</v>
      </c>
      <c r="H818" s="5" t="s">
        <v>4242</v>
      </c>
    </row>
    <row r="819" spans="1:8" s="13" customFormat="1" x14ac:dyDescent="0.2">
      <c r="A819" s="1" t="s">
        <v>34</v>
      </c>
      <c r="B819" s="12" t="s">
        <v>101</v>
      </c>
      <c r="D819" s="7" t="s">
        <v>464</v>
      </c>
      <c r="E819" s="6" t="s">
        <v>465</v>
      </c>
      <c r="F819" s="6">
        <v>102500</v>
      </c>
      <c r="G819" s="57" t="str">
        <f t="shared" si="12"/>
        <v>-</v>
      </c>
      <c r="H819" s="7"/>
    </row>
    <row r="820" spans="1:8" s="13" customFormat="1" x14ac:dyDescent="0.2">
      <c r="A820" s="1" t="s">
        <v>34</v>
      </c>
      <c r="B820" s="12" t="s">
        <v>101</v>
      </c>
      <c r="D820" s="7" t="s">
        <v>464</v>
      </c>
      <c r="E820" s="6" t="s">
        <v>465</v>
      </c>
      <c r="F820" s="6">
        <v>102500</v>
      </c>
      <c r="G820" s="57" t="str">
        <f t="shared" si="12"/>
        <v>-</v>
      </c>
      <c r="H820" s="7"/>
    </row>
    <row r="821" spans="1:8" s="13" customFormat="1" x14ac:dyDescent="0.2">
      <c r="A821" s="1" t="s">
        <v>34</v>
      </c>
      <c r="B821" s="12" t="s">
        <v>101</v>
      </c>
      <c r="D821" s="7" t="s">
        <v>464</v>
      </c>
      <c r="E821" s="6">
        <v>102500</v>
      </c>
      <c r="F821" s="6" t="s">
        <v>465</v>
      </c>
      <c r="G821" s="57" t="str">
        <f t="shared" si="12"/>
        <v>-</v>
      </c>
      <c r="H821" s="7"/>
    </row>
    <row r="822" spans="1:8" s="13" customFormat="1" x14ac:dyDescent="0.2">
      <c r="A822" s="1" t="s">
        <v>34</v>
      </c>
      <c r="B822" s="12" t="s">
        <v>101</v>
      </c>
      <c r="D822" s="7" t="s">
        <v>464</v>
      </c>
      <c r="E822" s="6">
        <v>102500</v>
      </c>
      <c r="F822" s="6" t="s">
        <v>465</v>
      </c>
      <c r="G822" s="57" t="str">
        <f t="shared" si="12"/>
        <v>-</v>
      </c>
      <c r="H822" s="7"/>
    </row>
    <row r="823" spans="1:8" s="13" customFormat="1" x14ac:dyDescent="0.2">
      <c r="A823" s="1" t="s">
        <v>34</v>
      </c>
      <c r="B823" s="12" t="s">
        <v>101</v>
      </c>
      <c r="D823" s="7" t="s">
        <v>464</v>
      </c>
      <c r="E823" s="6">
        <v>102500</v>
      </c>
      <c r="F823" s="6" t="s">
        <v>465</v>
      </c>
      <c r="G823" s="57" t="str">
        <f t="shared" si="12"/>
        <v>-</v>
      </c>
      <c r="H823" s="7"/>
    </row>
    <row r="824" spans="1:8" s="13" customFormat="1" x14ac:dyDescent="0.2">
      <c r="A824" s="1" t="s">
        <v>34</v>
      </c>
      <c r="B824" s="12" t="s">
        <v>101</v>
      </c>
      <c r="D824" s="7" t="s">
        <v>464</v>
      </c>
      <c r="E824" s="6">
        <v>102500</v>
      </c>
      <c r="F824" s="6" t="s">
        <v>465</v>
      </c>
      <c r="G824" s="57" t="str">
        <f t="shared" si="12"/>
        <v>-</v>
      </c>
      <c r="H824" s="7"/>
    </row>
    <row r="825" spans="1:8" s="13" customFormat="1" x14ac:dyDescent="0.2">
      <c r="A825" s="1" t="s">
        <v>34</v>
      </c>
      <c r="B825" s="12" t="s">
        <v>101</v>
      </c>
      <c r="D825" s="7" t="s">
        <v>464</v>
      </c>
      <c r="E825" s="6">
        <v>102500</v>
      </c>
      <c r="F825" s="6" t="s">
        <v>465</v>
      </c>
      <c r="G825" s="57" t="str">
        <f t="shared" si="12"/>
        <v>-</v>
      </c>
      <c r="H825" s="7"/>
    </row>
    <row r="826" spans="1:8" s="13" customFormat="1" x14ac:dyDescent="0.2">
      <c r="A826" s="1" t="s">
        <v>34</v>
      </c>
      <c r="B826" s="12" t="s">
        <v>101</v>
      </c>
      <c r="D826" s="7" t="s">
        <v>464</v>
      </c>
      <c r="E826" s="6">
        <v>112500</v>
      </c>
      <c r="F826" s="6" t="s">
        <v>465</v>
      </c>
      <c r="G826" s="57" t="str">
        <f t="shared" si="12"/>
        <v>-</v>
      </c>
      <c r="H826" s="7"/>
    </row>
    <row r="827" spans="1:8" s="13" customFormat="1" x14ac:dyDescent="0.2">
      <c r="A827" s="1" t="s">
        <v>34</v>
      </c>
      <c r="B827" s="12" t="s">
        <v>101</v>
      </c>
      <c r="D827" s="7" t="s">
        <v>464</v>
      </c>
      <c r="E827" s="6">
        <v>117500</v>
      </c>
      <c r="F827" s="6" t="s">
        <v>465</v>
      </c>
      <c r="G827" s="57" t="str">
        <f t="shared" si="12"/>
        <v>-</v>
      </c>
      <c r="H827" s="7"/>
    </row>
    <row r="828" spans="1:8" s="13" customFormat="1" x14ac:dyDescent="0.2">
      <c r="A828" s="1" t="s">
        <v>34</v>
      </c>
      <c r="B828" s="12" t="s">
        <v>101</v>
      </c>
      <c r="D828" s="7" t="s">
        <v>464</v>
      </c>
      <c r="E828" s="6">
        <v>117500</v>
      </c>
      <c r="F828" s="6" t="s">
        <v>465</v>
      </c>
      <c r="G828" s="57" t="str">
        <f t="shared" si="12"/>
        <v>-</v>
      </c>
      <c r="H828" s="7"/>
    </row>
    <row r="829" spans="1:8" s="13" customFormat="1" x14ac:dyDescent="0.2">
      <c r="A829" s="1" t="s">
        <v>34</v>
      </c>
      <c r="B829" s="12" t="s">
        <v>101</v>
      </c>
      <c r="D829" s="7" t="s">
        <v>464</v>
      </c>
      <c r="E829" s="6">
        <v>117500</v>
      </c>
      <c r="F829" s="6" t="s">
        <v>465</v>
      </c>
      <c r="G829" s="57" t="str">
        <f t="shared" si="12"/>
        <v>-</v>
      </c>
      <c r="H829" s="7"/>
    </row>
    <row r="830" spans="1:8" s="13" customFormat="1" x14ac:dyDescent="0.2">
      <c r="A830" s="1" t="s">
        <v>34</v>
      </c>
      <c r="B830" s="12" t="s">
        <v>101</v>
      </c>
      <c r="D830" s="7" t="s">
        <v>464</v>
      </c>
      <c r="E830" s="6">
        <v>122500</v>
      </c>
      <c r="F830" s="6" t="s">
        <v>465</v>
      </c>
      <c r="G830" s="57" t="str">
        <f t="shared" si="12"/>
        <v>-</v>
      </c>
      <c r="H830" s="7"/>
    </row>
    <row r="831" spans="1:8" s="13" customFormat="1" x14ac:dyDescent="0.2">
      <c r="A831" s="1" t="s">
        <v>34</v>
      </c>
      <c r="B831" s="12" t="s">
        <v>101</v>
      </c>
      <c r="D831" s="7" t="s">
        <v>464</v>
      </c>
      <c r="E831" s="6">
        <v>122500</v>
      </c>
      <c r="F831" s="6" t="s">
        <v>465</v>
      </c>
      <c r="G831" s="57" t="str">
        <f t="shared" si="12"/>
        <v>-</v>
      </c>
      <c r="H831" s="7"/>
    </row>
    <row r="832" spans="1:8" s="13" customFormat="1" x14ac:dyDescent="0.2">
      <c r="A832" s="1" t="s">
        <v>34</v>
      </c>
      <c r="B832" s="12" t="s">
        <v>101</v>
      </c>
      <c r="D832" s="7" t="s">
        <v>464</v>
      </c>
      <c r="E832" s="6">
        <v>122500</v>
      </c>
      <c r="F832" s="6" t="s">
        <v>465</v>
      </c>
      <c r="G832" s="57" t="str">
        <f t="shared" si="12"/>
        <v>-</v>
      </c>
      <c r="H832" s="7"/>
    </row>
    <row r="833" spans="1:8" s="13" customFormat="1" x14ac:dyDescent="0.2">
      <c r="A833" s="1" t="s">
        <v>34</v>
      </c>
      <c r="B833" s="12" t="s">
        <v>101</v>
      </c>
      <c r="D833" s="7" t="s">
        <v>464</v>
      </c>
      <c r="E833" s="6">
        <v>122500</v>
      </c>
      <c r="F833" s="6" t="s">
        <v>465</v>
      </c>
      <c r="G833" s="57" t="str">
        <f t="shared" si="12"/>
        <v>-</v>
      </c>
      <c r="H833" s="7"/>
    </row>
    <row r="834" spans="1:8" s="13" customFormat="1" x14ac:dyDescent="0.2">
      <c r="A834" s="1" t="s">
        <v>34</v>
      </c>
      <c r="B834" s="12" t="s">
        <v>101</v>
      </c>
      <c r="D834" s="7" t="s">
        <v>464</v>
      </c>
      <c r="E834" s="6">
        <v>122500</v>
      </c>
      <c r="F834" s="6" t="s">
        <v>465</v>
      </c>
      <c r="G834" s="57" t="str">
        <f t="shared" si="12"/>
        <v>-</v>
      </c>
      <c r="H834" s="7"/>
    </row>
    <row r="835" spans="1:8" s="13" customFormat="1" x14ac:dyDescent="0.2">
      <c r="A835" s="1" t="s">
        <v>34</v>
      </c>
      <c r="B835" s="12" t="s">
        <v>101</v>
      </c>
      <c r="D835" s="7" t="s">
        <v>464</v>
      </c>
      <c r="E835" s="6">
        <v>122500</v>
      </c>
      <c r="F835" s="6" t="s">
        <v>465</v>
      </c>
      <c r="G835" s="57" t="str">
        <f t="shared" ref="G835:G898" si="13">IF(ISERROR((F835-E835)/E835),"-",(F835-E835)/E835)</f>
        <v>-</v>
      </c>
      <c r="H835" s="7"/>
    </row>
    <row r="836" spans="1:8" s="13" customFormat="1" x14ac:dyDescent="0.2">
      <c r="A836" s="1" t="s">
        <v>34</v>
      </c>
      <c r="B836" s="12" t="s">
        <v>101</v>
      </c>
      <c r="D836" s="7" t="s">
        <v>464</v>
      </c>
      <c r="E836" s="6" t="s">
        <v>465</v>
      </c>
      <c r="F836" s="6">
        <v>122500</v>
      </c>
      <c r="G836" s="57" t="str">
        <f t="shared" si="13"/>
        <v>-</v>
      </c>
      <c r="H836" s="7"/>
    </row>
    <row r="837" spans="1:8" s="13" customFormat="1" x14ac:dyDescent="0.2">
      <c r="A837" s="1" t="s">
        <v>34</v>
      </c>
      <c r="B837" s="12" t="s">
        <v>101</v>
      </c>
      <c r="D837" s="7" t="s">
        <v>464</v>
      </c>
      <c r="E837" s="6">
        <v>127500</v>
      </c>
      <c r="F837" s="6" t="s">
        <v>465</v>
      </c>
      <c r="G837" s="57" t="str">
        <f t="shared" si="13"/>
        <v>-</v>
      </c>
      <c r="H837" s="7"/>
    </row>
    <row r="838" spans="1:8" s="13" customFormat="1" x14ac:dyDescent="0.2">
      <c r="A838" s="1" t="s">
        <v>34</v>
      </c>
      <c r="B838" s="12" t="s">
        <v>101</v>
      </c>
      <c r="D838" s="7" t="s">
        <v>464</v>
      </c>
      <c r="E838" s="6">
        <v>127500</v>
      </c>
      <c r="F838" s="6" t="s">
        <v>465</v>
      </c>
      <c r="G838" s="57" t="str">
        <f t="shared" si="13"/>
        <v>-</v>
      </c>
      <c r="H838" s="7"/>
    </row>
    <row r="839" spans="1:8" s="13" customFormat="1" x14ac:dyDescent="0.2">
      <c r="A839" s="1" t="s">
        <v>34</v>
      </c>
      <c r="B839" s="12" t="s">
        <v>101</v>
      </c>
      <c r="D839" s="7" t="s">
        <v>464</v>
      </c>
      <c r="E839" s="6">
        <v>127500</v>
      </c>
      <c r="F839" s="6" t="s">
        <v>465</v>
      </c>
      <c r="G839" s="57" t="str">
        <f t="shared" si="13"/>
        <v>-</v>
      </c>
      <c r="H839" s="7"/>
    </row>
    <row r="840" spans="1:8" s="13" customFormat="1" x14ac:dyDescent="0.2">
      <c r="A840" s="1" t="s">
        <v>34</v>
      </c>
      <c r="B840" s="12" t="s">
        <v>101</v>
      </c>
      <c r="D840" s="7" t="s">
        <v>464</v>
      </c>
      <c r="E840" s="6">
        <v>127500</v>
      </c>
      <c r="F840" s="6" t="s">
        <v>465</v>
      </c>
      <c r="G840" s="57" t="str">
        <f t="shared" si="13"/>
        <v>-</v>
      </c>
      <c r="H840" s="7"/>
    </row>
    <row r="841" spans="1:8" s="13" customFormat="1" x14ac:dyDescent="0.2">
      <c r="A841" s="1" t="s">
        <v>34</v>
      </c>
      <c r="B841" s="12" t="s">
        <v>101</v>
      </c>
      <c r="D841" s="7" t="s">
        <v>464</v>
      </c>
      <c r="E841" s="6" t="s">
        <v>465</v>
      </c>
      <c r="F841" s="6">
        <v>132500</v>
      </c>
      <c r="G841" s="57" t="str">
        <f t="shared" si="13"/>
        <v>-</v>
      </c>
      <c r="H841" s="7"/>
    </row>
    <row r="842" spans="1:8" s="13" customFormat="1" x14ac:dyDescent="0.2">
      <c r="A842" s="1" t="s">
        <v>34</v>
      </c>
      <c r="B842" s="12" t="s">
        <v>101</v>
      </c>
      <c r="D842" s="7" t="s">
        <v>464</v>
      </c>
      <c r="E842" s="6">
        <v>137500</v>
      </c>
      <c r="F842" s="6" t="s">
        <v>465</v>
      </c>
      <c r="G842" s="57" t="str">
        <f t="shared" si="13"/>
        <v>-</v>
      </c>
      <c r="H842" s="7"/>
    </row>
    <row r="843" spans="1:8" s="13" customFormat="1" x14ac:dyDescent="0.2">
      <c r="A843" s="1" t="s">
        <v>34</v>
      </c>
      <c r="B843" s="12" t="s">
        <v>101</v>
      </c>
      <c r="D843" s="7" t="s">
        <v>464</v>
      </c>
      <c r="E843" s="6">
        <v>137500</v>
      </c>
      <c r="F843" s="6" t="s">
        <v>465</v>
      </c>
      <c r="G843" s="57" t="str">
        <f t="shared" si="13"/>
        <v>-</v>
      </c>
      <c r="H843" s="7"/>
    </row>
    <row r="844" spans="1:8" s="13" customFormat="1" x14ac:dyDescent="0.2">
      <c r="A844" s="1" t="s">
        <v>34</v>
      </c>
      <c r="B844" s="12" t="s">
        <v>101</v>
      </c>
      <c r="D844" s="7" t="s">
        <v>464</v>
      </c>
      <c r="E844" s="6">
        <v>142500</v>
      </c>
      <c r="F844" s="6" t="s">
        <v>465</v>
      </c>
      <c r="G844" s="57" t="str">
        <f t="shared" si="13"/>
        <v>-</v>
      </c>
      <c r="H844" s="7"/>
    </row>
    <row r="845" spans="1:8" s="13" customFormat="1" x14ac:dyDescent="0.2">
      <c r="A845" s="1" t="s">
        <v>34</v>
      </c>
      <c r="B845" s="12" t="s">
        <v>101</v>
      </c>
      <c r="D845" s="7" t="s">
        <v>464</v>
      </c>
      <c r="E845" s="6">
        <v>147500</v>
      </c>
      <c r="F845" s="6" t="s">
        <v>465</v>
      </c>
      <c r="G845" s="57" t="str">
        <f t="shared" si="13"/>
        <v>-</v>
      </c>
      <c r="H845" s="7"/>
    </row>
    <row r="846" spans="1:8" s="13" customFormat="1" x14ac:dyDescent="0.2">
      <c r="A846" s="1" t="s">
        <v>34</v>
      </c>
      <c r="B846" s="12" t="s">
        <v>101</v>
      </c>
      <c r="D846" s="7" t="s">
        <v>464</v>
      </c>
      <c r="E846" s="6">
        <v>157500</v>
      </c>
      <c r="F846" s="6" t="s">
        <v>465</v>
      </c>
      <c r="G846" s="57" t="str">
        <f t="shared" si="13"/>
        <v>-</v>
      </c>
      <c r="H846" s="7"/>
    </row>
    <row r="847" spans="1:8" s="13" customFormat="1" x14ac:dyDescent="0.2">
      <c r="A847" s="1" t="s">
        <v>34</v>
      </c>
      <c r="B847" s="12" t="s">
        <v>101</v>
      </c>
      <c r="D847" s="7" t="s">
        <v>464</v>
      </c>
      <c r="E847" s="6">
        <v>187500</v>
      </c>
      <c r="F847" s="6" t="s">
        <v>465</v>
      </c>
      <c r="G847" s="57" t="str">
        <f t="shared" si="13"/>
        <v>-</v>
      </c>
      <c r="H847" s="7"/>
    </row>
    <row r="848" spans="1:8" ht="63.75" x14ac:dyDescent="0.2">
      <c r="A848" s="1" t="s">
        <v>34</v>
      </c>
      <c r="B848" s="2" t="s">
        <v>102</v>
      </c>
      <c r="C848" s="29" t="s">
        <v>4243</v>
      </c>
      <c r="G848" s="57" t="str">
        <f t="shared" si="13"/>
        <v>-</v>
      </c>
    </row>
    <row r="849" spans="1:8" ht="25.5" x14ac:dyDescent="0.2">
      <c r="A849" s="1" t="s">
        <v>39</v>
      </c>
      <c r="B849" s="2" t="s">
        <v>103</v>
      </c>
      <c r="C849" s="1" t="s">
        <v>2204</v>
      </c>
      <c r="D849" s="5" t="s">
        <v>450</v>
      </c>
      <c r="E849" s="3">
        <v>221949</v>
      </c>
      <c r="F849" s="3">
        <v>216854</v>
      </c>
      <c r="G849" s="57">
        <f t="shared" si="13"/>
        <v>-2.2955724062735133E-2</v>
      </c>
      <c r="H849" s="5" t="s">
        <v>4244</v>
      </c>
    </row>
    <row r="850" spans="1:8" s="13" customFormat="1" ht="25.5" x14ac:dyDescent="0.2">
      <c r="A850" s="1" t="s">
        <v>39</v>
      </c>
      <c r="B850" s="12" t="s">
        <v>103</v>
      </c>
      <c r="D850" s="7" t="s">
        <v>2205</v>
      </c>
      <c r="E850" s="6">
        <v>145875</v>
      </c>
      <c r="F850" s="6">
        <v>144679</v>
      </c>
      <c r="G850" s="57">
        <f t="shared" si="13"/>
        <v>-8.1988003427592125E-3</v>
      </c>
      <c r="H850" s="7" t="s">
        <v>4245</v>
      </c>
    </row>
    <row r="851" spans="1:8" s="13" customFormat="1" ht="25.5" x14ac:dyDescent="0.2">
      <c r="A851" s="1" t="s">
        <v>39</v>
      </c>
      <c r="B851" s="12" t="s">
        <v>103</v>
      </c>
      <c r="D851" s="7" t="s">
        <v>2207</v>
      </c>
      <c r="E851" s="6">
        <v>124356</v>
      </c>
      <c r="F851" s="6">
        <v>132100</v>
      </c>
      <c r="G851" s="57">
        <f t="shared" si="13"/>
        <v>6.2272829618192929E-2</v>
      </c>
      <c r="H851" s="7" t="s">
        <v>4246</v>
      </c>
    </row>
    <row r="852" spans="1:8" ht="25.5" x14ac:dyDescent="0.2">
      <c r="A852" s="1" t="s">
        <v>39</v>
      </c>
      <c r="B852" s="2" t="s">
        <v>103</v>
      </c>
      <c r="C852" s="1"/>
      <c r="D852" s="5" t="s">
        <v>2206</v>
      </c>
      <c r="E852" s="3">
        <v>136601</v>
      </c>
      <c r="F852" s="3">
        <v>100476</v>
      </c>
      <c r="G852" s="57">
        <f t="shared" si="13"/>
        <v>-0.26445633633721571</v>
      </c>
      <c r="H852" s="5" t="s">
        <v>4247</v>
      </c>
    </row>
    <row r="853" spans="1:8" ht="25.5" x14ac:dyDescent="0.2">
      <c r="A853" s="1" t="s">
        <v>39</v>
      </c>
      <c r="B853" s="2" t="s">
        <v>103</v>
      </c>
      <c r="C853" s="1"/>
      <c r="D853" s="5" t="s">
        <v>855</v>
      </c>
      <c r="E853" s="3">
        <v>108622</v>
      </c>
      <c r="F853" s="3">
        <v>138388</v>
      </c>
      <c r="G853" s="57">
        <f t="shared" si="13"/>
        <v>0.27403288468266096</v>
      </c>
      <c r="H853" s="5" t="s">
        <v>4248</v>
      </c>
    </row>
    <row r="854" spans="1:8" ht="25.5" x14ac:dyDescent="0.2">
      <c r="A854" s="1" t="s">
        <v>39</v>
      </c>
      <c r="B854" s="2" t="s">
        <v>103</v>
      </c>
      <c r="C854" s="1"/>
      <c r="D854" s="5" t="s">
        <v>2208</v>
      </c>
      <c r="E854" s="3">
        <v>128705</v>
      </c>
      <c r="F854" s="3">
        <v>128350</v>
      </c>
      <c r="G854" s="57">
        <f t="shared" si="13"/>
        <v>-2.7582456004040246E-3</v>
      </c>
      <c r="H854" s="5" t="s">
        <v>4249</v>
      </c>
    </row>
    <row r="855" spans="1:8" ht="25.5" x14ac:dyDescent="0.2">
      <c r="A855" s="1" t="s">
        <v>39</v>
      </c>
      <c r="B855" s="2" t="s">
        <v>103</v>
      </c>
      <c r="C855" s="1"/>
      <c r="D855" s="5" t="s">
        <v>2209</v>
      </c>
      <c r="E855" s="3">
        <v>125595</v>
      </c>
      <c r="F855" s="3">
        <v>128350</v>
      </c>
      <c r="G855" s="57">
        <f t="shared" si="13"/>
        <v>2.1935586607747123E-2</v>
      </c>
      <c r="H855" s="5" t="s">
        <v>4249</v>
      </c>
    </row>
    <row r="856" spans="1:8" ht="25.5" x14ac:dyDescent="0.2">
      <c r="A856" s="1" t="s">
        <v>39</v>
      </c>
      <c r="B856" s="2" t="s">
        <v>103</v>
      </c>
      <c r="C856" s="1"/>
      <c r="D856" s="5" t="s">
        <v>451</v>
      </c>
      <c r="E856" s="3">
        <v>113106</v>
      </c>
      <c r="F856" s="3">
        <v>116380</v>
      </c>
      <c r="G856" s="57">
        <f t="shared" si="13"/>
        <v>2.8946298162785353E-2</v>
      </c>
      <c r="H856" s="5" t="s">
        <v>4250</v>
      </c>
    </row>
    <row r="857" spans="1:8" s="13" customFormat="1" x14ac:dyDescent="0.2">
      <c r="A857" s="1" t="s">
        <v>39</v>
      </c>
      <c r="B857" s="12" t="s">
        <v>103</v>
      </c>
      <c r="D857" s="7" t="s">
        <v>3856</v>
      </c>
      <c r="E857" s="6">
        <v>131346</v>
      </c>
      <c r="F857" s="6" t="s">
        <v>465</v>
      </c>
      <c r="G857" s="57" t="str">
        <f t="shared" si="13"/>
        <v>-</v>
      </c>
      <c r="H857" s="7" t="s">
        <v>2356</v>
      </c>
    </row>
    <row r="858" spans="1:8" x14ac:dyDescent="0.2">
      <c r="A858" s="1" t="s">
        <v>39</v>
      </c>
      <c r="B858" s="2" t="s">
        <v>103</v>
      </c>
      <c r="C858" s="1"/>
      <c r="D858" s="5" t="s">
        <v>464</v>
      </c>
      <c r="E858" s="3">
        <v>102500</v>
      </c>
      <c r="F858" s="3" t="s">
        <v>465</v>
      </c>
      <c r="G858" s="57" t="str">
        <f t="shared" si="13"/>
        <v>-</v>
      </c>
    </row>
    <row r="859" spans="1:8" x14ac:dyDescent="0.2">
      <c r="A859" s="1" t="s">
        <v>39</v>
      </c>
      <c r="B859" s="2" t="s">
        <v>103</v>
      </c>
      <c r="C859" s="1"/>
      <c r="D859" s="5" t="s">
        <v>464</v>
      </c>
      <c r="E859" s="3">
        <v>102500</v>
      </c>
      <c r="F859" s="3" t="s">
        <v>465</v>
      </c>
      <c r="G859" s="57" t="str">
        <f t="shared" si="13"/>
        <v>-</v>
      </c>
    </row>
    <row r="860" spans="1:8" x14ac:dyDescent="0.2">
      <c r="A860" s="1" t="s">
        <v>39</v>
      </c>
      <c r="B860" s="2" t="s">
        <v>103</v>
      </c>
      <c r="C860" s="1"/>
      <c r="D860" s="5" t="s">
        <v>464</v>
      </c>
      <c r="E860" s="3">
        <v>102500</v>
      </c>
      <c r="F860" s="3" t="s">
        <v>465</v>
      </c>
      <c r="G860" s="57" t="str">
        <f t="shared" si="13"/>
        <v>-</v>
      </c>
    </row>
    <row r="861" spans="1:8" x14ac:dyDescent="0.2">
      <c r="A861" s="1" t="s">
        <v>39</v>
      </c>
      <c r="B861" s="2" t="s">
        <v>103</v>
      </c>
      <c r="C861" s="1"/>
      <c r="D861" s="5" t="s">
        <v>464</v>
      </c>
      <c r="E861" s="3" t="s">
        <v>465</v>
      </c>
      <c r="F861" s="3">
        <v>107500</v>
      </c>
      <c r="G861" s="57" t="str">
        <f t="shared" si="13"/>
        <v>-</v>
      </c>
    </row>
    <row r="862" spans="1:8" x14ac:dyDescent="0.2">
      <c r="A862" s="1" t="s">
        <v>39</v>
      </c>
      <c r="B862" s="2" t="s">
        <v>103</v>
      </c>
      <c r="C862" s="1"/>
      <c r="D862" s="5" t="s">
        <v>464</v>
      </c>
      <c r="E862" s="3">
        <v>112500</v>
      </c>
      <c r="F862" s="3" t="s">
        <v>465</v>
      </c>
      <c r="G862" s="57" t="str">
        <f t="shared" si="13"/>
        <v>-</v>
      </c>
    </row>
    <row r="863" spans="1:8" x14ac:dyDescent="0.2">
      <c r="A863" s="1" t="s">
        <v>39</v>
      </c>
      <c r="B863" s="2" t="s">
        <v>103</v>
      </c>
      <c r="C863" s="1"/>
      <c r="D863" s="5" t="s">
        <v>464</v>
      </c>
      <c r="E863" s="3" t="s">
        <v>465</v>
      </c>
      <c r="F863" s="3">
        <v>112500</v>
      </c>
      <c r="G863" s="57" t="str">
        <f t="shared" si="13"/>
        <v>-</v>
      </c>
    </row>
    <row r="864" spans="1:8" x14ac:dyDescent="0.2">
      <c r="A864" s="1" t="s">
        <v>39</v>
      </c>
      <c r="B864" s="2" t="s">
        <v>103</v>
      </c>
      <c r="C864" s="1"/>
      <c r="D864" s="5" t="s">
        <v>464</v>
      </c>
      <c r="E864" s="3" t="s">
        <v>465</v>
      </c>
      <c r="F864" s="3">
        <v>112500</v>
      </c>
      <c r="G864" s="57" t="str">
        <f t="shared" si="13"/>
        <v>-</v>
      </c>
    </row>
    <row r="865" spans="1:8" x14ac:dyDescent="0.2">
      <c r="A865" s="1" t="s">
        <v>39</v>
      </c>
      <c r="B865" s="2" t="s">
        <v>103</v>
      </c>
      <c r="C865" s="1"/>
      <c r="D865" s="5" t="s">
        <v>464</v>
      </c>
      <c r="E865" s="3">
        <v>117500</v>
      </c>
      <c r="F865" s="3" t="s">
        <v>465</v>
      </c>
      <c r="G865" s="57" t="str">
        <f t="shared" si="13"/>
        <v>-</v>
      </c>
    </row>
    <row r="866" spans="1:8" x14ac:dyDescent="0.2">
      <c r="A866" s="1" t="s">
        <v>39</v>
      </c>
      <c r="B866" s="2" t="s">
        <v>103</v>
      </c>
      <c r="C866" s="1"/>
      <c r="D866" s="5" t="s">
        <v>464</v>
      </c>
      <c r="E866" s="3">
        <v>117500</v>
      </c>
      <c r="F866" s="3" t="s">
        <v>465</v>
      </c>
      <c r="G866" s="57" t="str">
        <f t="shared" si="13"/>
        <v>-</v>
      </c>
    </row>
    <row r="867" spans="1:8" x14ac:dyDescent="0.2">
      <c r="A867" s="1" t="s">
        <v>39</v>
      </c>
      <c r="B867" s="2" t="s">
        <v>103</v>
      </c>
      <c r="C867" s="1"/>
      <c r="D867" s="5" t="s">
        <v>464</v>
      </c>
      <c r="E867" s="3">
        <v>122500</v>
      </c>
      <c r="F867" s="3" t="s">
        <v>465</v>
      </c>
      <c r="G867" s="57" t="str">
        <f t="shared" si="13"/>
        <v>-</v>
      </c>
    </row>
    <row r="868" spans="1:8" x14ac:dyDescent="0.2">
      <c r="A868" s="1" t="s">
        <v>39</v>
      </c>
      <c r="B868" s="2" t="s">
        <v>103</v>
      </c>
      <c r="C868" s="1"/>
      <c r="D868" s="5" t="s">
        <v>464</v>
      </c>
      <c r="E868" s="3" t="s">
        <v>465</v>
      </c>
      <c r="F868" s="3">
        <v>147500</v>
      </c>
      <c r="G868" s="57" t="str">
        <f t="shared" si="13"/>
        <v>-</v>
      </c>
    </row>
    <row r="869" spans="1:8" x14ac:dyDescent="0.2">
      <c r="A869" s="1" t="s">
        <v>39</v>
      </c>
      <c r="B869" s="2" t="s">
        <v>103</v>
      </c>
      <c r="C869" s="1"/>
      <c r="D869" s="5" t="s">
        <v>464</v>
      </c>
      <c r="E869" s="3">
        <v>167500</v>
      </c>
      <c r="F869" s="3" t="s">
        <v>465</v>
      </c>
      <c r="G869" s="57" t="str">
        <f t="shared" si="13"/>
        <v>-</v>
      </c>
    </row>
    <row r="870" spans="1:8" x14ac:dyDescent="0.2">
      <c r="A870" s="1" t="s">
        <v>39</v>
      </c>
      <c r="B870" s="2" t="s">
        <v>103</v>
      </c>
      <c r="C870" s="1"/>
      <c r="D870" s="5" t="s">
        <v>464</v>
      </c>
      <c r="E870" s="3" t="s">
        <v>465</v>
      </c>
      <c r="F870" s="3">
        <v>167500</v>
      </c>
      <c r="G870" s="57" t="str">
        <f t="shared" si="13"/>
        <v>-</v>
      </c>
    </row>
    <row r="871" spans="1:8" ht="25.5" x14ac:dyDescent="0.2">
      <c r="A871" s="1" t="s">
        <v>11</v>
      </c>
      <c r="B871" s="2" t="s">
        <v>104</v>
      </c>
      <c r="C871" s="29" t="s">
        <v>2697</v>
      </c>
      <c r="G871" s="57" t="str">
        <f t="shared" si="13"/>
        <v>-</v>
      </c>
    </row>
    <row r="872" spans="1:8" ht="38.25" x14ac:dyDescent="0.2">
      <c r="A872" s="1" t="s">
        <v>28</v>
      </c>
      <c r="B872" s="2" t="s">
        <v>105</v>
      </c>
      <c r="C872" s="1"/>
      <c r="D872" s="5" t="s">
        <v>450</v>
      </c>
      <c r="E872" s="3">
        <v>118655</v>
      </c>
      <c r="F872" s="3">
        <v>124998</v>
      </c>
      <c r="G872" s="57">
        <f t="shared" si="13"/>
        <v>5.3457502844380771E-2</v>
      </c>
      <c r="H872" s="5" t="s">
        <v>3857</v>
      </c>
    </row>
    <row r="873" spans="1:8" x14ac:dyDescent="0.2">
      <c r="A873" s="1" t="s">
        <v>28</v>
      </c>
      <c r="B873" s="2" t="s">
        <v>105</v>
      </c>
      <c r="C873" s="1"/>
      <c r="D873" s="5" t="s">
        <v>487</v>
      </c>
      <c r="E873" s="3">
        <v>100500</v>
      </c>
      <c r="F873" s="3">
        <v>25964</v>
      </c>
      <c r="G873" s="57">
        <f t="shared" si="13"/>
        <v>-0.74165174129353229</v>
      </c>
      <c r="H873" s="5" t="s">
        <v>4251</v>
      </c>
    </row>
    <row r="874" spans="1:8" ht="25.5" x14ac:dyDescent="0.2">
      <c r="A874" s="1" t="s">
        <v>4</v>
      </c>
      <c r="B874" s="2" t="s">
        <v>106</v>
      </c>
      <c r="C874" s="1"/>
      <c r="D874" s="5" t="s">
        <v>450</v>
      </c>
      <c r="E874" s="3">
        <v>142363</v>
      </c>
      <c r="F874" s="3">
        <v>135057</v>
      </c>
      <c r="G874" s="57">
        <f t="shared" si="13"/>
        <v>-5.1319514199616473E-2</v>
      </c>
      <c r="H874" s="5" t="s">
        <v>3858</v>
      </c>
    </row>
    <row r="875" spans="1:8" ht="25.5" x14ac:dyDescent="0.2">
      <c r="A875" s="1" t="s">
        <v>4</v>
      </c>
      <c r="B875" s="2" t="s">
        <v>106</v>
      </c>
      <c r="C875" s="1"/>
      <c r="D875" s="5" t="s">
        <v>463</v>
      </c>
      <c r="E875" s="3">
        <v>101123</v>
      </c>
      <c r="F875" s="3">
        <v>109164</v>
      </c>
      <c r="G875" s="57">
        <f t="shared" si="13"/>
        <v>7.9517023822473623E-2</v>
      </c>
      <c r="H875" s="5" t="s">
        <v>3859</v>
      </c>
    </row>
    <row r="876" spans="1:8" ht="25.5" x14ac:dyDescent="0.2">
      <c r="A876" s="1" t="s">
        <v>4</v>
      </c>
      <c r="B876" s="2" t="s">
        <v>106</v>
      </c>
      <c r="C876" s="1"/>
      <c r="D876" s="5" t="s">
        <v>855</v>
      </c>
      <c r="E876" s="3">
        <v>98065</v>
      </c>
      <c r="F876" s="3">
        <v>102043</v>
      </c>
      <c r="G876" s="57">
        <f t="shared" si="13"/>
        <v>4.0564931423035744E-2</v>
      </c>
      <c r="H876" s="5" t="s">
        <v>3860</v>
      </c>
    </row>
    <row r="877" spans="1:8" ht="38.25" x14ac:dyDescent="0.2">
      <c r="A877" s="1" t="s">
        <v>4</v>
      </c>
      <c r="B877" s="2" t="s">
        <v>106</v>
      </c>
      <c r="C877" s="1"/>
      <c r="D877" s="5" t="s">
        <v>4253</v>
      </c>
      <c r="E877" s="3">
        <v>75958</v>
      </c>
      <c r="F877" s="3">
        <v>288858</v>
      </c>
      <c r="G877" s="57">
        <f t="shared" si="13"/>
        <v>2.8028647410411018</v>
      </c>
      <c r="H877" s="5" t="s">
        <v>4252</v>
      </c>
    </row>
    <row r="878" spans="1:8" ht="25.5" x14ac:dyDescent="0.2">
      <c r="A878" s="1" t="s">
        <v>25</v>
      </c>
      <c r="B878" s="2" t="s">
        <v>107</v>
      </c>
      <c r="C878" s="1" t="s">
        <v>2187</v>
      </c>
      <c r="D878" s="5" t="s">
        <v>450</v>
      </c>
      <c r="E878" s="3">
        <v>246810</v>
      </c>
      <c r="F878" s="3">
        <v>248362</v>
      </c>
      <c r="G878" s="57">
        <f t="shared" si="13"/>
        <v>6.2882379158056808E-3</v>
      </c>
      <c r="H878" s="5" t="s">
        <v>3861</v>
      </c>
    </row>
    <row r="879" spans="1:8" ht="38.25" x14ac:dyDescent="0.2">
      <c r="A879" s="1" t="s">
        <v>25</v>
      </c>
      <c r="B879" s="2" t="s">
        <v>107</v>
      </c>
      <c r="C879" s="1" t="s">
        <v>2188</v>
      </c>
      <c r="D879" s="5" t="s">
        <v>2189</v>
      </c>
      <c r="E879" s="3">
        <v>195453</v>
      </c>
      <c r="F879" s="3">
        <v>202940</v>
      </c>
      <c r="G879" s="57">
        <f t="shared" si="13"/>
        <v>3.8305884279084997E-2</v>
      </c>
      <c r="H879" s="5" t="s">
        <v>3862</v>
      </c>
    </row>
    <row r="880" spans="1:8" ht="38.25" x14ac:dyDescent="0.2">
      <c r="A880" s="1" t="s">
        <v>25</v>
      </c>
      <c r="B880" s="2" t="s">
        <v>107</v>
      </c>
      <c r="C880" s="1" t="s">
        <v>2190</v>
      </c>
      <c r="D880" s="5" t="s">
        <v>2191</v>
      </c>
      <c r="E880" s="3">
        <v>192672</v>
      </c>
      <c r="F880" s="3">
        <v>196077</v>
      </c>
      <c r="G880" s="57">
        <f t="shared" si="13"/>
        <v>1.7672521175884404E-2</v>
      </c>
      <c r="H880" s="5" t="s">
        <v>3863</v>
      </c>
    </row>
    <row r="881" spans="1:8" ht="25.5" x14ac:dyDescent="0.2">
      <c r="A881" s="1" t="s">
        <v>25</v>
      </c>
      <c r="B881" s="2" t="s">
        <v>107</v>
      </c>
      <c r="C881" s="1" t="s">
        <v>2192</v>
      </c>
      <c r="D881" s="5" t="s">
        <v>2193</v>
      </c>
      <c r="E881" s="3">
        <v>175315</v>
      </c>
      <c r="F881" s="3">
        <v>183757</v>
      </c>
      <c r="G881" s="57">
        <f t="shared" si="13"/>
        <v>4.8153324016769812E-2</v>
      </c>
      <c r="H881" s="5" t="s">
        <v>3864</v>
      </c>
    </row>
    <row r="882" spans="1:8" ht="38.25" x14ac:dyDescent="0.2">
      <c r="A882" s="1" t="s">
        <v>25</v>
      </c>
      <c r="B882" s="2" t="s">
        <v>107</v>
      </c>
      <c r="C882" s="1" t="s">
        <v>2194</v>
      </c>
      <c r="D882" s="5" t="s">
        <v>2195</v>
      </c>
      <c r="E882" s="3">
        <v>172389</v>
      </c>
      <c r="F882" s="3">
        <v>112720</v>
      </c>
      <c r="G882" s="57">
        <f t="shared" si="13"/>
        <v>-0.34612997349018787</v>
      </c>
      <c r="H882" s="5" t="s">
        <v>4254</v>
      </c>
    </row>
    <row r="883" spans="1:8" ht="25.5" x14ac:dyDescent="0.2">
      <c r="A883" s="1" t="s">
        <v>25</v>
      </c>
      <c r="B883" s="2" t="s">
        <v>107</v>
      </c>
      <c r="C883" s="1" t="s">
        <v>2196</v>
      </c>
      <c r="D883" s="5" t="s">
        <v>2197</v>
      </c>
      <c r="E883" s="3">
        <v>167569</v>
      </c>
      <c r="F883" s="3">
        <v>170623</v>
      </c>
      <c r="G883" s="57">
        <f t="shared" si="13"/>
        <v>1.8225328073808403E-2</v>
      </c>
      <c r="H883" s="5" t="s">
        <v>4255</v>
      </c>
    </row>
    <row r="884" spans="1:8" ht="25.5" x14ac:dyDescent="0.2">
      <c r="A884" s="1" t="s">
        <v>25</v>
      </c>
      <c r="B884" s="2" t="s">
        <v>107</v>
      </c>
      <c r="C884" s="1" t="s">
        <v>2198</v>
      </c>
      <c r="D884" s="5" t="s">
        <v>2199</v>
      </c>
      <c r="E884" s="3">
        <v>124985</v>
      </c>
      <c r="F884" s="3">
        <v>131191</v>
      </c>
      <c r="G884" s="57">
        <f t="shared" si="13"/>
        <v>4.9653958475017003E-2</v>
      </c>
      <c r="H884" s="5" t="s">
        <v>4256</v>
      </c>
    </row>
    <row r="885" spans="1:8" ht="25.5" x14ac:dyDescent="0.2">
      <c r="A885" s="1" t="s">
        <v>25</v>
      </c>
      <c r="B885" s="2" t="s">
        <v>107</v>
      </c>
      <c r="C885" s="1" t="s">
        <v>2200</v>
      </c>
      <c r="D885" s="5" t="s">
        <v>2201</v>
      </c>
      <c r="E885" s="3">
        <v>124985</v>
      </c>
      <c r="F885" s="3">
        <v>129342</v>
      </c>
      <c r="G885" s="57">
        <f t="shared" si="13"/>
        <v>3.486018322198664E-2</v>
      </c>
      <c r="H885" s="5" t="s">
        <v>4257</v>
      </c>
    </row>
    <row r="886" spans="1:8" ht="25.5" x14ac:dyDescent="0.2">
      <c r="A886" s="1" t="s">
        <v>25</v>
      </c>
      <c r="B886" s="2" t="s">
        <v>107</v>
      </c>
      <c r="C886" s="1" t="s">
        <v>2202</v>
      </c>
      <c r="D886" s="5" t="s">
        <v>2203</v>
      </c>
      <c r="E886" s="3">
        <v>134442</v>
      </c>
      <c r="F886" s="3">
        <v>135653</v>
      </c>
      <c r="G886" s="57">
        <f t="shared" si="13"/>
        <v>9.0076017911069461E-3</v>
      </c>
      <c r="H886" s="5" t="s">
        <v>4258</v>
      </c>
    </row>
    <row r="887" spans="1:8" x14ac:dyDescent="0.2">
      <c r="A887" s="1" t="s">
        <v>25</v>
      </c>
      <c r="B887" s="2" t="s">
        <v>107</v>
      </c>
      <c r="C887" s="1"/>
      <c r="D887" s="5" t="s">
        <v>464</v>
      </c>
      <c r="E887" s="3" t="s">
        <v>465</v>
      </c>
      <c r="F887" s="3">
        <v>102500</v>
      </c>
      <c r="G887" s="57" t="str">
        <f t="shared" si="13"/>
        <v>-</v>
      </c>
      <c r="H887" s="1"/>
    </row>
    <row r="888" spans="1:8" x14ac:dyDescent="0.2">
      <c r="A888" s="1" t="s">
        <v>25</v>
      </c>
      <c r="B888" s="2" t="s">
        <v>107</v>
      </c>
      <c r="C888" s="1"/>
      <c r="D888" s="5" t="s">
        <v>464</v>
      </c>
      <c r="E888" s="3" t="s">
        <v>465</v>
      </c>
      <c r="F888" s="3">
        <v>102500</v>
      </c>
      <c r="G888" s="57" t="str">
        <f t="shared" si="13"/>
        <v>-</v>
      </c>
      <c r="H888" s="1"/>
    </row>
    <row r="889" spans="1:8" x14ac:dyDescent="0.2">
      <c r="A889" s="1" t="s">
        <v>25</v>
      </c>
      <c r="B889" s="2" t="s">
        <v>107</v>
      </c>
      <c r="C889" s="1"/>
      <c r="D889" s="5" t="s">
        <v>464</v>
      </c>
      <c r="E889" s="3" t="s">
        <v>465</v>
      </c>
      <c r="F889" s="3">
        <v>102500</v>
      </c>
      <c r="G889" s="57" t="str">
        <f t="shared" si="13"/>
        <v>-</v>
      </c>
      <c r="H889" s="1"/>
    </row>
    <row r="890" spans="1:8" x14ac:dyDescent="0.2">
      <c r="A890" s="1" t="s">
        <v>25</v>
      </c>
      <c r="B890" s="2" t="s">
        <v>107</v>
      </c>
      <c r="C890" s="1"/>
      <c r="D890" s="5" t="s">
        <v>464</v>
      </c>
      <c r="E890" s="3">
        <v>102500</v>
      </c>
      <c r="F890" s="3" t="s">
        <v>465</v>
      </c>
      <c r="G890" s="57" t="str">
        <f t="shared" si="13"/>
        <v>-</v>
      </c>
      <c r="H890" s="1"/>
    </row>
    <row r="891" spans="1:8" x14ac:dyDescent="0.2">
      <c r="A891" s="1" t="s">
        <v>25</v>
      </c>
      <c r="B891" s="2" t="s">
        <v>107</v>
      </c>
      <c r="C891" s="1"/>
      <c r="D891" s="5" t="s">
        <v>464</v>
      </c>
      <c r="E891" s="3">
        <v>102500</v>
      </c>
      <c r="F891" s="3" t="s">
        <v>465</v>
      </c>
      <c r="G891" s="57" t="str">
        <f t="shared" si="13"/>
        <v>-</v>
      </c>
      <c r="H891" s="1"/>
    </row>
    <row r="892" spans="1:8" x14ac:dyDescent="0.2">
      <c r="A892" s="1" t="s">
        <v>25</v>
      </c>
      <c r="B892" s="2" t="s">
        <v>107</v>
      </c>
      <c r="C892" s="1"/>
      <c r="D892" s="5" t="s">
        <v>464</v>
      </c>
      <c r="E892" s="3">
        <v>102500</v>
      </c>
      <c r="F892" s="3" t="s">
        <v>465</v>
      </c>
      <c r="G892" s="57" t="str">
        <f t="shared" si="13"/>
        <v>-</v>
      </c>
      <c r="H892" s="1"/>
    </row>
    <row r="893" spans="1:8" x14ac:dyDescent="0.2">
      <c r="A893" s="1" t="s">
        <v>25</v>
      </c>
      <c r="B893" s="2" t="s">
        <v>107</v>
      </c>
      <c r="C893" s="1"/>
      <c r="D893" s="5" t="s">
        <v>464</v>
      </c>
      <c r="E893" s="3">
        <v>102500</v>
      </c>
      <c r="F893" s="3" t="s">
        <v>465</v>
      </c>
      <c r="G893" s="57" t="str">
        <f t="shared" si="13"/>
        <v>-</v>
      </c>
      <c r="H893" s="1"/>
    </row>
    <row r="894" spans="1:8" x14ac:dyDescent="0.2">
      <c r="A894" s="1" t="s">
        <v>25</v>
      </c>
      <c r="B894" s="2" t="s">
        <v>107</v>
      </c>
      <c r="C894" s="1"/>
      <c r="D894" s="5" t="s">
        <v>464</v>
      </c>
      <c r="E894" s="3">
        <v>102500</v>
      </c>
      <c r="F894" s="3" t="s">
        <v>465</v>
      </c>
      <c r="G894" s="57" t="str">
        <f t="shared" si="13"/>
        <v>-</v>
      </c>
      <c r="H894" s="1"/>
    </row>
    <row r="895" spans="1:8" x14ac:dyDescent="0.2">
      <c r="A895" s="1" t="s">
        <v>25</v>
      </c>
      <c r="B895" s="2" t="s">
        <v>107</v>
      </c>
      <c r="C895" s="1"/>
      <c r="D895" s="5" t="s">
        <v>464</v>
      </c>
      <c r="E895" s="3" t="s">
        <v>465</v>
      </c>
      <c r="F895" s="3">
        <v>107500</v>
      </c>
      <c r="G895" s="57" t="str">
        <f t="shared" si="13"/>
        <v>-</v>
      </c>
      <c r="H895" s="1"/>
    </row>
    <row r="896" spans="1:8" x14ac:dyDescent="0.2">
      <c r="A896" s="1" t="s">
        <v>25</v>
      </c>
      <c r="B896" s="2" t="s">
        <v>107</v>
      </c>
      <c r="C896" s="1"/>
      <c r="D896" s="5" t="s">
        <v>464</v>
      </c>
      <c r="E896" s="3" t="s">
        <v>465</v>
      </c>
      <c r="F896" s="3">
        <v>107500</v>
      </c>
      <c r="G896" s="57" t="str">
        <f t="shared" si="13"/>
        <v>-</v>
      </c>
      <c r="H896" s="1"/>
    </row>
    <row r="897" spans="1:8" x14ac:dyDescent="0.2">
      <c r="A897" s="1" t="s">
        <v>25</v>
      </c>
      <c r="B897" s="2" t="s">
        <v>107</v>
      </c>
      <c r="C897" s="1"/>
      <c r="D897" s="5" t="s">
        <v>464</v>
      </c>
      <c r="E897" s="3" t="s">
        <v>465</v>
      </c>
      <c r="F897" s="3">
        <v>107500</v>
      </c>
      <c r="G897" s="57" t="str">
        <f t="shared" si="13"/>
        <v>-</v>
      </c>
      <c r="H897" s="1"/>
    </row>
    <row r="898" spans="1:8" x14ac:dyDescent="0.2">
      <c r="A898" s="1" t="s">
        <v>25</v>
      </c>
      <c r="B898" s="2" t="s">
        <v>107</v>
      </c>
      <c r="C898" s="1"/>
      <c r="D898" s="5" t="s">
        <v>464</v>
      </c>
      <c r="E898" s="3" t="s">
        <v>465</v>
      </c>
      <c r="F898" s="3">
        <v>107500</v>
      </c>
      <c r="G898" s="57" t="str">
        <f t="shared" si="13"/>
        <v>-</v>
      </c>
      <c r="H898" s="1"/>
    </row>
    <row r="899" spans="1:8" x14ac:dyDescent="0.2">
      <c r="A899" s="1" t="s">
        <v>25</v>
      </c>
      <c r="B899" s="2" t="s">
        <v>107</v>
      </c>
      <c r="C899" s="1"/>
      <c r="D899" s="5" t="s">
        <v>464</v>
      </c>
      <c r="E899" s="3" t="s">
        <v>465</v>
      </c>
      <c r="F899" s="3">
        <v>112500</v>
      </c>
      <c r="G899" s="57" t="str">
        <f t="shared" ref="G899:G962" si="14">IF(ISERROR((F899-E899)/E899),"-",(F899-E899)/E899)</f>
        <v>-</v>
      </c>
      <c r="H899" s="1"/>
    </row>
    <row r="900" spans="1:8" x14ac:dyDescent="0.2">
      <c r="A900" s="1" t="s">
        <v>25</v>
      </c>
      <c r="B900" s="2" t="s">
        <v>107</v>
      </c>
      <c r="C900" s="1"/>
      <c r="D900" s="5" t="s">
        <v>464</v>
      </c>
      <c r="E900" s="3" t="s">
        <v>465</v>
      </c>
      <c r="F900" s="3">
        <v>112500</v>
      </c>
      <c r="G900" s="57" t="str">
        <f t="shared" si="14"/>
        <v>-</v>
      </c>
    </row>
    <row r="901" spans="1:8" x14ac:dyDescent="0.2">
      <c r="A901" s="1" t="s">
        <v>25</v>
      </c>
      <c r="B901" s="2" t="s">
        <v>107</v>
      </c>
      <c r="C901" s="1"/>
      <c r="D901" s="5" t="s">
        <v>464</v>
      </c>
      <c r="E901" s="3">
        <v>112500</v>
      </c>
      <c r="F901" s="3" t="s">
        <v>465</v>
      </c>
      <c r="G901" s="57" t="str">
        <f t="shared" si="14"/>
        <v>-</v>
      </c>
    </row>
    <row r="902" spans="1:8" x14ac:dyDescent="0.2">
      <c r="A902" s="1" t="s">
        <v>25</v>
      </c>
      <c r="B902" s="2" t="s">
        <v>107</v>
      </c>
      <c r="C902" s="1"/>
      <c r="D902" s="5" t="s">
        <v>464</v>
      </c>
      <c r="E902" s="3" t="s">
        <v>465</v>
      </c>
      <c r="F902" s="3">
        <v>122500</v>
      </c>
      <c r="G902" s="57" t="str">
        <f t="shared" si="14"/>
        <v>-</v>
      </c>
    </row>
    <row r="903" spans="1:8" x14ac:dyDescent="0.2">
      <c r="A903" s="1" t="s">
        <v>25</v>
      </c>
      <c r="B903" s="2" t="s">
        <v>107</v>
      </c>
      <c r="C903" s="1"/>
      <c r="D903" s="5" t="s">
        <v>464</v>
      </c>
      <c r="E903" s="3" t="s">
        <v>465</v>
      </c>
      <c r="F903" s="3">
        <v>122500</v>
      </c>
      <c r="G903" s="57" t="str">
        <f t="shared" si="14"/>
        <v>-</v>
      </c>
    </row>
    <row r="904" spans="1:8" x14ac:dyDescent="0.2">
      <c r="A904" s="1" t="s">
        <v>25</v>
      </c>
      <c r="B904" s="2" t="s">
        <v>107</v>
      </c>
      <c r="C904" s="1"/>
      <c r="D904" s="5" t="s">
        <v>464</v>
      </c>
      <c r="E904" s="3" t="s">
        <v>465</v>
      </c>
      <c r="F904" s="3">
        <v>142500</v>
      </c>
      <c r="G904" s="57" t="str">
        <f t="shared" si="14"/>
        <v>-</v>
      </c>
    </row>
    <row r="905" spans="1:8" ht="25.5" x14ac:dyDescent="0.2">
      <c r="A905" s="1" t="s">
        <v>6</v>
      </c>
      <c r="B905" s="2" t="s">
        <v>108</v>
      </c>
      <c r="C905" s="1" t="s">
        <v>2172</v>
      </c>
      <c r="D905" s="5" t="s">
        <v>450</v>
      </c>
      <c r="E905" s="6">
        <v>186705</v>
      </c>
      <c r="F905" s="3">
        <v>201941</v>
      </c>
      <c r="G905" s="57">
        <f t="shared" si="14"/>
        <v>8.1604670469457172E-2</v>
      </c>
      <c r="H905" s="5" t="s">
        <v>3865</v>
      </c>
    </row>
    <row r="906" spans="1:8" ht="25.5" x14ac:dyDescent="0.2">
      <c r="A906" s="1" t="s">
        <v>6</v>
      </c>
      <c r="B906" s="2" t="s">
        <v>108</v>
      </c>
      <c r="C906" s="1" t="s">
        <v>2173</v>
      </c>
      <c r="D906" s="5" t="s">
        <v>666</v>
      </c>
      <c r="E906" s="6">
        <v>150566</v>
      </c>
      <c r="F906" s="3">
        <v>155173</v>
      </c>
      <c r="G906" s="57">
        <f t="shared" si="14"/>
        <v>3.0597877342826402E-2</v>
      </c>
      <c r="H906" s="5" t="s">
        <v>3866</v>
      </c>
    </row>
    <row r="907" spans="1:8" ht="25.5" x14ac:dyDescent="0.2">
      <c r="A907" s="1" t="s">
        <v>6</v>
      </c>
      <c r="B907" s="2" t="s">
        <v>108</v>
      </c>
      <c r="C907" s="1" t="s">
        <v>2174</v>
      </c>
      <c r="D907" s="5" t="s">
        <v>2175</v>
      </c>
      <c r="E907" s="6">
        <v>155359</v>
      </c>
      <c r="F907" s="3">
        <v>150641</v>
      </c>
      <c r="G907" s="57">
        <f t="shared" si="14"/>
        <v>-3.0368372607959628E-2</v>
      </c>
      <c r="H907" s="5" t="s">
        <v>3867</v>
      </c>
    </row>
    <row r="908" spans="1:8" ht="25.5" x14ac:dyDescent="0.2">
      <c r="A908" s="1" t="s">
        <v>6</v>
      </c>
      <c r="B908" s="2" t="s">
        <v>108</v>
      </c>
      <c r="C908" s="1" t="s">
        <v>2176</v>
      </c>
      <c r="D908" s="5" t="s">
        <v>2177</v>
      </c>
      <c r="E908" s="6">
        <v>147221</v>
      </c>
      <c r="F908" s="3">
        <v>150545</v>
      </c>
      <c r="G908" s="57">
        <f t="shared" si="14"/>
        <v>2.2578300650043133E-2</v>
      </c>
      <c r="H908" s="5" t="s">
        <v>3868</v>
      </c>
    </row>
    <row r="909" spans="1:8" ht="51" x14ac:dyDescent="0.2">
      <c r="A909" s="1" t="s">
        <v>6</v>
      </c>
      <c r="B909" s="2" t="s">
        <v>108</v>
      </c>
      <c r="C909" s="1" t="s">
        <v>2178</v>
      </c>
      <c r="D909" s="5" t="s">
        <v>2179</v>
      </c>
      <c r="E909" s="6">
        <v>139495</v>
      </c>
      <c r="F909" s="3">
        <v>149747</v>
      </c>
      <c r="G909" s="57">
        <f t="shared" si="14"/>
        <v>7.3493673608373056E-2</v>
      </c>
      <c r="H909" s="5" t="s">
        <v>4260</v>
      </c>
    </row>
    <row r="910" spans="1:8" ht="25.5" x14ac:dyDescent="0.2">
      <c r="A910" s="1" t="s">
        <v>6</v>
      </c>
      <c r="B910" s="2" t="s">
        <v>108</v>
      </c>
      <c r="C910" s="1" t="s">
        <v>2180</v>
      </c>
      <c r="D910" s="5" t="s">
        <v>3869</v>
      </c>
      <c r="E910" s="3">
        <v>139150</v>
      </c>
      <c r="F910" s="3">
        <v>142000</v>
      </c>
      <c r="G910" s="57">
        <f t="shared" si="14"/>
        <v>2.0481494789795184E-2</v>
      </c>
      <c r="H910" s="5" t="s">
        <v>3870</v>
      </c>
    </row>
    <row r="911" spans="1:8" ht="25.5" x14ac:dyDescent="0.2">
      <c r="A911" s="1" t="s">
        <v>6</v>
      </c>
      <c r="B911" s="2" t="s">
        <v>108</v>
      </c>
      <c r="C911" s="1" t="s">
        <v>2181</v>
      </c>
      <c r="D911" s="5" t="s">
        <v>2182</v>
      </c>
      <c r="E911" s="3">
        <v>106572</v>
      </c>
      <c r="F911" s="3">
        <v>110511</v>
      </c>
      <c r="G911" s="57">
        <f t="shared" si="14"/>
        <v>3.6960927823443304E-2</v>
      </c>
      <c r="H911" s="5" t="s">
        <v>3871</v>
      </c>
    </row>
    <row r="912" spans="1:8" x14ac:dyDescent="0.2">
      <c r="A912" s="1" t="s">
        <v>6</v>
      </c>
      <c r="B912" s="2" t="s">
        <v>108</v>
      </c>
      <c r="C912" s="1" t="s">
        <v>2183</v>
      </c>
      <c r="D912" s="5" t="s">
        <v>2184</v>
      </c>
      <c r="E912" s="3">
        <v>110046</v>
      </c>
      <c r="F912" s="3">
        <v>107753</v>
      </c>
      <c r="G912" s="57">
        <f t="shared" si="14"/>
        <v>-2.0836740999218509E-2</v>
      </c>
      <c r="H912" s="5" t="s">
        <v>3872</v>
      </c>
    </row>
    <row r="913" spans="1:8" s="13" customFormat="1" x14ac:dyDescent="0.2">
      <c r="A913" s="1" t="s">
        <v>6</v>
      </c>
      <c r="B913" s="12" t="s">
        <v>108</v>
      </c>
      <c r="C913" s="13" t="s">
        <v>3873</v>
      </c>
      <c r="D913" s="7" t="s">
        <v>450</v>
      </c>
      <c r="E913" s="6">
        <v>464113</v>
      </c>
      <c r="F913" s="6" t="s">
        <v>465</v>
      </c>
      <c r="G913" s="57" t="str">
        <f t="shared" si="14"/>
        <v>-</v>
      </c>
      <c r="H913" s="7" t="s">
        <v>3874</v>
      </c>
    </row>
    <row r="914" spans="1:8" s="13" customFormat="1" ht="25.5" x14ac:dyDescent="0.2">
      <c r="A914" s="1" t="s">
        <v>6</v>
      </c>
      <c r="B914" s="12" t="s">
        <v>108</v>
      </c>
      <c r="C914" s="13" t="s">
        <v>3875</v>
      </c>
      <c r="D914" s="7" t="s">
        <v>2720</v>
      </c>
      <c r="E914" s="6">
        <v>147221</v>
      </c>
      <c r="F914" s="6">
        <v>53514</v>
      </c>
      <c r="G914" s="57">
        <f t="shared" si="14"/>
        <v>-0.63650566155643551</v>
      </c>
      <c r="H914" s="7" t="s">
        <v>4259</v>
      </c>
    </row>
    <row r="915" spans="1:8" x14ac:dyDescent="0.2">
      <c r="A915" s="1" t="s">
        <v>6</v>
      </c>
      <c r="B915" s="2" t="s">
        <v>108</v>
      </c>
      <c r="C915" s="1"/>
      <c r="D915" s="5" t="s">
        <v>464</v>
      </c>
      <c r="E915" s="3" t="s">
        <v>465</v>
      </c>
      <c r="F915" s="3">
        <v>102500</v>
      </c>
      <c r="G915" s="57" t="str">
        <f t="shared" si="14"/>
        <v>-</v>
      </c>
    </row>
    <row r="916" spans="1:8" x14ac:dyDescent="0.2">
      <c r="A916" s="1" t="s">
        <v>6</v>
      </c>
      <c r="B916" s="2" t="s">
        <v>108</v>
      </c>
      <c r="C916" s="1"/>
      <c r="D916" s="5" t="s">
        <v>464</v>
      </c>
      <c r="E916" s="3">
        <v>102500</v>
      </c>
      <c r="F916" s="3" t="s">
        <v>465</v>
      </c>
      <c r="G916" s="57" t="str">
        <f t="shared" si="14"/>
        <v>-</v>
      </c>
    </row>
    <row r="917" spans="1:8" x14ac:dyDescent="0.2">
      <c r="A917" s="1" t="s">
        <v>6</v>
      </c>
      <c r="B917" s="1" t="s">
        <v>108</v>
      </c>
      <c r="C917" s="1"/>
      <c r="D917" s="5" t="s">
        <v>464</v>
      </c>
      <c r="E917" s="3">
        <v>102500</v>
      </c>
      <c r="F917" s="3" t="s">
        <v>465</v>
      </c>
      <c r="G917" s="57" t="str">
        <f t="shared" si="14"/>
        <v>-</v>
      </c>
    </row>
    <row r="918" spans="1:8" ht="25.5" x14ac:dyDescent="0.2">
      <c r="A918" s="1" t="s">
        <v>20</v>
      </c>
      <c r="B918" s="2" t="s">
        <v>109</v>
      </c>
      <c r="C918" s="1"/>
      <c r="D918" s="5" t="s">
        <v>450</v>
      </c>
      <c r="E918" s="3">
        <v>151152</v>
      </c>
      <c r="F918" s="3">
        <v>153528</v>
      </c>
      <c r="G918" s="57">
        <f t="shared" si="14"/>
        <v>1.571927596062242E-2</v>
      </c>
      <c r="H918" s="5" t="s">
        <v>3876</v>
      </c>
    </row>
    <row r="919" spans="1:8" ht="25.5" x14ac:dyDescent="0.2">
      <c r="A919" s="1" t="s">
        <v>20</v>
      </c>
      <c r="B919" s="2" t="s">
        <v>109</v>
      </c>
      <c r="C919" s="1"/>
      <c r="D919" s="5" t="s">
        <v>2168</v>
      </c>
      <c r="E919" s="3">
        <v>116789</v>
      </c>
      <c r="F919" s="3">
        <v>117142</v>
      </c>
      <c r="G919" s="57">
        <f t="shared" si="14"/>
        <v>3.0225449314575858E-3</v>
      </c>
      <c r="H919" s="5" t="s">
        <v>3877</v>
      </c>
    </row>
    <row r="920" spans="1:8" ht="25.5" x14ac:dyDescent="0.2">
      <c r="A920" s="1" t="s">
        <v>20</v>
      </c>
      <c r="B920" s="2" t="s">
        <v>109</v>
      </c>
      <c r="C920" s="1"/>
      <c r="D920" s="5" t="s">
        <v>2169</v>
      </c>
      <c r="E920" s="3" t="s">
        <v>465</v>
      </c>
      <c r="F920" s="3">
        <v>111224</v>
      </c>
      <c r="G920" s="57" t="str">
        <f t="shared" si="14"/>
        <v>-</v>
      </c>
      <c r="H920" s="5" t="s">
        <v>3878</v>
      </c>
    </row>
    <row r="921" spans="1:8" ht="38.25" x14ac:dyDescent="0.2">
      <c r="A921" s="1" t="s">
        <v>20</v>
      </c>
      <c r="B921" s="2" t="s">
        <v>109</v>
      </c>
      <c r="C921" s="1"/>
      <c r="D921" s="5" t="s">
        <v>2170</v>
      </c>
      <c r="E921" s="3">
        <v>76464</v>
      </c>
      <c r="F921" s="3">
        <v>115651</v>
      </c>
      <c r="G921" s="57">
        <f t="shared" si="14"/>
        <v>0.51248953756015903</v>
      </c>
      <c r="H921" s="5" t="s">
        <v>3879</v>
      </c>
    </row>
    <row r="922" spans="1:8" ht="38.25" x14ac:dyDescent="0.2">
      <c r="A922" s="1" t="s">
        <v>20</v>
      </c>
      <c r="B922" s="2" t="s">
        <v>109</v>
      </c>
      <c r="C922" s="1"/>
      <c r="D922" s="5" t="s">
        <v>740</v>
      </c>
      <c r="E922" s="3">
        <v>76092</v>
      </c>
      <c r="F922" s="3">
        <v>195565</v>
      </c>
      <c r="G922" s="57">
        <f t="shared" si="14"/>
        <v>1.570112495400305</v>
      </c>
      <c r="H922" s="5" t="s">
        <v>4616</v>
      </c>
    </row>
    <row r="923" spans="1:8" ht="38.25" x14ac:dyDescent="0.2">
      <c r="A923" s="1" t="s">
        <v>20</v>
      </c>
      <c r="B923" s="2" t="s">
        <v>109</v>
      </c>
      <c r="C923" s="1"/>
      <c r="D923" s="5" t="s">
        <v>2171</v>
      </c>
      <c r="E923" s="3">
        <v>77367</v>
      </c>
      <c r="F923" s="3">
        <v>118196</v>
      </c>
      <c r="G923" s="57">
        <f t="shared" si="14"/>
        <v>0.52773146173433116</v>
      </c>
      <c r="H923" s="5" t="s">
        <v>3880</v>
      </c>
    </row>
    <row r="924" spans="1:8" s="13" customFormat="1" x14ac:dyDescent="0.2">
      <c r="A924" s="1" t="s">
        <v>20</v>
      </c>
      <c r="B924" s="12" t="s">
        <v>109</v>
      </c>
      <c r="D924" s="7" t="s">
        <v>3881</v>
      </c>
      <c r="E924" s="6">
        <v>315142</v>
      </c>
      <c r="F924" s="6">
        <v>1318</v>
      </c>
      <c r="G924" s="57">
        <f t="shared" si="14"/>
        <v>-0.99581775834385766</v>
      </c>
      <c r="H924" s="7" t="s">
        <v>3882</v>
      </c>
    </row>
    <row r="925" spans="1:8" s="13" customFormat="1" x14ac:dyDescent="0.2">
      <c r="A925" s="1" t="s">
        <v>20</v>
      </c>
      <c r="B925" s="12" t="s">
        <v>109</v>
      </c>
      <c r="D925" s="7" t="s">
        <v>3883</v>
      </c>
      <c r="E925" s="6">
        <v>138009</v>
      </c>
      <c r="F925" s="6" t="s">
        <v>465</v>
      </c>
      <c r="G925" s="57" t="str">
        <f t="shared" si="14"/>
        <v>-</v>
      </c>
      <c r="H925" s="7"/>
    </row>
    <row r="926" spans="1:8" s="13" customFormat="1" x14ac:dyDescent="0.2">
      <c r="A926" s="1" t="s">
        <v>20</v>
      </c>
      <c r="B926" s="13" t="s">
        <v>109</v>
      </c>
      <c r="D926" s="7" t="s">
        <v>3884</v>
      </c>
      <c r="E926" s="6">
        <v>109785</v>
      </c>
      <c r="F926" s="6" t="s">
        <v>3885</v>
      </c>
      <c r="G926" s="57" t="str">
        <f t="shared" si="14"/>
        <v>-</v>
      </c>
      <c r="H926" s="7"/>
    </row>
    <row r="927" spans="1:8" s="13" customFormat="1" ht="25.5" x14ac:dyDescent="0.2">
      <c r="A927" s="13" t="s">
        <v>111</v>
      </c>
      <c r="B927" s="12" t="s">
        <v>110</v>
      </c>
      <c r="C927" s="13" t="s">
        <v>2166</v>
      </c>
      <c r="D927" s="7" t="s">
        <v>450</v>
      </c>
      <c r="E927" s="6">
        <v>188060</v>
      </c>
      <c r="F927" s="6">
        <v>187573</v>
      </c>
      <c r="G927" s="57">
        <f t="shared" si="14"/>
        <v>-2.5895990641284696E-3</v>
      </c>
      <c r="H927" s="7" t="s">
        <v>4617</v>
      </c>
    </row>
    <row r="928" spans="1:8" s="13" customFormat="1" ht="63.75" x14ac:dyDescent="0.2">
      <c r="A928" s="13" t="s">
        <v>111</v>
      </c>
      <c r="B928" s="12" t="s">
        <v>110</v>
      </c>
      <c r="C928" s="13" t="s">
        <v>3886</v>
      </c>
      <c r="D928" s="7" t="s">
        <v>855</v>
      </c>
      <c r="E928" s="6">
        <v>154476</v>
      </c>
      <c r="F928" s="6">
        <v>271771</v>
      </c>
      <c r="G928" s="57">
        <f t="shared" si="14"/>
        <v>0.75930888940676866</v>
      </c>
      <c r="H928" s="7" t="s">
        <v>4261</v>
      </c>
    </row>
    <row r="929" spans="1:8" s="13" customFormat="1" ht="25.5" x14ac:dyDescent="0.2">
      <c r="A929" s="13" t="s">
        <v>111</v>
      </c>
      <c r="B929" s="12" t="s">
        <v>110</v>
      </c>
      <c r="D929" s="7" t="s">
        <v>562</v>
      </c>
      <c r="E929" s="6">
        <v>139481</v>
      </c>
      <c r="F929" s="6">
        <v>138293</v>
      </c>
      <c r="G929" s="57">
        <f t="shared" si="14"/>
        <v>-8.5172890931381334E-3</v>
      </c>
      <c r="H929" s="7" t="s">
        <v>3887</v>
      </c>
    </row>
    <row r="930" spans="1:8" s="13" customFormat="1" ht="25.5" x14ac:dyDescent="0.2">
      <c r="A930" s="13" t="s">
        <v>111</v>
      </c>
      <c r="B930" s="12" t="s">
        <v>110</v>
      </c>
      <c r="D930" s="7" t="s">
        <v>452</v>
      </c>
      <c r="E930" s="6">
        <v>139844</v>
      </c>
      <c r="F930" s="6">
        <v>138599</v>
      </c>
      <c r="G930" s="57">
        <f t="shared" si="14"/>
        <v>-8.9027773805097112E-3</v>
      </c>
      <c r="H930" s="7" t="s">
        <v>3888</v>
      </c>
    </row>
    <row r="931" spans="1:8" s="13" customFormat="1" x14ac:dyDescent="0.2">
      <c r="A931" s="13" t="s">
        <v>111</v>
      </c>
      <c r="B931" s="12" t="s">
        <v>110</v>
      </c>
      <c r="D931" s="7" t="s">
        <v>2167</v>
      </c>
      <c r="E931" s="6">
        <v>110645</v>
      </c>
      <c r="F931" s="6">
        <v>115382</v>
      </c>
      <c r="G931" s="57">
        <f t="shared" si="14"/>
        <v>4.2812598852184913E-2</v>
      </c>
      <c r="H931" s="7" t="s">
        <v>3889</v>
      </c>
    </row>
    <row r="932" spans="1:8" s="13" customFormat="1" x14ac:dyDescent="0.2">
      <c r="A932" s="13" t="s">
        <v>111</v>
      </c>
      <c r="B932" s="12" t="s">
        <v>110</v>
      </c>
      <c r="D932" s="7" t="s">
        <v>464</v>
      </c>
      <c r="E932" s="6" t="s">
        <v>465</v>
      </c>
      <c r="F932" s="6">
        <v>117500</v>
      </c>
      <c r="G932" s="57" t="str">
        <f t="shared" si="14"/>
        <v>-</v>
      </c>
      <c r="H932" s="7"/>
    </row>
    <row r="933" spans="1:8" s="13" customFormat="1" x14ac:dyDescent="0.2">
      <c r="A933" s="13" t="s">
        <v>111</v>
      </c>
      <c r="B933" s="12" t="s">
        <v>110</v>
      </c>
      <c r="D933" s="7" t="s">
        <v>464</v>
      </c>
      <c r="E933" s="6">
        <v>127500</v>
      </c>
      <c r="F933" s="6" t="s">
        <v>465</v>
      </c>
      <c r="G933" s="57" t="str">
        <f t="shared" si="14"/>
        <v>-</v>
      </c>
      <c r="H933" s="7"/>
    </row>
    <row r="934" spans="1:8" ht="25.5" x14ac:dyDescent="0.2">
      <c r="A934" s="1" t="s">
        <v>4</v>
      </c>
      <c r="B934" s="2" t="s">
        <v>112</v>
      </c>
      <c r="C934" s="1"/>
      <c r="D934" s="5" t="s">
        <v>470</v>
      </c>
      <c r="E934" s="3">
        <v>137147</v>
      </c>
      <c r="F934" s="3">
        <v>138906</v>
      </c>
      <c r="G934" s="57">
        <f t="shared" si="14"/>
        <v>1.282565422502862E-2</v>
      </c>
      <c r="H934" s="5" t="s">
        <v>3890</v>
      </c>
    </row>
    <row r="935" spans="1:8" ht="25.5" x14ac:dyDescent="0.2">
      <c r="A935" s="1" t="s">
        <v>4</v>
      </c>
      <c r="B935" s="2" t="s">
        <v>112</v>
      </c>
      <c r="C935" s="1"/>
      <c r="D935" s="5" t="s">
        <v>529</v>
      </c>
      <c r="E935" s="3">
        <v>120883</v>
      </c>
      <c r="F935" s="3">
        <v>123092</v>
      </c>
      <c r="G935" s="57">
        <f t="shared" si="14"/>
        <v>1.8273868120413955E-2</v>
      </c>
      <c r="H935" s="5" t="s">
        <v>3891</v>
      </c>
    </row>
    <row r="936" spans="1:8" ht="25.5" x14ac:dyDescent="0.2">
      <c r="A936" s="1" t="s">
        <v>4</v>
      </c>
      <c r="B936" s="2" t="s">
        <v>112</v>
      </c>
      <c r="C936" s="1"/>
      <c r="D936" s="5" t="s">
        <v>504</v>
      </c>
      <c r="E936" s="3">
        <v>113012</v>
      </c>
      <c r="F936" s="3">
        <v>115332</v>
      </c>
      <c r="G936" s="57">
        <f t="shared" si="14"/>
        <v>2.0528793402470533E-2</v>
      </c>
      <c r="H936" s="5" t="s">
        <v>3892</v>
      </c>
    </row>
    <row r="937" spans="1:8" ht="25.5" x14ac:dyDescent="0.2">
      <c r="A937" s="1" t="s">
        <v>4</v>
      </c>
      <c r="B937" s="2" t="s">
        <v>112</v>
      </c>
      <c r="C937" s="1"/>
      <c r="D937" s="5" t="s">
        <v>2164</v>
      </c>
      <c r="E937" s="3">
        <v>111414</v>
      </c>
      <c r="F937" s="3">
        <v>113442</v>
      </c>
      <c r="G937" s="57">
        <f t="shared" si="14"/>
        <v>1.8202380311271475E-2</v>
      </c>
      <c r="H937" s="5" t="s">
        <v>3893</v>
      </c>
    </row>
    <row r="938" spans="1:8" ht="25.5" x14ac:dyDescent="0.2">
      <c r="A938" s="1" t="s">
        <v>4</v>
      </c>
      <c r="B938" s="2" t="s">
        <v>112</v>
      </c>
      <c r="C938" s="1"/>
      <c r="D938" s="5" t="s">
        <v>2165</v>
      </c>
      <c r="E938" s="3">
        <v>113484</v>
      </c>
      <c r="F938" s="3">
        <v>114889</v>
      </c>
      <c r="G938" s="57">
        <f t="shared" si="14"/>
        <v>1.2380599908357125E-2</v>
      </c>
      <c r="H938" s="5" t="s">
        <v>4618</v>
      </c>
    </row>
    <row r="939" spans="1:8" x14ac:dyDescent="0.2">
      <c r="A939" s="1" t="s">
        <v>4</v>
      </c>
      <c r="B939" s="2" t="s">
        <v>112</v>
      </c>
      <c r="C939" s="1"/>
      <c r="D939" s="5" t="s">
        <v>464</v>
      </c>
      <c r="E939" s="3">
        <v>107500</v>
      </c>
      <c r="F939" s="3" t="s">
        <v>465</v>
      </c>
      <c r="G939" s="57" t="str">
        <f t="shared" si="14"/>
        <v>-</v>
      </c>
    </row>
    <row r="940" spans="1:8" x14ac:dyDescent="0.2">
      <c r="A940" s="1" t="s">
        <v>4</v>
      </c>
      <c r="B940" s="2" t="s">
        <v>112</v>
      </c>
      <c r="C940" s="1"/>
      <c r="D940" s="5" t="s">
        <v>464</v>
      </c>
      <c r="E940" s="3" t="s">
        <v>465</v>
      </c>
      <c r="F940" s="3">
        <v>107500</v>
      </c>
      <c r="G940" s="57" t="str">
        <f t="shared" si="14"/>
        <v>-</v>
      </c>
    </row>
    <row r="941" spans="1:8" x14ac:dyDescent="0.2">
      <c r="A941" s="1" t="s">
        <v>4</v>
      </c>
      <c r="B941" s="2" t="s">
        <v>112</v>
      </c>
      <c r="C941" s="1"/>
      <c r="D941" s="5" t="s">
        <v>464</v>
      </c>
      <c r="E941" s="3">
        <v>122500</v>
      </c>
      <c r="F941" s="3" t="s">
        <v>465</v>
      </c>
      <c r="G941" s="57" t="str">
        <f t="shared" si="14"/>
        <v>-</v>
      </c>
    </row>
    <row r="942" spans="1:8" x14ac:dyDescent="0.2">
      <c r="A942" s="1" t="s">
        <v>4</v>
      </c>
      <c r="B942" s="2" t="s">
        <v>112</v>
      </c>
      <c r="C942" s="1"/>
      <c r="D942" s="5" t="s">
        <v>464</v>
      </c>
      <c r="E942" s="3" t="s">
        <v>465</v>
      </c>
      <c r="F942" s="3">
        <v>122500</v>
      </c>
      <c r="G942" s="57" t="str">
        <f t="shared" si="14"/>
        <v>-</v>
      </c>
    </row>
    <row r="943" spans="1:8" ht="25.5" x14ac:dyDescent="0.2">
      <c r="A943" s="1" t="s">
        <v>8</v>
      </c>
      <c r="B943" s="2" t="s">
        <v>113</v>
      </c>
      <c r="C943" s="1"/>
      <c r="D943" s="5" t="s">
        <v>2163</v>
      </c>
      <c r="E943" s="3">
        <v>116349</v>
      </c>
      <c r="F943" s="3">
        <v>101923</v>
      </c>
      <c r="G943" s="57">
        <f t="shared" si="14"/>
        <v>-0.12398903299555647</v>
      </c>
      <c r="H943" s="5" t="s">
        <v>4267</v>
      </c>
    </row>
    <row r="944" spans="1:8" ht="38.25" x14ac:dyDescent="0.2">
      <c r="A944" s="1" t="s">
        <v>8</v>
      </c>
      <c r="B944" s="2" t="s">
        <v>113</v>
      </c>
      <c r="C944" s="1"/>
      <c r="D944" s="5" t="s">
        <v>529</v>
      </c>
      <c r="E944" s="3" t="s">
        <v>465</v>
      </c>
      <c r="F944" s="3">
        <v>243886</v>
      </c>
      <c r="G944" s="57" t="str">
        <f t="shared" si="14"/>
        <v>-</v>
      </c>
      <c r="H944" s="5" t="s">
        <v>4619</v>
      </c>
    </row>
    <row r="945" spans="1:8" ht="25.5" x14ac:dyDescent="0.2">
      <c r="A945" s="1" t="s">
        <v>8</v>
      </c>
      <c r="B945" s="2" t="s">
        <v>113</v>
      </c>
      <c r="C945" s="1"/>
      <c r="D945" s="5" t="s">
        <v>529</v>
      </c>
      <c r="E945" s="3" t="s">
        <v>465</v>
      </c>
      <c r="F945" s="3">
        <v>111133</v>
      </c>
      <c r="G945" s="57" t="str">
        <f t="shared" si="14"/>
        <v>-</v>
      </c>
      <c r="H945" s="5" t="s">
        <v>4268</v>
      </c>
    </row>
    <row r="946" spans="1:8" x14ac:dyDescent="0.2">
      <c r="A946" s="1" t="s">
        <v>8</v>
      </c>
      <c r="B946" s="2" t="s">
        <v>113</v>
      </c>
      <c r="C946" s="1"/>
      <c r="D946" s="5" t="s">
        <v>529</v>
      </c>
      <c r="E946" s="3">
        <v>111237</v>
      </c>
      <c r="F946" s="3" t="s">
        <v>465</v>
      </c>
      <c r="G946" s="57" t="str">
        <f t="shared" si="14"/>
        <v>-</v>
      </c>
    </row>
    <row r="947" spans="1:8" x14ac:dyDescent="0.2">
      <c r="A947" s="1" t="s">
        <v>8</v>
      </c>
      <c r="B947" s="2" t="s">
        <v>113</v>
      </c>
      <c r="C947" s="1"/>
      <c r="D947" s="5" t="s">
        <v>529</v>
      </c>
      <c r="E947" s="3">
        <v>108391</v>
      </c>
      <c r="F947" s="3" t="s">
        <v>465</v>
      </c>
      <c r="G947" s="57" t="str">
        <f t="shared" si="14"/>
        <v>-</v>
      </c>
    </row>
    <row r="948" spans="1:8" x14ac:dyDescent="0.2">
      <c r="A948" s="1" t="s">
        <v>8</v>
      </c>
      <c r="B948" s="2" t="s">
        <v>113</v>
      </c>
      <c r="C948" s="1"/>
      <c r="D948" s="5" t="s">
        <v>464</v>
      </c>
      <c r="E948" s="3">
        <v>112500</v>
      </c>
      <c r="F948" s="3" t="s">
        <v>465</v>
      </c>
      <c r="G948" s="57" t="str">
        <f t="shared" si="14"/>
        <v>-</v>
      </c>
      <c r="H948" s="5" t="s">
        <v>539</v>
      </c>
    </row>
    <row r="949" spans="1:8" ht="25.5" x14ac:dyDescent="0.2">
      <c r="A949" s="1" t="s">
        <v>44</v>
      </c>
      <c r="B949" s="2" t="s">
        <v>114</v>
      </c>
      <c r="C949" s="1"/>
      <c r="D949" s="5" t="s">
        <v>450</v>
      </c>
      <c r="E949" s="3">
        <v>140742</v>
      </c>
      <c r="F949" s="3">
        <v>160414</v>
      </c>
      <c r="G949" s="57">
        <f t="shared" si="14"/>
        <v>0.13977348623722841</v>
      </c>
      <c r="H949" s="5" t="s">
        <v>4262</v>
      </c>
    </row>
    <row r="950" spans="1:8" ht="25.5" x14ac:dyDescent="0.2">
      <c r="A950" s="1" t="s">
        <v>44</v>
      </c>
      <c r="B950" s="2" t="s">
        <v>114</v>
      </c>
      <c r="C950" s="1"/>
      <c r="D950" s="5" t="s">
        <v>2160</v>
      </c>
      <c r="E950" s="3">
        <v>113382</v>
      </c>
      <c r="F950" s="3">
        <v>114333</v>
      </c>
      <c r="G950" s="57">
        <f t="shared" si="14"/>
        <v>8.3875747473143893E-3</v>
      </c>
      <c r="H950" s="5" t="s">
        <v>4263</v>
      </c>
    </row>
    <row r="951" spans="1:8" ht="25.5" x14ac:dyDescent="0.2">
      <c r="A951" s="1" t="s">
        <v>44</v>
      </c>
      <c r="B951" s="2" t="s">
        <v>114</v>
      </c>
      <c r="C951" s="1"/>
      <c r="D951" s="5" t="s">
        <v>2161</v>
      </c>
      <c r="E951" s="3">
        <v>104187</v>
      </c>
      <c r="F951" s="3">
        <v>109589</v>
      </c>
      <c r="G951" s="57">
        <f t="shared" si="14"/>
        <v>5.1849079059767531E-2</v>
      </c>
      <c r="H951" s="5" t="s">
        <v>4264</v>
      </c>
    </row>
    <row r="952" spans="1:8" ht="51" x14ac:dyDescent="0.2">
      <c r="A952" s="1" t="s">
        <v>44</v>
      </c>
      <c r="B952" s="2" t="s">
        <v>114</v>
      </c>
      <c r="C952" s="1"/>
      <c r="D952" s="5" t="s">
        <v>589</v>
      </c>
      <c r="E952" s="3">
        <v>104092</v>
      </c>
      <c r="F952" s="3">
        <v>161746</v>
      </c>
      <c r="G952" s="57">
        <f t="shared" si="14"/>
        <v>0.55387541789955042</v>
      </c>
      <c r="H952" s="5" t="s">
        <v>4269</v>
      </c>
    </row>
    <row r="953" spans="1:8" s="13" customFormat="1" ht="25.5" x14ac:dyDescent="0.2">
      <c r="A953" s="1" t="s">
        <v>44</v>
      </c>
      <c r="B953" s="12" t="s">
        <v>114</v>
      </c>
      <c r="D953" s="7" t="s">
        <v>2162</v>
      </c>
      <c r="E953" s="6">
        <v>29340</v>
      </c>
      <c r="F953" s="6">
        <v>117242</v>
      </c>
      <c r="G953" s="57">
        <f t="shared" si="14"/>
        <v>2.9959781867757327</v>
      </c>
      <c r="H953" s="7" t="s">
        <v>4265</v>
      </c>
    </row>
    <row r="954" spans="1:8" ht="51" x14ac:dyDescent="0.2">
      <c r="A954" s="1" t="s">
        <v>44</v>
      </c>
      <c r="B954" s="2" t="s">
        <v>114</v>
      </c>
      <c r="C954" s="1"/>
      <c r="D954" s="5" t="s">
        <v>487</v>
      </c>
      <c r="E954" s="3">
        <v>82942</v>
      </c>
      <c r="F954" s="3">
        <v>118291</v>
      </c>
      <c r="G954" s="57">
        <f t="shared" si="14"/>
        <v>0.42618938535362061</v>
      </c>
      <c r="H954" s="5" t="s">
        <v>4270</v>
      </c>
    </row>
    <row r="955" spans="1:8" ht="25.5" x14ac:dyDescent="0.2">
      <c r="A955" s="1" t="s">
        <v>44</v>
      </c>
      <c r="B955" s="2" t="s">
        <v>114</v>
      </c>
      <c r="C955" s="1"/>
      <c r="D955" s="5" t="s">
        <v>3894</v>
      </c>
      <c r="E955" s="3">
        <v>139335</v>
      </c>
      <c r="F955" s="3" t="s">
        <v>465</v>
      </c>
      <c r="G955" s="57" t="str">
        <f t="shared" si="14"/>
        <v>-</v>
      </c>
      <c r="H955" s="5" t="s">
        <v>4266</v>
      </c>
    </row>
    <row r="956" spans="1:8" x14ac:dyDescent="0.2">
      <c r="A956" s="1" t="s">
        <v>44</v>
      </c>
      <c r="B956" s="2" t="s">
        <v>114</v>
      </c>
      <c r="C956" s="1"/>
      <c r="D956" s="5" t="s">
        <v>464</v>
      </c>
      <c r="E956" s="3">
        <v>102500</v>
      </c>
      <c r="F956" s="3" t="s">
        <v>465</v>
      </c>
      <c r="G956" s="57" t="str">
        <f t="shared" si="14"/>
        <v>-</v>
      </c>
    </row>
    <row r="957" spans="1:8" x14ac:dyDescent="0.2">
      <c r="A957" s="1" t="s">
        <v>44</v>
      </c>
      <c r="B957" s="2" t="s">
        <v>114</v>
      </c>
      <c r="C957" s="1"/>
      <c r="D957" s="5" t="s">
        <v>464</v>
      </c>
      <c r="E957" s="3">
        <v>122500</v>
      </c>
      <c r="F957" s="3" t="s">
        <v>465</v>
      </c>
      <c r="G957" s="57" t="str">
        <f t="shared" si="14"/>
        <v>-</v>
      </c>
    </row>
    <row r="958" spans="1:8" x14ac:dyDescent="0.2">
      <c r="A958" s="1" t="s">
        <v>44</v>
      </c>
      <c r="B958" s="2" t="s">
        <v>114</v>
      </c>
      <c r="C958" s="1"/>
      <c r="D958" s="5" t="s">
        <v>464</v>
      </c>
      <c r="E958" s="3">
        <v>132500</v>
      </c>
      <c r="F958" s="3" t="s">
        <v>465</v>
      </c>
      <c r="G958" s="57" t="str">
        <f t="shared" si="14"/>
        <v>-</v>
      </c>
    </row>
    <row r="959" spans="1:8" x14ac:dyDescent="0.2">
      <c r="A959" s="1" t="s">
        <v>44</v>
      </c>
      <c r="B959" s="2" t="s">
        <v>114</v>
      </c>
      <c r="C959" s="1"/>
      <c r="D959" s="5" t="s">
        <v>464</v>
      </c>
      <c r="E959" s="3" t="s">
        <v>465</v>
      </c>
      <c r="F959" s="3">
        <v>102500</v>
      </c>
      <c r="G959" s="57" t="str">
        <f t="shared" si="14"/>
        <v>-</v>
      </c>
    </row>
    <row r="960" spans="1:8" ht="25.5" x14ac:dyDescent="0.2">
      <c r="A960" s="1" t="s">
        <v>8</v>
      </c>
      <c r="B960" s="2" t="s">
        <v>115</v>
      </c>
      <c r="C960" s="1" t="s">
        <v>2157</v>
      </c>
      <c r="D960" s="5" t="s">
        <v>450</v>
      </c>
      <c r="E960" s="3">
        <v>128712</v>
      </c>
      <c r="F960" s="3">
        <v>188798</v>
      </c>
      <c r="G960" s="57">
        <f t="shared" si="14"/>
        <v>0.46682516004723723</v>
      </c>
      <c r="H960" s="5" t="s">
        <v>4271</v>
      </c>
    </row>
    <row r="961" spans="1:8" ht="25.5" x14ac:dyDescent="0.2">
      <c r="A961" s="1" t="s">
        <v>8</v>
      </c>
      <c r="B961" s="2" t="s">
        <v>115</v>
      </c>
      <c r="C961" s="1"/>
      <c r="D961" s="5" t="s">
        <v>3895</v>
      </c>
      <c r="E961" s="3">
        <v>150723</v>
      </c>
      <c r="F961" s="3">
        <v>62637</v>
      </c>
      <c r="G961" s="57">
        <f t="shared" si="14"/>
        <v>-0.5844230807507812</v>
      </c>
      <c r="H961" s="5" t="s">
        <v>4272</v>
      </c>
    </row>
    <row r="962" spans="1:8" ht="25.5" x14ac:dyDescent="0.2">
      <c r="A962" s="1" t="s">
        <v>8</v>
      </c>
      <c r="B962" s="2" t="s">
        <v>115</v>
      </c>
      <c r="C962" s="1"/>
      <c r="D962" s="5" t="s">
        <v>3896</v>
      </c>
      <c r="E962" s="3">
        <v>141538</v>
      </c>
      <c r="F962" s="3">
        <v>11872</v>
      </c>
      <c r="G962" s="57">
        <f t="shared" si="14"/>
        <v>-0.91612146561347485</v>
      </c>
      <c r="H962" s="5" t="s">
        <v>4273</v>
      </c>
    </row>
    <row r="963" spans="1:8" ht="25.5" x14ac:dyDescent="0.2">
      <c r="A963" s="1" t="s">
        <v>8</v>
      </c>
      <c r="B963" s="2" t="s">
        <v>115</v>
      </c>
      <c r="C963" s="1"/>
      <c r="D963" s="5" t="s">
        <v>2152</v>
      </c>
      <c r="E963" s="3">
        <v>136626</v>
      </c>
      <c r="F963" s="3">
        <v>138475</v>
      </c>
      <c r="G963" s="57">
        <f t="shared" ref="G963:G1026" si="15">IF(ISERROR((F963-E963)/E963),"-",(F963-E963)/E963)</f>
        <v>1.3533295273227643E-2</v>
      </c>
      <c r="H963" s="5" t="s">
        <v>3897</v>
      </c>
    </row>
    <row r="964" spans="1:8" ht="25.5" x14ac:dyDescent="0.2">
      <c r="A964" s="1" t="s">
        <v>8</v>
      </c>
      <c r="B964" s="2" t="s">
        <v>115</v>
      </c>
      <c r="C964" s="1"/>
      <c r="D964" s="5" t="s">
        <v>2158</v>
      </c>
      <c r="E964" s="3" t="s">
        <v>465</v>
      </c>
      <c r="F964" s="3">
        <v>127111</v>
      </c>
      <c r="G964" s="57" t="str">
        <f t="shared" si="15"/>
        <v>-</v>
      </c>
      <c r="H964" s="5" t="s">
        <v>4274</v>
      </c>
    </row>
    <row r="965" spans="1:8" ht="25.5" x14ac:dyDescent="0.2">
      <c r="A965" s="1" t="s">
        <v>8</v>
      </c>
      <c r="B965" s="2" t="s">
        <v>115</v>
      </c>
      <c r="C965" s="1"/>
      <c r="D965" s="5" t="s">
        <v>515</v>
      </c>
      <c r="E965" s="3">
        <v>134970</v>
      </c>
      <c r="F965" s="3">
        <v>71189</v>
      </c>
      <c r="G965" s="57">
        <f t="shared" si="15"/>
        <v>-0.47255686448840484</v>
      </c>
      <c r="H965" s="5" t="s">
        <v>4275</v>
      </c>
    </row>
    <row r="966" spans="1:8" ht="25.5" x14ac:dyDescent="0.2">
      <c r="A966" s="1" t="s">
        <v>8</v>
      </c>
      <c r="B966" s="2" t="s">
        <v>115</v>
      </c>
      <c r="C966" s="1"/>
      <c r="D966" s="5" t="s">
        <v>2159</v>
      </c>
      <c r="E966" s="3" t="s">
        <v>465</v>
      </c>
      <c r="F966" s="3">
        <v>124198</v>
      </c>
      <c r="G966" s="57" t="str">
        <f t="shared" si="15"/>
        <v>-</v>
      </c>
      <c r="H966" s="5" t="s">
        <v>4276</v>
      </c>
    </row>
    <row r="967" spans="1:8" ht="25.5" x14ac:dyDescent="0.2">
      <c r="A967" s="1" t="s">
        <v>8</v>
      </c>
      <c r="B967" s="2" t="s">
        <v>115</v>
      </c>
      <c r="C967" s="1"/>
      <c r="D967" s="5" t="s">
        <v>2159</v>
      </c>
      <c r="E967" s="3">
        <v>141903</v>
      </c>
      <c r="F967" s="3">
        <v>12055</v>
      </c>
      <c r="G967" s="57">
        <f t="shared" si="15"/>
        <v>-0.91504760294003651</v>
      </c>
      <c r="H967" s="5" t="s">
        <v>4277</v>
      </c>
    </row>
    <row r="968" spans="1:8" x14ac:dyDescent="0.2">
      <c r="A968" s="1" t="s">
        <v>8</v>
      </c>
      <c r="B968" s="2" t="s">
        <v>115</v>
      </c>
      <c r="C968" s="1"/>
      <c r="D968" s="5" t="s">
        <v>464</v>
      </c>
      <c r="E968" s="3">
        <v>107500</v>
      </c>
      <c r="F968" s="3" t="s">
        <v>465</v>
      </c>
      <c r="G968" s="57" t="str">
        <f t="shared" si="15"/>
        <v>-</v>
      </c>
    </row>
    <row r="969" spans="1:8" x14ac:dyDescent="0.2">
      <c r="A969" s="1" t="s">
        <v>8</v>
      </c>
      <c r="B969" s="2" t="s">
        <v>115</v>
      </c>
      <c r="C969" s="1"/>
      <c r="D969" s="5" t="s">
        <v>464</v>
      </c>
      <c r="E969" s="3">
        <v>112500</v>
      </c>
      <c r="F969" s="3" t="s">
        <v>465</v>
      </c>
      <c r="G969" s="57" t="str">
        <f t="shared" si="15"/>
        <v>-</v>
      </c>
    </row>
    <row r="970" spans="1:8" x14ac:dyDescent="0.2">
      <c r="A970" s="1" t="s">
        <v>8</v>
      </c>
      <c r="B970" s="2" t="s">
        <v>115</v>
      </c>
      <c r="C970" s="1"/>
      <c r="D970" s="5" t="s">
        <v>464</v>
      </c>
      <c r="E970" s="3">
        <v>117500</v>
      </c>
      <c r="F970" s="3" t="s">
        <v>465</v>
      </c>
      <c r="G970" s="57" t="str">
        <f t="shared" si="15"/>
        <v>-</v>
      </c>
    </row>
    <row r="971" spans="1:8" x14ac:dyDescent="0.2">
      <c r="A971" s="1" t="s">
        <v>8</v>
      </c>
      <c r="B971" s="2" t="s">
        <v>115</v>
      </c>
      <c r="C971" s="1"/>
      <c r="D971" s="5" t="s">
        <v>464</v>
      </c>
      <c r="E971" s="3" t="s">
        <v>465</v>
      </c>
      <c r="F971" s="3">
        <v>102500</v>
      </c>
      <c r="G971" s="57" t="str">
        <f t="shared" si="15"/>
        <v>-</v>
      </c>
    </row>
    <row r="972" spans="1:8" x14ac:dyDescent="0.2">
      <c r="A972" s="1" t="s">
        <v>8</v>
      </c>
      <c r="B972" s="2" t="s">
        <v>115</v>
      </c>
      <c r="C972" s="1"/>
      <c r="D972" s="5" t="s">
        <v>464</v>
      </c>
      <c r="E972" s="3" t="s">
        <v>465</v>
      </c>
      <c r="F972" s="3">
        <v>102500</v>
      </c>
      <c r="G972" s="57" t="str">
        <f t="shared" si="15"/>
        <v>-</v>
      </c>
    </row>
    <row r="973" spans="1:8" x14ac:dyDescent="0.2">
      <c r="A973" s="1" t="s">
        <v>8</v>
      </c>
      <c r="B973" s="2" t="s">
        <v>115</v>
      </c>
      <c r="C973" s="1"/>
      <c r="D973" s="5" t="s">
        <v>464</v>
      </c>
      <c r="E973" s="3" t="s">
        <v>465</v>
      </c>
      <c r="F973" s="3">
        <v>102500</v>
      </c>
      <c r="G973" s="57" t="str">
        <f t="shared" si="15"/>
        <v>-</v>
      </c>
    </row>
    <row r="974" spans="1:8" x14ac:dyDescent="0.2">
      <c r="A974" s="1" t="s">
        <v>8</v>
      </c>
      <c r="B974" s="2" t="s">
        <v>115</v>
      </c>
      <c r="C974" s="1"/>
      <c r="D974" s="5" t="s">
        <v>464</v>
      </c>
      <c r="E974" s="3" t="s">
        <v>465</v>
      </c>
      <c r="F974" s="3">
        <v>102500</v>
      </c>
      <c r="G974" s="57" t="str">
        <f t="shared" si="15"/>
        <v>-</v>
      </c>
    </row>
    <row r="975" spans="1:8" x14ac:dyDescent="0.2">
      <c r="A975" s="1" t="s">
        <v>8</v>
      </c>
      <c r="B975" s="2" t="s">
        <v>115</v>
      </c>
      <c r="C975" s="1"/>
      <c r="D975" s="5" t="s">
        <v>464</v>
      </c>
      <c r="E975" s="3" t="s">
        <v>465</v>
      </c>
      <c r="F975" s="3">
        <v>102500</v>
      </c>
      <c r="G975" s="57" t="str">
        <f t="shared" si="15"/>
        <v>-</v>
      </c>
    </row>
    <row r="976" spans="1:8" x14ac:dyDescent="0.2">
      <c r="A976" s="1" t="s">
        <v>8</v>
      </c>
      <c r="B976" s="2" t="s">
        <v>115</v>
      </c>
      <c r="C976" s="1"/>
      <c r="D976" s="5" t="s">
        <v>464</v>
      </c>
      <c r="E976" s="3" t="s">
        <v>465</v>
      </c>
      <c r="F976" s="3">
        <v>102500</v>
      </c>
      <c r="G976" s="57" t="str">
        <f t="shared" si="15"/>
        <v>-</v>
      </c>
    </row>
    <row r="977" spans="1:8" x14ac:dyDescent="0.2">
      <c r="A977" s="1" t="s">
        <v>8</v>
      </c>
      <c r="B977" s="2" t="s">
        <v>115</v>
      </c>
      <c r="C977" s="1"/>
      <c r="D977" s="5" t="s">
        <v>464</v>
      </c>
      <c r="E977" s="3" t="s">
        <v>465</v>
      </c>
      <c r="F977" s="3">
        <v>102500</v>
      </c>
      <c r="G977" s="57" t="str">
        <f t="shared" si="15"/>
        <v>-</v>
      </c>
      <c r="H977" s="1"/>
    </row>
    <row r="978" spans="1:8" x14ac:dyDescent="0.2">
      <c r="A978" s="1" t="s">
        <v>8</v>
      </c>
      <c r="B978" s="2" t="s">
        <v>115</v>
      </c>
      <c r="C978" s="1"/>
      <c r="D978" s="5" t="s">
        <v>464</v>
      </c>
      <c r="E978" s="3" t="s">
        <v>465</v>
      </c>
      <c r="F978" s="3">
        <v>102500</v>
      </c>
      <c r="G978" s="57" t="str">
        <f t="shared" si="15"/>
        <v>-</v>
      </c>
      <c r="H978" s="1"/>
    </row>
    <row r="979" spans="1:8" x14ac:dyDescent="0.2">
      <c r="A979" s="1" t="s">
        <v>8</v>
      </c>
      <c r="B979" s="2" t="s">
        <v>115</v>
      </c>
      <c r="C979" s="1"/>
      <c r="D979" s="5" t="s">
        <v>464</v>
      </c>
      <c r="E979" s="3" t="s">
        <v>465</v>
      </c>
      <c r="F979" s="3">
        <v>102500</v>
      </c>
      <c r="G979" s="57" t="str">
        <f t="shared" si="15"/>
        <v>-</v>
      </c>
      <c r="H979" s="1"/>
    </row>
    <row r="980" spans="1:8" x14ac:dyDescent="0.2">
      <c r="A980" s="1" t="s">
        <v>8</v>
      </c>
      <c r="B980" s="2" t="s">
        <v>115</v>
      </c>
      <c r="C980" s="1"/>
      <c r="D980" s="5" t="s">
        <v>464</v>
      </c>
      <c r="E980" s="3" t="s">
        <v>465</v>
      </c>
      <c r="F980" s="3">
        <v>102500</v>
      </c>
      <c r="G980" s="57" t="str">
        <f t="shared" si="15"/>
        <v>-</v>
      </c>
      <c r="H980" s="1"/>
    </row>
    <row r="981" spans="1:8" x14ac:dyDescent="0.2">
      <c r="A981" s="1" t="s">
        <v>8</v>
      </c>
      <c r="B981" s="2" t="s">
        <v>115</v>
      </c>
      <c r="C981" s="1"/>
      <c r="D981" s="5" t="s">
        <v>464</v>
      </c>
      <c r="E981" s="3" t="s">
        <v>465</v>
      </c>
      <c r="F981" s="3">
        <v>107500</v>
      </c>
      <c r="G981" s="57" t="str">
        <f t="shared" si="15"/>
        <v>-</v>
      </c>
      <c r="H981" s="1"/>
    </row>
    <row r="982" spans="1:8" x14ac:dyDescent="0.2">
      <c r="A982" s="1" t="s">
        <v>8</v>
      </c>
      <c r="B982" s="2" t="s">
        <v>115</v>
      </c>
      <c r="C982" s="1"/>
      <c r="D982" s="5" t="s">
        <v>464</v>
      </c>
      <c r="E982" s="3" t="s">
        <v>465</v>
      </c>
      <c r="F982" s="3">
        <v>112500</v>
      </c>
      <c r="G982" s="57" t="str">
        <f t="shared" si="15"/>
        <v>-</v>
      </c>
      <c r="H982" s="1"/>
    </row>
    <row r="983" spans="1:8" x14ac:dyDescent="0.2">
      <c r="A983" s="1" t="s">
        <v>8</v>
      </c>
      <c r="B983" s="2" t="s">
        <v>115</v>
      </c>
      <c r="C983" s="1"/>
      <c r="D983" s="5" t="s">
        <v>464</v>
      </c>
      <c r="E983" s="3" t="s">
        <v>465</v>
      </c>
      <c r="F983" s="3">
        <v>112500</v>
      </c>
      <c r="G983" s="57" t="str">
        <f t="shared" si="15"/>
        <v>-</v>
      </c>
      <c r="H983" s="1"/>
    </row>
    <row r="984" spans="1:8" x14ac:dyDescent="0.2">
      <c r="A984" s="1" t="s">
        <v>8</v>
      </c>
      <c r="B984" s="2" t="s">
        <v>115</v>
      </c>
      <c r="C984" s="1"/>
      <c r="D984" s="5" t="s">
        <v>464</v>
      </c>
      <c r="E984" s="3" t="s">
        <v>465</v>
      </c>
      <c r="F984" s="3">
        <v>117500</v>
      </c>
      <c r="G984" s="57" t="str">
        <f t="shared" si="15"/>
        <v>-</v>
      </c>
      <c r="H984" s="1"/>
    </row>
    <row r="985" spans="1:8" x14ac:dyDescent="0.2">
      <c r="A985" s="1" t="s">
        <v>8</v>
      </c>
      <c r="B985" s="2" t="s">
        <v>115</v>
      </c>
      <c r="C985" s="1"/>
      <c r="D985" s="5" t="s">
        <v>464</v>
      </c>
      <c r="E985" s="3" t="s">
        <v>465</v>
      </c>
      <c r="F985" s="3">
        <v>142500</v>
      </c>
      <c r="G985" s="57" t="str">
        <f t="shared" si="15"/>
        <v>-</v>
      </c>
      <c r="H985" s="1"/>
    </row>
    <row r="986" spans="1:8" x14ac:dyDescent="0.2">
      <c r="A986" s="1" t="s">
        <v>8</v>
      </c>
      <c r="B986" s="2" t="s">
        <v>115</v>
      </c>
      <c r="C986" s="1"/>
      <c r="D986" s="5" t="s">
        <v>464</v>
      </c>
      <c r="E986" s="3" t="s">
        <v>465</v>
      </c>
      <c r="F986" s="3">
        <v>152500</v>
      </c>
      <c r="G986" s="57" t="str">
        <f t="shared" si="15"/>
        <v>-</v>
      </c>
      <c r="H986" s="1"/>
    </row>
    <row r="987" spans="1:8" x14ac:dyDescent="0.2">
      <c r="A987" s="1" t="s">
        <v>8</v>
      </c>
      <c r="B987" s="2" t="s">
        <v>115</v>
      </c>
      <c r="C987" s="1"/>
      <c r="D987" s="5" t="s">
        <v>464</v>
      </c>
      <c r="E987" s="3" t="s">
        <v>465</v>
      </c>
      <c r="F987" s="3">
        <v>162500</v>
      </c>
      <c r="G987" s="57" t="str">
        <f t="shared" si="15"/>
        <v>-</v>
      </c>
      <c r="H987" s="1"/>
    </row>
    <row r="988" spans="1:8" x14ac:dyDescent="0.2">
      <c r="A988" s="1" t="s">
        <v>8</v>
      </c>
      <c r="B988" s="2" t="s">
        <v>116</v>
      </c>
      <c r="C988" s="1" t="s">
        <v>2150</v>
      </c>
      <c r="D988" s="5" t="s">
        <v>450</v>
      </c>
      <c r="E988" s="3">
        <v>179644</v>
      </c>
      <c r="F988" s="3">
        <v>178927</v>
      </c>
      <c r="G988" s="57">
        <f t="shared" si="15"/>
        <v>-3.9912270935850902E-3</v>
      </c>
      <c r="H988" s="5" t="s">
        <v>3898</v>
      </c>
    </row>
    <row r="989" spans="1:8" x14ac:dyDescent="0.2">
      <c r="A989" s="1" t="s">
        <v>8</v>
      </c>
      <c r="B989" s="2" t="s">
        <v>116</v>
      </c>
      <c r="C989" s="1"/>
      <c r="D989" s="5" t="s">
        <v>2151</v>
      </c>
      <c r="E989" s="3">
        <v>138529</v>
      </c>
      <c r="F989" s="3">
        <v>140924</v>
      </c>
      <c r="G989" s="57">
        <f t="shared" si="15"/>
        <v>1.7288798735282863E-2</v>
      </c>
      <c r="H989" s="5" t="s">
        <v>3899</v>
      </c>
    </row>
    <row r="990" spans="1:8" x14ac:dyDescent="0.2">
      <c r="A990" s="1" t="s">
        <v>8</v>
      </c>
      <c r="B990" s="2" t="s">
        <v>116</v>
      </c>
      <c r="C990" s="1"/>
      <c r="D990" s="5" t="s">
        <v>2152</v>
      </c>
      <c r="E990" s="3">
        <v>138464</v>
      </c>
      <c r="F990" s="3">
        <v>140729</v>
      </c>
      <c r="G990" s="57">
        <f t="shared" si="15"/>
        <v>1.6358042523688467E-2</v>
      </c>
      <c r="H990" s="5" t="s">
        <v>3900</v>
      </c>
    </row>
    <row r="991" spans="1:8" ht="25.5" x14ac:dyDescent="0.2">
      <c r="A991" s="1" t="s">
        <v>8</v>
      </c>
      <c r="B991" s="2" t="s">
        <v>116</v>
      </c>
      <c r="C991" s="1"/>
      <c r="D991" s="5" t="s">
        <v>3901</v>
      </c>
      <c r="E991" s="3">
        <v>154208</v>
      </c>
      <c r="F991" s="3">
        <v>138291</v>
      </c>
      <c r="G991" s="57">
        <f t="shared" si="15"/>
        <v>-0.10321773189458394</v>
      </c>
      <c r="H991" s="5" t="s">
        <v>3902</v>
      </c>
    </row>
    <row r="992" spans="1:8" x14ac:dyDescent="0.2">
      <c r="A992" s="1" t="s">
        <v>8</v>
      </c>
      <c r="B992" s="2" t="s">
        <v>116</v>
      </c>
      <c r="C992" s="1"/>
      <c r="D992" s="5" t="s">
        <v>2153</v>
      </c>
      <c r="E992" s="3">
        <v>112591</v>
      </c>
      <c r="F992" s="3">
        <v>114271</v>
      </c>
      <c r="G992" s="57">
        <f t="shared" si="15"/>
        <v>1.4921263688927178E-2</v>
      </c>
      <c r="H992" s="5" t="s">
        <v>3903</v>
      </c>
    </row>
    <row r="993" spans="1:8" x14ac:dyDescent="0.2">
      <c r="A993" s="1" t="s">
        <v>8</v>
      </c>
      <c r="B993" s="2" t="s">
        <v>116</v>
      </c>
      <c r="C993" s="1"/>
      <c r="D993" s="5" t="s">
        <v>2154</v>
      </c>
      <c r="E993" s="3">
        <v>115200</v>
      </c>
      <c r="F993" s="3">
        <v>114087</v>
      </c>
      <c r="G993" s="57">
        <f t="shared" si="15"/>
        <v>-9.6614583333333327E-3</v>
      </c>
      <c r="H993" s="5" t="s">
        <v>3904</v>
      </c>
    </row>
    <row r="994" spans="1:8" ht="25.5" x14ac:dyDescent="0.2">
      <c r="A994" s="1" t="s">
        <v>8</v>
      </c>
      <c r="B994" s="2" t="s">
        <v>116</v>
      </c>
      <c r="C994" s="1"/>
      <c r="D994" s="5" t="s">
        <v>507</v>
      </c>
      <c r="E994" s="3">
        <v>106458</v>
      </c>
      <c r="F994" s="3" t="s">
        <v>465</v>
      </c>
      <c r="G994" s="57" t="str">
        <f t="shared" si="15"/>
        <v>-</v>
      </c>
      <c r="H994" s="5" t="s">
        <v>4278</v>
      </c>
    </row>
    <row r="995" spans="1:8" x14ac:dyDescent="0.2">
      <c r="A995" s="1" t="s">
        <v>8</v>
      </c>
      <c r="B995" s="2" t="s">
        <v>116</v>
      </c>
      <c r="C995" s="1"/>
      <c r="D995" s="5" t="s">
        <v>2155</v>
      </c>
      <c r="E995" s="3">
        <v>104146</v>
      </c>
      <c r="F995" s="3">
        <v>105618</v>
      </c>
      <c r="G995" s="57">
        <f t="shared" si="15"/>
        <v>1.4134004186430588E-2</v>
      </c>
      <c r="H995" s="5" t="s">
        <v>3905</v>
      </c>
    </row>
    <row r="996" spans="1:8" x14ac:dyDescent="0.2">
      <c r="A996" s="1" t="s">
        <v>8</v>
      </c>
      <c r="B996" s="2" t="s">
        <v>116</v>
      </c>
      <c r="C996" s="1"/>
      <c r="D996" s="5" t="s">
        <v>2156</v>
      </c>
      <c r="E996" s="3">
        <v>103033</v>
      </c>
      <c r="F996" s="3">
        <v>105557</v>
      </c>
      <c r="G996" s="57">
        <f t="shared" si="15"/>
        <v>2.4497005813671348E-2</v>
      </c>
      <c r="H996" s="5" t="s">
        <v>3906</v>
      </c>
    </row>
    <row r="997" spans="1:8" x14ac:dyDescent="0.2">
      <c r="A997" s="1" t="s">
        <v>8</v>
      </c>
      <c r="B997" s="2" t="s">
        <v>116</v>
      </c>
      <c r="C997" s="1"/>
      <c r="D997" s="5" t="s">
        <v>949</v>
      </c>
      <c r="E997" s="3">
        <v>112050</v>
      </c>
      <c r="F997" s="3">
        <v>108311</v>
      </c>
      <c r="G997" s="57">
        <f t="shared" si="15"/>
        <v>-3.3369031682284694E-2</v>
      </c>
      <c r="H997" s="5" t="s">
        <v>3907</v>
      </c>
    </row>
    <row r="998" spans="1:8" x14ac:dyDescent="0.2">
      <c r="A998" s="1" t="s">
        <v>8</v>
      </c>
      <c r="B998" s="2" t="s">
        <v>116</v>
      </c>
      <c r="C998" s="1"/>
      <c r="D998" s="5" t="s">
        <v>501</v>
      </c>
      <c r="E998" s="3">
        <v>101754</v>
      </c>
      <c r="F998" s="3">
        <v>103224</v>
      </c>
      <c r="G998" s="57">
        <f t="shared" si="15"/>
        <v>1.4446606521610944E-2</v>
      </c>
      <c r="H998" s="5" t="s">
        <v>3908</v>
      </c>
    </row>
    <row r="999" spans="1:8" x14ac:dyDescent="0.2">
      <c r="A999" s="1" t="s">
        <v>8</v>
      </c>
      <c r="B999" s="2" t="s">
        <v>116</v>
      </c>
      <c r="C999" s="1"/>
      <c r="D999" s="5" t="s">
        <v>3909</v>
      </c>
      <c r="E999" s="3">
        <v>108827</v>
      </c>
      <c r="F999" s="3">
        <v>97798</v>
      </c>
      <c r="G999" s="57">
        <f t="shared" si="15"/>
        <v>-0.10134433550497579</v>
      </c>
      <c r="H999" s="5" t="s">
        <v>3910</v>
      </c>
    </row>
    <row r="1000" spans="1:8" ht="25.5" x14ac:dyDescent="0.2">
      <c r="A1000" s="1" t="s">
        <v>8</v>
      </c>
      <c r="B1000" s="2" t="s">
        <v>117</v>
      </c>
      <c r="C1000" s="1"/>
      <c r="D1000" s="5" t="s">
        <v>450</v>
      </c>
      <c r="E1000" s="3">
        <v>148000</v>
      </c>
      <c r="F1000" s="3">
        <v>148000</v>
      </c>
      <c r="G1000" s="57">
        <f t="shared" si="15"/>
        <v>0</v>
      </c>
      <c r="H1000" s="5" t="s">
        <v>3911</v>
      </c>
    </row>
    <row r="1001" spans="1:8" ht="25.5" x14ac:dyDescent="0.2">
      <c r="A1001" s="1" t="s">
        <v>8</v>
      </c>
      <c r="B1001" s="2" t="s">
        <v>117</v>
      </c>
      <c r="C1001" s="1"/>
      <c r="D1001" s="5" t="s">
        <v>855</v>
      </c>
      <c r="E1001" s="3">
        <v>98000</v>
      </c>
      <c r="F1001" s="3">
        <v>101000</v>
      </c>
      <c r="G1001" s="57">
        <f t="shared" si="15"/>
        <v>3.0612244897959183E-2</v>
      </c>
      <c r="H1001" s="5" t="s">
        <v>3912</v>
      </c>
    </row>
    <row r="1002" spans="1:8" x14ac:dyDescent="0.2">
      <c r="A1002" s="1" t="s">
        <v>11</v>
      </c>
      <c r="B1002" s="2" t="s">
        <v>118</v>
      </c>
      <c r="C1002" s="1"/>
      <c r="D1002" s="5" t="s">
        <v>464</v>
      </c>
      <c r="E1002" s="3">
        <v>95000</v>
      </c>
      <c r="F1002" s="3" t="s">
        <v>465</v>
      </c>
      <c r="G1002" s="57" t="str">
        <f t="shared" si="15"/>
        <v>-</v>
      </c>
    </row>
    <row r="1003" spans="1:8" ht="25.5" x14ac:dyDescent="0.2">
      <c r="A1003" s="1" t="s">
        <v>34</v>
      </c>
      <c r="B1003" s="2" t="s">
        <v>119</v>
      </c>
      <c r="C1003" s="1"/>
      <c r="D1003" s="5" t="s">
        <v>450</v>
      </c>
      <c r="E1003" s="3">
        <v>179855</v>
      </c>
      <c r="F1003" s="3">
        <v>172720</v>
      </c>
      <c r="G1003" s="57">
        <f t="shared" si="15"/>
        <v>-3.9670845959244951E-2</v>
      </c>
      <c r="H1003" s="5" t="s">
        <v>3913</v>
      </c>
    </row>
    <row r="1004" spans="1:8" ht="25.5" x14ac:dyDescent="0.2">
      <c r="A1004" s="1" t="s">
        <v>34</v>
      </c>
      <c r="B1004" s="2" t="s">
        <v>119</v>
      </c>
      <c r="C1004" s="1"/>
      <c r="D1004" s="5" t="s">
        <v>455</v>
      </c>
      <c r="E1004" s="3">
        <v>152843</v>
      </c>
      <c r="F1004" s="3">
        <v>158217</v>
      </c>
      <c r="G1004" s="57">
        <f t="shared" si="15"/>
        <v>3.5160262491576326E-2</v>
      </c>
      <c r="H1004" s="5" t="s">
        <v>3914</v>
      </c>
    </row>
    <row r="1005" spans="1:8" ht="25.5" x14ac:dyDescent="0.2">
      <c r="A1005" s="1" t="s">
        <v>34</v>
      </c>
      <c r="B1005" s="2" t="s">
        <v>119</v>
      </c>
      <c r="C1005" s="1"/>
      <c r="D1005" s="5" t="s">
        <v>608</v>
      </c>
      <c r="E1005" s="3">
        <v>149678</v>
      </c>
      <c r="F1005" s="3">
        <v>149155</v>
      </c>
      <c r="G1005" s="57">
        <f t="shared" si="15"/>
        <v>-3.4941674795227087E-3</v>
      </c>
      <c r="H1005" s="5" t="s">
        <v>3915</v>
      </c>
    </row>
    <row r="1006" spans="1:8" ht="25.5" x14ac:dyDescent="0.2">
      <c r="A1006" s="1" t="s">
        <v>34</v>
      </c>
      <c r="B1006" s="2" t="s">
        <v>119</v>
      </c>
      <c r="C1006" s="1"/>
      <c r="D1006" s="5" t="s">
        <v>2149</v>
      </c>
      <c r="E1006" s="3">
        <v>100041</v>
      </c>
      <c r="F1006" s="3">
        <v>150061</v>
      </c>
      <c r="G1006" s="57">
        <f t="shared" si="15"/>
        <v>0.49999500204915986</v>
      </c>
      <c r="H1006" s="5" t="s">
        <v>4279</v>
      </c>
    </row>
    <row r="1007" spans="1:8" ht="38.25" x14ac:dyDescent="0.2">
      <c r="A1007" s="1" t="s">
        <v>34</v>
      </c>
      <c r="B1007" s="2" t="s">
        <v>119</v>
      </c>
      <c r="C1007" s="1"/>
      <c r="D1007" s="5" t="s">
        <v>1269</v>
      </c>
      <c r="E1007" s="3">
        <v>29940</v>
      </c>
      <c r="F1007" s="3">
        <v>123742</v>
      </c>
      <c r="G1007" s="57">
        <f t="shared" si="15"/>
        <v>3.1329993319973282</v>
      </c>
      <c r="H1007" s="5" t="s">
        <v>4620</v>
      </c>
    </row>
    <row r="1008" spans="1:8" ht="25.5" x14ac:dyDescent="0.2">
      <c r="A1008" s="1" t="s">
        <v>34</v>
      </c>
      <c r="B1008" s="2" t="s">
        <v>119</v>
      </c>
      <c r="C1008" s="1"/>
      <c r="D1008" s="5" t="s">
        <v>507</v>
      </c>
      <c r="E1008" s="3">
        <v>123918</v>
      </c>
      <c r="F1008" s="3">
        <v>123709</v>
      </c>
      <c r="G1008" s="57">
        <f t="shared" si="15"/>
        <v>-1.6865992026985587E-3</v>
      </c>
      <c r="H1008" s="5" t="s">
        <v>4621</v>
      </c>
    </row>
    <row r="1009" spans="1:8" x14ac:dyDescent="0.2">
      <c r="A1009" s="1" t="s">
        <v>34</v>
      </c>
      <c r="B1009" s="2" t="s">
        <v>119</v>
      </c>
      <c r="C1009" s="1"/>
      <c r="D1009" s="5" t="s">
        <v>464</v>
      </c>
      <c r="E1009" s="3" t="s">
        <v>465</v>
      </c>
      <c r="F1009" s="3">
        <v>97500</v>
      </c>
      <c r="G1009" s="57" t="str">
        <f t="shared" si="15"/>
        <v>-</v>
      </c>
    </row>
    <row r="1010" spans="1:8" x14ac:dyDescent="0.2">
      <c r="A1010" s="1" t="s">
        <v>34</v>
      </c>
      <c r="B1010" s="2" t="s">
        <v>119</v>
      </c>
      <c r="C1010" s="1"/>
      <c r="D1010" s="5" t="s">
        <v>464</v>
      </c>
      <c r="E1010" s="3" t="s">
        <v>465</v>
      </c>
      <c r="F1010" s="3">
        <v>102500</v>
      </c>
      <c r="G1010" s="57" t="str">
        <f t="shared" si="15"/>
        <v>-</v>
      </c>
    </row>
    <row r="1011" spans="1:8" x14ac:dyDescent="0.2">
      <c r="A1011" s="1" t="s">
        <v>34</v>
      </c>
      <c r="B1011" s="2" t="s">
        <v>119</v>
      </c>
      <c r="C1011" s="1"/>
      <c r="D1011" s="5" t="s">
        <v>464</v>
      </c>
      <c r="E1011" s="3" t="s">
        <v>465</v>
      </c>
      <c r="F1011" s="3">
        <v>102500</v>
      </c>
      <c r="G1011" s="57" t="str">
        <f t="shared" si="15"/>
        <v>-</v>
      </c>
    </row>
    <row r="1012" spans="1:8" x14ac:dyDescent="0.2">
      <c r="A1012" s="1" t="s">
        <v>34</v>
      </c>
      <c r="B1012" s="2" t="s">
        <v>119</v>
      </c>
      <c r="C1012" s="1"/>
      <c r="D1012" s="5" t="s">
        <v>464</v>
      </c>
      <c r="E1012" s="3" t="s">
        <v>465</v>
      </c>
      <c r="F1012" s="3">
        <v>107500</v>
      </c>
      <c r="G1012" s="57" t="str">
        <f t="shared" si="15"/>
        <v>-</v>
      </c>
    </row>
    <row r="1013" spans="1:8" x14ac:dyDescent="0.2">
      <c r="A1013" s="1" t="s">
        <v>34</v>
      </c>
      <c r="B1013" s="2" t="s">
        <v>119</v>
      </c>
      <c r="C1013" s="1"/>
      <c r="D1013" s="5" t="s">
        <v>464</v>
      </c>
      <c r="E1013" s="3" t="s">
        <v>465</v>
      </c>
      <c r="F1013" s="3">
        <v>107500</v>
      </c>
      <c r="G1013" s="57" t="str">
        <f t="shared" si="15"/>
        <v>-</v>
      </c>
    </row>
    <row r="1014" spans="1:8" x14ac:dyDescent="0.2">
      <c r="A1014" s="1" t="s">
        <v>34</v>
      </c>
      <c r="B1014" s="2" t="s">
        <v>119</v>
      </c>
      <c r="C1014" s="1"/>
      <c r="D1014" s="5" t="s">
        <v>464</v>
      </c>
      <c r="E1014" s="3" t="s">
        <v>465</v>
      </c>
      <c r="F1014" s="3">
        <v>107500</v>
      </c>
      <c r="G1014" s="57" t="str">
        <f t="shared" si="15"/>
        <v>-</v>
      </c>
    </row>
    <row r="1015" spans="1:8" x14ac:dyDescent="0.2">
      <c r="A1015" s="1" t="s">
        <v>34</v>
      </c>
      <c r="B1015" s="2" t="s">
        <v>119</v>
      </c>
      <c r="C1015" s="1"/>
      <c r="D1015" s="5" t="s">
        <v>464</v>
      </c>
      <c r="E1015" s="3" t="s">
        <v>465</v>
      </c>
      <c r="F1015" s="3">
        <v>112500</v>
      </c>
      <c r="G1015" s="57" t="str">
        <f t="shared" si="15"/>
        <v>-</v>
      </c>
    </row>
    <row r="1016" spans="1:8" x14ac:dyDescent="0.2">
      <c r="A1016" s="1" t="s">
        <v>34</v>
      </c>
      <c r="B1016" s="2" t="s">
        <v>119</v>
      </c>
      <c r="C1016" s="1"/>
      <c r="D1016" s="5" t="s">
        <v>464</v>
      </c>
      <c r="E1016" s="3" t="s">
        <v>465</v>
      </c>
      <c r="F1016" s="3">
        <v>112500</v>
      </c>
      <c r="G1016" s="57" t="str">
        <f t="shared" si="15"/>
        <v>-</v>
      </c>
    </row>
    <row r="1017" spans="1:8" x14ac:dyDescent="0.2">
      <c r="A1017" s="1" t="s">
        <v>34</v>
      </c>
      <c r="B1017" s="2" t="s">
        <v>119</v>
      </c>
      <c r="C1017" s="1"/>
      <c r="D1017" s="5" t="s">
        <v>464</v>
      </c>
      <c r="E1017" s="3" t="s">
        <v>465</v>
      </c>
      <c r="F1017" s="3">
        <v>117500</v>
      </c>
      <c r="G1017" s="57" t="str">
        <f t="shared" si="15"/>
        <v>-</v>
      </c>
    </row>
    <row r="1018" spans="1:8" x14ac:dyDescent="0.2">
      <c r="A1018" s="1" t="s">
        <v>34</v>
      </c>
      <c r="B1018" s="2" t="s">
        <v>119</v>
      </c>
      <c r="C1018" s="1"/>
      <c r="D1018" s="5" t="s">
        <v>464</v>
      </c>
      <c r="E1018" s="3" t="s">
        <v>465</v>
      </c>
      <c r="F1018" s="3">
        <v>122500</v>
      </c>
      <c r="G1018" s="57" t="str">
        <f t="shared" si="15"/>
        <v>-</v>
      </c>
    </row>
    <row r="1019" spans="1:8" x14ac:dyDescent="0.2">
      <c r="A1019" s="1" t="s">
        <v>34</v>
      </c>
      <c r="B1019" s="2" t="s">
        <v>119</v>
      </c>
      <c r="C1019" s="1"/>
      <c r="D1019" s="5" t="s">
        <v>464</v>
      </c>
      <c r="E1019" s="3">
        <v>102500</v>
      </c>
      <c r="F1019" s="3" t="s">
        <v>465</v>
      </c>
      <c r="G1019" s="57" t="str">
        <f t="shared" si="15"/>
        <v>-</v>
      </c>
    </row>
    <row r="1020" spans="1:8" x14ac:dyDescent="0.2">
      <c r="A1020" s="1" t="s">
        <v>34</v>
      </c>
      <c r="B1020" s="2" t="s">
        <v>119</v>
      </c>
      <c r="C1020" s="1"/>
      <c r="D1020" s="5" t="s">
        <v>464</v>
      </c>
      <c r="E1020" s="3">
        <v>107500</v>
      </c>
      <c r="F1020" s="3" t="s">
        <v>465</v>
      </c>
      <c r="G1020" s="57" t="str">
        <f t="shared" si="15"/>
        <v>-</v>
      </c>
    </row>
    <row r="1021" spans="1:8" x14ac:dyDescent="0.2">
      <c r="A1021" s="1" t="s">
        <v>34</v>
      </c>
      <c r="B1021" s="2" t="s">
        <v>119</v>
      </c>
      <c r="C1021" s="1"/>
      <c r="D1021" s="5" t="s">
        <v>464</v>
      </c>
      <c r="E1021" s="3">
        <v>107500</v>
      </c>
      <c r="F1021" s="3" t="s">
        <v>465</v>
      </c>
      <c r="G1021" s="57" t="str">
        <f t="shared" si="15"/>
        <v>-</v>
      </c>
    </row>
    <row r="1022" spans="1:8" x14ac:dyDescent="0.2">
      <c r="A1022" s="1" t="s">
        <v>34</v>
      </c>
      <c r="B1022" s="2" t="s">
        <v>119</v>
      </c>
      <c r="C1022" s="1"/>
      <c r="D1022" s="5" t="s">
        <v>464</v>
      </c>
      <c r="E1022" s="3">
        <v>112500</v>
      </c>
      <c r="F1022" s="3" t="s">
        <v>465</v>
      </c>
      <c r="G1022" s="57" t="str">
        <f t="shared" si="15"/>
        <v>-</v>
      </c>
    </row>
    <row r="1023" spans="1:8" x14ac:dyDescent="0.2">
      <c r="A1023" s="1" t="s">
        <v>34</v>
      </c>
      <c r="B1023" s="2" t="s">
        <v>119</v>
      </c>
      <c r="C1023" s="1"/>
      <c r="D1023" s="5" t="s">
        <v>464</v>
      </c>
      <c r="E1023" s="3">
        <v>132500</v>
      </c>
      <c r="F1023" s="3" t="s">
        <v>465</v>
      </c>
      <c r="G1023" s="57" t="str">
        <f t="shared" si="15"/>
        <v>-</v>
      </c>
    </row>
    <row r="1024" spans="1:8" ht="51" x14ac:dyDescent="0.2">
      <c r="A1024" s="1" t="s">
        <v>28</v>
      </c>
      <c r="B1024" s="2" t="s">
        <v>120</v>
      </c>
      <c r="C1024" s="1" t="s">
        <v>2148</v>
      </c>
      <c r="D1024" s="5" t="s">
        <v>450</v>
      </c>
      <c r="E1024" s="3" t="s">
        <v>465</v>
      </c>
      <c r="F1024" s="3">
        <v>158016</v>
      </c>
      <c r="G1024" s="57" t="str">
        <f t="shared" si="15"/>
        <v>-</v>
      </c>
      <c r="H1024" s="5" t="s">
        <v>4280</v>
      </c>
    </row>
    <row r="1025" spans="1:8" ht="25.5" x14ac:dyDescent="0.2">
      <c r="A1025" s="1" t="s">
        <v>28</v>
      </c>
      <c r="B1025" s="2" t="s">
        <v>120</v>
      </c>
      <c r="C1025" s="1"/>
      <c r="D1025" s="5" t="s">
        <v>764</v>
      </c>
      <c r="E1025" s="3">
        <v>25484</v>
      </c>
      <c r="F1025" s="3">
        <v>153163</v>
      </c>
      <c r="G1025" s="57">
        <f t="shared" si="15"/>
        <v>5.010163239679799</v>
      </c>
      <c r="H1025" s="5" t="s">
        <v>3916</v>
      </c>
    </row>
    <row r="1026" spans="1:8" ht="51" x14ac:dyDescent="0.2">
      <c r="A1026" s="1" t="s">
        <v>28</v>
      </c>
      <c r="B1026" s="2" t="s">
        <v>120</v>
      </c>
      <c r="C1026" s="1"/>
      <c r="D1026" s="5" t="s">
        <v>3917</v>
      </c>
      <c r="E1026" s="3">
        <v>139375</v>
      </c>
      <c r="F1026" s="3">
        <v>209424</v>
      </c>
      <c r="G1026" s="57">
        <f t="shared" si="15"/>
        <v>0.50259372197309415</v>
      </c>
      <c r="H1026" s="5" t="s">
        <v>4281</v>
      </c>
    </row>
    <row r="1027" spans="1:8" ht="25.5" x14ac:dyDescent="0.2">
      <c r="A1027" s="1" t="s">
        <v>28</v>
      </c>
      <c r="B1027" s="2" t="s">
        <v>120</v>
      </c>
      <c r="C1027" s="1"/>
      <c r="D1027" s="5" t="s">
        <v>658</v>
      </c>
      <c r="E1027" s="3">
        <v>139315</v>
      </c>
      <c r="F1027" s="3">
        <v>105347</v>
      </c>
      <c r="G1027" s="57">
        <f t="shared" ref="G1027:G1090" si="16">IF(ISERROR((F1027-E1027)/E1027),"-",(F1027-E1027)/E1027)</f>
        <v>-0.24382155546782472</v>
      </c>
      <c r="H1027" s="5" t="s">
        <v>4282</v>
      </c>
    </row>
    <row r="1028" spans="1:8" ht="51" x14ac:dyDescent="0.2">
      <c r="A1028" s="1" t="s">
        <v>28</v>
      </c>
      <c r="B1028" s="2" t="s">
        <v>120</v>
      </c>
      <c r="C1028" s="1"/>
      <c r="D1028" s="5" t="s">
        <v>3918</v>
      </c>
      <c r="E1028" s="3">
        <v>79755</v>
      </c>
      <c r="F1028" s="3">
        <v>100323</v>
      </c>
      <c r="G1028" s="57">
        <f t="shared" si="16"/>
        <v>0.25788978747413954</v>
      </c>
      <c r="H1028" s="5" t="s">
        <v>4283</v>
      </c>
    </row>
    <row r="1029" spans="1:8" ht="25.5" x14ac:dyDescent="0.2">
      <c r="A1029" s="1" t="s">
        <v>28</v>
      </c>
      <c r="B1029" s="2" t="s">
        <v>120</v>
      </c>
      <c r="C1029" s="1"/>
      <c r="D1029" s="5" t="s">
        <v>944</v>
      </c>
      <c r="E1029" s="3">
        <v>166491</v>
      </c>
      <c r="F1029" s="3">
        <v>115512</v>
      </c>
      <c r="G1029" s="57">
        <f t="shared" si="16"/>
        <v>-0.30619673135484798</v>
      </c>
      <c r="H1029" s="5" t="s">
        <v>4284</v>
      </c>
    </row>
    <row r="1030" spans="1:8" ht="25.5" x14ac:dyDescent="0.2">
      <c r="A1030" s="1" t="s">
        <v>28</v>
      </c>
      <c r="B1030" s="2" t="s">
        <v>120</v>
      </c>
      <c r="C1030" s="1"/>
      <c r="D1030" s="5" t="s">
        <v>852</v>
      </c>
      <c r="E1030" s="3">
        <v>16282</v>
      </c>
      <c r="F1030" s="3">
        <v>107982</v>
      </c>
      <c r="G1030" s="57">
        <f t="shared" si="16"/>
        <v>5.631986242476354</v>
      </c>
      <c r="H1030" s="5" t="s">
        <v>3919</v>
      </c>
    </row>
    <row r="1031" spans="1:8" x14ac:dyDescent="0.2">
      <c r="A1031" s="1" t="s">
        <v>28</v>
      </c>
      <c r="B1031" s="2" t="s">
        <v>120</v>
      </c>
      <c r="C1031" s="1"/>
      <c r="D1031" s="5" t="s">
        <v>464</v>
      </c>
      <c r="E1031" s="3">
        <v>102500</v>
      </c>
      <c r="F1031" s="3" t="s">
        <v>465</v>
      </c>
      <c r="G1031" s="57" t="str">
        <f t="shared" si="16"/>
        <v>-</v>
      </c>
    </row>
    <row r="1032" spans="1:8" x14ac:dyDescent="0.2">
      <c r="A1032" s="1" t="s">
        <v>28</v>
      </c>
      <c r="B1032" s="2" t="s">
        <v>120</v>
      </c>
      <c r="C1032" s="1"/>
      <c r="D1032" s="5" t="s">
        <v>464</v>
      </c>
      <c r="E1032" s="3">
        <v>132500</v>
      </c>
      <c r="F1032" s="3" t="s">
        <v>465</v>
      </c>
      <c r="G1032" s="57" t="str">
        <f t="shared" si="16"/>
        <v>-</v>
      </c>
    </row>
    <row r="1033" spans="1:8" x14ac:dyDescent="0.2">
      <c r="A1033" s="1" t="s">
        <v>28</v>
      </c>
      <c r="B1033" s="2" t="s">
        <v>120</v>
      </c>
      <c r="C1033" s="1"/>
      <c r="D1033" s="5" t="s">
        <v>464</v>
      </c>
      <c r="E1033" s="3">
        <v>142500</v>
      </c>
      <c r="F1033" s="3" t="s">
        <v>465</v>
      </c>
      <c r="G1033" s="57" t="str">
        <f t="shared" si="16"/>
        <v>-</v>
      </c>
    </row>
    <row r="1034" spans="1:8" x14ac:dyDescent="0.2">
      <c r="A1034" s="1" t="s">
        <v>28</v>
      </c>
      <c r="B1034" s="2" t="s">
        <v>120</v>
      </c>
      <c r="C1034" s="1"/>
      <c r="D1034" s="5" t="s">
        <v>464</v>
      </c>
      <c r="E1034" s="3">
        <v>182500</v>
      </c>
      <c r="F1034" s="3" t="s">
        <v>465</v>
      </c>
      <c r="G1034" s="57" t="str">
        <f t="shared" si="16"/>
        <v>-</v>
      </c>
    </row>
    <row r="1035" spans="1:8" x14ac:dyDescent="0.2">
      <c r="A1035" s="1" t="s">
        <v>28</v>
      </c>
      <c r="B1035" s="2" t="s">
        <v>120</v>
      </c>
      <c r="C1035" s="1"/>
      <c r="D1035" s="5" t="s">
        <v>464</v>
      </c>
      <c r="E1035" s="3" t="s">
        <v>465</v>
      </c>
      <c r="F1035" s="3">
        <v>107500</v>
      </c>
      <c r="G1035" s="57" t="str">
        <f t="shared" si="16"/>
        <v>-</v>
      </c>
    </row>
    <row r="1036" spans="1:8" x14ac:dyDescent="0.2">
      <c r="A1036" s="1" t="s">
        <v>28</v>
      </c>
      <c r="B1036" s="2" t="s">
        <v>120</v>
      </c>
      <c r="C1036" s="1"/>
      <c r="D1036" s="5" t="s">
        <v>464</v>
      </c>
      <c r="E1036" s="3" t="s">
        <v>465</v>
      </c>
      <c r="F1036" s="3">
        <v>107500</v>
      </c>
      <c r="G1036" s="57" t="str">
        <f t="shared" si="16"/>
        <v>-</v>
      </c>
    </row>
    <row r="1037" spans="1:8" x14ac:dyDescent="0.2">
      <c r="A1037" s="1" t="s">
        <v>28</v>
      </c>
      <c r="B1037" s="2" t="s">
        <v>120</v>
      </c>
      <c r="C1037" s="1"/>
      <c r="D1037" s="5" t="s">
        <v>464</v>
      </c>
      <c r="E1037" s="3" t="s">
        <v>465</v>
      </c>
      <c r="F1037" s="3">
        <v>112500</v>
      </c>
      <c r="G1037" s="57" t="str">
        <f t="shared" si="16"/>
        <v>-</v>
      </c>
    </row>
    <row r="1038" spans="1:8" x14ac:dyDescent="0.2">
      <c r="A1038" s="1" t="s">
        <v>28</v>
      </c>
      <c r="B1038" s="2" t="s">
        <v>120</v>
      </c>
      <c r="C1038" s="1"/>
      <c r="D1038" s="5" t="s">
        <v>464</v>
      </c>
      <c r="E1038" s="3" t="s">
        <v>465</v>
      </c>
      <c r="F1038" s="3">
        <v>112500</v>
      </c>
      <c r="G1038" s="57" t="str">
        <f t="shared" si="16"/>
        <v>-</v>
      </c>
    </row>
    <row r="1039" spans="1:8" x14ac:dyDescent="0.2">
      <c r="A1039" s="1" t="s">
        <v>28</v>
      </c>
      <c r="B1039" s="2" t="s">
        <v>120</v>
      </c>
      <c r="C1039" s="1"/>
      <c r="D1039" s="5" t="s">
        <v>464</v>
      </c>
      <c r="E1039" s="3" t="s">
        <v>465</v>
      </c>
      <c r="F1039" s="3">
        <v>117500</v>
      </c>
      <c r="G1039" s="57" t="str">
        <f t="shared" si="16"/>
        <v>-</v>
      </c>
    </row>
    <row r="1040" spans="1:8" x14ac:dyDescent="0.2">
      <c r="A1040" s="1" t="s">
        <v>28</v>
      </c>
      <c r="B1040" s="2" t="s">
        <v>120</v>
      </c>
      <c r="C1040" s="1"/>
      <c r="D1040" s="5" t="s">
        <v>464</v>
      </c>
      <c r="E1040" s="3" t="s">
        <v>465</v>
      </c>
      <c r="F1040" s="3">
        <v>117500</v>
      </c>
      <c r="G1040" s="57" t="str">
        <f t="shared" si="16"/>
        <v>-</v>
      </c>
    </row>
    <row r="1041" spans="1:9" x14ac:dyDescent="0.2">
      <c r="A1041" s="1" t="s">
        <v>28</v>
      </c>
      <c r="B1041" s="2" t="s">
        <v>120</v>
      </c>
      <c r="C1041" s="1"/>
      <c r="D1041" s="5" t="s">
        <v>464</v>
      </c>
      <c r="E1041" s="3" t="s">
        <v>465</v>
      </c>
      <c r="F1041" s="3">
        <v>122500</v>
      </c>
      <c r="G1041" s="57" t="str">
        <f t="shared" si="16"/>
        <v>-</v>
      </c>
    </row>
    <row r="1042" spans="1:9" x14ac:dyDescent="0.2">
      <c r="A1042" s="1" t="s">
        <v>28</v>
      </c>
      <c r="B1042" s="2" t="s">
        <v>120</v>
      </c>
      <c r="C1042" s="1"/>
      <c r="D1042" s="5" t="s">
        <v>464</v>
      </c>
      <c r="E1042" s="3" t="s">
        <v>465</v>
      </c>
      <c r="F1042" s="3">
        <v>142500</v>
      </c>
      <c r="G1042" s="57" t="str">
        <f t="shared" si="16"/>
        <v>-</v>
      </c>
    </row>
    <row r="1043" spans="1:9" x14ac:dyDescent="0.2">
      <c r="A1043" s="1" t="s">
        <v>28</v>
      </c>
      <c r="B1043" s="2" t="s">
        <v>120</v>
      </c>
      <c r="C1043" s="1"/>
      <c r="D1043" s="5" t="s">
        <v>464</v>
      </c>
      <c r="E1043" s="3" t="s">
        <v>465</v>
      </c>
      <c r="F1043" s="3">
        <v>162500</v>
      </c>
      <c r="G1043" s="57" t="str">
        <f t="shared" si="16"/>
        <v>-</v>
      </c>
    </row>
    <row r="1044" spans="1:9" x14ac:dyDescent="0.2">
      <c r="A1044" s="1" t="s">
        <v>34</v>
      </c>
      <c r="B1044" s="2" t="s">
        <v>121</v>
      </c>
      <c r="C1044" s="1" t="s">
        <v>2138</v>
      </c>
      <c r="D1044" s="5" t="s">
        <v>2139</v>
      </c>
      <c r="E1044" s="3" t="s">
        <v>465</v>
      </c>
      <c r="F1044" s="3">
        <v>130000</v>
      </c>
      <c r="G1044" s="57" t="str">
        <f t="shared" si="16"/>
        <v>-</v>
      </c>
      <c r="H1044" s="5" t="s">
        <v>4285</v>
      </c>
    </row>
    <row r="1045" spans="1:9" x14ac:dyDescent="0.2">
      <c r="A1045" s="1" t="s">
        <v>34</v>
      </c>
      <c r="B1045" s="2" t="s">
        <v>121</v>
      </c>
      <c r="C1045" s="1" t="s">
        <v>2140</v>
      </c>
      <c r="D1045" s="5" t="s">
        <v>487</v>
      </c>
      <c r="E1045" s="3">
        <v>122000</v>
      </c>
      <c r="F1045" s="3">
        <v>126000</v>
      </c>
      <c r="G1045" s="57">
        <f t="shared" si="16"/>
        <v>3.2786885245901641E-2</v>
      </c>
      <c r="H1045" s="5" t="s">
        <v>3920</v>
      </c>
    </row>
    <row r="1046" spans="1:9" x14ac:dyDescent="0.2">
      <c r="A1046" s="1" t="s">
        <v>34</v>
      </c>
      <c r="B1046" s="2" t="s">
        <v>121</v>
      </c>
      <c r="C1046" s="1" t="s">
        <v>2141</v>
      </c>
      <c r="D1046" s="5" t="s">
        <v>2142</v>
      </c>
      <c r="E1046" s="3">
        <v>132000</v>
      </c>
      <c r="F1046" s="3">
        <v>139000</v>
      </c>
      <c r="G1046" s="57">
        <f t="shared" si="16"/>
        <v>5.3030303030303032E-2</v>
      </c>
      <c r="H1046" s="5" t="s">
        <v>3921</v>
      </c>
    </row>
    <row r="1047" spans="1:9" ht="25.5" x14ac:dyDescent="0.2">
      <c r="A1047" s="1" t="s">
        <v>34</v>
      </c>
      <c r="B1047" s="2" t="s">
        <v>121</v>
      </c>
      <c r="C1047" s="1" t="s">
        <v>2143</v>
      </c>
      <c r="D1047" s="5" t="s">
        <v>2144</v>
      </c>
      <c r="E1047" s="3">
        <v>149000</v>
      </c>
      <c r="F1047" s="3">
        <v>152000</v>
      </c>
      <c r="G1047" s="57">
        <f t="shared" si="16"/>
        <v>2.0134228187919462E-2</v>
      </c>
      <c r="H1047" s="5" t="s">
        <v>3922</v>
      </c>
    </row>
    <row r="1048" spans="1:9" ht="25.5" x14ac:dyDescent="0.2">
      <c r="A1048" s="1" t="s">
        <v>34</v>
      </c>
      <c r="B1048" s="2" t="s">
        <v>121</v>
      </c>
      <c r="C1048" s="1" t="s">
        <v>2145</v>
      </c>
      <c r="D1048" s="5" t="s">
        <v>2146</v>
      </c>
      <c r="E1048" s="3">
        <v>157000</v>
      </c>
      <c r="F1048" s="3">
        <v>160000</v>
      </c>
      <c r="G1048" s="57">
        <f t="shared" si="16"/>
        <v>1.9108280254777069E-2</v>
      </c>
      <c r="H1048" s="5" t="s">
        <v>3923</v>
      </c>
    </row>
    <row r="1049" spans="1:9" ht="25.5" x14ac:dyDescent="0.2">
      <c r="A1049" s="1" t="s">
        <v>34</v>
      </c>
      <c r="B1049" s="2" t="s">
        <v>121</v>
      </c>
      <c r="C1049" s="1" t="s">
        <v>2147</v>
      </c>
      <c r="D1049" s="5" t="s">
        <v>450</v>
      </c>
      <c r="E1049" s="3">
        <v>197000</v>
      </c>
      <c r="F1049" s="3">
        <v>201000</v>
      </c>
      <c r="G1049" s="57">
        <f t="shared" si="16"/>
        <v>2.030456852791878E-2</v>
      </c>
      <c r="H1049" s="5" t="s">
        <v>3924</v>
      </c>
    </row>
    <row r="1050" spans="1:9" x14ac:dyDescent="0.2">
      <c r="A1050" s="1" t="s">
        <v>34</v>
      </c>
      <c r="B1050" s="2" t="s">
        <v>121</v>
      </c>
      <c r="C1050" s="1" t="s">
        <v>3925</v>
      </c>
      <c r="D1050" s="5" t="s">
        <v>2139</v>
      </c>
      <c r="E1050" s="3">
        <v>112000</v>
      </c>
      <c r="F1050" s="3" t="s">
        <v>465</v>
      </c>
      <c r="G1050" s="57" t="str">
        <f t="shared" si="16"/>
        <v>-</v>
      </c>
      <c r="H1050" s="5" t="s">
        <v>4286</v>
      </c>
    </row>
    <row r="1051" spans="1:9" x14ac:dyDescent="0.2">
      <c r="A1051" s="1" t="s">
        <v>34</v>
      </c>
      <c r="B1051" s="2" t="s">
        <v>121</v>
      </c>
      <c r="C1051" s="1"/>
      <c r="D1051" s="5" t="s">
        <v>464</v>
      </c>
      <c r="E1051" s="3" t="s">
        <v>465</v>
      </c>
      <c r="F1051" s="3">
        <v>100000</v>
      </c>
      <c r="G1051" s="57" t="str">
        <f t="shared" si="16"/>
        <v>-</v>
      </c>
    </row>
    <row r="1052" spans="1:9" x14ac:dyDescent="0.2">
      <c r="A1052" s="1" t="s">
        <v>34</v>
      </c>
      <c r="B1052" s="2" t="s">
        <v>121</v>
      </c>
      <c r="C1052" s="1"/>
      <c r="D1052" s="5" t="s">
        <v>464</v>
      </c>
      <c r="E1052" s="3" t="s">
        <v>465</v>
      </c>
      <c r="F1052" s="3">
        <v>100000</v>
      </c>
      <c r="G1052" s="57" t="str">
        <f t="shared" si="16"/>
        <v>-</v>
      </c>
    </row>
    <row r="1053" spans="1:9" x14ac:dyDescent="0.2">
      <c r="A1053" s="1" t="s">
        <v>34</v>
      </c>
      <c r="B1053" s="2" t="s">
        <v>121</v>
      </c>
      <c r="C1053" s="1"/>
      <c r="D1053" s="5" t="s">
        <v>464</v>
      </c>
      <c r="E1053" s="3">
        <v>100000</v>
      </c>
      <c r="F1053" s="3" t="s">
        <v>465</v>
      </c>
      <c r="G1053" s="57" t="str">
        <f t="shared" si="16"/>
        <v>-</v>
      </c>
    </row>
    <row r="1054" spans="1:9" ht="38.25" x14ac:dyDescent="0.2">
      <c r="A1054" s="1" t="s">
        <v>4</v>
      </c>
      <c r="B1054" s="2" t="s">
        <v>122</v>
      </c>
      <c r="C1054" s="1"/>
      <c r="D1054" s="5" t="s">
        <v>450</v>
      </c>
      <c r="E1054" s="3">
        <v>136000</v>
      </c>
      <c r="F1054" s="3">
        <v>141000</v>
      </c>
      <c r="G1054" s="57">
        <f t="shared" si="16"/>
        <v>3.6764705882352942E-2</v>
      </c>
      <c r="H1054" s="5" t="s">
        <v>3926</v>
      </c>
    </row>
    <row r="1055" spans="1:9" x14ac:dyDescent="0.2">
      <c r="A1055" s="1" t="s">
        <v>4</v>
      </c>
      <c r="B1055" s="2" t="s">
        <v>122</v>
      </c>
      <c r="C1055" s="1"/>
      <c r="D1055" s="5" t="s">
        <v>464</v>
      </c>
      <c r="E1055" s="3">
        <v>107500</v>
      </c>
      <c r="F1055" s="3" t="s">
        <v>465</v>
      </c>
      <c r="G1055" s="57" t="str">
        <f t="shared" si="16"/>
        <v>-</v>
      </c>
      <c r="H1055" s="5" t="s">
        <v>1241</v>
      </c>
    </row>
    <row r="1056" spans="1:9" ht="25.5" x14ac:dyDescent="0.2">
      <c r="A1056" s="1" t="s">
        <v>11</v>
      </c>
      <c r="B1056" s="2" t="s">
        <v>123</v>
      </c>
      <c r="C1056" s="29" t="s">
        <v>2697</v>
      </c>
      <c r="D1056" s="31"/>
      <c r="G1056" s="57" t="str">
        <f t="shared" si="16"/>
        <v>-</v>
      </c>
      <c r="I1056" s="1" t="s">
        <v>465</v>
      </c>
    </row>
    <row r="1057" spans="1:8" ht="38.25" x14ac:dyDescent="0.2">
      <c r="A1057" s="1" t="s">
        <v>39</v>
      </c>
      <c r="B1057" s="2" t="s">
        <v>124</v>
      </c>
      <c r="C1057" s="1" t="s">
        <v>2134</v>
      </c>
      <c r="D1057" s="5" t="s">
        <v>450</v>
      </c>
      <c r="E1057" s="3">
        <v>181000</v>
      </c>
      <c r="F1057" s="3">
        <v>181000</v>
      </c>
      <c r="G1057" s="57">
        <f t="shared" si="16"/>
        <v>0</v>
      </c>
      <c r="H1057" s="5" t="s">
        <v>4287</v>
      </c>
    </row>
    <row r="1058" spans="1:8" ht="25.5" x14ac:dyDescent="0.2">
      <c r="A1058" s="1" t="s">
        <v>39</v>
      </c>
      <c r="B1058" s="2" t="s">
        <v>124</v>
      </c>
      <c r="C1058" s="1"/>
      <c r="D1058" s="5" t="s">
        <v>854</v>
      </c>
      <c r="E1058" s="3">
        <v>148000</v>
      </c>
      <c r="F1058" s="3">
        <v>119000</v>
      </c>
      <c r="G1058" s="57">
        <f t="shared" si="16"/>
        <v>-0.19594594594594594</v>
      </c>
      <c r="H1058" s="5" t="s">
        <v>3927</v>
      </c>
    </row>
    <row r="1059" spans="1:8" ht="51" x14ac:dyDescent="0.2">
      <c r="A1059" s="1" t="s">
        <v>39</v>
      </c>
      <c r="B1059" s="2" t="s">
        <v>124</v>
      </c>
      <c r="C1059" s="1"/>
      <c r="D1059" s="5" t="s">
        <v>2135</v>
      </c>
      <c r="E1059" s="3">
        <v>127000</v>
      </c>
      <c r="F1059" s="3">
        <v>102000</v>
      </c>
      <c r="G1059" s="57">
        <f t="shared" si="16"/>
        <v>-0.19685039370078741</v>
      </c>
      <c r="H1059" s="5" t="s">
        <v>4288</v>
      </c>
    </row>
    <row r="1060" spans="1:8" ht="25.5" x14ac:dyDescent="0.2">
      <c r="A1060" s="1" t="s">
        <v>39</v>
      </c>
      <c r="B1060" s="2" t="s">
        <v>124</v>
      </c>
      <c r="C1060" s="1"/>
      <c r="D1060" s="5" t="s">
        <v>2136</v>
      </c>
      <c r="E1060" s="3">
        <v>119000</v>
      </c>
      <c r="F1060" s="3">
        <v>118000</v>
      </c>
      <c r="G1060" s="57">
        <f t="shared" si="16"/>
        <v>-8.4033613445378148E-3</v>
      </c>
      <c r="H1060" s="5" t="s">
        <v>3928</v>
      </c>
    </row>
    <row r="1061" spans="1:8" x14ac:dyDescent="0.2">
      <c r="A1061" s="1" t="s">
        <v>39</v>
      </c>
      <c r="B1061" s="2" t="s">
        <v>124</v>
      </c>
      <c r="C1061" s="1"/>
      <c r="D1061" s="5" t="s">
        <v>3929</v>
      </c>
      <c r="E1061" s="3">
        <v>119000</v>
      </c>
      <c r="F1061" s="3">
        <v>60000</v>
      </c>
      <c r="G1061" s="57">
        <f t="shared" si="16"/>
        <v>-0.49579831932773111</v>
      </c>
      <c r="H1061" s="5" t="s">
        <v>4622</v>
      </c>
    </row>
    <row r="1062" spans="1:8" x14ac:dyDescent="0.2">
      <c r="A1062" s="1" t="s">
        <v>39</v>
      </c>
      <c r="B1062" s="2" t="s">
        <v>124</v>
      </c>
      <c r="C1062" s="1"/>
      <c r="D1062" s="5" t="s">
        <v>464</v>
      </c>
      <c r="E1062" s="3">
        <v>102500</v>
      </c>
      <c r="F1062" s="3" t="s">
        <v>465</v>
      </c>
      <c r="G1062" s="57" t="str">
        <f t="shared" si="16"/>
        <v>-</v>
      </c>
    </row>
    <row r="1063" spans="1:8" x14ac:dyDescent="0.2">
      <c r="A1063" s="1" t="s">
        <v>39</v>
      </c>
      <c r="B1063" s="2" t="s">
        <v>124</v>
      </c>
      <c r="C1063" s="1"/>
      <c r="D1063" s="5" t="s">
        <v>464</v>
      </c>
      <c r="E1063" s="3">
        <v>107500</v>
      </c>
      <c r="F1063" s="3" t="s">
        <v>465</v>
      </c>
      <c r="G1063" s="57" t="str">
        <f t="shared" si="16"/>
        <v>-</v>
      </c>
    </row>
    <row r="1064" spans="1:8" x14ac:dyDescent="0.2">
      <c r="A1064" s="1" t="s">
        <v>39</v>
      </c>
      <c r="B1064" s="2" t="s">
        <v>124</v>
      </c>
      <c r="C1064" s="1"/>
      <c r="D1064" s="5" t="s">
        <v>464</v>
      </c>
      <c r="E1064" s="3">
        <v>147500</v>
      </c>
      <c r="F1064" s="3" t="s">
        <v>465</v>
      </c>
      <c r="G1064" s="57" t="str">
        <f t="shared" si="16"/>
        <v>-</v>
      </c>
    </row>
    <row r="1065" spans="1:8" x14ac:dyDescent="0.2">
      <c r="A1065" s="1" t="s">
        <v>39</v>
      </c>
      <c r="B1065" s="2" t="s">
        <v>124</v>
      </c>
      <c r="C1065" s="1"/>
      <c r="D1065" s="5" t="s">
        <v>464</v>
      </c>
      <c r="E1065" s="3" t="s">
        <v>465</v>
      </c>
      <c r="F1065" s="3">
        <v>102500</v>
      </c>
      <c r="G1065" s="57" t="str">
        <f t="shared" si="16"/>
        <v>-</v>
      </c>
    </row>
    <row r="1066" spans="1:8" x14ac:dyDescent="0.2">
      <c r="A1066" s="1" t="s">
        <v>39</v>
      </c>
      <c r="B1066" s="2" t="s">
        <v>124</v>
      </c>
      <c r="C1066" s="1"/>
      <c r="D1066" s="5" t="s">
        <v>464</v>
      </c>
      <c r="E1066" s="3" t="s">
        <v>465</v>
      </c>
      <c r="F1066" s="3">
        <v>102500</v>
      </c>
      <c r="G1066" s="57" t="str">
        <f t="shared" si="16"/>
        <v>-</v>
      </c>
    </row>
    <row r="1067" spans="1:8" x14ac:dyDescent="0.2">
      <c r="A1067" s="1" t="s">
        <v>39</v>
      </c>
      <c r="B1067" s="2" t="s">
        <v>124</v>
      </c>
      <c r="C1067" s="1"/>
      <c r="D1067" s="5" t="s">
        <v>464</v>
      </c>
      <c r="E1067" s="3" t="s">
        <v>465</v>
      </c>
      <c r="F1067" s="3">
        <v>107500</v>
      </c>
      <c r="G1067" s="57" t="str">
        <f t="shared" si="16"/>
        <v>-</v>
      </c>
    </row>
    <row r="1068" spans="1:8" x14ac:dyDescent="0.2">
      <c r="A1068" s="1" t="s">
        <v>39</v>
      </c>
      <c r="B1068" s="2" t="s">
        <v>124</v>
      </c>
      <c r="C1068" s="1"/>
      <c r="D1068" s="5" t="s">
        <v>464</v>
      </c>
      <c r="E1068" s="3" t="s">
        <v>465</v>
      </c>
      <c r="F1068" s="3">
        <v>107500</v>
      </c>
      <c r="G1068" s="57" t="str">
        <f t="shared" si="16"/>
        <v>-</v>
      </c>
    </row>
    <row r="1069" spans="1:8" x14ac:dyDescent="0.2">
      <c r="A1069" s="1" t="s">
        <v>39</v>
      </c>
      <c r="B1069" s="2" t="s">
        <v>124</v>
      </c>
      <c r="C1069" s="1"/>
      <c r="D1069" s="5" t="s">
        <v>464</v>
      </c>
      <c r="E1069" s="3" t="s">
        <v>465</v>
      </c>
      <c r="F1069" s="3">
        <v>127500</v>
      </c>
      <c r="G1069" s="57" t="str">
        <f t="shared" si="16"/>
        <v>-</v>
      </c>
    </row>
    <row r="1070" spans="1:8" ht="25.5" x14ac:dyDescent="0.2">
      <c r="A1070" s="1" t="s">
        <v>1</v>
      </c>
      <c r="B1070" s="2" t="s">
        <v>125</v>
      </c>
      <c r="C1070" s="1" t="s">
        <v>2115</v>
      </c>
      <c r="D1070" s="5" t="s">
        <v>450</v>
      </c>
      <c r="E1070" s="3">
        <f>87899+17353</f>
        <v>105252</v>
      </c>
      <c r="F1070" s="3">
        <f>129361+26498</f>
        <v>155859</v>
      </c>
      <c r="G1070" s="57">
        <f t="shared" si="16"/>
        <v>0.48081746665146508</v>
      </c>
      <c r="H1070" s="5" t="s">
        <v>4623</v>
      </c>
    </row>
    <row r="1071" spans="1:8" ht="25.5" x14ac:dyDescent="0.2">
      <c r="A1071" s="1" t="s">
        <v>1</v>
      </c>
      <c r="B1071" s="2" t="s">
        <v>125</v>
      </c>
      <c r="C1071" s="1" t="s">
        <v>2116</v>
      </c>
      <c r="D1071" s="5" t="s">
        <v>2117</v>
      </c>
      <c r="E1071" s="3">
        <f>85429+16408</f>
        <v>101837</v>
      </c>
      <c r="F1071" s="3">
        <f>105779+18613</f>
        <v>124392</v>
      </c>
      <c r="G1071" s="57">
        <f t="shared" si="16"/>
        <v>0.22148138692223848</v>
      </c>
      <c r="H1071" s="5" t="s">
        <v>4624</v>
      </c>
    </row>
    <row r="1072" spans="1:8" ht="25.5" x14ac:dyDescent="0.2">
      <c r="A1072" s="1" t="s">
        <v>1</v>
      </c>
      <c r="B1072" s="2" t="s">
        <v>125</v>
      </c>
      <c r="C1072" s="1" t="s">
        <v>2118</v>
      </c>
      <c r="D1072" s="5" t="s">
        <v>2119</v>
      </c>
      <c r="E1072" s="3">
        <f>90503+18121</f>
        <v>108624</v>
      </c>
      <c r="F1072" s="3">
        <f>156440+19694</f>
        <v>176134</v>
      </c>
      <c r="G1072" s="57">
        <f t="shared" si="16"/>
        <v>0.62150169391662979</v>
      </c>
      <c r="H1072" s="5" t="s">
        <v>3930</v>
      </c>
    </row>
    <row r="1073" spans="1:8" ht="25.5" x14ac:dyDescent="0.2">
      <c r="A1073" s="1" t="s">
        <v>1</v>
      </c>
      <c r="B1073" s="2" t="s">
        <v>125</v>
      </c>
      <c r="C1073" s="1" t="s">
        <v>2120</v>
      </c>
      <c r="D1073" s="5" t="s">
        <v>2121</v>
      </c>
      <c r="E1073" s="3">
        <f>81660+16236</f>
        <v>97896</v>
      </c>
      <c r="F1073" s="3">
        <f>89100+18257</f>
        <v>107357</v>
      </c>
      <c r="G1073" s="57">
        <f t="shared" si="16"/>
        <v>9.664337664460243E-2</v>
      </c>
      <c r="H1073" s="5" t="s">
        <v>3931</v>
      </c>
    </row>
    <row r="1074" spans="1:8" ht="25.5" x14ac:dyDescent="0.2">
      <c r="A1074" s="1" t="s">
        <v>1</v>
      </c>
      <c r="B1074" s="2" t="s">
        <v>125</v>
      </c>
      <c r="C1074" s="1" t="s">
        <v>2122</v>
      </c>
      <c r="D1074" s="5" t="s">
        <v>2123</v>
      </c>
      <c r="E1074" s="3">
        <f>96291+18967</f>
        <v>115258</v>
      </c>
      <c r="F1074" s="3">
        <f>98924+20008</f>
        <v>118932</v>
      </c>
      <c r="G1074" s="57">
        <f t="shared" si="16"/>
        <v>3.1876312273334609E-2</v>
      </c>
      <c r="H1074" s="5" t="s">
        <v>3932</v>
      </c>
    </row>
    <row r="1075" spans="1:8" ht="25.5" x14ac:dyDescent="0.2">
      <c r="A1075" s="1" t="s">
        <v>1</v>
      </c>
      <c r="B1075" s="2" t="s">
        <v>125</v>
      </c>
      <c r="C1075" s="1" t="s">
        <v>2124</v>
      </c>
      <c r="D1075" s="5" t="s">
        <v>2125</v>
      </c>
      <c r="E1075" s="3">
        <f>96587+18967</f>
        <v>115554</v>
      </c>
      <c r="F1075" s="3">
        <f>99101+20008</f>
        <v>119109</v>
      </c>
      <c r="G1075" s="57">
        <f t="shared" si="16"/>
        <v>3.0764837218962563E-2</v>
      </c>
      <c r="H1075" s="5" t="s">
        <v>3933</v>
      </c>
    </row>
    <row r="1076" spans="1:8" ht="38.25" x14ac:dyDescent="0.2">
      <c r="A1076" s="1" t="s">
        <v>1</v>
      </c>
      <c r="B1076" s="2" t="s">
        <v>125</v>
      </c>
      <c r="C1076" s="1" t="s">
        <v>2126</v>
      </c>
      <c r="D1076" s="5" t="s">
        <v>2127</v>
      </c>
      <c r="E1076" s="3">
        <f>86161+16985</f>
        <v>103146</v>
      </c>
      <c r="F1076" s="3">
        <f>89092+1924+62986+18283</f>
        <v>172285</v>
      </c>
      <c r="G1076" s="57">
        <f t="shared" si="16"/>
        <v>0.67030228995792374</v>
      </c>
      <c r="H1076" s="5" t="s">
        <v>4289</v>
      </c>
    </row>
    <row r="1077" spans="1:8" ht="25.5" x14ac:dyDescent="0.2">
      <c r="A1077" s="1" t="s">
        <v>1</v>
      </c>
      <c r="B1077" s="2" t="s">
        <v>125</v>
      </c>
      <c r="C1077" s="1" t="s">
        <v>2128</v>
      </c>
      <c r="D1077" s="5" t="s">
        <v>2129</v>
      </c>
      <c r="E1077" s="3">
        <f>85961+16992</f>
        <v>102953</v>
      </c>
      <c r="F1077" s="3">
        <f>88965+822+18257</f>
        <v>108044</v>
      </c>
      <c r="G1077" s="57">
        <f t="shared" si="16"/>
        <v>4.944974891455324E-2</v>
      </c>
      <c r="H1077" s="5" t="s">
        <v>3934</v>
      </c>
    </row>
    <row r="1078" spans="1:8" ht="38.25" x14ac:dyDescent="0.2">
      <c r="A1078" s="1" t="s">
        <v>1</v>
      </c>
      <c r="B1078" s="2" t="s">
        <v>125</v>
      </c>
      <c r="C1078" s="1" t="s">
        <v>2130</v>
      </c>
      <c r="D1078" s="5" t="s">
        <v>2131</v>
      </c>
      <c r="E1078" s="3">
        <f>98194+19426</f>
        <v>117620</v>
      </c>
      <c r="F1078" s="3">
        <f>99684+1012+65500+20457</f>
        <v>186653</v>
      </c>
      <c r="G1078" s="57">
        <f t="shared" si="16"/>
        <v>0.58691549056282943</v>
      </c>
      <c r="H1078" s="5" t="s">
        <v>4290</v>
      </c>
    </row>
    <row r="1079" spans="1:8" ht="25.5" x14ac:dyDescent="0.2">
      <c r="A1079" s="1" t="s">
        <v>1</v>
      </c>
      <c r="B1079" s="2" t="s">
        <v>125</v>
      </c>
      <c r="C1079" s="1" t="s">
        <v>2132</v>
      </c>
      <c r="D1079" s="5" t="s">
        <v>2133</v>
      </c>
      <c r="E1079" s="3">
        <v>84041</v>
      </c>
      <c r="F1079" s="3">
        <f>92066+1846+1710+21470</f>
        <v>117092</v>
      </c>
      <c r="G1079" s="57">
        <f t="shared" si="16"/>
        <v>0.39327233136207329</v>
      </c>
      <c r="H1079" s="5" t="s">
        <v>3935</v>
      </c>
    </row>
    <row r="1080" spans="1:8" ht="25.5" x14ac:dyDescent="0.2">
      <c r="A1080" s="1" t="s">
        <v>1</v>
      </c>
      <c r="B1080" s="2" t="s">
        <v>125</v>
      </c>
      <c r="C1080" s="1" t="s">
        <v>3936</v>
      </c>
      <c r="D1080" s="5" t="s">
        <v>604</v>
      </c>
      <c r="E1080" s="3">
        <v>105763</v>
      </c>
      <c r="F1080" s="3">
        <f>115592+27236</f>
        <v>142828</v>
      </c>
      <c r="G1080" s="57">
        <f t="shared" si="16"/>
        <v>0.35045337216228739</v>
      </c>
      <c r="H1080" s="5" t="s">
        <v>3937</v>
      </c>
    </row>
    <row r="1081" spans="1:8" x14ac:dyDescent="0.2">
      <c r="A1081" s="1" t="s">
        <v>1</v>
      </c>
      <c r="B1081" s="2" t="s">
        <v>125</v>
      </c>
      <c r="C1081" s="1"/>
      <c r="D1081" s="5" t="s">
        <v>464</v>
      </c>
      <c r="E1081" s="3">
        <v>112500</v>
      </c>
      <c r="F1081" s="3" t="s">
        <v>465</v>
      </c>
      <c r="G1081" s="57" t="str">
        <f t="shared" si="16"/>
        <v>-</v>
      </c>
    </row>
    <row r="1082" spans="1:8" x14ac:dyDescent="0.2">
      <c r="A1082" s="1" t="s">
        <v>1</v>
      </c>
      <c r="B1082" s="2" t="s">
        <v>125</v>
      </c>
      <c r="C1082" s="1"/>
      <c r="D1082" s="5" t="s">
        <v>464</v>
      </c>
      <c r="E1082" s="3" t="s">
        <v>465</v>
      </c>
      <c r="F1082" s="3">
        <v>102500</v>
      </c>
      <c r="G1082" s="57" t="str">
        <f t="shared" si="16"/>
        <v>-</v>
      </c>
    </row>
    <row r="1083" spans="1:8" x14ac:dyDescent="0.2">
      <c r="A1083" s="1" t="s">
        <v>1</v>
      </c>
      <c r="B1083" s="2" t="s">
        <v>125</v>
      </c>
      <c r="C1083" s="1"/>
      <c r="D1083" s="5" t="s">
        <v>464</v>
      </c>
      <c r="E1083" s="3" t="s">
        <v>465</v>
      </c>
      <c r="F1083" s="3">
        <v>102500</v>
      </c>
      <c r="G1083" s="57" t="str">
        <f t="shared" si="16"/>
        <v>-</v>
      </c>
    </row>
    <row r="1084" spans="1:8" x14ac:dyDescent="0.2">
      <c r="A1084" s="1" t="s">
        <v>1</v>
      </c>
      <c r="B1084" s="2" t="s">
        <v>125</v>
      </c>
      <c r="C1084" s="1"/>
      <c r="D1084" s="5" t="s">
        <v>464</v>
      </c>
      <c r="E1084" s="3" t="s">
        <v>465</v>
      </c>
      <c r="F1084" s="3">
        <v>117500</v>
      </c>
      <c r="G1084" s="57" t="str">
        <f t="shared" si="16"/>
        <v>-</v>
      </c>
    </row>
    <row r="1085" spans="1:8" x14ac:dyDescent="0.2">
      <c r="A1085" s="1" t="s">
        <v>1</v>
      </c>
      <c r="B1085" s="2" t="s">
        <v>125</v>
      </c>
      <c r="C1085" s="1"/>
      <c r="D1085" s="5" t="s">
        <v>464</v>
      </c>
      <c r="E1085" s="3" t="s">
        <v>465</v>
      </c>
      <c r="F1085" s="3">
        <v>117500</v>
      </c>
      <c r="G1085" s="57" t="str">
        <f t="shared" si="16"/>
        <v>-</v>
      </c>
    </row>
    <row r="1086" spans="1:8" x14ac:dyDescent="0.2">
      <c r="A1086" s="1" t="s">
        <v>1</v>
      </c>
      <c r="B1086" s="2" t="s">
        <v>125</v>
      </c>
      <c r="C1086" s="1"/>
      <c r="D1086" s="5" t="s">
        <v>464</v>
      </c>
      <c r="E1086" s="3" t="s">
        <v>465</v>
      </c>
      <c r="F1086" s="3">
        <v>117500</v>
      </c>
      <c r="G1086" s="57" t="str">
        <f t="shared" si="16"/>
        <v>-</v>
      </c>
    </row>
    <row r="1087" spans="1:8" ht="25.5" x14ac:dyDescent="0.2">
      <c r="A1087" s="1" t="s">
        <v>1</v>
      </c>
      <c r="B1087" s="2" t="s">
        <v>126</v>
      </c>
      <c r="C1087" s="1" t="s">
        <v>2106</v>
      </c>
      <c r="D1087" s="5" t="s">
        <v>450</v>
      </c>
      <c r="E1087" s="3">
        <f>118662+21412</f>
        <v>140074</v>
      </c>
      <c r="F1087" s="3">
        <f>141447+25667</f>
        <v>167114</v>
      </c>
      <c r="G1087" s="57">
        <f t="shared" si="16"/>
        <v>0.19304082128018046</v>
      </c>
      <c r="H1087" s="5" t="s">
        <v>4293</v>
      </c>
    </row>
    <row r="1088" spans="1:8" ht="25.5" x14ac:dyDescent="0.2">
      <c r="A1088" s="1" t="s">
        <v>1</v>
      </c>
      <c r="B1088" s="2" t="s">
        <v>126</v>
      </c>
      <c r="C1088" s="1" t="s">
        <v>2107</v>
      </c>
      <c r="D1088" s="5" t="s">
        <v>2108</v>
      </c>
      <c r="E1088" s="3">
        <f>98746+18268</f>
        <v>117014</v>
      </c>
      <c r="F1088" s="3">
        <f>105217+18725</f>
        <v>123942</v>
      </c>
      <c r="G1088" s="57">
        <f t="shared" si="16"/>
        <v>5.9206590664364948E-2</v>
      </c>
      <c r="H1088" s="5" t="s">
        <v>3938</v>
      </c>
    </row>
    <row r="1089" spans="1:8" ht="25.5" x14ac:dyDescent="0.2">
      <c r="A1089" s="1" t="s">
        <v>1</v>
      </c>
      <c r="B1089" s="2" t="s">
        <v>126</v>
      </c>
      <c r="C1089" s="1" t="s">
        <v>2109</v>
      </c>
      <c r="D1089" s="5" t="s">
        <v>507</v>
      </c>
      <c r="E1089" s="3">
        <f>92697+16713</f>
        <v>109410</v>
      </c>
      <c r="F1089" s="3">
        <f>100808+18090</f>
        <v>118898</v>
      </c>
      <c r="G1089" s="57">
        <f t="shared" si="16"/>
        <v>8.6719678274380776E-2</v>
      </c>
      <c r="H1089" s="5" t="s">
        <v>4292</v>
      </c>
    </row>
    <row r="1090" spans="1:8" ht="25.5" x14ac:dyDescent="0.2">
      <c r="A1090" s="1" t="s">
        <v>1</v>
      </c>
      <c r="B1090" s="2" t="s">
        <v>126</v>
      </c>
      <c r="C1090" s="1" t="s">
        <v>2110</v>
      </c>
      <c r="D1090" s="5" t="s">
        <v>2111</v>
      </c>
      <c r="E1090" s="3">
        <f>100826+18268</f>
        <v>119094</v>
      </c>
      <c r="F1090" s="3">
        <f>101217+18725</f>
        <v>119942</v>
      </c>
      <c r="G1090" s="57">
        <f t="shared" si="16"/>
        <v>7.1204258820763431E-3</v>
      </c>
      <c r="H1090" s="5" t="s">
        <v>3939</v>
      </c>
    </row>
    <row r="1091" spans="1:8" ht="25.5" x14ac:dyDescent="0.2">
      <c r="A1091" s="1" t="s">
        <v>1</v>
      </c>
      <c r="B1091" s="2" t="s">
        <v>126</v>
      </c>
      <c r="C1091" s="1" t="s">
        <v>2112</v>
      </c>
      <c r="D1091" s="5" t="s">
        <v>908</v>
      </c>
      <c r="E1091" s="3">
        <f>98746+18268</f>
        <v>117014</v>
      </c>
      <c r="F1091" s="3">
        <f>101217+18725</f>
        <v>119942</v>
      </c>
      <c r="G1091" s="57">
        <f t="shared" ref="G1091:G1154" si="17">IF(ISERROR((F1091-E1091)/E1091),"-",(F1091-E1091)/E1091)</f>
        <v>2.5022646862768557E-2</v>
      </c>
      <c r="H1091" s="5" t="s">
        <v>3939</v>
      </c>
    </row>
    <row r="1092" spans="1:8" ht="25.5" x14ac:dyDescent="0.2">
      <c r="A1092" s="1" t="s">
        <v>1</v>
      </c>
      <c r="B1092" s="2" t="s">
        <v>126</v>
      </c>
      <c r="C1092" s="1" t="s">
        <v>2113</v>
      </c>
      <c r="D1092" s="5" t="s">
        <v>627</v>
      </c>
      <c r="E1092" s="3">
        <f>90364+16717</f>
        <v>107081</v>
      </c>
      <c r="F1092" s="3">
        <f>92625+17136</f>
        <v>109761</v>
      </c>
      <c r="G1092" s="57">
        <f t="shared" si="17"/>
        <v>2.5027782706549248E-2</v>
      </c>
      <c r="H1092" s="5" t="s">
        <v>3940</v>
      </c>
    </row>
    <row r="1093" spans="1:8" ht="25.5" x14ac:dyDescent="0.2">
      <c r="A1093" s="1" t="s">
        <v>1</v>
      </c>
      <c r="B1093" s="2" t="s">
        <v>126</v>
      </c>
      <c r="C1093" s="1" t="s">
        <v>2114</v>
      </c>
      <c r="D1093" s="5" t="s">
        <v>3274</v>
      </c>
      <c r="E1093" s="3">
        <f>98124+18153</f>
        <v>116277</v>
      </c>
      <c r="F1093" s="3">
        <f>101217+18725</f>
        <v>119942</v>
      </c>
      <c r="G1093" s="57">
        <f t="shared" si="17"/>
        <v>3.1519561048186658E-2</v>
      </c>
      <c r="H1093" s="5" t="s">
        <v>4291</v>
      </c>
    </row>
    <row r="1094" spans="1:8" x14ac:dyDescent="0.2">
      <c r="A1094" s="1" t="s">
        <v>1</v>
      </c>
      <c r="B1094" s="2" t="s">
        <v>126</v>
      </c>
      <c r="C1094" s="1"/>
      <c r="D1094" s="5" t="s">
        <v>464</v>
      </c>
      <c r="E1094" s="3" t="s">
        <v>465</v>
      </c>
      <c r="F1094" s="3">
        <v>112500</v>
      </c>
      <c r="G1094" s="57" t="str">
        <f t="shared" si="17"/>
        <v>-</v>
      </c>
    </row>
    <row r="1095" spans="1:8" x14ac:dyDescent="0.2">
      <c r="A1095" s="1" t="s">
        <v>1</v>
      </c>
      <c r="B1095" s="2" t="s">
        <v>126</v>
      </c>
      <c r="C1095" s="1"/>
      <c r="D1095" s="5" t="s">
        <v>464</v>
      </c>
      <c r="E1095" s="3" t="s">
        <v>465</v>
      </c>
      <c r="F1095" s="3">
        <v>137500</v>
      </c>
      <c r="G1095" s="57" t="str">
        <f t="shared" si="17"/>
        <v>-</v>
      </c>
    </row>
    <row r="1096" spans="1:8" ht="25.5" x14ac:dyDescent="0.2">
      <c r="A1096" s="1" t="s">
        <v>11</v>
      </c>
      <c r="B1096" s="2" t="s">
        <v>127</v>
      </c>
      <c r="C1096" s="29" t="s">
        <v>2697</v>
      </c>
      <c r="G1096" s="57" t="str">
        <f t="shared" si="17"/>
        <v>-</v>
      </c>
    </row>
    <row r="1097" spans="1:8" ht="25.5" x14ac:dyDescent="0.2">
      <c r="A1097" s="1" t="s">
        <v>111</v>
      </c>
      <c r="B1097" s="2" t="s">
        <v>128</v>
      </c>
      <c r="C1097" s="1" t="s">
        <v>2101</v>
      </c>
      <c r="D1097" s="5" t="s">
        <v>450</v>
      </c>
      <c r="E1097" s="3">
        <v>242485</v>
      </c>
      <c r="F1097" s="3">
        <v>243728</v>
      </c>
      <c r="G1097" s="57">
        <f t="shared" si="17"/>
        <v>5.1260902736251727E-3</v>
      </c>
      <c r="H1097" s="5" t="s">
        <v>3941</v>
      </c>
    </row>
    <row r="1098" spans="1:8" ht="25.5" x14ac:dyDescent="0.2">
      <c r="A1098" s="1" t="s">
        <v>111</v>
      </c>
      <c r="B1098" s="2" t="s">
        <v>128</v>
      </c>
      <c r="C1098" s="1"/>
      <c r="D1098" s="5" t="s">
        <v>2102</v>
      </c>
      <c r="E1098" s="3">
        <v>149129</v>
      </c>
      <c r="F1098" s="3">
        <v>153081</v>
      </c>
      <c r="G1098" s="57">
        <f t="shared" si="17"/>
        <v>2.6500546506715662E-2</v>
      </c>
      <c r="H1098" s="5" t="s">
        <v>3942</v>
      </c>
    </row>
    <row r="1099" spans="1:8" ht="25.5" x14ac:dyDescent="0.2">
      <c r="A1099" s="1" t="s">
        <v>111</v>
      </c>
      <c r="B1099" s="2" t="s">
        <v>128</v>
      </c>
      <c r="C1099" s="1"/>
      <c r="D1099" s="5" t="s">
        <v>2103</v>
      </c>
      <c r="E1099" s="3">
        <v>170163</v>
      </c>
      <c r="F1099" s="3">
        <v>170706</v>
      </c>
      <c r="G1099" s="57">
        <f t="shared" si="17"/>
        <v>3.1910579855785335E-3</v>
      </c>
      <c r="H1099" s="5" t="s">
        <v>3943</v>
      </c>
    </row>
    <row r="1100" spans="1:8" ht="25.5" x14ac:dyDescent="0.2">
      <c r="A1100" s="1" t="s">
        <v>111</v>
      </c>
      <c r="B1100" s="2" t="s">
        <v>128</v>
      </c>
      <c r="C1100" s="1"/>
      <c r="D1100" s="5" t="s">
        <v>2104</v>
      </c>
      <c r="E1100" s="3">
        <v>169260</v>
      </c>
      <c r="F1100" s="3">
        <v>170189</v>
      </c>
      <c r="G1100" s="57">
        <f t="shared" si="17"/>
        <v>5.4885974240812948E-3</v>
      </c>
      <c r="H1100" s="5" t="s">
        <v>3944</v>
      </c>
    </row>
    <row r="1101" spans="1:8" ht="25.5" x14ac:dyDescent="0.2">
      <c r="A1101" s="1" t="s">
        <v>111</v>
      </c>
      <c r="B1101" s="2" t="s">
        <v>128</v>
      </c>
      <c r="C1101" s="1"/>
      <c r="D1101" s="5" t="s">
        <v>2105</v>
      </c>
      <c r="E1101" s="3">
        <v>169624</v>
      </c>
      <c r="F1101" s="3">
        <v>170030</v>
      </c>
      <c r="G1101" s="57">
        <f t="shared" si="17"/>
        <v>2.3935292175635524E-3</v>
      </c>
      <c r="H1101" s="5" t="s">
        <v>3945</v>
      </c>
    </row>
    <row r="1102" spans="1:8" ht="25.5" x14ac:dyDescent="0.2">
      <c r="A1102" s="1" t="s">
        <v>111</v>
      </c>
      <c r="B1102" s="2" t="s">
        <v>128</v>
      </c>
      <c r="C1102" s="1"/>
      <c r="D1102" s="5" t="s">
        <v>451</v>
      </c>
      <c r="E1102" s="3">
        <v>145251</v>
      </c>
      <c r="F1102" s="3">
        <v>145891</v>
      </c>
      <c r="G1102" s="57">
        <f t="shared" si="17"/>
        <v>4.4061658783760525E-3</v>
      </c>
      <c r="H1102" s="5" t="s">
        <v>3946</v>
      </c>
    </row>
    <row r="1103" spans="1:8" ht="51" x14ac:dyDescent="0.2">
      <c r="A1103" s="1" t="s">
        <v>111</v>
      </c>
      <c r="B1103" s="2" t="s">
        <v>128</v>
      </c>
      <c r="C1103" s="1"/>
      <c r="D1103" s="5" t="s">
        <v>852</v>
      </c>
      <c r="E1103" s="3">
        <v>114567</v>
      </c>
      <c r="F1103" s="3">
        <v>133595</v>
      </c>
      <c r="G1103" s="57">
        <f t="shared" si="17"/>
        <v>0.16608622029031048</v>
      </c>
      <c r="H1103" s="5" t="s">
        <v>4625</v>
      </c>
    </row>
    <row r="1104" spans="1:8" ht="25.5" x14ac:dyDescent="0.2">
      <c r="A1104" s="1" t="s">
        <v>111</v>
      </c>
      <c r="B1104" s="2" t="s">
        <v>128</v>
      </c>
      <c r="C1104" s="1"/>
      <c r="D1104" s="5" t="s">
        <v>666</v>
      </c>
      <c r="E1104" s="3">
        <v>169260</v>
      </c>
      <c r="F1104" s="3">
        <v>83764</v>
      </c>
      <c r="G1104" s="57">
        <f t="shared" si="17"/>
        <v>-0.50511638898735678</v>
      </c>
      <c r="H1104" s="5" t="s">
        <v>4294</v>
      </c>
    </row>
    <row r="1105" spans="1:8" x14ac:dyDescent="0.2">
      <c r="A1105" s="1" t="s">
        <v>111</v>
      </c>
      <c r="B1105" s="2" t="s">
        <v>128</v>
      </c>
      <c r="C1105" s="1"/>
      <c r="D1105" s="5" t="s">
        <v>464</v>
      </c>
      <c r="E1105" s="3">
        <v>102500</v>
      </c>
      <c r="F1105" s="3" t="s">
        <v>465</v>
      </c>
      <c r="G1105" s="57" t="str">
        <f t="shared" si="17"/>
        <v>-</v>
      </c>
      <c r="H1105" s="1"/>
    </row>
    <row r="1106" spans="1:8" x14ac:dyDescent="0.2">
      <c r="A1106" s="1" t="s">
        <v>111</v>
      </c>
      <c r="B1106" s="2" t="s">
        <v>128</v>
      </c>
      <c r="C1106" s="1"/>
      <c r="D1106" s="5" t="s">
        <v>464</v>
      </c>
      <c r="E1106" s="3">
        <v>102500</v>
      </c>
      <c r="F1106" s="3" t="s">
        <v>465</v>
      </c>
      <c r="G1106" s="57" t="str">
        <f t="shared" si="17"/>
        <v>-</v>
      </c>
      <c r="H1106" s="1"/>
    </row>
    <row r="1107" spans="1:8" x14ac:dyDescent="0.2">
      <c r="A1107" s="1" t="s">
        <v>111</v>
      </c>
      <c r="B1107" s="2" t="s">
        <v>128</v>
      </c>
      <c r="C1107" s="1"/>
      <c r="D1107" s="5" t="s">
        <v>464</v>
      </c>
      <c r="E1107" s="3">
        <v>102500</v>
      </c>
      <c r="F1107" s="3" t="s">
        <v>465</v>
      </c>
      <c r="G1107" s="57" t="str">
        <f t="shared" si="17"/>
        <v>-</v>
      </c>
      <c r="H1107" s="1"/>
    </row>
    <row r="1108" spans="1:8" x14ac:dyDescent="0.2">
      <c r="A1108" s="1" t="s">
        <v>111</v>
      </c>
      <c r="B1108" s="2" t="s">
        <v>128</v>
      </c>
      <c r="C1108" s="1"/>
      <c r="D1108" s="5" t="s">
        <v>464</v>
      </c>
      <c r="E1108" s="3">
        <v>102500</v>
      </c>
      <c r="F1108" s="3" t="s">
        <v>465</v>
      </c>
      <c r="G1108" s="57" t="str">
        <f t="shared" si="17"/>
        <v>-</v>
      </c>
      <c r="H1108" s="1"/>
    </row>
    <row r="1109" spans="1:8" x14ac:dyDescent="0.2">
      <c r="A1109" s="1" t="s">
        <v>111</v>
      </c>
      <c r="B1109" s="2" t="s">
        <v>128</v>
      </c>
      <c r="C1109" s="1"/>
      <c r="D1109" s="5" t="s">
        <v>464</v>
      </c>
      <c r="E1109" s="3">
        <v>102500</v>
      </c>
      <c r="F1109" s="3" t="s">
        <v>465</v>
      </c>
      <c r="G1109" s="57" t="str">
        <f t="shared" si="17"/>
        <v>-</v>
      </c>
      <c r="H1109" s="1"/>
    </row>
    <row r="1110" spans="1:8" x14ac:dyDescent="0.2">
      <c r="A1110" s="1" t="s">
        <v>111</v>
      </c>
      <c r="B1110" s="2" t="s">
        <v>128</v>
      </c>
      <c r="C1110" s="1"/>
      <c r="D1110" s="5" t="s">
        <v>464</v>
      </c>
      <c r="E1110" s="3">
        <v>112500</v>
      </c>
      <c r="F1110" s="3" t="s">
        <v>465</v>
      </c>
      <c r="G1110" s="57" t="str">
        <f t="shared" si="17"/>
        <v>-</v>
      </c>
      <c r="H1110" s="1"/>
    </row>
    <row r="1111" spans="1:8" x14ac:dyDescent="0.2">
      <c r="A1111" s="1" t="s">
        <v>111</v>
      </c>
      <c r="B1111" s="2" t="s">
        <v>128</v>
      </c>
      <c r="C1111" s="1"/>
      <c r="D1111" s="5" t="s">
        <v>464</v>
      </c>
      <c r="E1111" s="3">
        <v>112500</v>
      </c>
      <c r="F1111" s="3" t="s">
        <v>465</v>
      </c>
      <c r="G1111" s="57" t="str">
        <f t="shared" si="17"/>
        <v>-</v>
      </c>
      <c r="H1111" s="1"/>
    </row>
    <row r="1112" spans="1:8" x14ac:dyDescent="0.2">
      <c r="A1112" s="1" t="s">
        <v>111</v>
      </c>
      <c r="B1112" s="2" t="s">
        <v>128</v>
      </c>
      <c r="C1112" s="1"/>
      <c r="D1112" s="5" t="s">
        <v>464</v>
      </c>
      <c r="E1112" s="3">
        <v>112500</v>
      </c>
      <c r="F1112" s="3" t="s">
        <v>465</v>
      </c>
      <c r="G1112" s="57" t="str">
        <f t="shared" si="17"/>
        <v>-</v>
      </c>
      <c r="H1112" s="1"/>
    </row>
    <row r="1113" spans="1:8" x14ac:dyDescent="0.2">
      <c r="A1113" s="1" t="s">
        <v>111</v>
      </c>
      <c r="B1113" s="2" t="s">
        <v>128</v>
      </c>
      <c r="C1113" s="1"/>
      <c r="D1113" s="5" t="s">
        <v>464</v>
      </c>
      <c r="E1113" s="3">
        <v>112500</v>
      </c>
      <c r="F1113" s="3" t="s">
        <v>465</v>
      </c>
      <c r="G1113" s="57" t="str">
        <f t="shared" si="17"/>
        <v>-</v>
      </c>
      <c r="H1113" s="1"/>
    </row>
    <row r="1114" spans="1:8" x14ac:dyDescent="0.2">
      <c r="A1114" s="1" t="s">
        <v>111</v>
      </c>
      <c r="B1114" s="2" t="s">
        <v>128</v>
      </c>
      <c r="C1114" s="1"/>
      <c r="D1114" s="5" t="s">
        <v>464</v>
      </c>
      <c r="E1114" s="3">
        <v>112500</v>
      </c>
      <c r="F1114" s="3" t="s">
        <v>465</v>
      </c>
      <c r="G1114" s="57" t="str">
        <f t="shared" si="17"/>
        <v>-</v>
      </c>
      <c r="H1114" s="1"/>
    </row>
    <row r="1115" spans="1:8" x14ac:dyDescent="0.2">
      <c r="A1115" s="1" t="s">
        <v>111</v>
      </c>
      <c r="B1115" s="2" t="s">
        <v>128</v>
      </c>
      <c r="C1115" s="1"/>
      <c r="D1115" s="5" t="s">
        <v>464</v>
      </c>
      <c r="E1115" s="3">
        <v>112500</v>
      </c>
      <c r="F1115" s="3" t="s">
        <v>465</v>
      </c>
      <c r="G1115" s="57" t="str">
        <f t="shared" si="17"/>
        <v>-</v>
      </c>
      <c r="H1115" s="1"/>
    </row>
    <row r="1116" spans="1:8" x14ac:dyDescent="0.2">
      <c r="A1116" s="1" t="s">
        <v>111</v>
      </c>
      <c r="B1116" s="2" t="s">
        <v>128</v>
      </c>
      <c r="C1116" s="1"/>
      <c r="D1116" s="5" t="s">
        <v>464</v>
      </c>
      <c r="E1116" s="3">
        <v>122500</v>
      </c>
      <c r="F1116" s="3" t="s">
        <v>465</v>
      </c>
      <c r="G1116" s="57" t="str">
        <f t="shared" si="17"/>
        <v>-</v>
      </c>
      <c r="H1116" s="1"/>
    </row>
    <row r="1117" spans="1:8" x14ac:dyDescent="0.2">
      <c r="A1117" s="1" t="s">
        <v>111</v>
      </c>
      <c r="B1117" s="2" t="s">
        <v>128</v>
      </c>
      <c r="C1117" s="1"/>
      <c r="D1117" s="5" t="s">
        <v>464</v>
      </c>
      <c r="E1117" s="3">
        <v>122500</v>
      </c>
      <c r="F1117" s="3" t="s">
        <v>465</v>
      </c>
      <c r="G1117" s="57" t="str">
        <f t="shared" si="17"/>
        <v>-</v>
      </c>
      <c r="H1117" s="1"/>
    </row>
    <row r="1118" spans="1:8" x14ac:dyDescent="0.2">
      <c r="A1118" s="1" t="s">
        <v>111</v>
      </c>
      <c r="B1118" s="2" t="s">
        <v>128</v>
      </c>
      <c r="C1118" s="1"/>
      <c r="D1118" s="5" t="s">
        <v>464</v>
      </c>
      <c r="E1118" s="3">
        <v>122500</v>
      </c>
      <c r="F1118" s="3" t="s">
        <v>465</v>
      </c>
      <c r="G1118" s="57" t="str">
        <f t="shared" si="17"/>
        <v>-</v>
      </c>
      <c r="H1118" s="1"/>
    </row>
    <row r="1119" spans="1:8" x14ac:dyDescent="0.2">
      <c r="A1119" s="1" t="s">
        <v>111</v>
      </c>
      <c r="B1119" s="2" t="s">
        <v>128</v>
      </c>
      <c r="C1119" s="1"/>
      <c r="D1119" s="5" t="s">
        <v>464</v>
      </c>
      <c r="E1119" s="3">
        <v>127500</v>
      </c>
      <c r="F1119" s="3" t="s">
        <v>465</v>
      </c>
      <c r="G1119" s="57" t="str">
        <f t="shared" si="17"/>
        <v>-</v>
      </c>
      <c r="H1119" s="1"/>
    </row>
    <row r="1120" spans="1:8" x14ac:dyDescent="0.2">
      <c r="A1120" s="1" t="s">
        <v>111</v>
      </c>
      <c r="B1120" s="2" t="s">
        <v>128</v>
      </c>
      <c r="C1120" s="1"/>
      <c r="D1120" s="5" t="s">
        <v>464</v>
      </c>
      <c r="E1120" s="3">
        <v>147500</v>
      </c>
      <c r="F1120" s="3" t="s">
        <v>465</v>
      </c>
      <c r="G1120" s="57" t="str">
        <f t="shared" si="17"/>
        <v>-</v>
      </c>
      <c r="H1120" s="1"/>
    </row>
    <row r="1121" spans="1:8" x14ac:dyDescent="0.2">
      <c r="A1121" s="1" t="s">
        <v>111</v>
      </c>
      <c r="B1121" s="2" t="s">
        <v>128</v>
      </c>
      <c r="C1121" s="1"/>
      <c r="D1121" s="5" t="s">
        <v>464</v>
      </c>
      <c r="E1121" s="3">
        <v>202500</v>
      </c>
      <c r="F1121" s="3" t="s">
        <v>465</v>
      </c>
      <c r="G1121" s="57" t="str">
        <f t="shared" si="17"/>
        <v>-</v>
      </c>
      <c r="H1121" s="1"/>
    </row>
    <row r="1122" spans="1:8" x14ac:dyDescent="0.2">
      <c r="A1122" s="1" t="s">
        <v>111</v>
      </c>
      <c r="B1122" s="2" t="s">
        <v>128</v>
      </c>
      <c r="C1122" s="1"/>
      <c r="D1122" s="5" t="s">
        <v>464</v>
      </c>
      <c r="E1122" s="3" t="s">
        <v>465</v>
      </c>
      <c r="F1122" s="3">
        <v>102500</v>
      </c>
      <c r="G1122" s="57" t="str">
        <f t="shared" si="17"/>
        <v>-</v>
      </c>
      <c r="H1122" s="1"/>
    </row>
    <row r="1123" spans="1:8" x14ac:dyDescent="0.2">
      <c r="A1123" s="1" t="s">
        <v>111</v>
      </c>
      <c r="B1123" s="2" t="s">
        <v>128</v>
      </c>
      <c r="C1123" s="1"/>
      <c r="D1123" s="5" t="s">
        <v>464</v>
      </c>
      <c r="E1123" s="3" t="s">
        <v>465</v>
      </c>
      <c r="F1123" s="3">
        <v>102500</v>
      </c>
      <c r="G1123" s="57" t="str">
        <f t="shared" si="17"/>
        <v>-</v>
      </c>
      <c r="H1123" s="1"/>
    </row>
    <row r="1124" spans="1:8" x14ac:dyDescent="0.2">
      <c r="A1124" s="1" t="s">
        <v>111</v>
      </c>
      <c r="B1124" s="2" t="s">
        <v>128</v>
      </c>
      <c r="C1124" s="1"/>
      <c r="D1124" s="5" t="s">
        <v>464</v>
      </c>
      <c r="E1124" s="3" t="s">
        <v>465</v>
      </c>
      <c r="F1124" s="3">
        <v>112500</v>
      </c>
      <c r="G1124" s="57" t="str">
        <f t="shared" si="17"/>
        <v>-</v>
      </c>
      <c r="H1124" s="1"/>
    </row>
    <row r="1125" spans="1:8" x14ac:dyDescent="0.2">
      <c r="A1125" s="1" t="s">
        <v>111</v>
      </c>
      <c r="B1125" s="2" t="s">
        <v>128</v>
      </c>
      <c r="C1125" s="1"/>
      <c r="D1125" s="5" t="s">
        <v>464</v>
      </c>
      <c r="E1125" s="3" t="s">
        <v>465</v>
      </c>
      <c r="F1125" s="3">
        <v>112500</v>
      </c>
      <c r="G1125" s="57" t="str">
        <f t="shared" si="17"/>
        <v>-</v>
      </c>
      <c r="H1125" s="1"/>
    </row>
    <row r="1126" spans="1:8" x14ac:dyDescent="0.2">
      <c r="A1126" s="1" t="s">
        <v>111</v>
      </c>
      <c r="B1126" s="2" t="s">
        <v>128</v>
      </c>
      <c r="C1126" s="1"/>
      <c r="D1126" s="5" t="s">
        <v>464</v>
      </c>
      <c r="E1126" s="3" t="s">
        <v>465</v>
      </c>
      <c r="F1126" s="3">
        <v>112500</v>
      </c>
      <c r="G1126" s="57" t="str">
        <f t="shared" si="17"/>
        <v>-</v>
      </c>
      <c r="H1126" s="1"/>
    </row>
    <row r="1127" spans="1:8" x14ac:dyDescent="0.2">
      <c r="A1127" s="1" t="s">
        <v>111</v>
      </c>
      <c r="B1127" s="2" t="s">
        <v>128</v>
      </c>
      <c r="C1127" s="1"/>
      <c r="D1127" s="5" t="s">
        <v>464</v>
      </c>
      <c r="E1127" s="3" t="s">
        <v>465</v>
      </c>
      <c r="F1127" s="3">
        <v>112500</v>
      </c>
      <c r="G1127" s="57" t="str">
        <f t="shared" si="17"/>
        <v>-</v>
      </c>
      <c r="H1127" s="1"/>
    </row>
    <row r="1128" spans="1:8" x14ac:dyDescent="0.2">
      <c r="A1128" s="1" t="s">
        <v>111</v>
      </c>
      <c r="B1128" s="2" t="s">
        <v>128</v>
      </c>
      <c r="C1128" s="1"/>
      <c r="D1128" s="5" t="s">
        <v>464</v>
      </c>
      <c r="E1128" s="3" t="s">
        <v>465</v>
      </c>
      <c r="F1128" s="3">
        <v>112500</v>
      </c>
      <c r="G1128" s="57" t="str">
        <f t="shared" si="17"/>
        <v>-</v>
      </c>
      <c r="H1128" s="1"/>
    </row>
    <row r="1129" spans="1:8" x14ac:dyDescent="0.2">
      <c r="A1129" s="1" t="s">
        <v>111</v>
      </c>
      <c r="B1129" s="2" t="s">
        <v>128</v>
      </c>
      <c r="C1129" s="1"/>
      <c r="D1129" s="5" t="s">
        <v>464</v>
      </c>
      <c r="E1129" s="3" t="s">
        <v>465</v>
      </c>
      <c r="F1129" s="3">
        <v>112500</v>
      </c>
      <c r="G1129" s="57" t="str">
        <f t="shared" si="17"/>
        <v>-</v>
      </c>
      <c r="H1129" s="1"/>
    </row>
    <row r="1130" spans="1:8" x14ac:dyDescent="0.2">
      <c r="A1130" s="1" t="s">
        <v>111</v>
      </c>
      <c r="B1130" s="2" t="s">
        <v>128</v>
      </c>
      <c r="C1130" s="1"/>
      <c r="D1130" s="5" t="s">
        <v>464</v>
      </c>
      <c r="E1130" s="3" t="s">
        <v>465</v>
      </c>
      <c r="F1130" s="3">
        <v>112500</v>
      </c>
      <c r="G1130" s="57" t="str">
        <f t="shared" si="17"/>
        <v>-</v>
      </c>
      <c r="H1130" s="1"/>
    </row>
    <row r="1131" spans="1:8" x14ac:dyDescent="0.2">
      <c r="A1131" s="1" t="s">
        <v>111</v>
      </c>
      <c r="B1131" s="2" t="s">
        <v>128</v>
      </c>
      <c r="C1131" s="1"/>
      <c r="D1131" s="5" t="s">
        <v>464</v>
      </c>
      <c r="E1131" s="3" t="s">
        <v>465</v>
      </c>
      <c r="F1131" s="3">
        <v>122500</v>
      </c>
      <c r="G1131" s="57" t="str">
        <f t="shared" si="17"/>
        <v>-</v>
      </c>
      <c r="H1131" s="1"/>
    </row>
    <row r="1132" spans="1:8" x14ac:dyDescent="0.2">
      <c r="A1132" s="1" t="s">
        <v>111</v>
      </c>
      <c r="B1132" s="2" t="s">
        <v>128</v>
      </c>
      <c r="C1132" s="1"/>
      <c r="D1132" s="5" t="s">
        <v>464</v>
      </c>
      <c r="E1132" s="3" t="s">
        <v>465</v>
      </c>
      <c r="F1132" s="3">
        <v>127500</v>
      </c>
      <c r="G1132" s="57" t="str">
        <f t="shared" si="17"/>
        <v>-</v>
      </c>
      <c r="H1132" s="1"/>
    </row>
    <row r="1133" spans="1:8" x14ac:dyDescent="0.2">
      <c r="A1133" s="1" t="s">
        <v>111</v>
      </c>
      <c r="B1133" s="2" t="s">
        <v>128</v>
      </c>
      <c r="C1133" s="1"/>
      <c r="D1133" s="5" t="s">
        <v>464</v>
      </c>
      <c r="E1133" s="3" t="s">
        <v>465</v>
      </c>
      <c r="F1133" s="3">
        <v>132500</v>
      </c>
      <c r="G1133" s="57" t="str">
        <f t="shared" si="17"/>
        <v>-</v>
      </c>
      <c r="H1133" s="1"/>
    </row>
    <row r="1134" spans="1:8" x14ac:dyDescent="0.2">
      <c r="A1134" s="1" t="s">
        <v>111</v>
      </c>
      <c r="B1134" s="2" t="s">
        <v>128</v>
      </c>
      <c r="C1134" s="1"/>
      <c r="D1134" s="5" t="s">
        <v>464</v>
      </c>
      <c r="E1134" s="3" t="s">
        <v>465</v>
      </c>
      <c r="F1134" s="3">
        <v>157500</v>
      </c>
      <c r="G1134" s="57" t="str">
        <f t="shared" si="17"/>
        <v>-</v>
      </c>
      <c r="H1134" s="1"/>
    </row>
    <row r="1135" spans="1:8" x14ac:dyDescent="0.2">
      <c r="A1135" s="1" t="s">
        <v>111</v>
      </c>
      <c r="B1135" s="2" t="s">
        <v>128</v>
      </c>
      <c r="C1135" s="1"/>
      <c r="D1135" s="5" t="s">
        <v>464</v>
      </c>
      <c r="E1135" s="3" t="s">
        <v>465</v>
      </c>
      <c r="F1135" s="3">
        <v>202500</v>
      </c>
      <c r="G1135" s="57" t="str">
        <f t="shared" si="17"/>
        <v>-</v>
      </c>
    </row>
    <row r="1136" spans="1:8" ht="25.5" x14ac:dyDescent="0.2">
      <c r="A1136" s="1" t="s">
        <v>25</v>
      </c>
      <c r="B1136" s="2" t="s">
        <v>129</v>
      </c>
      <c r="C1136" s="1" t="s">
        <v>2094</v>
      </c>
      <c r="D1136" s="5" t="s">
        <v>450</v>
      </c>
      <c r="E1136" s="3">
        <v>58636</v>
      </c>
      <c r="F1136" s="3">
        <v>183854</v>
      </c>
      <c r="G1136" s="57">
        <f t="shared" si="17"/>
        <v>2.1355140186915889</v>
      </c>
      <c r="H1136" s="5" t="s">
        <v>4295</v>
      </c>
    </row>
    <row r="1137" spans="1:8" ht="25.5" x14ac:dyDescent="0.2">
      <c r="A1137" s="1" t="s">
        <v>25</v>
      </c>
      <c r="B1137" s="2" t="s">
        <v>129</v>
      </c>
      <c r="C1137" s="1" t="s">
        <v>2095</v>
      </c>
      <c r="D1137" s="5" t="s">
        <v>2096</v>
      </c>
      <c r="E1137" s="3">
        <v>133418</v>
      </c>
      <c r="F1137" s="3">
        <v>164624</v>
      </c>
      <c r="G1137" s="57">
        <f t="shared" si="17"/>
        <v>0.23389647573790642</v>
      </c>
      <c r="H1137" s="5" t="s">
        <v>3947</v>
      </c>
    </row>
    <row r="1138" spans="1:8" ht="25.5" x14ac:dyDescent="0.2">
      <c r="A1138" s="1" t="s">
        <v>25</v>
      </c>
      <c r="B1138" s="2" t="s">
        <v>129</v>
      </c>
      <c r="C1138" s="1" t="s">
        <v>2097</v>
      </c>
      <c r="D1138" s="5" t="s">
        <v>2098</v>
      </c>
      <c r="E1138" s="3">
        <v>178369</v>
      </c>
      <c r="F1138" s="3">
        <v>169722</v>
      </c>
      <c r="G1138" s="57">
        <f t="shared" si="17"/>
        <v>-4.8478154836322458E-2</v>
      </c>
      <c r="H1138" s="5" t="s">
        <v>3948</v>
      </c>
    </row>
    <row r="1139" spans="1:8" ht="25.5" x14ac:dyDescent="0.2">
      <c r="A1139" s="1" t="s">
        <v>25</v>
      </c>
      <c r="B1139" s="2" t="s">
        <v>129</v>
      </c>
      <c r="C1139" s="1" t="s">
        <v>2099</v>
      </c>
      <c r="D1139" s="5" t="s">
        <v>2100</v>
      </c>
      <c r="E1139" s="3">
        <v>163865</v>
      </c>
      <c r="F1139" s="3">
        <v>172383</v>
      </c>
      <c r="G1139" s="57">
        <f t="shared" si="17"/>
        <v>5.1981814298355355E-2</v>
      </c>
      <c r="H1139" s="5" t="s">
        <v>4626</v>
      </c>
    </row>
    <row r="1140" spans="1:8" x14ac:dyDescent="0.2">
      <c r="A1140" s="1" t="s">
        <v>25</v>
      </c>
      <c r="B1140" s="2" t="s">
        <v>129</v>
      </c>
      <c r="C1140" s="1"/>
      <c r="D1140" s="5" t="s">
        <v>464</v>
      </c>
      <c r="E1140" s="3">
        <v>102500</v>
      </c>
      <c r="F1140" s="3" t="s">
        <v>465</v>
      </c>
      <c r="G1140" s="57" t="str">
        <f t="shared" si="17"/>
        <v>-</v>
      </c>
      <c r="H1140" s="1"/>
    </row>
    <row r="1141" spans="1:8" x14ac:dyDescent="0.2">
      <c r="A1141" s="1" t="s">
        <v>25</v>
      </c>
      <c r="B1141" s="2" t="s">
        <v>129</v>
      </c>
      <c r="C1141" s="1"/>
      <c r="D1141" s="5" t="s">
        <v>464</v>
      </c>
      <c r="E1141" s="3">
        <v>102500</v>
      </c>
      <c r="F1141" s="3" t="s">
        <v>465</v>
      </c>
      <c r="G1141" s="57" t="str">
        <f t="shared" si="17"/>
        <v>-</v>
      </c>
      <c r="H1141" s="1"/>
    </row>
    <row r="1142" spans="1:8" x14ac:dyDescent="0.2">
      <c r="A1142" s="1" t="s">
        <v>25</v>
      </c>
      <c r="B1142" s="2" t="s">
        <v>129</v>
      </c>
      <c r="C1142" s="1"/>
      <c r="D1142" s="5" t="s">
        <v>464</v>
      </c>
      <c r="E1142" s="3">
        <v>102500</v>
      </c>
      <c r="F1142" s="3" t="s">
        <v>465</v>
      </c>
      <c r="G1142" s="57" t="str">
        <f t="shared" si="17"/>
        <v>-</v>
      </c>
      <c r="H1142" s="1"/>
    </row>
    <row r="1143" spans="1:8" x14ac:dyDescent="0.2">
      <c r="A1143" s="1" t="s">
        <v>25</v>
      </c>
      <c r="B1143" s="2" t="s">
        <v>129</v>
      </c>
      <c r="C1143" s="1"/>
      <c r="D1143" s="5" t="s">
        <v>464</v>
      </c>
      <c r="E1143" s="3">
        <v>107500</v>
      </c>
      <c r="F1143" s="3" t="s">
        <v>465</v>
      </c>
      <c r="G1143" s="57" t="str">
        <f t="shared" si="17"/>
        <v>-</v>
      </c>
      <c r="H1143" s="1"/>
    </row>
    <row r="1144" spans="1:8" x14ac:dyDescent="0.2">
      <c r="A1144" s="1" t="s">
        <v>25</v>
      </c>
      <c r="B1144" s="2" t="s">
        <v>129</v>
      </c>
      <c r="C1144" s="1"/>
      <c r="D1144" s="5" t="s">
        <v>464</v>
      </c>
      <c r="E1144" s="3">
        <v>112500</v>
      </c>
      <c r="F1144" s="3" t="s">
        <v>465</v>
      </c>
      <c r="G1144" s="57" t="str">
        <f t="shared" si="17"/>
        <v>-</v>
      </c>
      <c r="H1144" s="1"/>
    </row>
    <row r="1145" spans="1:8" x14ac:dyDescent="0.2">
      <c r="A1145" s="1" t="s">
        <v>25</v>
      </c>
      <c r="B1145" s="2" t="s">
        <v>129</v>
      </c>
      <c r="C1145" s="1"/>
      <c r="D1145" s="5" t="s">
        <v>464</v>
      </c>
      <c r="E1145" s="3">
        <v>112500</v>
      </c>
      <c r="F1145" s="3" t="s">
        <v>465</v>
      </c>
      <c r="G1145" s="57" t="str">
        <f t="shared" si="17"/>
        <v>-</v>
      </c>
      <c r="H1145" s="1"/>
    </row>
    <row r="1146" spans="1:8" x14ac:dyDescent="0.2">
      <c r="A1146" s="1" t="s">
        <v>25</v>
      </c>
      <c r="B1146" s="2" t="s">
        <v>129</v>
      </c>
      <c r="C1146" s="1"/>
      <c r="D1146" s="5" t="s">
        <v>464</v>
      </c>
      <c r="E1146" s="3">
        <v>112500</v>
      </c>
      <c r="F1146" s="3" t="s">
        <v>465</v>
      </c>
      <c r="G1146" s="57" t="str">
        <f t="shared" si="17"/>
        <v>-</v>
      </c>
      <c r="H1146" s="1"/>
    </row>
    <row r="1147" spans="1:8" x14ac:dyDescent="0.2">
      <c r="A1147" s="1" t="s">
        <v>25</v>
      </c>
      <c r="B1147" s="2" t="s">
        <v>129</v>
      </c>
      <c r="C1147" s="1"/>
      <c r="D1147" s="5" t="s">
        <v>464</v>
      </c>
      <c r="E1147" s="3">
        <v>117500</v>
      </c>
      <c r="F1147" s="3" t="s">
        <v>465</v>
      </c>
      <c r="G1147" s="57" t="str">
        <f t="shared" si="17"/>
        <v>-</v>
      </c>
      <c r="H1147" s="1"/>
    </row>
    <row r="1148" spans="1:8" x14ac:dyDescent="0.2">
      <c r="A1148" s="1" t="s">
        <v>25</v>
      </c>
      <c r="B1148" s="2" t="s">
        <v>129</v>
      </c>
      <c r="C1148" s="1"/>
      <c r="D1148" s="5" t="s">
        <v>464</v>
      </c>
      <c r="E1148" s="3">
        <v>117500</v>
      </c>
      <c r="F1148" s="3" t="s">
        <v>465</v>
      </c>
      <c r="G1148" s="57" t="str">
        <f t="shared" si="17"/>
        <v>-</v>
      </c>
      <c r="H1148" s="1"/>
    </row>
    <row r="1149" spans="1:8" x14ac:dyDescent="0.2">
      <c r="A1149" s="1" t="s">
        <v>25</v>
      </c>
      <c r="B1149" s="2" t="s">
        <v>129</v>
      </c>
      <c r="C1149" s="1"/>
      <c r="D1149" s="5" t="s">
        <v>464</v>
      </c>
      <c r="E1149" s="3">
        <v>127500</v>
      </c>
      <c r="F1149" s="3" t="s">
        <v>465</v>
      </c>
      <c r="G1149" s="57" t="str">
        <f t="shared" si="17"/>
        <v>-</v>
      </c>
      <c r="H1149" s="1"/>
    </row>
    <row r="1150" spans="1:8" x14ac:dyDescent="0.2">
      <c r="A1150" s="1" t="s">
        <v>25</v>
      </c>
      <c r="B1150" s="2" t="s">
        <v>129</v>
      </c>
      <c r="C1150" s="1"/>
      <c r="D1150" s="5" t="s">
        <v>464</v>
      </c>
      <c r="E1150" s="3">
        <v>127500</v>
      </c>
      <c r="F1150" s="3" t="s">
        <v>465</v>
      </c>
      <c r="G1150" s="57" t="str">
        <f t="shared" si="17"/>
        <v>-</v>
      </c>
      <c r="H1150" s="1"/>
    </row>
    <row r="1151" spans="1:8" x14ac:dyDescent="0.2">
      <c r="A1151" s="1" t="s">
        <v>25</v>
      </c>
      <c r="B1151" s="2" t="s">
        <v>129</v>
      </c>
      <c r="C1151" s="1"/>
      <c r="D1151" s="5" t="s">
        <v>464</v>
      </c>
      <c r="E1151" s="3">
        <v>137500</v>
      </c>
      <c r="F1151" s="3" t="s">
        <v>465</v>
      </c>
      <c r="G1151" s="57" t="str">
        <f t="shared" si="17"/>
        <v>-</v>
      </c>
      <c r="H1151" s="1"/>
    </row>
    <row r="1152" spans="1:8" x14ac:dyDescent="0.2">
      <c r="A1152" s="1" t="s">
        <v>25</v>
      </c>
      <c r="B1152" s="2" t="s">
        <v>129</v>
      </c>
      <c r="C1152" s="1"/>
      <c r="D1152" s="5" t="s">
        <v>464</v>
      </c>
      <c r="E1152" s="3">
        <v>142500</v>
      </c>
      <c r="F1152" s="3" t="s">
        <v>465</v>
      </c>
      <c r="G1152" s="57" t="str">
        <f t="shared" si="17"/>
        <v>-</v>
      </c>
      <c r="H1152" s="1"/>
    </row>
    <row r="1153" spans="1:8" x14ac:dyDescent="0.2">
      <c r="A1153" s="1" t="s">
        <v>25</v>
      </c>
      <c r="B1153" s="2" t="s">
        <v>129</v>
      </c>
      <c r="C1153" s="1"/>
      <c r="D1153" s="5" t="s">
        <v>464</v>
      </c>
      <c r="E1153" s="3">
        <v>152500</v>
      </c>
      <c r="F1153" s="3" t="s">
        <v>465</v>
      </c>
      <c r="G1153" s="57" t="str">
        <f t="shared" si="17"/>
        <v>-</v>
      </c>
      <c r="H1153" s="1"/>
    </row>
    <row r="1154" spans="1:8" x14ac:dyDescent="0.2">
      <c r="A1154" s="1" t="s">
        <v>25</v>
      </c>
      <c r="B1154" s="2" t="s">
        <v>129</v>
      </c>
      <c r="C1154" s="1"/>
      <c r="D1154" s="5" t="s">
        <v>464</v>
      </c>
      <c r="E1154" s="3" t="s">
        <v>465</v>
      </c>
      <c r="F1154" s="3">
        <v>102500</v>
      </c>
      <c r="G1154" s="57" t="str">
        <f t="shared" si="17"/>
        <v>-</v>
      </c>
      <c r="H1154" s="1"/>
    </row>
    <row r="1155" spans="1:8" x14ac:dyDescent="0.2">
      <c r="A1155" s="1" t="s">
        <v>25</v>
      </c>
      <c r="B1155" s="2" t="s">
        <v>129</v>
      </c>
      <c r="C1155" s="1"/>
      <c r="D1155" s="5" t="s">
        <v>464</v>
      </c>
      <c r="E1155" s="3" t="s">
        <v>465</v>
      </c>
      <c r="F1155" s="3">
        <v>107500</v>
      </c>
      <c r="G1155" s="57" t="str">
        <f t="shared" ref="G1155:G1218" si="18">IF(ISERROR((F1155-E1155)/E1155),"-",(F1155-E1155)/E1155)</f>
        <v>-</v>
      </c>
      <c r="H1155" s="1"/>
    </row>
    <row r="1156" spans="1:8" x14ac:dyDescent="0.2">
      <c r="A1156" s="1" t="s">
        <v>25</v>
      </c>
      <c r="B1156" s="2" t="s">
        <v>129</v>
      </c>
      <c r="C1156" s="1"/>
      <c r="D1156" s="5" t="s">
        <v>464</v>
      </c>
      <c r="E1156" s="3" t="s">
        <v>465</v>
      </c>
      <c r="F1156" s="3">
        <v>107500</v>
      </c>
      <c r="G1156" s="57" t="str">
        <f t="shared" si="18"/>
        <v>-</v>
      </c>
      <c r="H1156" s="1"/>
    </row>
    <row r="1157" spans="1:8" x14ac:dyDescent="0.2">
      <c r="A1157" s="1" t="s">
        <v>25</v>
      </c>
      <c r="B1157" s="2" t="s">
        <v>129</v>
      </c>
      <c r="C1157" s="1"/>
      <c r="D1157" s="5" t="s">
        <v>464</v>
      </c>
      <c r="E1157" s="3" t="s">
        <v>465</v>
      </c>
      <c r="F1157" s="3">
        <v>107500</v>
      </c>
      <c r="G1157" s="57" t="str">
        <f t="shared" si="18"/>
        <v>-</v>
      </c>
      <c r="H1157" s="1"/>
    </row>
    <row r="1158" spans="1:8" x14ac:dyDescent="0.2">
      <c r="A1158" s="1" t="s">
        <v>25</v>
      </c>
      <c r="B1158" s="2" t="s">
        <v>129</v>
      </c>
      <c r="C1158" s="1"/>
      <c r="D1158" s="5" t="s">
        <v>464</v>
      </c>
      <c r="E1158" s="3" t="s">
        <v>465</v>
      </c>
      <c r="F1158" s="3">
        <v>107500</v>
      </c>
      <c r="G1158" s="57" t="str">
        <f t="shared" si="18"/>
        <v>-</v>
      </c>
      <c r="H1158" s="1"/>
    </row>
    <row r="1159" spans="1:8" x14ac:dyDescent="0.2">
      <c r="A1159" s="1" t="s">
        <v>25</v>
      </c>
      <c r="B1159" s="2" t="s">
        <v>129</v>
      </c>
      <c r="C1159" s="1"/>
      <c r="D1159" s="5" t="s">
        <v>464</v>
      </c>
      <c r="E1159" s="3" t="s">
        <v>465</v>
      </c>
      <c r="F1159" s="3">
        <v>107500</v>
      </c>
      <c r="G1159" s="57" t="str">
        <f t="shared" si="18"/>
        <v>-</v>
      </c>
      <c r="H1159" s="1"/>
    </row>
    <row r="1160" spans="1:8" x14ac:dyDescent="0.2">
      <c r="A1160" s="1" t="s">
        <v>25</v>
      </c>
      <c r="B1160" s="2" t="s">
        <v>129</v>
      </c>
      <c r="C1160" s="1"/>
      <c r="D1160" s="5" t="s">
        <v>464</v>
      </c>
      <c r="E1160" s="3" t="s">
        <v>465</v>
      </c>
      <c r="F1160" s="3">
        <v>112500</v>
      </c>
      <c r="G1160" s="57" t="str">
        <f t="shared" si="18"/>
        <v>-</v>
      </c>
      <c r="H1160" s="1"/>
    </row>
    <row r="1161" spans="1:8" x14ac:dyDescent="0.2">
      <c r="A1161" s="1" t="s">
        <v>25</v>
      </c>
      <c r="B1161" s="2" t="s">
        <v>129</v>
      </c>
      <c r="C1161" s="1"/>
      <c r="D1161" s="5" t="s">
        <v>464</v>
      </c>
      <c r="E1161" s="3" t="s">
        <v>465</v>
      </c>
      <c r="F1161" s="3">
        <v>112500</v>
      </c>
      <c r="G1161" s="57" t="str">
        <f t="shared" si="18"/>
        <v>-</v>
      </c>
    </row>
    <row r="1162" spans="1:8" x14ac:dyDescent="0.2">
      <c r="A1162" s="1" t="s">
        <v>25</v>
      </c>
      <c r="B1162" s="2" t="s">
        <v>129</v>
      </c>
      <c r="C1162" s="1"/>
      <c r="D1162" s="5" t="s">
        <v>464</v>
      </c>
      <c r="E1162" s="3" t="s">
        <v>465</v>
      </c>
      <c r="F1162" s="3">
        <v>112500</v>
      </c>
      <c r="G1162" s="57" t="str">
        <f t="shared" si="18"/>
        <v>-</v>
      </c>
    </row>
    <row r="1163" spans="1:8" x14ac:dyDescent="0.2">
      <c r="A1163" s="1" t="s">
        <v>25</v>
      </c>
      <c r="B1163" s="2" t="s">
        <v>129</v>
      </c>
      <c r="C1163" s="1"/>
      <c r="D1163" s="5" t="s">
        <v>464</v>
      </c>
      <c r="E1163" s="3" t="s">
        <v>465</v>
      </c>
      <c r="F1163" s="3">
        <v>117500</v>
      </c>
      <c r="G1163" s="57" t="str">
        <f t="shared" si="18"/>
        <v>-</v>
      </c>
    </row>
    <row r="1164" spans="1:8" x14ac:dyDescent="0.2">
      <c r="A1164" s="1" t="s">
        <v>25</v>
      </c>
      <c r="B1164" s="2" t="s">
        <v>129</v>
      </c>
      <c r="C1164" s="1"/>
      <c r="D1164" s="5" t="s">
        <v>464</v>
      </c>
      <c r="E1164" s="3" t="s">
        <v>465</v>
      </c>
      <c r="F1164" s="3">
        <v>122500</v>
      </c>
      <c r="G1164" s="57" t="str">
        <f t="shared" si="18"/>
        <v>-</v>
      </c>
    </row>
    <row r="1165" spans="1:8" ht="25.5" x14ac:dyDescent="0.2">
      <c r="A1165" s="1" t="s">
        <v>1</v>
      </c>
      <c r="B1165" s="2" t="s">
        <v>130</v>
      </c>
      <c r="C1165" s="1" t="s">
        <v>2085</v>
      </c>
      <c r="D1165" s="5" t="s">
        <v>450</v>
      </c>
      <c r="E1165" s="3">
        <f>124257+21496</f>
        <v>145753</v>
      </c>
      <c r="F1165" s="3">
        <f>123213+22425</f>
        <v>145638</v>
      </c>
      <c r="G1165" s="57">
        <f t="shared" si="18"/>
        <v>-7.8900605819434244E-4</v>
      </c>
      <c r="H1165" s="5" t="s">
        <v>3949</v>
      </c>
    </row>
    <row r="1166" spans="1:8" ht="25.5" x14ac:dyDescent="0.2">
      <c r="A1166" s="1" t="s">
        <v>1</v>
      </c>
      <c r="B1166" s="2" t="s">
        <v>130</v>
      </c>
      <c r="C1166" s="1" t="s">
        <v>2086</v>
      </c>
      <c r="D1166" s="5" t="s">
        <v>2087</v>
      </c>
      <c r="E1166" s="3">
        <f>107128+18533</f>
        <v>125661</v>
      </c>
      <c r="F1166" s="3">
        <f>109796+19983</f>
        <v>129779</v>
      </c>
      <c r="G1166" s="57">
        <f t="shared" si="18"/>
        <v>3.2770708493486442E-2</v>
      </c>
      <c r="H1166" s="5" t="s">
        <v>3950</v>
      </c>
    </row>
    <row r="1167" spans="1:8" ht="25.5" x14ac:dyDescent="0.2">
      <c r="A1167" s="1" t="s">
        <v>1</v>
      </c>
      <c r="B1167" s="2" t="s">
        <v>130</v>
      </c>
      <c r="C1167" s="1" t="s">
        <v>2088</v>
      </c>
      <c r="D1167" s="5" t="s">
        <v>2089</v>
      </c>
      <c r="E1167" s="3">
        <f>99819+17080</f>
        <v>116899</v>
      </c>
      <c r="F1167" s="3">
        <f>102288+18416</f>
        <v>120704</v>
      </c>
      <c r="G1167" s="57">
        <f t="shared" si="18"/>
        <v>3.254946577815037E-2</v>
      </c>
      <c r="H1167" s="5" t="s">
        <v>3951</v>
      </c>
    </row>
    <row r="1168" spans="1:8" ht="51" x14ac:dyDescent="0.2">
      <c r="A1168" s="1" t="s">
        <v>1</v>
      </c>
      <c r="B1168" s="2" t="s">
        <v>130</v>
      </c>
      <c r="C1168" s="1" t="s">
        <v>2090</v>
      </c>
      <c r="D1168" s="5" t="s">
        <v>2091</v>
      </c>
      <c r="E1168" s="3">
        <f>90896+15630</f>
        <v>106526</v>
      </c>
      <c r="F1168" s="3">
        <f>101604+18399</f>
        <v>120003</v>
      </c>
      <c r="G1168" s="57">
        <f t="shared" si="18"/>
        <v>0.12651371496160563</v>
      </c>
      <c r="H1168" s="5" t="s">
        <v>4296</v>
      </c>
    </row>
    <row r="1169" spans="1:8" ht="102" x14ac:dyDescent="0.2">
      <c r="A1169" s="1" t="s">
        <v>1</v>
      </c>
      <c r="B1169" s="2" t="s">
        <v>130</v>
      </c>
      <c r="C1169" s="1" t="s">
        <v>2092</v>
      </c>
      <c r="D1169" s="5" t="s">
        <v>2093</v>
      </c>
      <c r="E1169" s="3">
        <f>45589+8721</f>
        <v>54310</v>
      </c>
      <c r="F1169" s="3">
        <f>90318+10091</f>
        <v>100409</v>
      </c>
      <c r="G1169" s="57">
        <f t="shared" si="18"/>
        <v>0.84881237341189464</v>
      </c>
      <c r="H1169" s="5" t="s">
        <v>4627</v>
      </c>
    </row>
    <row r="1170" spans="1:8" x14ac:dyDescent="0.2">
      <c r="A1170" s="1" t="s">
        <v>1</v>
      </c>
      <c r="B1170" s="2" t="s">
        <v>130</v>
      </c>
      <c r="C1170" s="1"/>
      <c r="D1170" s="5" t="s">
        <v>464</v>
      </c>
      <c r="E1170" s="3">
        <v>117500</v>
      </c>
      <c r="F1170" s="3" t="s">
        <v>465</v>
      </c>
      <c r="G1170" s="57" t="str">
        <f t="shared" si="18"/>
        <v>-</v>
      </c>
    </row>
    <row r="1171" spans="1:8" ht="38.25" x14ac:dyDescent="0.2">
      <c r="A1171" s="1" t="s">
        <v>20</v>
      </c>
      <c r="B1171" s="2" t="s">
        <v>131</v>
      </c>
      <c r="C1171" s="1"/>
      <c r="D1171" s="5" t="s">
        <v>450</v>
      </c>
      <c r="E1171" s="3">
        <v>153539</v>
      </c>
      <c r="F1171" s="3">
        <v>158365</v>
      </c>
      <c r="G1171" s="57">
        <f t="shared" si="18"/>
        <v>3.1431753495854475E-2</v>
      </c>
      <c r="H1171" s="5" t="s">
        <v>3952</v>
      </c>
    </row>
    <row r="1172" spans="1:8" ht="38.25" x14ac:dyDescent="0.2">
      <c r="A1172" s="1" t="s">
        <v>20</v>
      </c>
      <c r="B1172" s="2" t="s">
        <v>131</v>
      </c>
      <c r="C1172" s="1"/>
      <c r="D1172" s="5" t="s">
        <v>455</v>
      </c>
      <c r="E1172" s="3">
        <v>119441</v>
      </c>
      <c r="F1172" s="3">
        <v>126651</v>
      </c>
      <c r="G1172" s="57">
        <f t="shared" si="18"/>
        <v>6.0364531442302055E-2</v>
      </c>
      <c r="H1172" s="5" t="s">
        <v>3953</v>
      </c>
    </row>
    <row r="1173" spans="1:8" ht="25.5" x14ac:dyDescent="0.2">
      <c r="A1173" s="1" t="s">
        <v>20</v>
      </c>
      <c r="B1173" s="2" t="s">
        <v>131</v>
      </c>
      <c r="C1173" s="1"/>
      <c r="D1173" s="5" t="s">
        <v>529</v>
      </c>
      <c r="E1173" s="3">
        <v>115459</v>
      </c>
      <c r="F1173" s="3">
        <v>10372</v>
      </c>
      <c r="G1173" s="57">
        <f t="shared" si="18"/>
        <v>-0.91016724551572414</v>
      </c>
      <c r="H1173" s="5" t="s">
        <v>4297</v>
      </c>
    </row>
    <row r="1174" spans="1:8" ht="51" x14ac:dyDescent="0.2">
      <c r="A1174" s="1" t="s">
        <v>20</v>
      </c>
      <c r="B1174" s="2" t="s">
        <v>131</v>
      </c>
      <c r="C1174" s="1"/>
      <c r="D1174" s="5" t="s">
        <v>2084</v>
      </c>
      <c r="E1174" s="3">
        <v>60381</v>
      </c>
      <c r="F1174" s="3">
        <v>107943</v>
      </c>
      <c r="G1174" s="57">
        <f t="shared" si="18"/>
        <v>0.78769811695732106</v>
      </c>
      <c r="H1174" s="5" t="s">
        <v>4298</v>
      </c>
    </row>
    <row r="1175" spans="1:8" ht="51" x14ac:dyDescent="0.2">
      <c r="A1175" s="1" t="s">
        <v>34</v>
      </c>
      <c r="B1175" s="2" t="s">
        <v>132</v>
      </c>
      <c r="C1175" s="1"/>
      <c r="D1175" s="5" t="s">
        <v>4300</v>
      </c>
      <c r="E1175" s="3">
        <v>128745</v>
      </c>
      <c r="F1175" s="3">
        <v>142453</v>
      </c>
      <c r="G1175" s="57">
        <f t="shared" si="18"/>
        <v>0.10647403782671172</v>
      </c>
      <c r="H1175" s="5" t="s">
        <v>4299</v>
      </c>
    </row>
    <row r="1176" spans="1:8" ht="25.5" x14ac:dyDescent="0.2">
      <c r="A1176" s="1" t="s">
        <v>34</v>
      </c>
      <c r="B1176" s="2" t="s">
        <v>132</v>
      </c>
      <c r="C1176" s="1" t="s">
        <v>2082</v>
      </c>
      <c r="D1176" s="5" t="s">
        <v>468</v>
      </c>
      <c r="E1176" s="3">
        <v>95875</v>
      </c>
      <c r="F1176" s="3">
        <v>200751</v>
      </c>
      <c r="G1176" s="57">
        <f t="shared" si="18"/>
        <v>1.0938826597131681</v>
      </c>
      <c r="H1176" s="5" t="s">
        <v>3954</v>
      </c>
    </row>
    <row r="1177" spans="1:8" ht="38.25" x14ac:dyDescent="0.2">
      <c r="A1177" s="1" t="s">
        <v>34</v>
      </c>
      <c r="B1177" s="2" t="s">
        <v>132</v>
      </c>
      <c r="C1177" s="1" t="s">
        <v>2083</v>
      </c>
      <c r="D1177" s="5" t="s">
        <v>468</v>
      </c>
      <c r="E1177" s="3">
        <v>95999</v>
      </c>
      <c r="F1177" s="3">
        <v>200751</v>
      </c>
      <c r="G1177" s="57">
        <f t="shared" si="18"/>
        <v>1.0911780331045116</v>
      </c>
      <c r="H1177" s="5" t="s">
        <v>4301</v>
      </c>
    </row>
    <row r="1178" spans="1:8" ht="25.5" x14ac:dyDescent="0.2">
      <c r="A1178" s="1" t="s">
        <v>34</v>
      </c>
      <c r="B1178" s="2" t="s">
        <v>133</v>
      </c>
      <c r="C1178" s="1"/>
      <c r="D1178" s="5" t="s">
        <v>450</v>
      </c>
      <c r="E1178" s="3">
        <v>77390</v>
      </c>
      <c r="F1178" s="3">
        <v>123632</v>
      </c>
      <c r="G1178" s="57">
        <f t="shared" si="18"/>
        <v>0.59751905930998839</v>
      </c>
      <c r="H1178" s="5" t="s">
        <v>4302</v>
      </c>
    </row>
    <row r="1179" spans="1:8" ht="38.25" x14ac:dyDescent="0.2">
      <c r="A1179" s="1" t="s">
        <v>34</v>
      </c>
      <c r="B1179" s="2" t="s">
        <v>133</v>
      </c>
      <c r="C1179" s="1"/>
      <c r="D1179" s="5" t="s">
        <v>3955</v>
      </c>
      <c r="E1179" s="3">
        <v>66511</v>
      </c>
      <c r="F1179" s="3">
        <v>113787</v>
      </c>
      <c r="G1179" s="57">
        <f t="shared" si="18"/>
        <v>0.71079971733998892</v>
      </c>
      <c r="H1179" s="5" t="s">
        <v>4303</v>
      </c>
    </row>
    <row r="1180" spans="1:8" ht="38.25" x14ac:dyDescent="0.2">
      <c r="A1180" s="1" t="s">
        <v>34</v>
      </c>
      <c r="B1180" s="2" t="s">
        <v>133</v>
      </c>
      <c r="C1180" s="1"/>
      <c r="D1180" s="5" t="s">
        <v>2303</v>
      </c>
      <c r="E1180" s="3">
        <v>64958</v>
      </c>
      <c r="F1180" s="3">
        <v>108374</v>
      </c>
      <c r="G1180" s="57">
        <f t="shared" si="18"/>
        <v>0.66837033159887926</v>
      </c>
      <c r="H1180" s="5" t="s">
        <v>4304</v>
      </c>
    </row>
    <row r="1181" spans="1:8" ht="38.25" x14ac:dyDescent="0.2">
      <c r="A1181" s="1" t="s">
        <v>34</v>
      </c>
      <c r="B1181" s="2" t="s">
        <v>133</v>
      </c>
      <c r="C1181" s="1"/>
      <c r="D1181" s="5" t="s">
        <v>3956</v>
      </c>
      <c r="E1181" s="3">
        <v>66807</v>
      </c>
      <c r="F1181" s="3">
        <v>107588</v>
      </c>
      <c r="G1181" s="57">
        <f t="shared" si="18"/>
        <v>0.6104300447557891</v>
      </c>
      <c r="H1181" s="5" t="s">
        <v>4305</v>
      </c>
    </row>
    <row r="1182" spans="1:8" x14ac:dyDescent="0.2">
      <c r="A1182" s="1" t="s">
        <v>34</v>
      </c>
      <c r="B1182" s="2" t="s">
        <v>133</v>
      </c>
      <c r="C1182" s="1"/>
      <c r="D1182" s="5" t="s">
        <v>464</v>
      </c>
      <c r="E1182" s="3" t="s">
        <v>465</v>
      </c>
      <c r="F1182" s="3">
        <v>102500</v>
      </c>
      <c r="G1182" s="57" t="str">
        <f t="shared" si="18"/>
        <v>-</v>
      </c>
    </row>
    <row r="1183" spans="1:8" x14ac:dyDescent="0.2">
      <c r="A1183" s="1" t="s">
        <v>34</v>
      </c>
      <c r="B1183" s="2" t="s">
        <v>133</v>
      </c>
      <c r="C1183" s="1"/>
      <c r="D1183" s="5" t="s">
        <v>464</v>
      </c>
      <c r="E1183" s="3" t="s">
        <v>465</v>
      </c>
      <c r="F1183" s="3">
        <v>102500</v>
      </c>
      <c r="G1183" s="57" t="str">
        <f t="shared" si="18"/>
        <v>-</v>
      </c>
    </row>
    <row r="1184" spans="1:8" x14ac:dyDescent="0.2">
      <c r="A1184" s="1" t="s">
        <v>34</v>
      </c>
      <c r="B1184" s="2" t="s">
        <v>133</v>
      </c>
      <c r="C1184" s="1"/>
      <c r="D1184" s="5" t="s">
        <v>464</v>
      </c>
      <c r="E1184" s="3" t="s">
        <v>465</v>
      </c>
      <c r="F1184" s="3">
        <v>107500</v>
      </c>
      <c r="G1184" s="57" t="str">
        <f t="shared" si="18"/>
        <v>-</v>
      </c>
    </row>
    <row r="1185" spans="1:8" x14ac:dyDescent="0.2">
      <c r="A1185" s="1" t="s">
        <v>34</v>
      </c>
      <c r="B1185" s="2" t="s">
        <v>133</v>
      </c>
      <c r="C1185" s="1"/>
      <c r="D1185" s="5" t="s">
        <v>464</v>
      </c>
      <c r="E1185" s="3" t="s">
        <v>465</v>
      </c>
      <c r="F1185" s="3">
        <v>107500</v>
      </c>
      <c r="G1185" s="57" t="str">
        <f t="shared" si="18"/>
        <v>-</v>
      </c>
    </row>
    <row r="1186" spans="1:8" ht="25.5" x14ac:dyDescent="0.2">
      <c r="A1186" s="1" t="s">
        <v>1</v>
      </c>
      <c r="B1186" s="2" t="s">
        <v>135</v>
      </c>
      <c r="C1186" s="1" t="s">
        <v>1662</v>
      </c>
      <c r="D1186" s="5" t="s">
        <v>450</v>
      </c>
      <c r="E1186" s="3">
        <f>122325+21179</f>
        <v>143504</v>
      </c>
      <c r="F1186" s="3">
        <f>119223+834+3032+22297</f>
        <v>145386</v>
      </c>
      <c r="G1186" s="57">
        <f t="shared" si="18"/>
        <v>1.3114617014159884E-2</v>
      </c>
      <c r="H1186" s="5" t="s">
        <v>3957</v>
      </c>
    </row>
    <row r="1187" spans="1:8" ht="25.5" x14ac:dyDescent="0.2">
      <c r="A1187" s="1" t="s">
        <v>1</v>
      </c>
      <c r="B1187" s="2" t="s">
        <v>135</v>
      </c>
      <c r="C1187" s="1" t="s">
        <v>1663</v>
      </c>
      <c r="D1187" s="5" t="s">
        <v>855</v>
      </c>
      <c r="E1187" s="3">
        <f>102945+15215</f>
        <v>118160</v>
      </c>
      <c r="F1187" s="3">
        <f>102954+15215</f>
        <v>118169</v>
      </c>
      <c r="G1187" s="57">
        <f t="shared" si="18"/>
        <v>7.6167907921462422E-5</v>
      </c>
      <c r="H1187" s="5" t="s">
        <v>3958</v>
      </c>
    </row>
    <row r="1188" spans="1:8" ht="25.5" x14ac:dyDescent="0.2">
      <c r="A1188" s="1" t="s">
        <v>1</v>
      </c>
      <c r="B1188" s="2" t="s">
        <v>135</v>
      </c>
      <c r="C1188" s="1" t="s">
        <v>1664</v>
      </c>
      <c r="D1188" s="5" t="s">
        <v>1665</v>
      </c>
      <c r="E1188" s="3">
        <f>105870+17688</f>
        <v>123558</v>
      </c>
      <c r="F1188" s="3">
        <f>104845+18624</f>
        <v>123469</v>
      </c>
      <c r="G1188" s="57">
        <f t="shared" si="18"/>
        <v>-7.203094902798686E-4</v>
      </c>
      <c r="H1188" s="5" t="s">
        <v>3959</v>
      </c>
    </row>
    <row r="1189" spans="1:8" ht="25.5" x14ac:dyDescent="0.2">
      <c r="A1189" s="1" t="s">
        <v>1</v>
      </c>
      <c r="B1189" s="2" t="s">
        <v>135</v>
      </c>
      <c r="C1189" s="1" t="s">
        <v>1666</v>
      </c>
      <c r="D1189" s="5" t="s">
        <v>3960</v>
      </c>
      <c r="E1189" s="3">
        <f>99942+17183</f>
        <v>117125</v>
      </c>
      <c r="F1189" s="3">
        <f>102945+18600</f>
        <v>121545</v>
      </c>
      <c r="G1189" s="57">
        <f t="shared" si="18"/>
        <v>3.7737459978655283E-2</v>
      </c>
      <c r="H1189" s="5" t="s">
        <v>4628</v>
      </c>
    </row>
    <row r="1190" spans="1:8" x14ac:dyDescent="0.2">
      <c r="A1190" s="1" t="s">
        <v>1</v>
      </c>
      <c r="B1190" s="2" t="s">
        <v>135</v>
      </c>
      <c r="C1190" s="1"/>
      <c r="D1190" s="5" t="s">
        <v>464</v>
      </c>
      <c r="E1190" s="3">
        <v>107500</v>
      </c>
      <c r="F1190" s="3" t="s">
        <v>465</v>
      </c>
      <c r="G1190" s="57" t="str">
        <f t="shared" si="18"/>
        <v>-</v>
      </c>
    </row>
    <row r="1191" spans="1:8" x14ac:dyDescent="0.2">
      <c r="A1191" s="1" t="s">
        <v>1</v>
      </c>
      <c r="B1191" s="2" t="s">
        <v>135</v>
      </c>
      <c r="C1191" s="1"/>
      <c r="D1191" s="5" t="s">
        <v>464</v>
      </c>
      <c r="E1191" s="3">
        <v>107500</v>
      </c>
      <c r="F1191" s="3" t="s">
        <v>465</v>
      </c>
      <c r="G1191" s="57" t="str">
        <f t="shared" si="18"/>
        <v>-</v>
      </c>
    </row>
    <row r="1192" spans="1:8" x14ac:dyDescent="0.2">
      <c r="A1192" s="1" t="s">
        <v>1</v>
      </c>
      <c r="B1192" s="2" t="s">
        <v>135</v>
      </c>
      <c r="C1192" s="1"/>
      <c r="D1192" s="5" t="s">
        <v>464</v>
      </c>
      <c r="E1192" s="3">
        <v>112500</v>
      </c>
      <c r="F1192" s="3" t="s">
        <v>465</v>
      </c>
      <c r="G1192" s="57" t="str">
        <f t="shared" si="18"/>
        <v>-</v>
      </c>
    </row>
    <row r="1193" spans="1:8" x14ac:dyDescent="0.2">
      <c r="A1193" s="1" t="s">
        <v>1</v>
      </c>
      <c r="B1193" s="2" t="s">
        <v>135</v>
      </c>
      <c r="C1193" s="1"/>
      <c r="D1193" s="5" t="s">
        <v>464</v>
      </c>
      <c r="E1193" s="3">
        <v>147500</v>
      </c>
      <c r="F1193" s="3" t="s">
        <v>465</v>
      </c>
      <c r="G1193" s="57" t="str">
        <f t="shared" si="18"/>
        <v>-</v>
      </c>
    </row>
    <row r="1194" spans="1:8" x14ac:dyDescent="0.2">
      <c r="A1194" s="1" t="s">
        <v>1</v>
      </c>
      <c r="B1194" s="2" t="s">
        <v>135</v>
      </c>
      <c r="C1194" s="1"/>
      <c r="D1194" s="5" t="s">
        <v>464</v>
      </c>
      <c r="E1194" s="3" t="s">
        <v>465</v>
      </c>
      <c r="F1194" s="3">
        <v>102500</v>
      </c>
      <c r="G1194" s="57" t="str">
        <f t="shared" si="18"/>
        <v>-</v>
      </c>
    </row>
    <row r="1195" spans="1:8" x14ac:dyDescent="0.2">
      <c r="A1195" s="1" t="s">
        <v>1</v>
      </c>
      <c r="B1195" s="2" t="s">
        <v>135</v>
      </c>
      <c r="C1195" s="1"/>
      <c r="D1195" s="5" t="s">
        <v>464</v>
      </c>
      <c r="E1195" s="3" t="s">
        <v>465</v>
      </c>
      <c r="F1195" s="3">
        <v>102500</v>
      </c>
      <c r="G1195" s="57" t="str">
        <f t="shared" si="18"/>
        <v>-</v>
      </c>
    </row>
    <row r="1196" spans="1:8" x14ac:dyDescent="0.2">
      <c r="A1196" s="1" t="s">
        <v>1</v>
      </c>
      <c r="B1196" s="2" t="s">
        <v>135</v>
      </c>
      <c r="C1196" s="1"/>
      <c r="D1196" s="5" t="s">
        <v>464</v>
      </c>
      <c r="E1196" s="3" t="s">
        <v>465</v>
      </c>
      <c r="F1196" s="3">
        <v>102500</v>
      </c>
      <c r="G1196" s="57" t="str">
        <f t="shared" si="18"/>
        <v>-</v>
      </c>
    </row>
    <row r="1197" spans="1:8" ht="38.25" x14ac:dyDescent="0.2">
      <c r="A1197" s="1" t="s">
        <v>4</v>
      </c>
      <c r="B1197" s="2" t="s">
        <v>136</v>
      </c>
      <c r="C1197" s="1"/>
      <c r="D1197" s="5" t="s">
        <v>3961</v>
      </c>
      <c r="E1197" s="3">
        <v>91438</v>
      </c>
      <c r="F1197" s="3">
        <v>180404</v>
      </c>
      <c r="G1197" s="57">
        <f t="shared" si="18"/>
        <v>0.97296528795467963</v>
      </c>
      <c r="H1197" s="5" t="s">
        <v>4306</v>
      </c>
    </row>
    <row r="1198" spans="1:8" ht="25.5" x14ac:dyDescent="0.2">
      <c r="A1198" s="1" t="s">
        <v>20</v>
      </c>
      <c r="B1198" s="2" t="s">
        <v>137</v>
      </c>
      <c r="C1198" s="1"/>
      <c r="D1198" s="5" t="s">
        <v>450</v>
      </c>
      <c r="E1198" s="3">
        <v>194278</v>
      </c>
      <c r="F1198" s="3">
        <v>155936</v>
      </c>
      <c r="G1198" s="57">
        <f t="shared" si="18"/>
        <v>-0.19735636562039963</v>
      </c>
      <c r="H1198" s="5" t="s">
        <v>3962</v>
      </c>
    </row>
    <row r="1199" spans="1:8" ht="25.5" x14ac:dyDescent="0.2">
      <c r="A1199" s="1" t="s">
        <v>20</v>
      </c>
      <c r="B1199" s="2" t="s">
        <v>137</v>
      </c>
      <c r="C1199" s="1"/>
      <c r="D1199" s="5" t="s">
        <v>454</v>
      </c>
      <c r="E1199" s="3">
        <v>110571</v>
      </c>
      <c r="F1199" s="3">
        <v>110530</v>
      </c>
      <c r="G1199" s="57">
        <f t="shared" si="18"/>
        <v>-3.7080247081061038E-4</v>
      </c>
      <c r="H1199" s="5" t="s">
        <v>3963</v>
      </c>
    </row>
    <row r="1200" spans="1:8" ht="25.5" x14ac:dyDescent="0.2">
      <c r="A1200" s="1" t="s">
        <v>20</v>
      </c>
      <c r="B1200" s="2" t="s">
        <v>137</v>
      </c>
      <c r="C1200" s="1"/>
      <c r="D1200" s="5" t="s">
        <v>1661</v>
      </c>
      <c r="E1200" s="3">
        <v>125277</v>
      </c>
      <c r="F1200" s="3">
        <v>125308</v>
      </c>
      <c r="G1200" s="57">
        <f t="shared" si="18"/>
        <v>2.4745164714991578E-4</v>
      </c>
      <c r="H1200" s="5" t="s">
        <v>3964</v>
      </c>
    </row>
    <row r="1201" spans="1:8" x14ac:dyDescent="0.2">
      <c r="A1201" s="1" t="s">
        <v>20</v>
      </c>
      <c r="B1201" s="2" t="s">
        <v>137</v>
      </c>
      <c r="C1201" s="1"/>
      <c r="D1201" s="5" t="s">
        <v>464</v>
      </c>
      <c r="E1201" s="3" t="s">
        <v>465</v>
      </c>
      <c r="F1201" s="3">
        <v>102500</v>
      </c>
      <c r="G1201" s="57" t="str">
        <f t="shared" si="18"/>
        <v>-</v>
      </c>
    </row>
    <row r="1202" spans="1:8" ht="25.5" x14ac:dyDescent="0.2">
      <c r="A1202" s="1" t="s">
        <v>8</v>
      </c>
      <c r="B1202" s="2" t="s">
        <v>138</v>
      </c>
      <c r="C1202" s="1" t="s">
        <v>1660</v>
      </c>
      <c r="D1202" s="5" t="s">
        <v>450</v>
      </c>
      <c r="E1202" s="3">
        <v>159838</v>
      </c>
      <c r="F1202" s="3">
        <v>157371</v>
      </c>
      <c r="G1202" s="57">
        <f t="shared" si="18"/>
        <v>-1.5434377307023361E-2</v>
      </c>
      <c r="H1202" s="5" t="s">
        <v>3965</v>
      </c>
    </row>
    <row r="1203" spans="1:8" ht="25.5" x14ac:dyDescent="0.2">
      <c r="A1203" s="1" t="s">
        <v>8</v>
      </c>
      <c r="B1203" s="2" t="s">
        <v>138</v>
      </c>
      <c r="C1203" s="1"/>
      <c r="D1203" s="5" t="s">
        <v>758</v>
      </c>
      <c r="E1203" s="3">
        <v>104960</v>
      </c>
      <c r="F1203" s="3">
        <v>103779</v>
      </c>
      <c r="G1203" s="57">
        <f t="shared" si="18"/>
        <v>-1.1251905487804878E-2</v>
      </c>
      <c r="H1203" s="5" t="s">
        <v>4629</v>
      </c>
    </row>
    <row r="1204" spans="1:8" ht="25.5" x14ac:dyDescent="0.2">
      <c r="A1204" s="1" t="s">
        <v>8</v>
      </c>
      <c r="B1204" s="2" t="s">
        <v>138</v>
      </c>
      <c r="C1204" s="1"/>
      <c r="D1204" s="5" t="s">
        <v>759</v>
      </c>
      <c r="E1204" s="3">
        <v>100401</v>
      </c>
      <c r="F1204" s="3">
        <v>110349</v>
      </c>
      <c r="G1204" s="57">
        <f t="shared" si="18"/>
        <v>9.908267845937789E-2</v>
      </c>
      <c r="H1204" s="5" t="s">
        <v>3966</v>
      </c>
    </row>
    <row r="1205" spans="1:8" ht="25.5" x14ac:dyDescent="0.2">
      <c r="A1205" s="1" t="s">
        <v>1</v>
      </c>
      <c r="B1205" s="2" t="s">
        <v>139</v>
      </c>
      <c r="C1205" s="1" t="s">
        <v>1655</v>
      </c>
      <c r="D1205" s="5" t="s">
        <v>450</v>
      </c>
      <c r="E1205" s="3">
        <f>114796+21647</f>
        <v>136443</v>
      </c>
      <c r="F1205" s="3">
        <f>113795+22408</f>
        <v>136203</v>
      </c>
      <c r="G1205" s="57">
        <f t="shared" si="18"/>
        <v>-1.7589762758074801E-3</v>
      </c>
      <c r="H1205" s="5" t="s">
        <v>3967</v>
      </c>
    </row>
    <row r="1206" spans="1:8" ht="25.5" x14ac:dyDescent="0.2">
      <c r="A1206" s="1" t="s">
        <v>1</v>
      </c>
      <c r="B1206" s="2" t="s">
        <v>139</v>
      </c>
      <c r="C1206" s="1" t="s">
        <v>1656</v>
      </c>
      <c r="D1206" s="5" t="s">
        <v>855</v>
      </c>
      <c r="E1206" s="3">
        <f>15441+3053</f>
        <v>18494</v>
      </c>
      <c r="F1206" s="3">
        <f>95927+19435</f>
        <v>115362</v>
      </c>
      <c r="G1206" s="57">
        <f t="shared" si="18"/>
        <v>5.2378068562777118</v>
      </c>
      <c r="H1206" s="5" t="s">
        <v>4439</v>
      </c>
    </row>
    <row r="1207" spans="1:8" ht="25.5" x14ac:dyDescent="0.2">
      <c r="A1207" s="1" t="s">
        <v>1</v>
      </c>
      <c r="B1207" s="2" t="s">
        <v>139</v>
      </c>
      <c r="C1207" s="1" t="s">
        <v>1657</v>
      </c>
      <c r="D1207" s="5" t="s">
        <v>452</v>
      </c>
      <c r="E1207" s="3">
        <f>101661+17929</f>
        <v>119590</v>
      </c>
      <c r="F1207" s="3">
        <f>101001+19435</f>
        <v>120436</v>
      </c>
      <c r="G1207" s="57">
        <f t="shared" si="18"/>
        <v>7.0741700811104606E-3</v>
      </c>
      <c r="H1207" s="5" t="s">
        <v>3968</v>
      </c>
    </row>
    <row r="1208" spans="1:8" ht="25.5" x14ac:dyDescent="0.2">
      <c r="A1208" s="1" t="s">
        <v>1</v>
      </c>
      <c r="B1208" s="2" t="s">
        <v>139</v>
      </c>
      <c r="C1208" s="1" t="s">
        <v>1658</v>
      </c>
      <c r="D1208" s="5" t="s">
        <v>1011</v>
      </c>
      <c r="E1208" s="3">
        <f>92138+13424</f>
        <v>105562</v>
      </c>
      <c r="F1208" s="3">
        <f>95880+14058</f>
        <v>109938</v>
      </c>
      <c r="G1208" s="57">
        <f t="shared" si="18"/>
        <v>4.1454311210473466E-2</v>
      </c>
      <c r="H1208" s="5" t="s">
        <v>3969</v>
      </c>
    </row>
    <row r="1209" spans="1:8" ht="25.5" x14ac:dyDescent="0.2">
      <c r="A1209" s="1" t="s">
        <v>1</v>
      </c>
      <c r="B1209" s="2" t="s">
        <v>139</v>
      </c>
      <c r="C1209" s="1" t="s">
        <v>1659</v>
      </c>
      <c r="D1209" s="5" t="s">
        <v>942</v>
      </c>
      <c r="E1209" s="3">
        <f>101661+17929</f>
        <v>119590</v>
      </c>
      <c r="F1209" s="3">
        <f>101001+19435</f>
        <v>120436</v>
      </c>
      <c r="G1209" s="57">
        <f t="shared" si="18"/>
        <v>7.0741700811104606E-3</v>
      </c>
      <c r="H1209" s="5" t="s">
        <v>3968</v>
      </c>
    </row>
    <row r="1210" spans="1:8" ht="38.25" x14ac:dyDescent="0.2">
      <c r="A1210" s="1" t="s">
        <v>8</v>
      </c>
      <c r="B1210" s="2" t="s">
        <v>140</v>
      </c>
      <c r="C1210" s="1"/>
      <c r="D1210" s="5" t="s">
        <v>450</v>
      </c>
      <c r="E1210" s="3">
        <v>130998</v>
      </c>
      <c r="F1210" s="3">
        <v>132081</v>
      </c>
      <c r="G1210" s="57">
        <f t="shared" si="18"/>
        <v>8.2673017908670363E-3</v>
      </c>
      <c r="H1210" s="5" t="s">
        <v>4630</v>
      </c>
    </row>
    <row r="1211" spans="1:8" ht="51" x14ac:dyDescent="0.2">
      <c r="A1211" s="1" t="s">
        <v>8</v>
      </c>
      <c r="B1211" s="2" t="s">
        <v>140</v>
      </c>
      <c r="C1211" s="1"/>
      <c r="D1211" s="5" t="s">
        <v>529</v>
      </c>
      <c r="E1211" s="3">
        <v>84395</v>
      </c>
      <c r="F1211" s="3">
        <v>131862</v>
      </c>
      <c r="G1211" s="57">
        <f t="shared" si="18"/>
        <v>0.56243853308845315</v>
      </c>
      <c r="H1211" s="5" t="s">
        <v>4631</v>
      </c>
    </row>
    <row r="1212" spans="1:8" ht="25.5" x14ac:dyDescent="0.2">
      <c r="A1212" s="1" t="s">
        <v>1</v>
      </c>
      <c r="B1212" s="2" t="s">
        <v>141</v>
      </c>
      <c r="C1212" s="1" t="s">
        <v>1651</v>
      </c>
      <c r="D1212" s="5" t="s">
        <v>450</v>
      </c>
      <c r="E1212" s="3">
        <f>108962+11337</f>
        <v>120299</v>
      </c>
      <c r="F1212" s="3">
        <f>112548+10709</f>
        <v>123257</v>
      </c>
      <c r="G1212" s="57">
        <f t="shared" si="18"/>
        <v>2.4588733073425382E-2</v>
      </c>
      <c r="H1212" s="5" t="s">
        <v>3970</v>
      </c>
    </row>
    <row r="1213" spans="1:8" ht="25.5" x14ac:dyDescent="0.2">
      <c r="A1213" s="1" t="s">
        <v>1</v>
      </c>
      <c r="B1213" s="2" t="s">
        <v>141</v>
      </c>
      <c r="C1213" s="1" t="s">
        <v>3971</v>
      </c>
      <c r="D1213" s="5" t="s">
        <v>2111</v>
      </c>
      <c r="E1213" s="3">
        <f>96737+9887</f>
        <v>106624</v>
      </c>
      <c r="F1213" s="3">
        <f>99154+9353</f>
        <v>108507</v>
      </c>
      <c r="G1213" s="57">
        <f t="shared" si="18"/>
        <v>1.7660189075630252E-2</v>
      </c>
      <c r="H1213" s="5" t="s">
        <v>3972</v>
      </c>
    </row>
    <row r="1214" spans="1:8" ht="25.5" x14ac:dyDescent="0.2">
      <c r="A1214" s="1" t="s">
        <v>1</v>
      </c>
      <c r="B1214" s="2" t="s">
        <v>141</v>
      </c>
      <c r="C1214" s="1" t="s">
        <v>1652</v>
      </c>
      <c r="D1214" s="5" t="s">
        <v>1653</v>
      </c>
      <c r="E1214" s="3">
        <f>97438+9887</f>
        <v>107325</v>
      </c>
      <c r="F1214" s="3">
        <f>100536+9353</f>
        <v>109889</v>
      </c>
      <c r="G1214" s="57">
        <f t="shared" si="18"/>
        <v>2.3890053575588165E-2</v>
      </c>
      <c r="H1214" s="5" t="s">
        <v>3973</v>
      </c>
    </row>
    <row r="1215" spans="1:8" ht="25.5" x14ac:dyDescent="0.2">
      <c r="A1215" s="1" t="s">
        <v>1</v>
      </c>
      <c r="B1215" s="2" t="s">
        <v>141</v>
      </c>
      <c r="C1215" s="1" t="s">
        <v>3974</v>
      </c>
      <c r="D1215" s="5" t="s">
        <v>942</v>
      </c>
      <c r="E1215" s="3">
        <f>97291+9887</f>
        <v>107178</v>
      </c>
      <c r="F1215" s="3">
        <f>99697+9353</f>
        <v>109050</v>
      </c>
      <c r="G1215" s="57">
        <f t="shared" si="18"/>
        <v>1.7466271063091305E-2</v>
      </c>
      <c r="H1215" s="5" t="s">
        <v>3975</v>
      </c>
    </row>
    <row r="1216" spans="1:8" ht="25.5" x14ac:dyDescent="0.2">
      <c r="A1216" s="1" t="s">
        <v>1</v>
      </c>
      <c r="B1216" s="2" t="s">
        <v>141</v>
      </c>
      <c r="C1216" s="1" t="s">
        <v>3976</v>
      </c>
      <c r="D1216" s="5" t="s">
        <v>455</v>
      </c>
      <c r="E1216" s="3">
        <f>97550+9887</f>
        <v>107437</v>
      </c>
      <c r="F1216" s="3">
        <f>98324+9353</f>
        <v>107677</v>
      </c>
      <c r="G1216" s="57">
        <f t="shared" si="18"/>
        <v>2.2338672896674329E-3</v>
      </c>
      <c r="H1216" s="5" t="s">
        <v>3977</v>
      </c>
    </row>
    <row r="1217" spans="1:8" ht="25.5" x14ac:dyDescent="0.2">
      <c r="A1217" s="1" t="s">
        <v>1</v>
      </c>
      <c r="B1217" s="2" t="s">
        <v>141</v>
      </c>
      <c r="C1217" s="1" t="s">
        <v>1654</v>
      </c>
      <c r="D1217" s="5" t="s">
        <v>507</v>
      </c>
      <c r="E1217" s="3">
        <f>98080+9887</f>
        <v>107967</v>
      </c>
      <c r="F1217" s="3">
        <f>100764+9353</f>
        <v>110117</v>
      </c>
      <c r="G1217" s="57">
        <f t="shared" si="18"/>
        <v>1.9913492085544656E-2</v>
      </c>
      <c r="H1217" s="5" t="s">
        <v>3978</v>
      </c>
    </row>
    <row r="1218" spans="1:8" x14ac:dyDescent="0.2">
      <c r="A1218" s="1" t="s">
        <v>1</v>
      </c>
      <c r="B1218" s="2" t="s">
        <v>141</v>
      </c>
      <c r="C1218" s="1"/>
      <c r="E1218" s="3">
        <v>112500</v>
      </c>
      <c r="F1218" s="3" t="s">
        <v>465</v>
      </c>
      <c r="G1218" s="57" t="str">
        <f t="shared" si="18"/>
        <v>-</v>
      </c>
    </row>
    <row r="1219" spans="1:8" x14ac:dyDescent="0.2">
      <c r="A1219" s="1" t="s">
        <v>1</v>
      </c>
      <c r="B1219" s="2" t="s">
        <v>141</v>
      </c>
      <c r="C1219" s="1"/>
      <c r="E1219" s="3">
        <v>112500</v>
      </c>
      <c r="F1219" s="3" t="s">
        <v>465</v>
      </c>
      <c r="G1219" s="57" t="str">
        <f t="shared" ref="G1219:G1282" si="19">IF(ISERROR((F1219-E1219)/E1219),"-",(F1219-E1219)/E1219)</f>
        <v>-</v>
      </c>
    </row>
    <row r="1220" spans="1:8" x14ac:dyDescent="0.2">
      <c r="A1220" s="1" t="s">
        <v>1</v>
      </c>
      <c r="B1220" s="2" t="s">
        <v>141</v>
      </c>
      <c r="C1220" s="1"/>
      <c r="E1220" s="3">
        <v>112500</v>
      </c>
      <c r="F1220" s="3" t="s">
        <v>465</v>
      </c>
      <c r="G1220" s="57" t="str">
        <f t="shared" si="19"/>
        <v>-</v>
      </c>
    </row>
    <row r="1221" spans="1:8" x14ac:dyDescent="0.2">
      <c r="A1221" s="1" t="s">
        <v>1</v>
      </c>
      <c r="B1221" s="2" t="s">
        <v>141</v>
      </c>
      <c r="C1221" s="1"/>
      <c r="E1221" s="3" t="s">
        <v>465</v>
      </c>
      <c r="F1221" s="3">
        <v>117500</v>
      </c>
      <c r="G1221" s="57" t="str">
        <f t="shared" si="19"/>
        <v>-</v>
      </c>
    </row>
    <row r="1222" spans="1:8" x14ac:dyDescent="0.2">
      <c r="A1222" s="1" t="s">
        <v>1</v>
      </c>
      <c r="B1222" s="2" t="s">
        <v>141</v>
      </c>
      <c r="C1222" s="1"/>
      <c r="E1222" s="3" t="s">
        <v>465</v>
      </c>
      <c r="F1222" s="3">
        <v>117500</v>
      </c>
      <c r="G1222" s="57" t="str">
        <f t="shared" si="19"/>
        <v>-</v>
      </c>
    </row>
    <row r="1223" spans="1:8" ht="25.5" x14ac:dyDescent="0.2">
      <c r="A1223" s="1" t="s">
        <v>28</v>
      </c>
      <c r="B1223" s="2" t="s">
        <v>142</v>
      </c>
      <c r="C1223" s="1" t="s">
        <v>1646</v>
      </c>
      <c r="D1223" s="5" t="s">
        <v>450</v>
      </c>
      <c r="E1223" s="3">
        <v>201000</v>
      </c>
      <c r="F1223" s="3">
        <v>202000</v>
      </c>
      <c r="G1223" s="57">
        <f t="shared" si="19"/>
        <v>4.9751243781094526E-3</v>
      </c>
      <c r="H1223" s="5" t="s">
        <v>3979</v>
      </c>
    </row>
    <row r="1224" spans="1:8" ht="25.5" x14ac:dyDescent="0.2">
      <c r="A1224" s="1" t="s">
        <v>28</v>
      </c>
      <c r="B1224" s="2" t="s">
        <v>142</v>
      </c>
      <c r="C1224" s="1"/>
      <c r="D1224" s="5" t="s">
        <v>1647</v>
      </c>
      <c r="E1224" s="3">
        <v>152000</v>
      </c>
      <c r="F1224" s="3">
        <v>153000</v>
      </c>
      <c r="G1224" s="57">
        <f t="shared" si="19"/>
        <v>6.5789473684210523E-3</v>
      </c>
      <c r="H1224" s="5" t="s">
        <v>3980</v>
      </c>
    </row>
    <row r="1225" spans="1:8" ht="63.75" x14ac:dyDescent="0.2">
      <c r="A1225" s="1" t="s">
        <v>28</v>
      </c>
      <c r="B1225" s="2" t="s">
        <v>142</v>
      </c>
      <c r="C1225" s="1"/>
      <c r="D1225" s="5" t="s">
        <v>854</v>
      </c>
      <c r="E1225" s="3">
        <v>162000</v>
      </c>
      <c r="F1225" s="3">
        <v>424000</v>
      </c>
      <c r="G1225" s="57">
        <f t="shared" si="19"/>
        <v>1.617283950617284</v>
      </c>
      <c r="H1225" s="5" t="s">
        <v>4307</v>
      </c>
    </row>
    <row r="1226" spans="1:8" ht="25.5" x14ac:dyDescent="0.2">
      <c r="A1226" s="1" t="s">
        <v>28</v>
      </c>
      <c r="B1226" s="2" t="s">
        <v>142</v>
      </c>
      <c r="C1226" s="1"/>
      <c r="D1226" s="5" t="s">
        <v>1648</v>
      </c>
      <c r="E1226" s="3">
        <v>147000</v>
      </c>
      <c r="F1226" s="3">
        <v>148000</v>
      </c>
      <c r="G1226" s="57">
        <f t="shared" si="19"/>
        <v>6.8027210884353739E-3</v>
      </c>
      <c r="H1226" s="5" t="s">
        <v>3981</v>
      </c>
    </row>
    <row r="1227" spans="1:8" ht="25.5" x14ac:dyDescent="0.2">
      <c r="A1227" s="1" t="s">
        <v>28</v>
      </c>
      <c r="B1227" s="2" t="s">
        <v>142</v>
      </c>
      <c r="C1227" s="1"/>
      <c r="D1227" s="5" t="s">
        <v>1649</v>
      </c>
      <c r="E1227" s="3">
        <v>139000</v>
      </c>
      <c r="F1227" s="3">
        <v>139000</v>
      </c>
      <c r="G1227" s="57">
        <f t="shared" si="19"/>
        <v>0</v>
      </c>
      <c r="H1227" s="5" t="s">
        <v>3982</v>
      </c>
    </row>
    <row r="1228" spans="1:8" ht="25.5" x14ac:dyDescent="0.2">
      <c r="A1228" s="1" t="s">
        <v>28</v>
      </c>
      <c r="B1228" s="2" t="s">
        <v>142</v>
      </c>
      <c r="C1228" s="1"/>
      <c r="D1228" s="5" t="s">
        <v>1650</v>
      </c>
      <c r="E1228" s="3">
        <v>138000</v>
      </c>
      <c r="F1228" s="3">
        <v>138000</v>
      </c>
      <c r="G1228" s="57">
        <f t="shared" si="19"/>
        <v>0</v>
      </c>
      <c r="H1228" s="5" t="s">
        <v>4632</v>
      </c>
    </row>
    <row r="1229" spans="1:8" ht="25.5" x14ac:dyDescent="0.2">
      <c r="A1229" s="1" t="s">
        <v>28</v>
      </c>
      <c r="B1229" s="2" t="s">
        <v>142</v>
      </c>
      <c r="C1229" s="1"/>
      <c r="D1229" s="5" t="s">
        <v>740</v>
      </c>
      <c r="E1229" s="3">
        <v>103000</v>
      </c>
      <c r="F1229" s="3">
        <v>118000</v>
      </c>
      <c r="G1229" s="57">
        <f t="shared" si="19"/>
        <v>0.14563106796116504</v>
      </c>
      <c r="H1229" s="5" t="s">
        <v>4633</v>
      </c>
    </row>
    <row r="1230" spans="1:8" x14ac:dyDescent="0.2">
      <c r="A1230" s="1" t="s">
        <v>28</v>
      </c>
      <c r="B1230" s="2" t="s">
        <v>142</v>
      </c>
      <c r="C1230" s="1"/>
      <c r="D1230" s="5" t="s">
        <v>464</v>
      </c>
      <c r="E1230" s="3">
        <v>102500</v>
      </c>
      <c r="F1230" s="3" t="s">
        <v>465</v>
      </c>
      <c r="G1230" s="57" t="str">
        <f t="shared" si="19"/>
        <v>-</v>
      </c>
    </row>
    <row r="1231" spans="1:8" x14ac:dyDescent="0.2">
      <c r="A1231" s="1" t="s">
        <v>28</v>
      </c>
      <c r="B1231" s="2" t="s">
        <v>142</v>
      </c>
      <c r="C1231" s="1"/>
      <c r="D1231" s="5" t="s">
        <v>464</v>
      </c>
      <c r="E1231" s="3">
        <v>107500</v>
      </c>
      <c r="F1231" s="3" t="s">
        <v>465</v>
      </c>
      <c r="G1231" s="57" t="str">
        <f t="shared" si="19"/>
        <v>-</v>
      </c>
    </row>
    <row r="1232" spans="1:8" x14ac:dyDescent="0.2">
      <c r="A1232" s="1" t="s">
        <v>28</v>
      </c>
      <c r="B1232" s="2" t="s">
        <v>142</v>
      </c>
      <c r="C1232" s="1"/>
      <c r="D1232" s="5" t="s">
        <v>464</v>
      </c>
      <c r="E1232" s="3" t="s">
        <v>465</v>
      </c>
      <c r="F1232" s="3">
        <v>102500</v>
      </c>
      <c r="G1232" s="57" t="str">
        <f t="shared" si="19"/>
        <v>-</v>
      </c>
    </row>
    <row r="1233" spans="1:8" x14ac:dyDescent="0.2">
      <c r="A1233" s="1" t="s">
        <v>28</v>
      </c>
      <c r="B1233" s="2" t="s">
        <v>142</v>
      </c>
      <c r="C1233" s="1"/>
      <c r="D1233" s="5" t="s">
        <v>464</v>
      </c>
      <c r="E1233" s="3" t="s">
        <v>465</v>
      </c>
      <c r="F1233" s="3">
        <v>102500</v>
      </c>
      <c r="G1233" s="57" t="str">
        <f t="shared" si="19"/>
        <v>-</v>
      </c>
    </row>
    <row r="1234" spans="1:8" ht="38.25" x14ac:dyDescent="0.2">
      <c r="A1234" s="1" t="s">
        <v>39</v>
      </c>
      <c r="B1234" s="2" t="s">
        <v>143</v>
      </c>
      <c r="C1234" s="1"/>
      <c r="D1234" s="5" t="s">
        <v>450</v>
      </c>
      <c r="E1234" s="3">
        <v>128535</v>
      </c>
      <c r="F1234" s="3">
        <v>151439</v>
      </c>
      <c r="G1234" s="57">
        <f t="shared" si="19"/>
        <v>0.17819271015676663</v>
      </c>
      <c r="H1234" s="5" t="s">
        <v>3983</v>
      </c>
    </row>
    <row r="1235" spans="1:8" ht="89.25" x14ac:dyDescent="0.2">
      <c r="A1235" s="1" t="s">
        <v>39</v>
      </c>
      <c r="B1235" s="2" t="s">
        <v>143</v>
      </c>
      <c r="C1235" s="1"/>
      <c r="D1235" s="5" t="s">
        <v>3984</v>
      </c>
      <c r="E1235" s="3">
        <v>113229</v>
      </c>
      <c r="F1235" s="3" t="s">
        <v>465</v>
      </c>
      <c r="G1235" s="57" t="str">
        <f t="shared" si="19"/>
        <v>-</v>
      </c>
      <c r="H1235" s="5" t="s">
        <v>4308</v>
      </c>
    </row>
    <row r="1236" spans="1:8" ht="38.25" x14ac:dyDescent="0.2">
      <c r="A1236" s="1" t="s">
        <v>39</v>
      </c>
      <c r="B1236" s="2" t="s">
        <v>143</v>
      </c>
      <c r="C1236" s="1"/>
      <c r="D1236" s="5" t="s">
        <v>774</v>
      </c>
      <c r="E1236" s="3" t="s">
        <v>465</v>
      </c>
      <c r="F1236" s="3">
        <v>141328</v>
      </c>
      <c r="G1236" s="57" t="str">
        <f t="shared" si="19"/>
        <v>-</v>
      </c>
      <c r="H1236" s="5" t="s">
        <v>4309</v>
      </c>
    </row>
    <row r="1237" spans="1:8" ht="25.5" x14ac:dyDescent="0.2">
      <c r="A1237" s="1" t="s">
        <v>4</v>
      </c>
      <c r="B1237" s="2" t="s">
        <v>144</v>
      </c>
      <c r="C1237" s="1" t="s">
        <v>1640</v>
      </c>
      <c r="D1237" s="5" t="s">
        <v>450</v>
      </c>
      <c r="E1237" s="3" t="s">
        <v>465</v>
      </c>
      <c r="F1237" s="3">
        <v>198747</v>
      </c>
      <c r="G1237" s="57" t="str">
        <f t="shared" si="19"/>
        <v>-</v>
      </c>
      <c r="H1237" s="5" t="s">
        <v>3985</v>
      </c>
    </row>
    <row r="1238" spans="1:8" ht="76.5" x14ac:dyDescent="0.2">
      <c r="A1238" s="1" t="s">
        <v>4</v>
      </c>
      <c r="B1238" s="2" t="s">
        <v>144</v>
      </c>
      <c r="C1238" s="1" t="s">
        <v>1641</v>
      </c>
      <c r="D1238" s="5" t="s">
        <v>450</v>
      </c>
      <c r="E1238" s="3">
        <v>233239</v>
      </c>
      <c r="F1238" s="3">
        <v>213716</v>
      </c>
      <c r="G1238" s="57">
        <f t="shared" si="19"/>
        <v>-8.3703840266850738E-2</v>
      </c>
      <c r="H1238" s="5" t="s">
        <v>4310</v>
      </c>
    </row>
    <row r="1239" spans="1:8" ht="25.5" x14ac:dyDescent="0.2">
      <c r="A1239" s="1" t="s">
        <v>4</v>
      </c>
      <c r="B1239" s="2" t="s">
        <v>144</v>
      </c>
      <c r="C1239" s="1" t="s">
        <v>1642</v>
      </c>
      <c r="D1239" s="5" t="s">
        <v>854</v>
      </c>
      <c r="E1239" s="3">
        <v>197046</v>
      </c>
      <c r="F1239" s="3">
        <v>183386</v>
      </c>
      <c r="G1239" s="57">
        <f t="shared" si="19"/>
        <v>-6.93239142129249E-2</v>
      </c>
      <c r="H1239" s="5" t="s">
        <v>3986</v>
      </c>
    </row>
    <row r="1240" spans="1:8" ht="51" x14ac:dyDescent="0.2">
      <c r="A1240" s="1" t="s">
        <v>4</v>
      </c>
      <c r="B1240" s="2" t="s">
        <v>144</v>
      </c>
      <c r="C1240" s="1"/>
      <c r="D1240" s="5" t="s">
        <v>562</v>
      </c>
      <c r="E1240" s="3">
        <v>173600</v>
      </c>
      <c r="F1240" s="3">
        <v>165564</v>
      </c>
      <c r="G1240" s="57">
        <f t="shared" si="19"/>
        <v>-4.6290322580645159E-2</v>
      </c>
      <c r="H1240" s="5" t="s">
        <v>4311</v>
      </c>
    </row>
    <row r="1241" spans="1:8" ht="38.25" x14ac:dyDescent="0.2">
      <c r="A1241" s="1" t="s">
        <v>4</v>
      </c>
      <c r="B1241" s="2" t="s">
        <v>144</v>
      </c>
      <c r="C1241" s="1"/>
      <c r="D1241" s="5" t="s">
        <v>3987</v>
      </c>
      <c r="E1241" s="3">
        <v>369946</v>
      </c>
      <c r="F1241" s="3" t="s">
        <v>465</v>
      </c>
      <c r="G1241" s="57" t="str">
        <f t="shared" si="19"/>
        <v>-</v>
      </c>
      <c r="H1241" s="5" t="s">
        <v>4312</v>
      </c>
    </row>
    <row r="1242" spans="1:8" ht="25.5" x14ac:dyDescent="0.2">
      <c r="A1242" s="1" t="s">
        <v>4</v>
      </c>
      <c r="B1242" s="2" t="s">
        <v>144</v>
      </c>
      <c r="C1242" s="1"/>
      <c r="D1242" s="5" t="s">
        <v>1643</v>
      </c>
      <c r="E1242" s="3">
        <v>145378</v>
      </c>
      <c r="F1242" s="3">
        <v>153306</v>
      </c>
      <c r="G1242" s="57">
        <f t="shared" si="19"/>
        <v>5.4533698358761297E-2</v>
      </c>
      <c r="H1242" s="5" t="s">
        <v>3988</v>
      </c>
    </row>
    <row r="1243" spans="1:8" ht="25.5" x14ac:dyDescent="0.2">
      <c r="A1243" s="1" t="s">
        <v>4</v>
      </c>
      <c r="B1243" s="2" t="s">
        <v>144</v>
      </c>
      <c r="C1243" s="1"/>
      <c r="D1243" s="5" t="s">
        <v>3989</v>
      </c>
      <c r="E1243" s="3">
        <v>154807</v>
      </c>
      <c r="F1243" s="3" t="s">
        <v>465</v>
      </c>
      <c r="G1243" s="57" t="str">
        <f t="shared" si="19"/>
        <v>-</v>
      </c>
      <c r="H1243" s="5" t="s">
        <v>3990</v>
      </c>
    </row>
    <row r="1244" spans="1:8" ht="25.5" x14ac:dyDescent="0.2">
      <c r="A1244" s="1" t="s">
        <v>4</v>
      </c>
      <c r="B1244" s="2" t="s">
        <v>144</v>
      </c>
      <c r="C1244" s="1"/>
      <c r="D1244" s="5" t="s">
        <v>1644</v>
      </c>
      <c r="E1244" s="3">
        <v>148505</v>
      </c>
      <c r="F1244" s="3">
        <v>145386</v>
      </c>
      <c r="G1244" s="57">
        <f t="shared" si="19"/>
        <v>-2.1002659843102924E-2</v>
      </c>
      <c r="H1244" s="5" t="s">
        <v>3991</v>
      </c>
    </row>
    <row r="1245" spans="1:8" ht="38.25" x14ac:dyDescent="0.2">
      <c r="A1245" s="1" t="s">
        <v>4</v>
      </c>
      <c r="B1245" s="2" t="s">
        <v>144</v>
      </c>
      <c r="C1245" s="1"/>
      <c r="D1245" s="5" t="s">
        <v>1645</v>
      </c>
      <c r="E1245" s="3" t="s">
        <v>465</v>
      </c>
      <c r="F1245" s="3">
        <v>125119</v>
      </c>
      <c r="G1245" s="57" t="str">
        <f t="shared" si="19"/>
        <v>-</v>
      </c>
      <c r="H1245" s="5" t="s">
        <v>4313</v>
      </c>
    </row>
    <row r="1246" spans="1:8" x14ac:dyDescent="0.2">
      <c r="A1246" s="1" t="s">
        <v>4</v>
      </c>
      <c r="B1246" s="2" t="s">
        <v>144</v>
      </c>
      <c r="C1246" s="1"/>
      <c r="D1246" s="5" t="s">
        <v>464</v>
      </c>
      <c r="E1246" s="3">
        <v>102500</v>
      </c>
      <c r="F1246" s="3" t="s">
        <v>465</v>
      </c>
      <c r="G1246" s="57" t="str">
        <f t="shared" si="19"/>
        <v>-</v>
      </c>
      <c r="H1246" s="1"/>
    </row>
    <row r="1247" spans="1:8" x14ac:dyDescent="0.2">
      <c r="A1247" s="1" t="s">
        <v>4</v>
      </c>
      <c r="B1247" s="2" t="s">
        <v>144</v>
      </c>
      <c r="C1247" s="1"/>
      <c r="D1247" s="5" t="s">
        <v>464</v>
      </c>
      <c r="E1247" s="3">
        <v>107500</v>
      </c>
      <c r="F1247" s="3" t="s">
        <v>465</v>
      </c>
      <c r="G1247" s="57" t="str">
        <f t="shared" si="19"/>
        <v>-</v>
      </c>
      <c r="H1247" s="1"/>
    </row>
    <row r="1248" spans="1:8" x14ac:dyDescent="0.2">
      <c r="A1248" s="1" t="s">
        <v>4</v>
      </c>
      <c r="B1248" s="2" t="s">
        <v>144</v>
      </c>
      <c r="C1248" s="1"/>
      <c r="D1248" s="5" t="s">
        <v>464</v>
      </c>
      <c r="E1248" s="3">
        <v>112500</v>
      </c>
      <c r="F1248" s="3" t="s">
        <v>465</v>
      </c>
      <c r="G1248" s="57" t="str">
        <f t="shared" si="19"/>
        <v>-</v>
      </c>
      <c r="H1248" s="1"/>
    </row>
    <row r="1249" spans="1:8" x14ac:dyDescent="0.2">
      <c r="A1249" s="1" t="s">
        <v>4</v>
      </c>
      <c r="B1249" s="2" t="s">
        <v>144</v>
      </c>
      <c r="C1249" s="1"/>
      <c r="D1249" s="5" t="s">
        <v>464</v>
      </c>
      <c r="E1249" s="3">
        <v>117500</v>
      </c>
      <c r="F1249" s="3" t="s">
        <v>465</v>
      </c>
      <c r="G1249" s="57" t="str">
        <f t="shared" si="19"/>
        <v>-</v>
      </c>
      <c r="H1249" s="1"/>
    </row>
    <row r="1250" spans="1:8" x14ac:dyDescent="0.2">
      <c r="A1250" s="1" t="s">
        <v>4</v>
      </c>
      <c r="B1250" s="2" t="s">
        <v>144</v>
      </c>
      <c r="C1250" s="1"/>
      <c r="D1250" s="5" t="s">
        <v>464</v>
      </c>
      <c r="E1250" s="3">
        <v>122500</v>
      </c>
      <c r="F1250" s="3" t="s">
        <v>465</v>
      </c>
      <c r="G1250" s="57" t="str">
        <f t="shared" si="19"/>
        <v>-</v>
      </c>
      <c r="H1250" s="1"/>
    </row>
    <row r="1251" spans="1:8" x14ac:dyDescent="0.2">
      <c r="A1251" s="1" t="s">
        <v>4</v>
      </c>
      <c r="B1251" s="2" t="s">
        <v>144</v>
      </c>
      <c r="C1251" s="1"/>
      <c r="D1251" s="5" t="s">
        <v>464</v>
      </c>
      <c r="E1251" s="3">
        <v>122500</v>
      </c>
      <c r="F1251" s="3" t="s">
        <v>465</v>
      </c>
      <c r="G1251" s="57" t="str">
        <f t="shared" si="19"/>
        <v>-</v>
      </c>
      <c r="H1251" s="1"/>
    </row>
    <row r="1252" spans="1:8" x14ac:dyDescent="0.2">
      <c r="A1252" s="1" t="s">
        <v>4</v>
      </c>
      <c r="B1252" s="2" t="s">
        <v>144</v>
      </c>
      <c r="C1252" s="1"/>
      <c r="D1252" s="5" t="s">
        <v>464</v>
      </c>
      <c r="E1252" s="3">
        <v>127500</v>
      </c>
      <c r="F1252" s="3" t="s">
        <v>465</v>
      </c>
      <c r="G1252" s="57" t="str">
        <f t="shared" si="19"/>
        <v>-</v>
      </c>
      <c r="H1252" s="1"/>
    </row>
    <row r="1253" spans="1:8" x14ac:dyDescent="0.2">
      <c r="A1253" s="1" t="s">
        <v>4</v>
      </c>
      <c r="B1253" s="2" t="s">
        <v>144</v>
      </c>
      <c r="C1253" s="1"/>
      <c r="D1253" s="5" t="s">
        <v>464</v>
      </c>
      <c r="E1253" s="3">
        <v>127500</v>
      </c>
      <c r="F1253" s="3" t="s">
        <v>465</v>
      </c>
      <c r="G1253" s="57" t="str">
        <f t="shared" si="19"/>
        <v>-</v>
      </c>
      <c r="H1253" s="1"/>
    </row>
    <row r="1254" spans="1:8" x14ac:dyDescent="0.2">
      <c r="A1254" s="1" t="s">
        <v>4</v>
      </c>
      <c r="B1254" s="2" t="s">
        <v>144</v>
      </c>
      <c r="C1254" s="1"/>
      <c r="D1254" s="5" t="s">
        <v>464</v>
      </c>
      <c r="E1254" s="3">
        <v>147500</v>
      </c>
      <c r="F1254" s="3" t="s">
        <v>465</v>
      </c>
      <c r="G1254" s="57" t="str">
        <f t="shared" si="19"/>
        <v>-</v>
      </c>
      <c r="H1254" s="1"/>
    </row>
    <row r="1255" spans="1:8" x14ac:dyDescent="0.2">
      <c r="A1255" s="1" t="s">
        <v>4</v>
      </c>
      <c r="B1255" s="2" t="s">
        <v>144</v>
      </c>
      <c r="C1255" s="1"/>
      <c r="D1255" s="5" t="s">
        <v>464</v>
      </c>
      <c r="E1255" s="3">
        <v>167500</v>
      </c>
      <c r="F1255" s="3" t="s">
        <v>465</v>
      </c>
      <c r="G1255" s="57" t="str">
        <f t="shared" si="19"/>
        <v>-</v>
      </c>
      <c r="H1255" s="1"/>
    </row>
    <row r="1256" spans="1:8" x14ac:dyDescent="0.2">
      <c r="A1256" s="1" t="s">
        <v>4</v>
      </c>
      <c r="B1256" s="2" t="s">
        <v>144</v>
      </c>
      <c r="C1256" s="1"/>
      <c r="D1256" s="5" t="s">
        <v>464</v>
      </c>
      <c r="E1256" s="3">
        <v>197500</v>
      </c>
      <c r="F1256" s="3" t="s">
        <v>465</v>
      </c>
      <c r="G1256" s="57" t="str">
        <f t="shared" si="19"/>
        <v>-</v>
      </c>
      <c r="H1256" s="1"/>
    </row>
    <row r="1257" spans="1:8" x14ac:dyDescent="0.2">
      <c r="A1257" s="1" t="s">
        <v>4</v>
      </c>
      <c r="B1257" s="2" t="s">
        <v>144</v>
      </c>
      <c r="C1257" s="1"/>
      <c r="D1257" s="5" t="s">
        <v>464</v>
      </c>
      <c r="E1257" s="3">
        <v>202500</v>
      </c>
      <c r="F1257" s="3" t="s">
        <v>465</v>
      </c>
      <c r="G1257" s="57" t="str">
        <f t="shared" si="19"/>
        <v>-</v>
      </c>
    </row>
    <row r="1258" spans="1:8" x14ac:dyDescent="0.2">
      <c r="A1258" s="1" t="s">
        <v>4</v>
      </c>
      <c r="B1258" s="2" t="s">
        <v>144</v>
      </c>
      <c r="C1258" s="1"/>
      <c r="D1258" s="5" t="s">
        <v>464</v>
      </c>
      <c r="E1258" s="3" t="s">
        <v>465</v>
      </c>
      <c r="F1258" s="3">
        <v>102500</v>
      </c>
      <c r="G1258" s="57" t="str">
        <f t="shared" si="19"/>
        <v>-</v>
      </c>
    </row>
    <row r="1259" spans="1:8" x14ac:dyDescent="0.2">
      <c r="A1259" s="1" t="s">
        <v>4</v>
      </c>
      <c r="B1259" s="2" t="s">
        <v>144</v>
      </c>
      <c r="C1259" s="1"/>
      <c r="D1259" s="5" t="s">
        <v>464</v>
      </c>
      <c r="E1259" s="3" t="s">
        <v>465</v>
      </c>
      <c r="F1259" s="3">
        <v>107500</v>
      </c>
      <c r="G1259" s="57" t="str">
        <f t="shared" si="19"/>
        <v>-</v>
      </c>
    </row>
    <row r="1260" spans="1:8" x14ac:dyDescent="0.2">
      <c r="A1260" s="1" t="s">
        <v>4</v>
      </c>
      <c r="B1260" s="2" t="s">
        <v>144</v>
      </c>
      <c r="C1260" s="1"/>
      <c r="D1260" s="5" t="s">
        <v>464</v>
      </c>
      <c r="E1260" s="3" t="s">
        <v>465</v>
      </c>
      <c r="F1260" s="3">
        <v>112500</v>
      </c>
      <c r="G1260" s="57" t="str">
        <f t="shared" si="19"/>
        <v>-</v>
      </c>
    </row>
    <row r="1261" spans="1:8" x14ac:dyDescent="0.2">
      <c r="A1261" s="1" t="s">
        <v>4</v>
      </c>
      <c r="B1261" s="2" t="s">
        <v>144</v>
      </c>
      <c r="C1261" s="1"/>
      <c r="D1261" s="5" t="s">
        <v>464</v>
      </c>
      <c r="E1261" s="3" t="s">
        <v>465</v>
      </c>
      <c r="F1261" s="3">
        <v>117500</v>
      </c>
      <c r="G1261" s="57" t="str">
        <f t="shared" si="19"/>
        <v>-</v>
      </c>
    </row>
    <row r="1262" spans="1:8" x14ac:dyDescent="0.2">
      <c r="A1262" s="1" t="s">
        <v>4</v>
      </c>
      <c r="B1262" s="2" t="s">
        <v>144</v>
      </c>
      <c r="C1262" s="1"/>
      <c r="D1262" s="5" t="s">
        <v>464</v>
      </c>
      <c r="E1262" s="3" t="s">
        <v>465</v>
      </c>
      <c r="F1262" s="3">
        <v>122500</v>
      </c>
      <c r="G1262" s="57" t="str">
        <f t="shared" si="19"/>
        <v>-</v>
      </c>
    </row>
    <row r="1263" spans="1:8" x14ac:dyDescent="0.2">
      <c r="A1263" s="1" t="s">
        <v>4</v>
      </c>
      <c r="B1263" s="2" t="s">
        <v>144</v>
      </c>
      <c r="C1263" s="1"/>
      <c r="D1263" s="5" t="s">
        <v>464</v>
      </c>
      <c r="E1263" s="3" t="s">
        <v>465</v>
      </c>
      <c r="F1263" s="3">
        <v>122500</v>
      </c>
      <c r="G1263" s="57" t="str">
        <f t="shared" si="19"/>
        <v>-</v>
      </c>
    </row>
    <row r="1264" spans="1:8" x14ac:dyDescent="0.2">
      <c r="A1264" s="1" t="s">
        <v>4</v>
      </c>
      <c r="B1264" s="2" t="s">
        <v>144</v>
      </c>
      <c r="C1264" s="1"/>
      <c r="D1264" s="5" t="s">
        <v>464</v>
      </c>
      <c r="E1264" s="3" t="s">
        <v>465</v>
      </c>
      <c r="F1264" s="3">
        <v>127500</v>
      </c>
      <c r="G1264" s="57" t="str">
        <f t="shared" si="19"/>
        <v>-</v>
      </c>
    </row>
    <row r="1265" spans="1:8" x14ac:dyDescent="0.2">
      <c r="A1265" s="1" t="s">
        <v>4</v>
      </c>
      <c r="B1265" s="2" t="s">
        <v>144</v>
      </c>
      <c r="C1265" s="1"/>
      <c r="D1265" s="5" t="s">
        <v>464</v>
      </c>
      <c r="E1265" s="3" t="s">
        <v>465</v>
      </c>
      <c r="F1265" s="3">
        <v>127500</v>
      </c>
      <c r="G1265" s="57" t="str">
        <f t="shared" si="19"/>
        <v>-</v>
      </c>
    </row>
    <row r="1266" spans="1:8" x14ac:dyDescent="0.2">
      <c r="A1266" s="1" t="s">
        <v>4</v>
      </c>
      <c r="B1266" s="2" t="s">
        <v>144</v>
      </c>
      <c r="C1266" s="1"/>
      <c r="D1266" s="5" t="s">
        <v>464</v>
      </c>
      <c r="E1266" s="3" t="s">
        <v>465</v>
      </c>
      <c r="F1266" s="3">
        <v>137500</v>
      </c>
      <c r="G1266" s="57" t="str">
        <f t="shared" si="19"/>
        <v>-</v>
      </c>
    </row>
    <row r="1267" spans="1:8" x14ac:dyDescent="0.2">
      <c r="A1267" s="1" t="s">
        <v>4</v>
      </c>
      <c r="B1267" s="2" t="s">
        <v>144</v>
      </c>
      <c r="C1267" s="1"/>
      <c r="D1267" s="5" t="s">
        <v>464</v>
      </c>
      <c r="E1267" s="3" t="s">
        <v>465</v>
      </c>
      <c r="F1267" s="3">
        <v>152500</v>
      </c>
      <c r="G1267" s="57" t="str">
        <f t="shared" si="19"/>
        <v>-</v>
      </c>
    </row>
    <row r="1268" spans="1:8" x14ac:dyDescent="0.2">
      <c r="A1268" s="1" t="s">
        <v>4</v>
      </c>
      <c r="B1268" s="2" t="s">
        <v>144</v>
      </c>
      <c r="C1268" s="1"/>
      <c r="D1268" s="5" t="s">
        <v>464</v>
      </c>
      <c r="E1268" s="3" t="s">
        <v>465</v>
      </c>
      <c r="F1268" s="3">
        <v>167500</v>
      </c>
      <c r="G1268" s="57" t="str">
        <f t="shared" si="19"/>
        <v>-</v>
      </c>
    </row>
    <row r="1269" spans="1:8" ht="25.5" x14ac:dyDescent="0.2">
      <c r="A1269" s="1" t="s">
        <v>4</v>
      </c>
      <c r="B1269" s="2" t="s">
        <v>145</v>
      </c>
      <c r="C1269" s="1"/>
      <c r="D1269" s="5" t="s">
        <v>450</v>
      </c>
      <c r="E1269" s="3">
        <v>129790</v>
      </c>
      <c r="F1269" s="3">
        <v>128333</v>
      </c>
      <c r="G1269" s="57">
        <f t="shared" si="19"/>
        <v>-1.1225826334848601E-2</v>
      </c>
      <c r="H1269" s="5" t="s">
        <v>3992</v>
      </c>
    </row>
    <row r="1270" spans="1:8" ht="38.25" x14ac:dyDescent="0.2">
      <c r="A1270" s="1" t="s">
        <v>4</v>
      </c>
      <c r="B1270" s="2" t="s">
        <v>145</v>
      </c>
      <c r="C1270" s="1"/>
      <c r="D1270" s="5" t="s">
        <v>455</v>
      </c>
      <c r="E1270" s="3">
        <v>49076</v>
      </c>
      <c r="F1270" s="3">
        <v>105583</v>
      </c>
      <c r="G1270" s="57">
        <f t="shared" si="19"/>
        <v>1.1514182084929496</v>
      </c>
      <c r="H1270" s="5" t="s">
        <v>4314</v>
      </c>
    </row>
    <row r="1271" spans="1:8" x14ac:dyDescent="0.2">
      <c r="A1271" s="1" t="s">
        <v>4</v>
      </c>
      <c r="B1271" s="2" t="s">
        <v>145</v>
      </c>
      <c r="C1271" s="1"/>
      <c r="D1271" s="5" t="s">
        <v>464</v>
      </c>
      <c r="E1271" s="3" t="s">
        <v>465</v>
      </c>
      <c r="F1271" s="3">
        <v>102500</v>
      </c>
      <c r="G1271" s="57" t="str">
        <f t="shared" si="19"/>
        <v>-</v>
      </c>
    </row>
    <row r="1272" spans="1:8" x14ac:dyDescent="0.2">
      <c r="A1272" s="1" t="s">
        <v>4</v>
      </c>
      <c r="B1272" s="2" t="s">
        <v>145</v>
      </c>
      <c r="C1272" s="1"/>
      <c r="D1272" s="5" t="s">
        <v>464</v>
      </c>
      <c r="E1272" s="3">
        <v>122500</v>
      </c>
      <c r="F1272" s="3" t="s">
        <v>465</v>
      </c>
      <c r="G1272" s="57" t="str">
        <f t="shared" si="19"/>
        <v>-</v>
      </c>
      <c r="H1272" s="5" t="s">
        <v>539</v>
      </c>
    </row>
    <row r="1273" spans="1:8" x14ac:dyDescent="0.2">
      <c r="A1273" s="1" t="s">
        <v>4</v>
      </c>
      <c r="B1273" s="2" t="s">
        <v>145</v>
      </c>
      <c r="C1273" s="1"/>
      <c r="D1273" s="5" t="s">
        <v>464</v>
      </c>
      <c r="E1273" s="3">
        <v>127500</v>
      </c>
      <c r="F1273" s="3" t="s">
        <v>465</v>
      </c>
      <c r="G1273" s="57" t="str">
        <f t="shared" si="19"/>
        <v>-</v>
      </c>
      <c r="H1273" s="5" t="s">
        <v>539</v>
      </c>
    </row>
    <row r="1274" spans="1:8" x14ac:dyDescent="0.2">
      <c r="A1274" s="1" t="s">
        <v>4</v>
      </c>
      <c r="B1274" s="2" t="s">
        <v>145</v>
      </c>
      <c r="C1274" s="1"/>
      <c r="D1274" s="5" t="s">
        <v>464</v>
      </c>
      <c r="E1274" s="3">
        <v>132500</v>
      </c>
      <c r="F1274" s="3" t="s">
        <v>465</v>
      </c>
      <c r="G1274" s="57" t="str">
        <f t="shared" si="19"/>
        <v>-</v>
      </c>
      <c r="H1274" s="5" t="s">
        <v>539</v>
      </c>
    </row>
    <row r="1275" spans="1:8" ht="25.5" x14ac:dyDescent="0.2">
      <c r="A1275" s="1" t="s">
        <v>4</v>
      </c>
      <c r="B1275" s="2" t="s">
        <v>146</v>
      </c>
      <c r="C1275" s="1"/>
      <c r="D1275" s="5" t="s">
        <v>450</v>
      </c>
      <c r="E1275" s="3">
        <v>129703</v>
      </c>
      <c r="F1275" s="3">
        <v>127912</v>
      </c>
      <c r="G1275" s="57">
        <f t="shared" si="19"/>
        <v>-1.3808470120197683E-2</v>
      </c>
      <c r="H1275" s="5" t="s">
        <v>4634</v>
      </c>
    </row>
    <row r="1276" spans="1:8" ht="25.5" x14ac:dyDescent="0.2">
      <c r="A1276" s="1" t="s">
        <v>6</v>
      </c>
      <c r="B1276" s="2" t="s">
        <v>147</v>
      </c>
      <c r="C1276" s="1"/>
      <c r="D1276" s="5" t="s">
        <v>450</v>
      </c>
      <c r="E1276" s="3">
        <v>105601</v>
      </c>
      <c r="F1276" s="3">
        <v>109943</v>
      </c>
      <c r="G1276" s="57">
        <f t="shared" si="19"/>
        <v>4.1117034876563666E-2</v>
      </c>
      <c r="H1276" s="5" t="s">
        <v>3993</v>
      </c>
    </row>
    <row r="1277" spans="1:8" ht="25.5" x14ac:dyDescent="0.2">
      <c r="A1277" s="1" t="s">
        <v>1</v>
      </c>
      <c r="B1277" s="2" t="s">
        <v>148</v>
      </c>
      <c r="C1277" s="1" t="s">
        <v>1639</v>
      </c>
      <c r="D1277" s="5" t="s">
        <v>450</v>
      </c>
      <c r="E1277" s="3">
        <f>99055+27166</f>
        <v>126221</v>
      </c>
      <c r="F1277" s="3">
        <f>98898+221+28967</f>
        <v>128086</v>
      </c>
      <c r="G1277" s="57">
        <f t="shared" si="19"/>
        <v>1.477567124329549E-2</v>
      </c>
      <c r="H1277" s="5" t="s">
        <v>3994</v>
      </c>
    </row>
    <row r="1278" spans="1:8" x14ac:dyDescent="0.2">
      <c r="A1278" s="1" t="s">
        <v>1</v>
      </c>
      <c r="B1278" s="2" t="s">
        <v>148</v>
      </c>
      <c r="C1278" s="1"/>
      <c r="D1278" s="5" t="s">
        <v>464</v>
      </c>
      <c r="E1278" s="3" t="s">
        <v>465</v>
      </c>
      <c r="F1278" s="3">
        <v>127500</v>
      </c>
      <c r="G1278" s="57" t="str">
        <f t="shared" si="19"/>
        <v>-</v>
      </c>
    </row>
    <row r="1279" spans="1:8" x14ac:dyDescent="0.2">
      <c r="A1279" s="1" t="s">
        <v>1</v>
      </c>
      <c r="B1279" s="2" t="s">
        <v>148</v>
      </c>
      <c r="C1279" s="1"/>
      <c r="D1279" s="5" t="s">
        <v>464</v>
      </c>
      <c r="E1279" s="3" t="s">
        <v>465</v>
      </c>
      <c r="F1279" s="3">
        <v>127500</v>
      </c>
      <c r="G1279" s="57" t="str">
        <f t="shared" si="19"/>
        <v>-</v>
      </c>
    </row>
    <row r="1280" spans="1:8" ht="25.5" x14ac:dyDescent="0.2">
      <c r="A1280" s="1" t="s">
        <v>4</v>
      </c>
      <c r="B1280" s="2" t="s">
        <v>149</v>
      </c>
      <c r="C1280" s="1"/>
      <c r="D1280" s="5" t="s">
        <v>3995</v>
      </c>
      <c r="E1280" s="3">
        <v>162893.44</v>
      </c>
      <c r="F1280" s="3">
        <v>157877.17000000001</v>
      </c>
      <c r="G1280" s="57">
        <f t="shared" si="19"/>
        <v>-3.07947944373941E-2</v>
      </c>
      <c r="H1280" s="5" t="s">
        <v>3996</v>
      </c>
    </row>
    <row r="1281" spans="1:8" ht="38.25" x14ac:dyDescent="0.2">
      <c r="A1281" s="1" t="s">
        <v>4</v>
      </c>
      <c r="B1281" s="2" t="s">
        <v>149</v>
      </c>
      <c r="C1281" s="1"/>
      <c r="D1281" s="5" t="s">
        <v>1637</v>
      </c>
      <c r="E1281" s="3">
        <v>122270.52</v>
      </c>
      <c r="F1281" s="3">
        <v>128815.91</v>
      </c>
      <c r="G1281" s="57">
        <f t="shared" si="19"/>
        <v>5.3532036994690127E-2</v>
      </c>
      <c r="H1281" s="5" t="s">
        <v>3997</v>
      </c>
    </row>
    <row r="1282" spans="1:8" ht="38.25" x14ac:dyDescent="0.2">
      <c r="A1282" s="1" t="s">
        <v>4</v>
      </c>
      <c r="B1282" s="2" t="s">
        <v>149</v>
      </c>
      <c r="C1282" s="1"/>
      <c r="D1282" s="5" t="s">
        <v>1638</v>
      </c>
      <c r="E1282" s="3">
        <v>124482.23</v>
      </c>
      <c r="F1282" s="3">
        <v>125111.15</v>
      </c>
      <c r="G1282" s="57">
        <f t="shared" si="19"/>
        <v>5.0522873827051323E-3</v>
      </c>
      <c r="H1282" s="5" t="s">
        <v>3998</v>
      </c>
    </row>
    <row r="1283" spans="1:8" ht="76.5" x14ac:dyDescent="0.2">
      <c r="A1283" s="1" t="s">
        <v>25</v>
      </c>
      <c r="B1283" s="2" t="s">
        <v>150</v>
      </c>
      <c r="C1283" s="1" t="s">
        <v>1633</v>
      </c>
      <c r="D1283" s="5" t="s">
        <v>450</v>
      </c>
      <c r="E1283" s="3">
        <v>248441.54</v>
      </c>
      <c r="F1283" s="3">
        <v>231603.89</v>
      </c>
      <c r="G1283" s="57">
        <f t="shared" ref="G1283:G1346" si="20">IF(ISERROR((F1283-E1283)/E1283),"-",(F1283-E1283)/E1283)</f>
        <v>-6.7773086578033589E-2</v>
      </c>
      <c r="H1283" s="5" t="s">
        <v>4635</v>
      </c>
    </row>
    <row r="1284" spans="1:8" ht="63.75" x14ac:dyDescent="0.2">
      <c r="A1284" s="1" t="s">
        <v>25</v>
      </c>
      <c r="B1284" s="2" t="s">
        <v>150</v>
      </c>
      <c r="C1284" s="1"/>
      <c r="D1284" s="5" t="s">
        <v>1634</v>
      </c>
      <c r="E1284" s="3">
        <v>155716.07999999999</v>
      </c>
      <c r="F1284" s="3">
        <v>156644.81</v>
      </c>
      <c r="G1284" s="57">
        <f t="shared" si="20"/>
        <v>5.9642523752204048E-3</v>
      </c>
      <c r="H1284" s="5" t="s">
        <v>4315</v>
      </c>
    </row>
    <row r="1285" spans="1:8" ht="25.5" x14ac:dyDescent="0.2">
      <c r="A1285" s="1" t="s">
        <v>25</v>
      </c>
      <c r="B1285" s="2" t="s">
        <v>150</v>
      </c>
      <c r="C1285" s="1"/>
      <c r="D1285" s="5" t="s">
        <v>1635</v>
      </c>
      <c r="E1285" s="3">
        <v>155171.29</v>
      </c>
      <c r="F1285" s="3">
        <v>158425.04999999999</v>
      </c>
      <c r="G1285" s="57">
        <f t="shared" si="20"/>
        <v>2.0968827416463318E-2</v>
      </c>
      <c r="H1285" s="5" t="s">
        <v>3999</v>
      </c>
    </row>
    <row r="1286" spans="1:8" ht="38.25" x14ac:dyDescent="0.2">
      <c r="A1286" s="1" t="s">
        <v>25</v>
      </c>
      <c r="B1286" s="2" t="s">
        <v>150</v>
      </c>
      <c r="C1286" s="1"/>
      <c r="D1286" s="5" t="s">
        <v>1636</v>
      </c>
      <c r="E1286" s="3">
        <v>143449.41</v>
      </c>
      <c r="F1286" s="3">
        <v>149710.93</v>
      </c>
      <c r="G1286" s="57">
        <f t="shared" si="20"/>
        <v>4.3649674125533104E-2</v>
      </c>
      <c r="H1286" s="5" t="s">
        <v>4316</v>
      </c>
    </row>
    <row r="1287" spans="1:8" ht="25.5" x14ac:dyDescent="0.2">
      <c r="A1287" s="1" t="s">
        <v>25</v>
      </c>
      <c r="B1287" s="2" t="s">
        <v>150</v>
      </c>
      <c r="C1287" s="1"/>
      <c r="D1287" s="5" t="s">
        <v>942</v>
      </c>
      <c r="E1287" s="3">
        <v>144365.04</v>
      </c>
      <c r="F1287" s="3">
        <v>148026.51</v>
      </c>
      <c r="G1287" s="57">
        <f t="shared" si="20"/>
        <v>2.5362580857526178E-2</v>
      </c>
      <c r="H1287" s="5" t="s">
        <v>4000</v>
      </c>
    </row>
    <row r="1288" spans="1:8" ht="38.25" x14ac:dyDescent="0.2">
      <c r="A1288" s="1" t="s">
        <v>25</v>
      </c>
      <c r="B1288" s="2" t="s">
        <v>150</v>
      </c>
      <c r="C1288" s="1"/>
      <c r="D1288" s="5" t="s">
        <v>4001</v>
      </c>
      <c r="E1288" s="3">
        <v>134090.1</v>
      </c>
      <c r="F1288" s="3">
        <v>141511.23000000001</v>
      </c>
      <c r="G1288" s="57">
        <f t="shared" si="20"/>
        <v>5.5344354281188578E-2</v>
      </c>
      <c r="H1288" s="5" t="s">
        <v>4317</v>
      </c>
    </row>
    <row r="1289" spans="1:8" ht="25.5" x14ac:dyDescent="0.2">
      <c r="A1289" s="1" t="s">
        <v>25</v>
      </c>
      <c r="B1289" s="2" t="s">
        <v>150</v>
      </c>
      <c r="C1289" s="1"/>
      <c r="D1289" s="5" t="s">
        <v>4002</v>
      </c>
      <c r="E1289" s="3">
        <v>137877</v>
      </c>
      <c r="F1289" s="3">
        <v>81167</v>
      </c>
      <c r="G1289" s="57">
        <f t="shared" si="20"/>
        <v>-0.41130863015586355</v>
      </c>
      <c r="H1289" s="5" t="s">
        <v>4318</v>
      </c>
    </row>
    <row r="1290" spans="1:8" x14ac:dyDescent="0.2">
      <c r="A1290" s="1" t="s">
        <v>25</v>
      </c>
      <c r="B1290" s="2" t="s">
        <v>150</v>
      </c>
      <c r="C1290" s="1"/>
      <c r="D1290" s="5" t="s">
        <v>464</v>
      </c>
      <c r="E1290" s="3">
        <v>102500</v>
      </c>
      <c r="F1290" s="3" t="s">
        <v>465</v>
      </c>
      <c r="G1290" s="57" t="str">
        <f t="shared" si="20"/>
        <v>-</v>
      </c>
    </row>
    <row r="1291" spans="1:8" x14ac:dyDescent="0.2">
      <c r="A1291" s="1" t="s">
        <v>25</v>
      </c>
      <c r="B1291" s="2" t="s">
        <v>150</v>
      </c>
      <c r="C1291" s="1"/>
      <c r="D1291" s="5" t="s">
        <v>464</v>
      </c>
      <c r="E1291" s="3">
        <v>102500</v>
      </c>
      <c r="F1291" s="3" t="s">
        <v>465</v>
      </c>
      <c r="G1291" s="57" t="str">
        <f t="shared" si="20"/>
        <v>-</v>
      </c>
    </row>
    <row r="1292" spans="1:8" x14ac:dyDescent="0.2">
      <c r="A1292" s="1" t="s">
        <v>25</v>
      </c>
      <c r="B1292" s="2" t="s">
        <v>150</v>
      </c>
      <c r="C1292" s="1"/>
      <c r="D1292" s="5" t="s">
        <v>464</v>
      </c>
      <c r="E1292" s="3">
        <v>112500</v>
      </c>
      <c r="F1292" s="3" t="s">
        <v>465</v>
      </c>
      <c r="G1292" s="57" t="str">
        <f t="shared" si="20"/>
        <v>-</v>
      </c>
      <c r="H1292" s="5" t="s">
        <v>539</v>
      </c>
    </row>
    <row r="1293" spans="1:8" x14ac:dyDescent="0.2">
      <c r="A1293" s="1" t="s">
        <v>25</v>
      </c>
      <c r="B1293" s="2" t="s">
        <v>150</v>
      </c>
      <c r="C1293" s="1"/>
      <c r="D1293" s="5" t="s">
        <v>464</v>
      </c>
      <c r="E1293" s="3">
        <v>112500</v>
      </c>
      <c r="F1293" s="3" t="s">
        <v>465</v>
      </c>
      <c r="G1293" s="57" t="str">
        <f t="shared" si="20"/>
        <v>-</v>
      </c>
      <c r="H1293" s="5" t="s">
        <v>539</v>
      </c>
    </row>
    <row r="1294" spans="1:8" x14ac:dyDescent="0.2">
      <c r="A1294" s="1" t="s">
        <v>25</v>
      </c>
      <c r="B1294" s="2" t="s">
        <v>150</v>
      </c>
      <c r="C1294" s="1"/>
      <c r="D1294" s="5" t="s">
        <v>464</v>
      </c>
      <c r="E1294" s="3">
        <v>132500</v>
      </c>
      <c r="F1294" s="3" t="s">
        <v>465</v>
      </c>
      <c r="G1294" s="57" t="str">
        <f t="shared" si="20"/>
        <v>-</v>
      </c>
      <c r="H1294" s="5" t="s">
        <v>539</v>
      </c>
    </row>
    <row r="1295" spans="1:8" x14ac:dyDescent="0.2">
      <c r="A1295" s="1" t="s">
        <v>25</v>
      </c>
      <c r="B1295" s="2" t="s">
        <v>150</v>
      </c>
      <c r="C1295" s="1"/>
      <c r="D1295" s="5" t="s">
        <v>464</v>
      </c>
      <c r="E1295" s="3">
        <v>152500</v>
      </c>
      <c r="F1295" s="3" t="s">
        <v>465</v>
      </c>
      <c r="G1295" s="57" t="str">
        <f t="shared" si="20"/>
        <v>-</v>
      </c>
      <c r="H1295" s="5" t="s">
        <v>539</v>
      </c>
    </row>
    <row r="1296" spans="1:8" x14ac:dyDescent="0.2">
      <c r="A1296" s="1" t="s">
        <v>25</v>
      </c>
      <c r="B1296" s="2" t="s">
        <v>150</v>
      </c>
      <c r="C1296" s="1"/>
      <c r="D1296" s="5" t="s">
        <v>464</v>
      </c>
      <c r="E1296" s="3" t="s">
        <v>465</v>
      </c>
      <c r="F1296" s="3">
        <v>102500</v>
      </c>
      <c r="G1296" s="57" t="str">
        <f t="shared" si="20"/>
        <v>-</v>
      </c>
    </row>
    <row r="1297" spans="1:8" x14ac:dyDescent="0.2">
      <c r="A1297" s="1" t="s">
        <v>25</v>
      </c>
      <c r="B1297" s="2" t="s">
        <v>150</v>
      </c>
      <c r="C1297" s="1"/>
      <c r="D1297" s="5" t="s">
        <v>464</v>
      </c>
      <c r="E1297" s="3" t="s">
        <v>465</v>
      </c>
      <c r="F1297" s="3">
        <v>112500</v>
      </c>
      <c r="G1297" s="57" t="str">
        <f t="shared" si="20"/>
        <v>-</v>
      </c>
      <c r="H1297" s="5" t="s">
        <v>539</v>
      </c>
    </row>
    <row r="1298" spans="1:8" ht="51" x14ac:dyDescent="0.2">
      <c r="A1298" s="1" t="s">
        <v>20</v>
      </c>
      <c r="B1298" s="2" t="s">
        <v>151</v>
      </c>
      <c r="C1298" s="1" t="s">
        <v>1631</v>
      </c>
      <c r="D1298" s="5" t="s">
        <v>450</v>
      </c>
      <c r="E1298" s="3">
        <v>171461</v>
      </c>
      <c r="F1298" s="3">
        <v>170660</v>
      </c>
      <c r="G1298" s="57">
        <f t="shared" si="20"/>
        <v>-4.6716162859192466E-3</v>
      </c>
      <c r="H1298" s="5" t="s">
        <v>4319</v>
      </c>
    </row>
    <row r="1299" spans="1:8" ht="25.5" x14ac:dyDescent="0.2">
      <c r="A1299" s="1" t="s">
        <v>20</v>
      </c>
      <c r="B1299" s="2" t="s">
        <v>151</v>
      </c>
      <c r="C1299" s="1"/>
      <c r="D1299" s="5" t="s">
        <v>1632</v>
      </c>
      <c r="E1299" s="3" t="s">
        <v>465</v>
      </c>
      <c r="F1299" s="3">
        <v>122819</v>
      </c>
      <c r="G1299" s="57" t="str">
        <f t="shared" si="20"/>
        <v>-</v>
      </c>
      <c r="H1299" s="5" t="s">
        <v>4636</v>
      </c>
    </row>
    <row r="1300" spans="1:8" x14ac:dyDescent="0.2">
      <c r="A1300" s="1" t="s">
        <v>20</v>
      </c>
      <c r="B1300" s="2" t="s">
        <v>151</v>
      </c>
      <c r="C1300" s="1"/>
      <c r="D1300" s="5" t="s">
        <v>455</v>
      </c>
      <c r="E1300" s="3">
        <v>103945</v>
      </c>
      <c r="F1300" s="3" t="s">
        <v>465</v>
      </c>
      <c r="G1300" s="57" t="str">
        <f t="shared" si="20"/>
        <v>-</v>
      </c>
    </row>
    <row r="1301" spans="1:8" ht="38.25" x14ac:dyDescent="0.2">
      <c r="A1301" s="1" t="s">
        <v>4</v>
      </c>
      <c r="B1301" s="2" t="s">
        <v>152</v>
      </c>
      <c r="C1301" s="1"/>
      <c r="D1301" s="5" t="s">
        <v>450</v>
      </c>
      <c r="E1301" s="3">
        <v>118000</v>
      </c>
      <c r="F1301" s="3">
        <v>127000</v>
      </c>
      <c r="G1301" s="57">
        <f t="shared" si="20"/>
        <v>7.6271186440677971E-2</v>
      </c>
      <c r="H1301" s="5" t="s">
        <v>4320</v>
      </c>
    </row>
    <row r="1302" spans="1:8" x14ac:dyDescent="0.2">
      <c r="A1302" s="1" t="s">
        <v>4</v>
      </c>
      <c r="B1302" s="2" t="s">
        <v>152</v>
      </c>
      <c r="C1302" s="1"/>
      <c r="D1302" s="5" t="s">
        <v>464</v>
      </c>
      <c r="E1302" s="3">
        <v>107500</v>
      </c>
      <c r="F1302" s="3" t="s">
        <v>465</v>
      </c>
      <c r="G1302" s="57" t="str">
        <f t="shared" si="20"/>
        <v>-</v>
      </c>
    </row>
    <row r="1303" spans="1:8" x14ac:dyDescent="0.2">
      <c r="A1303" s="1" t="s">
        <v>4</v>
      </c>
      <c r="B1303" s="2" t="s">
        <v>152</v>
      </c>
      <c r="C1303" s="1"/>
      <c r="D1303" s="5" t="s">
        <v>464</v>
      </c>
      <c r="E1303" s="3" t="s">
        <v>465</v>
      </c>
      <c r="F1303" s="3">
        <v>107500</v>
      </c>
      <c r="G1303" s="57" t="str">
        <f t="shared" si="20"/>
        <v>-</v>
      </c>
    </row>
    <row r="1304" spans="1:8" ht="25.5" x14ac:dyDescent="0.2">
      <c r="A1304" s="1" t="s">
        <v>8</v>
      </c>
      <c r="B1304" s="2" t="s">
        <v>153</v>
      </c>
      <c r="C1304" s="1"/>
      <c r="D1304" s="5" t="s">
        <v>450</v>
      </c>
      <c r="E1304" s="3">
        <v>134503</v>
      </c>
      <c r="F1304" s="3">
        <v>134559</v>
      </c>
      <c r="G1304" s="57">
        <f t="shared" si="20"/>
        <v>4.1634759076005737E-4</v>
      </c>
      <c r="H1304" s="5" t="s">
        <v>4003</v>
      </c>
    </row>
    <row r="1305" spans="1:8" ht="38.25" x14ac:dyDescent="0.2">
      <c r="A1305" s="1" t="s">
        <v>20</v>
      </c>
      <c r="B1305" s="2" t="s">
        <v>154</v>
      </c>
      <c r="C1305" s="1" t="s">
        <v>1615</v>
      </c>
      <c r="D1305" s="5" t="s">
        <v>450</v>
      </c>
      <c r="E1305" s="3">
        <v>267442</v>
      </c>
      <c r="F1305" s="3">
        <v>271060</v>
      </c>
      <c r="G1305" s="57">
        <f t="shared" si="20"/>
        <v>1.3528166854869466E-2</v>
      </c>
      <c r="H1305" s="5" t="s">
        <v>4321</v>
      </c>
    </row>
    <row r="1306" spans="1:8" ht="38.25" x14ac:dyDescent="0.2">
      <c r="A1306" s="1" t="s">
        <v>20</v>
      </c>
      <c r="B1306" s="2" t="s">
        <v>154</v>
      </c>
      <c r="C1306" s="1" t="s">
        <v>1614</v>
      </c>
      <c r="D1306" s="5" t="s">
        <v>1612</v>
      </c>
      <c r="E1306" s="3">
        <v>179722</v>
      </c>
      <c r="F1306" s="3">
        <v>184223</v>
      </c>
      <c r="G1306" s="57">
        <f t="shared" si="20"/>
        <v>2.5044234985143722E-2</v>
      </c>
      <c r="H1306" s="5" t="s">
        <v>4004</v>
      </c>
    </row>
    <row r="1307" spans="1:8" ht="38.25" x14ac:dyDescent="0.2">
      <c r="A1307" s="1" t="s">
        <v>20</v>
      </c>
      <c r="B1307" s="2" t="s">
        <v>154</v>
      </c>
      <c r="C1307" s="1" t="s">
        <v>4005</v>
      </c>
      <c r="D1307" s="5" t="s">
        <v>4006</v>
      </c>
      <c r="E1307" s="3">
        <v>220970</v>
      </c>
      <c r="F1307" s="3" t="s">
        <v>465</v>
      </c>
      <c r="G1307" s="57" t="str">
        <f t="shared" si="20"/>
        <v>-</v>
      </c>
      <c r="H1307" s="5" t="s">
        <v>4322</v>
      </c>
    </row>
    <row r="1308" spans="1:8" ht="25.5" x14ac:dyDescent="0.2">
      <c r="A1308" s="1" t="s">
        <v>20</v>
      </c>
      <c r="B1308" s="2" t="s">
        <v>154</v>
      </c>
      <c r="C1308" s="1" t="s">
        <v>1613</v>
      </c>
      <c r="D1308" s="5" t="s">
        <v>4637</v>
      </c>
      <c r="E1308" s="3">
        <v>198875</v>
      </c>
      <c r="F1308" s="3">
        <v>183162</v>
      </c>
      <c r="G1308" s="57">
        <f t="shared" si="20"/>
        <v>-7.9009428032683848E-2</v>
      </c>
      <c r="H1308" s="5" t="s">
        <v>4007</v>
      </c>
    </row>
    <row r="1309" spans="1:8" ht="25.5" x14ac:dyDescent="0.2">
      <c r="A1309" s="1" t="s">
        <v>20</v>
      </c>
      <c r="B1309" s="2" t="s">
        <v>154</v>
      </c>
      <c r="C1309" s="1" t="s">
        <v>1616</v>
      </c>
      <c r="D1309" s="5" t="s">
        <v>4008</v>
      </c>
      <c r="E1309" s="3" t="s">
        <v>465</v>
      </c>
      <c r="F1309" s="3">
        <v>183197</v>
      </c>
      <c r="G1309" s="57" t="str">
        <f t="shared" si="20"/>
        <v>-</v>
      </c>
      <c r="H1309" s="5" t="s">
        <v>4009</v>
      </c>
    </row>
    <row r="1310" spans="1:8" ht="38.25" x14ac:dyDescent="0.2">
      <c r="A1310" s="1" t="s">
        <v>20</v>
      </c>
      <c r="B1310" s="2" t="s">
        <v>154</v>
      </c>
      <c r="C1310" s="1" t="s">
        <v>1617</v>
      </c>
      <c r="D1310" s="5" t="s">
        <v>501</v>
      </c>
      <c r="E1310" s="3" t="s">
        <v>465</v>
      </c>
      <c r="F1310" s="3">
        <v>183832</v>
      </c>
      <c r="G1310" s="57" t="str">
        <f t="shared" si="20"/>
        <v>-</v>
      </c>
      <c r="H1310" s="5" t="s">
        <v>4010</v>
      </c>
    </row>
    <row r="1311" spans="1:8" ht="38.25" x14ac:dyDescent="0.2">
      <c r="A1311" s="1" t="s">
        <v>20</v>
      </c>
      <c r="B1311" s="2" t="s">
        <v>154</v>
      </c>
      <c r="C1311" s="1" t="s">
        <v>1618</v>
      </c>
      <c r="D1311" s="5" t="s">
        <v>1619</v>
      </c>
      <c r="E1311" s="3" t="s">
        <v>465</v>
      </c>
      <c r="F1311" s="3">
        <v>177476</v>
      </c>
      <c r="G1311" s="57" t="str">
        <f t="shared" si="20"/>
        <v>-</v>
      </c>
      <c r="H1311" s="5" t="s">
        <v>4011</v>
      </c>
    </row>
    <row r="1312" spans="1:8" ht="38.25" x14ac:dyDescent="0.2">
      <c r="A1312" s="1" t="s">
        <v>20</v>
      </c>
      <c r="B1312" s="2" t="s">
        <v>154</v>
      </c>
      <c r="C1312" s="1" t="s">
        <v>1620</v>
      </c>
      <c r="D1312" s="5" t="s">
        <v>1621</v>
      </c>
      <c r="E1312" s="3" t="s">
        <v>465</v>
      </c>
      <c r="F1312" s="3">
        <v>172878</v>
      </c>
      <c r="G1312" s="57" t="str">
        <f t="shared" si="20"/>
        <v>-</v>
      </c>
      <c r="H1312" s="5" t="s">
        <v>4323</v>
      </c>
    </row>
    <row r="1313" spans="1:8" ht="25.5" x14ac:dyDescent="0.2">
      <c r="A1313" s="1" t="s">
        <v>20</v>
      </c>
      <c r="B1313" s="2" t="s">
        <v>154</v>
      </c>
      <c r="C1313" s="1"/>
      <c r="D1313" s="5" t="s">
        <v>4012</v>
      </c>
      <c r="E1313" s="3">
        <v>169343</v>
      </c>
      <c r="F1313" s="3" t="s">
        <v>465</v>
      </c>
      <c r="G1313" s="57" t="str">
        <f t="shared" si="20"/>
        <v>-</v>
      </c>
      <c r="H1313" s="5" t="s">
        <v>4013</v>
      </c>
    </row>
    <row r="1314" spans="1:8" ht="38.25" x14ac:dyDescent="0.2">
      <c r="A1314" s="1" t="s">
        <v>20</v>
      </c>
      <c r="B1314" s="2" t="s">
        <v>154</v>
      </c>
      <c r="C1314" s="1"/>
      <c r="D1314" s="5" t="s">
        <v>2142</v>
      </c>
      <c r="E1314" s="3">
        <v>191138</v>
      </c>
      <c r="F1314" s="3" t="s">
        <v>465</v>
      </c>
      <c r="G1314" s="57" t="str">
        <f t="shared" si="20"/>
        <v>-</v>
      </c>
      <c r="H1314" s="5" t="s">
        <v>4324</v>
      </c>
    </row>
    <row r="1315" spans="1:8" ht="51" x14ac:dyDescent="0.2">
      <c r="A1315" s="1" t="s">
        <v>20</v>
      </c>
      <c r="B1315" s="2" t="s">
        <v>154</v>
      </c>
      <c r="C1315" s="1"/>
      <c r="D1315" s="5" t="s">
        <v>4014</v>
      </c>
      <c r="E1315" s="3">
        <v>176243</v>
      </c>
      <c r="F1315" s="3" t="s">
        <v>465</v>
      </c>
      <c r="G1315" s="57" t="str">
        <f t="shared" si="20"/>
        <v>-</v>
      </c>
      <c r="H1315" s="5" t="s">
        <v>4325</v>
      </c>
    </row>
    <row r="1316" spans="1:8" ht="25.5" x14ac:dyDescent="0.2">
      <c r="A1316" s="1" t="s">
        <v>20</v>
      </c>
      <c r="B1316" s="2" t="s">
        <v>154</v>
      </c>
      <c r="C1316" s="1"/>
      <c r="D1316" s="5" t="s">
        <v>4015</v>
      </c>
      <c r="E1316" s="3">
        <v>175391</v>
      </c>
      <c r="G1316" s="57">
        <f t="shared" si="20"/>
        <v>-1</v>
      </c>
      <c r="H1316" s="5" t="s">
        <v>4016</v>
      </c>
    </row>
    <row r="1317" spans="1:8" ht="25.5" x14ac:dyDescent="0.2">
      <c r="A1317" s="1" t="s">
        <v>20</v>
      </c>
      <c r="B1317" s="2" t="s">
        <v>154</v>
      </c>
      <c r="C1317" s="1"/>
      <c r="D1317" s="5" t="s">
        <v>451</v>
      </c>
      <c r="E1317" s="3">
        <v>149859</v>
      </c>
      <c r="F1317" s="3">
        <v>139079</v>
      </c>
      <c r="G1317" s="57">
        <f t="shared" si="20"/>
        <v>-7.193428489446746E-2</v>
      </c>
      <c r="H1317" s="5" t="s">
        <v>4017</v>
      </c>
    </row>
    <row r="1318" spans="1:8" ht="25.5" x14ac:dyDescent="0.2">
      <c r="A1318" s="1" t="s">
        <v>20</v>
      </c>
      <c r="B1318" s="2" t="s">
        <v>154</v>
      </c>
      <c r="C1318" s="2"/>
      <c r="D1318" s="5" t="s">
        <v>4018</v>
      </c>
      <c r="E1318" s="3">
        <v>133014</v>
      </c>
      <c r="F1318" s="3" t="s">
        <v>465</v>
      </c>
      <c r="G1318" s="57" t="str">
        <f t="shared" si="20"/>
        <v>-</v>
      </c>
      <c r="H1318" s="5" t="s">
        <v>4019</v>
      </c>
    </row>
    <row r="1319" spans="1:8" ht="25.5" x14ac:dyDescent="0.2">
      <c r="A1319" s="1" t="s">
        <v>20</v>
      </c>
      <c r="B1319" s="2" t="s">
        <v>154</v>
      </c>
      <c r="C1319" s="2"/>
      <c r="D1319" s="5" t="s">
        <v>487</v>
      </c>
      <c r="E1319" s="3">
        <v>132800</v>
      </c>
      <c r="F1319" s="3" t="s">
        <v>465</v>
      </c>
      <c r="G1319" s="57" t="str">
        <f t="shared" si="20"/>
        <v>-</v>
      </c>
      <c r="H1319" s="5" t="s">
        <v>4020</v>
      </c>
    </row>
    <row r="1320" spans="1:8" ht="38.25" x14ac:dyDescent="0.2">
      <c r="A1320" s="1" t="s">
        <v>20</v>
      </c>
      <c r="B1320" s="2" t="s">
        <v>154</v>
      </c>
      <c r="C1320" s="1"/>
      <c r="D1320" s="5" t="s">
        <v>1269</v>
      </c>
      <c r="E1320" s="3">
        <v>122192</v>
      </c>
      <c r="F1320" s="3">
        <v>133267</v>
      </c>
      <c r="G1320" s="57">
        <f t="shared" si="20"/>
        <v>9.0636048186460649E-2</v>
      </c>
      <c r="H1320" s="5" t="s">
        <v>4021</v>
      </c>
    </row>
    <row r="1321" spans="1:8" x14ac:dyDescent="0.2">
      <c r="A1321" s="1" t="s">
        <v>20</v>
      </c>
      <c r="B1321" s="2" t="s">
        <v>154</v>
      </c>
      <c r="C1321" s="1"/>
      <c r="D1321" s="5" t="s">
        <v>464</v>
      </c>
      <c r="E1321" s="3">
        <v>102500</v>
      </c>
      <c r="F1321" s="3" t="s">
        <v>465</v>
      </c>
      <c r="G1321" s="57" t="str">
        <f t="shared" si="20"/>
        <v>-</v>
      </c>
      <c r="H1321" s="1"/>
    </row>
    <row r="1322" spans="1:8" x14ac:dyDescent="0.2">
      <c r="A1322" s="1" t="s">
        <v>20</v>
      </c>
      <c r="B1322" s="2" t="s">
        <v>154</v>
      </c>
      <c r="C1322" s="1"/>
      <c r="D1322" s="5" t="s">
        <v>464</v>
      </c>
      <c r="E1322" s="3">
        <v>102500</v>
      </c>
      <c r="F1322" s="3" t="s">
        <v>465</v>
      </c>
      <c r="G1322" s="57" t="str">
        <f t="shared" si="20"/>
        <v>-</v>
      </c>
      <c r="H1322" s="1"/>
    </row>
    <row r="1323" spans="1:8" x14ac:dyDescent="0.2">
      <c r="A1323" s="1" t="s">
        <v>20</v>
      </c>
      <c r="B1323" s="2" t="s">
        <v>154</v>
      </c>
      <c r="C1323" s="1"/>
      <c r="D1323" s="5" t="s">
        <v>464</v>
      </c>
      <c r="E1323" s="3">
        <v>102500</v>
      </c>
      <c r="F1323" s="3" t="s">
        <v>465</v>
      </c>
      <c r="G1323" s="57" t="str">
        <f t="shared" si="20"/>
        <v>-</v>
      </c>
      <c r="H1323" s="1"/>
    </row>
    <row r="1324" spans="1:8" x14ac:dyDescent="0.2">
      <c r="A1324" s="1" t="s">
        <v>20</v>
      </c>
      <c r="B1324" s="2" t="s">
        <v>154</v>
      </c>
      <c r="C1324" s="1"/>
      <c r="D1324" s="5" t="s">
        <v>464</v>
      </c>
      <c r="E1324" s="3">
        <v>102500</v>
      </c>
      <c r="F1324" s="3" t="s">
        <v>465</v>
      </c>
      <c r="G1324" s="57" t="str">
        <f t="shared" si="20"/>
        <v>-</v>
      </c>
      <c r="H1324" s="1"/>
    </row>
    <row r="1325" spans="1:8" x14ac:dyDescent="0.2">
      <c r="A1325" s="1" t="s">
        <v>20</v>
      </c>
      <c r="B1325" s="2" t="s">
        <v>154</v>
      </c>
      <c r="C1325" s="1"/>
      <c r="D1325" s="5" t="s">
        <v>464</v>
      </c>
      <c r="E1325" s="3">
        <v>107500</v>
      </c>
      <c r="F1325" s="3" t="s">
        <v>465</v>
      </c>
      <c r="G1325" s="57" t="str">
        <f t="shared" si="20"/>
        <v>-</v>
      </c>
      <c r="H1325" s="1"/>
    </row>
    <row r="1326" spans="1:8" x14ac:dyDescent="0.2">
      <c r="A1326" s="1" t="s">
        <v>20</v>
      </c>
      <c r="B1326" s="2" t="s">
        <v>154</v>
      </c>
      <c r="C1326" s="1"/>
      <c r="D1326" s="5" t="s">
        <v>464</v>
      </c>
      <c r="E1326" s="3">
        <v>107500</v>
      </c>
      <c r="F1326" s="3" t="s">
        <v>465</v>
      </c>
      <c r="G1326" s="57" t="str">
        <f t="shared" si="20"/>
        <v>-</v>
      </c>
      <c r="H1326" s="1"/>
    </row>
    <row r="1327" spans="1:8" x14ac:dyDescent="0.2">
      <c r="A1327" s="1" t="s">
        <v>20</v>
      </c>
      <c r="B1327" s="2" t="s">
        <v>154</v>
      </c>
      <c r="C1327" s="1"/>
      <c r="D1327" s="5" t="s">
        <v>464</v>
      </c>
      <c r="E1327" s="3">
        <v>112500</v>
      </c>
      <c r="F1327" s="3" t="s">
        <v>465</v>
      </c>
      <c r="G1327" s="57" t="str">
        <f t="shared" si="20"/>
        <v>-</v>
      </c>
      <c r="H1327" s="1"/>
    </row>
    <row r="1328" spans="1:8" x14ac:dyDescent="0.2">
      <c r="A1328" s="1" t="s">
        <v>20</v>
      </c>
      <c r="B1328" s="2" t="s">
        <v>154</v>
      </c>
      <c r="C1328" s="1"/>
      <c r="D1328" s="5" t="s">
        <v>464</v>
      </c>
      <c r="E1328" s="3">
        <v>117500</v>
      </c>
      <c r="F1328" s="3" t="s">
        <v>465</v>
      </c>
      <c r="G1328" s="57" t="str">
        <f t="shared" si="20"/>
        <v>-</v>
      </c>
      <c r="H1328" s="1"/>
    </row>
    <row r="1329" spans="1:8" x14ac:dyDescent="0.2">
      <c r="A1329" s="1" t="s">
        <v>20</v>
      </c>
      <c r="B1329" s="2" t="s">
        <v>154</v>
      </c>
      <c r="C1329" s="1"/>
      <c r="D1329" s="5" t="s">
        <v>464</v>
      </c>
      <c r="E1329" s="3">
        <v>122500</v>
      </c>
      <c r="F1329" s="3" t="s">
        <v>465</v>
      </c>
      <c r="G1329" s="57" t="str">
        <f t="shared" si="20"/>
        <v>-</v>
      </c>
      <c r="H1329" s="1"/>
    </row>
    <row r="1330" spans="1:8" x14ac:dyDescent="0.2">
      <c r="A1330" s="1" t="s">
        <v>20</v>
      </c>
      <c r="B1330" s="2" t="s">
        <v>154</v>
      </c>
      <c r="C1330" s="1"/>
      <c r="D1330" s="5" t="s">
        <v>464</v>
      </c>
      <c r="E1330" s="3">
        <v>157500</v>
      </c>
      <c r="F1330" s="3" t="s">
        <v>465</v>
      </c>
      <c r="G1330" s="57" t="str">
        <f t="shared" si="20"/>
        <v>-</v>
      </c>
      <c r="H1330" s="1"/>
    </row>
    <row r="1331" spans="1:8" x14ac:dyDescent="0.2">
      <c r="A1331" s="1" t="s">
        <v>20</v>
      </c>
      <c r="B1331" s="2" t="s">
        <v>154</v>
      </c>
      <c r="C1331" s="1"/>
      <c r="D1331" s="5" t="s">
        <v>464</v>
      </c>
      <c r="E1331" s="3" t="s">
        <v>465</v>
      </c>
      <c r="F1331" s="3">
        <v>102500</v>
      </c>
      <c r="G1331" s="57" t="str">
        <f t="shared" si="20"/>
        <v>-</v>
      </c>
      <c r="H1331" s="1"/>
    </row>
    <row r="1332" spans="1:8" x14ac:dyDescent="0.2">
      <c r="A1332" s="1" t="s">
        <v>20</v>
      </c>
      <c r="B1332" s="2" t="s">
        <v>154</v>
      </c>
      <c r="C1332" s="1"/>
      <c r="D1332" s="5" t="s">
        <v>464</v>
      </c>
      <c r="E1332" s="3" t="s">
        <v>465</v>
      </c>
      <c r="F1332" s="3">
        <v>102500</v>
      </c>
      <c r="G1332" s="57" t="str">
        <f t="shared" si="20"/>
        <v>-</v>
      </c>
      <c r="H1332" s="1"/>
    </row>
    <row r="1333" spans="1:8" x14ac:dyDescent="0.2">
      <c r="A1333" s="1" t="s">
        <v>20</v>
      </c>
      <c r="B1333" s="2" t="s">
        <v>154</v>
      </c>
      <c r="C1333" s="1"/>
      <c r="D1333" s="5" t="s">
        <v>464</v>
      </c>
      <c r="E1333" s="3" t="s">
        <v>465</v>
      </c>
      <c r="F1333" s="3">
        <v>102500</v>
      </c>
      <c r="G1333" s="57" t="str">
        <f t="shared" si="20"/>
        <v>-</v>
      </c>
      <c r="H1333" s="1"/>
    </row>
    <row r="1334" spans="1:8" x14ac:dyDescent="0.2">
      <c r="A1334" s="1" t="s">
        <v>20</v>
      </c>
      <c r="B1334" s="2" t="s">
        <v>154</v>
      </c>
      <c r="C1334" s="1"/>
      <c r="D1334" s="5" t="s">
        <v>464</v>
      </c>
      <c r="E1334" s="3" t="s">
        <v>465</v>
      </c>
      <c r="F1334" s="3">
        <v>102500</v>
      </c>
      <c r="G1334" s="57" t="str">
        <f t="shared" si="20"/>
        <v>-</v>
      </c>
      <c r="H1334" s="1"/>
    </row>
    <row r="1335" spans="1:8" x14ac:dyDescent="0.2">
      <c r="A1335" s="1" t="s">
        <v>20</v>
      </c>
      <c r="B1335" s="2" t="s">
        <v>154</v>
      </c>
      <c r="C1335" s="1"/>
      <c r="D1335" s="5" t="s">
        <v>464</v>
      </c>
      <c r="E1335" s="3" t="s">
        <v>465</v>
      </c>
      <c r="F1335" s="3">
        <v>102500</v>
      </c>
      <c r="G1335" s="57" t="str">
        <f t="shared" si="20"/>
        <v>-</v>
      </c>
      <c r="H1335" s="1"/>
    </row>
    <row r="1336" spans="1:8" x14ac:dyDescent="0.2">
      <c r="A1336" s="1" t="s">
        <v>20</v>
      </c>
      <c r="B1336" s="2" t="s">
        <v>154</v>
      </c>
      <c r="C1336" s="1"/>
      <c r="D1336" s="5" t="s">
        <v>464</v>
      </c>
      <c r="E1336" s="3" t="s">
        <v>465</v>
      </c>
      <c r="F1336" s="3">
        <v>102500</v>
      </c>
      <c r="G1336" s="57" t="str">
        <f t="shared" si="20"/>
        <v>-</v>
      </c>
      <c r="H1336" s="1"/>
    </row>
    <row r="1337" spans="1:8" x14ac:dyDescent="0.2">
      <c r="A1337" s="1" t="s">
        <v>20</v>
      </c>
      <c r="B1337" s="2" t="s">
        <v>154</v>
      </c>
      <c r="C1337" s="1"/>
      <c r="D1337" s="5" t="s">
        <v>464</v>
      </c>
      <c r="E1337" s="3" t="s">
        <v>465</v>
      </c>
      <c r="F1337" s="3">
        <v>102500</v>
      </c>
      <c r="G1337" s="57" t="str">
        <f t="shared" si="20"/>
        <v>-</v>
      </c>
      <c r="H1337" s="1"/>
    </row>
    <row r="1338" spans="1:8" x14ac:dyDescent="0.2">
      <c r="A1338" s="1" t="s">
        <v>20</v>
      </c>
      <c r="B1338" s="2" t="s">
        <v>154</v>
      </c>
      <c r="C1338" s="1"/>
      <c r="D1338" s="5" t="s">
        <v>464</v>
      </c>
      <c r="E1338" s="3" t="s">
        <v>465</v>
      </c>
      <c r="F1338" s="3">
        <v>107500</v>
      </c>
      <c r="G1338" s="57" t="str">
        <f t="shared" si="20"/>
        <v>-</v>
      </c>
      <c r="H1338" s="1"/>
    </row>
    <row r="1339" spans="1:8" x14ac:dyDescent="0.2">
      <c r="A1339" s="1" t="s">
        <v>20</v>
      </c>
      <c r="B1339" s="2" t="s">
        <v>154</v>
      </c>
      <c r="C1339" s="1"/>
      <c r="D1339" s="5" t="s">
        <v>464</v>
      </c>
      <c r="E1339" s="3" t="s">
        <v>465</v>
      </c>
      <c r="F1339" s="3">
        <v>107500</v>
      </c>
      <c r="G1339" s="57" t="str">
        <f t="shared" si="20"/>
        <v>-</v>
      </c>
      <c r="H1339" s="1"/>
    </row>
    <row r="1340" spans="1:8" x14ac:dyDescent="0.2">
      <c r="A1340" s="1" t="s">
        <v>20</v>
      </c>
      <c r="B1340" s="2" t="s">
        <v>154</v>
      </c>
      <c r="C1340" s="1"/>
      <c r="D1340" s="5" t="s">
        <v>464</v>
      </c>
      <c r="E1340" s="3" t="s">
        <v>465</v>
      </c>
      <c r="F1340" s="3">
        <v>107500</v>
      </c>
      <c r="G1340" s="57" t="str">
        <f t="shared" si="20"/>
        <v>-</v>
      </c>
      <c r="H1340" s="1"/>
    </row>
    <row r="1341" spans="1:8" x14ac:dyDescent="0.2">
      <c r="A1341" s="1" t="s">
        <v>20</v>
      </c>
      <c r="B1341" s="2" t="s">
        <v>154</v>
      </c>
      <c r="C1341" s="1"/>
      <c r="D1341" s="5" t="s">
        <v>464</v>
      </c>
      <c r="E1341" s="3" t="s">
        <v>465</v>
      </c>
      <c r="F1341" s="3">
        <v>107500</v>
      </c>
      <c r="G1341" s="57" t="str">
        <f t="shared" si="20"/>
        <v>-</v>
      </c>
      <c r="H1341" s="1"/>
    </row>
    <row r="1342" spans="1:8" x14ac:dyDescent="0.2">
      <c r="A1342" s="1" t="s">
        <v>20</v>
      </c>
      <c r="B1342" s="2" t="s">
        <v>154</v>
      </c>
      <c r="C1342" s="1"/>
      <c r="D1342" s="5" t="s">
        <v>464</v>
      </c>
      <c r="E1342" s="3" t="s">
        <v>465</v>
      </c>
      <c r="F1342" s="3">
        <v>107500</v>
      </c>
      <c r="G1342" s="57" t="str">
        <f t="shared" si="20"/>
        <v>-</v>
      </c>
      <c r="H1342" s="1"/>
    </row>
    <row r="1343" spans="1:8" x14ac:dyDescent="0.2">
      <c r="A1343" s="1" t="s">
        <v>20</v>
      </c>
      <c r="B1343" s="2" t="s">
        <v>154</v>
      </c>
      <c r="C1343" s="1"/>
      <c r="D1343" s="5" t="s">
        <v>464</v>
      </c>
      <c r="E1343" s="3" t="s">
        <v>465</v>
      </c>
      <c r="F1343" s="3">
        <v>107500</v>
      </c>
      <c r="G1343" s="57" t="str">
        <f t="shared" si="20"/>
        <v>-</v>
      </c>
      <c r="H1343" s="1"/>
    </row>
    <row r="1344" spans="1:8" x14ac:dyDescent="0.2">
      <c r="A1344" s="1" t="s">
        <v>20</v>
      </c>
      <c r="B1344" s="2" t="s">
        <v>154</v>
      </c>
      <c r="C1344" s="1"/>
      <c r="D1344" s="5" t="s">
        <v>464</v>
      </c>
      <c r="E1344" s="3" t="s">
        <v>465</v>
      </c>
      <c r="F1344" s="3">
        <v>112500</v>
      </c>
      <c r="G1344" s="57" t="str">
        <f t="shared" si="20"/>
        <v>-</v>
      </c>
      <c r="H1344" s="1"/>
    </row>
    <row r="1345" spans="1:8" x14ac:dyDescent="0.2">
      <c r="A1345" s="1" t="s">
        <v>20</v>
      </c>
      <c r="B1345" s="2" t="s">
        <v>154</v>
      </c>
      <c r="C1345" s="1"/>
      <c r="D1345" s="5" t="s">
        <v>464</v>
      </c>
      <c r="E1345" s="3" t="s">
        <v>465</v>
      </c>
      <c r="F1345" s="3">
        <v>112500</v>
      </c>
      <c r="G1345" s="57" t="str">
        <f t="shared" si="20"/>
        <v>-</v>
      </c>
      <c r="H1345" s="1"/>
    </row>
    <row r="1346" spans="1:8" x14ac:dyDescent="0.2">
      <c r="A1346" s="1" t="s">
        <v>20</v>
      </c>
      <c r="B1346" s="2" t="s">
        <v>154</v>
      </c>
      <c r="C1346" s="1"/>
      <c r="D1346" s="5" t="s">
        <v>464</v>
      </c>
      <c r="E1346" s="3" t="s">
        <v>465</v>
      </c>
      <c r="F1346" s="3">
        <v>112500</v>
      </c>
      <c r="G1346" s="57" t="str">
        <f t="shared" si="20"/>
        <v>-</v>
      </c>
      <c r="H1346" s="1"/>
    </row>
    <row r="1347" spans="1:8" x14ac:dyDescent="0.2">
      <c r="A1347" s="1" t="s">
        <v>20</v>
      </c>
      <c r="B1347" s="2" t="s">
        <v>154</v>
      </c>
      <c r="C1347" s="1"/>
      <c r="D1347" s="5" t="s">
        <v>464</v>
      </c>
      <c r="E1347" s="3" t="s">
        <v>465</v>
      </c>
      <c r="F1347" s="3">
        <v>117500</v>
      </c>
      <c r="G1347" s="57" t="str">
        <f t="shared" ref="G1347:G1410" si="21">IF(ISERROR((F1347-E1347)/E1347),"-",(F1347-E1347)/E1347)</f>
        <v>-</v>
      </c>
      <c r="H1347" s="1"/>
    </row>
    <row r="1348" spans="1:8" x14ac:dyDescent="0.2">
      <c r="A1348" s="1" t="s">
        <v>20</v>
      </c>
      <c r="B1348" s="2" t="s">
        <v>154</v>
      </c>
      <c r="C1348" s="1"/>
      <c r="D1348" s="5" t="s">
        <v>464</v>
      </c>
      <c r="E1348" s="3" t="s">
        <v>465</v>
      </c>
      <c r="F1348" s="3">
        <v>117500</v>
      </c>
      <c r="G1348" s="57" t="str">
        <f t="shared" si="21"/>
        <v>-</v>
      </c>
      <c r="H1348" s="1"/>
    </row>
    <row r="1349" spans="1:8" x14ac:dyDescent="0.2">
      <c r="A1349" s="1" t="s">
        <v>20</v>
      </c>
      <c r="B1349" s="2" t="s">
        <v>154</v>
      </c>
      <c r="C1349" s="1"/>
      <c r="D1349" s="5" t="s">
        <v>464</v>
      </c>
      <c r="E1349" s="3" t="s">
        <v>465</v>
      </c>
      <c r="F1349" s="3">
        <v>122500</v>
      </c>
      <c r="G1349" s="57" t="str">
        <f t="shared" si="21"/>
        <v>-</v>
      </c>
      <c r="H1349" s="1"/>
    </row>
    <row r="1350" spans="1:8" x14ac:dyDescent="0.2">
      <c r="A1350" s="1" t="s">
        <v>20</v>
      </c>
      <c r="B1350" s="2" t="s">
        <v>154</v>
      </c>
      <c r="C1350" s="1"/>
      <c r="D1350" s="5" t="s">
        <v>464</v>
      </c>
      <c r="E1350" s="3" t="s">
        <v>465</v>
      </c>
      <c r="F1350" s="3">
        <v>127500</v>
      </c>
      <c r="G1350" s="57" t="str">
        <f t="shared" si="21"/>
        <v>-</v>
      </c>
      <c r="H1350" s="1"/>
    </row>
    <row r="1351" spans="1:8" x14ac:dyDescent="0.2">
      <c r="A1351" s="1" t="s">
        <v>20</v>
      </c>
      <c r="B1351" s="2" t="s">
        <v>154</v>
      </c>
      <c r="C1351" s="1"/>
      <c r="D1351" s="5" t="s">
        <v>464</v>
      </c>
      <c r="E1351" s="3" t="s">
        <v>465</v>
      </c>
      <c r="F1351" s="3">
        <v>137500</v>
      </c>
      <c r="G1351" s="57" t="str">
        <f t="shared" si="21"/>
        <v>-</v>
      </c>
      <c r="H1351" s="1"/>
    </row>
    <row r="1352" spans="1:8" x14ac:dyDescent="0.2">
      <c r="A1352" s="1" t="s">
        <v>20</v>
      </c>
      <c r="B1352" s="2" t="s">
        <v>154</v>
      </c>
      <c r="C1352" s="1"/>
      <c r="D1352" s="5" t="s">
        <v>464</v>
      </c>
      <c r="E1352" s="3" t="s">
        <v>465</v>
      </c>
      <c r="F1352" s="3">
        <v>137500</v>
      </c>
      <c r="G1352" s="57" t="str">
        <f t="shared" si="21"/>
        <v>-</v>
      </c>
      <c r="H1352" s="1"/>
    </row>
    <row r="1353" spans="1:8" x14ac:dyDescent="0.2">
      <c r="A1353" s="1" t="s">
        <v>20</v>
      </c>
      <c r="B1353" s="2" t="s">
        <v>154</v>
      </c>
      <c r="C1353" s="1"/>
      <c r="D1353" s="5" t="s">
        <v>464</v>
      </c>
      <c r="E1353" s="3" t="s">
        <v>465</v>
      </c>
      <c r="F1353" s="3">
        <v>137500</v>
      </c>
      <c r="G1353" s="57" t="str">
        <f t="shared" si="21"/>
        <v>-</v>
      </c>
      <c r="H1353" s="1"/>
    </row>
    <row r="1354" spans="1:8" x14ac:dyDescent="0.2">
      <c r="A1354" s="1" t="s">
        <v>20</v>
      </c>
      <c r="B1354" s="2" t="s">
        <v>154</v>
      </c>
      <c r="C1354" s="1"/>
      <c r="D1354" s="5" t="s">
        <v>464</v>
      </c>
      <c r="E1354" s="3" t="s">
        <v>465</v>
      </c>
      <c r="F1354" s="3">
        <v>142500</v>
      </c>
      <c r="G1354" s="57" t="str">
        <f t="shared" si="21"/>
        <v>-</v>
      </c>
      <c r="H1354" s="1"/>
    </row>
    <row r="1355" spans="1:8" x14ac:dyDescent="0.2">
      <c r="A1355" s="1" t="s">
        <v>20</v>
      </c>
      <c r="B1355" s="2" t="s">
        <v>154</v>
      </c>
      <c r="C1355" s="1"/>
      <c r="D1355" s="5" t="s">
        <v>464</v>
      </c>
      <c r="E1355" s="3" t="s">
        <v>465</v>
      </c>
      <c r="F1355" s="3">
        <v>152500</v>
      </c>
      <c r="G1355" s="57" t="str">
        <f t="shared" si="21"/>
        <v>-</v>
      </c>
      <c r="H1355" s="1"/>
    </row>
    <row r="1356" spans="1:8" x14ac:dyDescent="0.2">
      <c r="A1356" s="1" t="s">
        <v>20</v>
      </c>
      <c r="B1356" s="2" t="s">
        <v>154</v>
      </c>
      <c r="C1356" s="1"/>
      <c r="D1356" s="5" t="s">
        <v>464</v>
      </c>
      <c r="E1356" s="3" t="s">
        <v>465</v>
      </c>
      <c r="F1356" s="3">
        <v>172500</v>
      </c>
      <c r="G1356" s="57" t="str">
        <f t="shared" si="21"/>
        <v>-</v>
      </c>
    </row>
    <row r="1357" spans="1:8" x14ac:dyDescent="0.2">
      <c r="A1357" s="1" t="s">
        <v>20</v>
      </c>
      <c r="B1357" s="2" t="s">
        <v>154</v>
      </c>
      <c r="C1357" s="1"/>
      <c r="D1357" s="5" t="s">
        <v>464</v>
      </c>
      <c r="E1357" s="3" t="s">
        <v>465</v>
      </c>
      <c r="F1357" s="3">
        <v>182500</v>
      </c>
      <c r="G1357" s="57" t="str">
        <f t="shared" si="21"/>
        <v>-</v>
      </c>
    </row>
    <row r="1358" spans="1:8" ht="25.5" x14ac:dyDescent="0.2">
      <c r="A1358" s="1" t="s">
        <v>34</v>
      </c>
      <c r="B1358" s="2" t="s">
        <v>155</v>
      </c>
      <c r="C1358" s="1"/>
      <c r="D1358" s="5" t="s">
        <v>450</v>
      </c>
      <c r="E1358" s="3">
        <v>141265</v>
      </c>
      <c r="F1358" s="3">
        <v>125816</v>
      </c>
      <c r="G1358" s="57">
        <f t="shared" si="21"/>
        <v>-0.10936183768095424</v>
      </c>
      <c r="H1358" s="5" t="s">
        <v>4022</v>
      </c>
    </row>
    <row r="1359" spans="1:8" s="13" customFormat="1" ht="25.5" x14ac:dyDescent="0.2">
      <c r="A1359" s="13" t="s">
        <v>1</v>
      </c>
      <c r="B1359" s="12" t="s">
        <v>156</v>
      </c>
      <c r="C1359" s="13" t="s">
        <v>1601</v>
      </c>
      <c r="D1359" s="7" t="s">
        <v>450</v>
      </c>
      <c r="E1359" s="6">
        <f>133740+22787+842</f>
        <v>157369</v>
      </c>
      <c r="F1359" s="6">
        <f>131956+536+23420</f>
        <v>155912</v>
      </c>
      <c r="G1359" s="57">
        <f t="shared" si="21"/>
        <v>-9.2584943667431332E-3</v>
      </c>
      <c r="H1359" s="7" t="s">
        <v>4023</v>
      </c>
    </row>
    <row r="1360" spans="1:8" ht="25.5" x14ac:dyDescent="0.2">
      <c r="A1360" s="13" t="s">
        <v>1</v>
      </c>
      <c r="B1360" s="2" t="s">
        <v>156</v>
      </c>
      <c r="C1360" s="1" t="s">
        <v>1602</v>
      </c>
      <c r="D1360" s="5" t="s">
        <v>1603</v>
      </c>
      <c r="E1360" s="3">
        <f>91123+16141</f>
        <v>107264</v>
      </c>
      <c r="F1360" s="3">
        <f>92574+16843</f>
        <v>109417</v>
      </c>
      <c r="G1360" s="57">
        <f t="shared" si="21"/>
        <v>2.0071971957040573E-2</v>
      </c>
      <c r="H1360" s="5" t="s">
        <v>4024</v>
      </c>
    </row>
    <row r="1361" spans="1:8" ht="25.5" x14ac:dyDescent="0.2">
      <c r="A1361" s="13" t="s">
        <v>1</v>
      </c>
      <c r="B1361" s="2" t="s">
        <v>156</v>
      </c>
      <c r="C1361" s="1" t="s">
        <v>1604</v>
      </c>
      <c r="D1361" s="5" t="s">
        <v>855</v>
      </c>
      <c r="E1361" s="3">
        <f>91286+15988</f>
        <v>107274</v>
      </c>
      <c r="F1361" s="3">
        <f>93506+16843</f>
        <v>110349</v>
      </c>
      <c r="G1361" s="57">
        <f t="shared" si="21"/>
        <v>2.8664914145086415E-2</v>
      </c>
      <c r="H1361" s="5" t="s">
        <v>4025</v>
      </c>
    </row>
    <row r="1362" spans="1:8" ht="25.5" x14ac:dyDescent="0.2">
      <c r="A1362" s="13" t="s">
        <v>1</v>
      </c>
      <c r="B1362" s="2" t="s">
        <v>156</v>
      </c>
      <c r="C1362" s="1" t="s">
        <v>4026</v>
      </c>
      <c r="D1362" s="5" t="s">
        <v>2600</v>
      </c>
      <c r="E1362" s="3">
        <f>91246+15988</f>
        <v>107234</v>
      </c>
      <c r="F1362" s="3">
        <f>93506+16843</f>
        <v>110349</v>
      </c>
      <c r="G1362" s="57">
        <f t="shared" si="21"/>
        <v>2.9048622638342316E-2</v>
      </c>
      <c r="H1362" s="5" t="s">
        <v>4025</v>
      </c>
    </row>
    <row r="1363" spans="1:8" ht="25.5" x14ac:dyDescent="0.2">
      <c r="A1363" s="13" t="s">
        <v>1</v>
      </c>
      <c r="B1363" s="2" t="s">
        <v>156</v>
      </c>
      <c r="C1363" s="1" t="s">
        <v>1605</v>
      </c>
      <c r="D1363" s="5" t="s">
        <v>1606</v>
      </c>
      <c r="E1363" s="3">
        <f>85972+15199</f>
        <v>101171</v>
      </c>
      <c r="F1363" s="3">
        <f>88082+16012</f>
        <v>104094</v>
      </c>
      <c r="G1363" s="57">
        <f t="shared" si="21"/>
        <v>2.8891678445404315E-2</v>
      </c>
      <c r="H1363" s="5" t="s">
        <v>4027</v>
      </c>
    </row>
    <row r="1364" spans="1:8" ht="51" x14ac:dyDescent="0.2">
      <c r="A1364" s="13" t="s">
        <v>1</v>
      </c>
      <c r="B1364" s="2" t="s">
        <v>156</v>
      </c>
      <c r="C1364" s="1" t="s">
        <v>1607</v>
      </c>
      <c r="D1364" s="5" t="s">
        <v>4028</v>
      </c>
      <c r="E1364" s="3">
        <f>91286+15988</f>
        <v>107274</v>
      </c>
      <c r="F1364" s="3">
        <f>97007+48692</f>
        <v>145699</v>
      </c>
      <c r="G1364" s="57">
        <f t="shared" si="21"/>
        <v>0.35819490277234001</v>
      </c>
      <c r="H1364" s="5" t="s">
        <v>4326</v>
      </c>
    </row>
    <row r="1365" spans="1:8" ht="25.5" x14ac:dyDescent="0.2">
      <c r="A1365" s="13" t="s">
        <v>1</v>
      </c>
      <c r="B1365" s="2" t="s">
        <v>156</v>
      </c>
      <c r="C1365" s="1" t="s">
        <v>1608</v>
      </c>
      <c r="D1365" s="5" t="s">
        <v>1609</v>
      </c>
      <c r="E1365" s="3">
        <f>101286+15988</f>
        <v>117274</v>
      </c>
      <c r="F1365" s="3">
        <f>93506+16843</f>
        <v>110349</v>
      </c>
      <c r="G1365" s="57">
        <f t="shared" si="21"/>
        <v>-5.9049746746934528E-2</v>
      </c>
      <c r="H1365" s="5" t="s">
        <v>2186</v>
      </c>
    </row>
    <row r="1366" spans="1:8" ht="25.5" x14ac:dyDescent="0.2">
      <c r="A1366" s="13" t="s">
        <v>1</v>
      </c>
      <c r="B1366" s="2" t="s">
        <v>156</v>
      </c>
      <c r="C1366" s="1" t="s">
        <v>1610</v>
      </c>
      <c r="D1366" s="5" t="s">
        <v>1611</v>
      </c>
      <c r="E1366" s="3">
        <f>91286+15988</f>
        <v>107274</v>
      </c>
      <c r="F1366" s="3">
        <f>93506+16843</f>
        <v>110349</v>
      </c>
      <c r="G1366" s="57">
        <f t="shared" si="21"/>
        <v>2.8664914145086415E-2</v>
      </c>
      <c r="H1366" s="5" t="s">
        <v>2185</v>
      </c>
    </row>
    <row r="1367" spans="1:8" ht="25.5" x14ac:dyDescent="0.2">
      <c r="A1367" s="1" t="s">
        <v>4</v>
      </c>
      <c r="B1367" s="2" t="s">
        <v>157</v>
      </c>
      <c r="C1367" s="1"/>
      <c r="D1367" s="5" t="s">
        <v>783</v>
      </c>
      <c r="E1367" s="3">
        <v>128000</v>
      </c>
      <c r="F1367" s="3">
        <v>121835</v>
      </c>
      <c r="G1367" s="57">
        <f t="shared" si="21"/>
        <v>-4.81640625E-2</v>
      </c>
      <c r="H1367" s="5" t="s">
        <v>4029</v>
      </c>
    </row>
    <row r="1368" spans="1:8" ht="25.5" x14ac:dyDescent="0.2">
      <c r="A1368" s="1" t="s">
        <v>4</v>
      </c>
      <c r="B1368" s="2" t="s">
        <v>157</v>
      </c>
      <c r="C1368" s="1"/>
      <c r="D1368" s="5" t="s">
        <v>1600</v>
      </c>
      <c r="E1368" s="3">
        <v>98391</v>
      </c>
      <c r="F1368" s="3">
        <v>297467</v>
      </c>
      <c r="G1368" s="57">
        <f t="shared" si="21"/>
        <v>2.0233151406124543</v>
      </c>
      <c r="H1368" s="5" t="s">
        <v>4638</v>
      </c>
    </row>
    <row r="1369" spans="1:8" ht="38.25" x14ac:dyDescent="0.2">
      <c r="A1369" s="1" t="s">
        <v>4</v>
      </c>
      <c r="B1369" s="2" t="s">
        <v>157</v>
      </c>
      <c r="C1369" s="1"/>
      <c r="D1369" s="5" t="s">
        <v>613</v>
      </c>
      <c r="E1369" s="3">
        <v>100550</v>
      </c>
      <c r="F1369" s="3">
        <v>94431</v>
      </c>
      <c r="G1369" s="57">
        <f t="shared" si="21"/>
        <v>-6.0855295872700152E-2</v>
      </c>
      <c r="H1369" s="5" t="s">
        <v>4639</v>
      </c>
    </row>
    <row r="1370" spans="1:8" ht="51" x14ac:dyDescent="0.2">
      <c r="A1370" s="1" t="s">
        <v>20</v>
      </c>
      <c r="B1370" s="2" t="s">
        <v>158</v>
      </c>
      <c r="D1370" s="5" t="s">
        <v>1597</v>
      </c>
      <c r="E1370" s="3">
        <v>202580</v>
      </c>
      <c r="F1370" s="3">
        <v>400616</v>
      </c>
      <c r="G1370" s="57">
        <f t="shared" si="21"/>
        <v>0.9775693553164182</v>
      </c>
      <c r="H1370" s="5" t="s">
        <v>4327</v>
      </c>
    </row>
    <row r="1371" spans="1:8" ht="38.25" x14ac:dyDescent="0.2">
      <c r="A1371" s="1" t="s">
        <v>20</v>
      </c>
      <c r="B1371" s="2" t="s">
        <v>158</v>
      </c>
      <c r="D1371" s="5" t="s">
        <v>1598</v>
      </c>
      <c r="E1371" s="4" t="s">
        <v>465</v>
      </c>
      <c r="F1371" s="3">
        <v>141769</v>
      </c>
      <c r="G1371" s="57" t="str">
        <f t="shared" si="21"/>
        <v>-</v>
      </c>
      <c r="H1371" s="5" t="s">
        <v>4328</v>
      </c>
    </row>
    <row r="1372" spans="1:8" ht="38.25" x14ac:dyDescent="0.2">
      <c r="A1372" s="1" t="s">
        <v>20</v>
      </c>
      <c r="B1372" s="2" t="s">
        <v>158</v>
      </c>
      <c r="D1372" s="5" t="s">
        <v>4030</v>
      </c>
      <c r="E1372" s="4" t="s">
        <v>465</v>
      </c>
      <c r="F1372" s="3">
        <v>117574</v>
      </c>
      <c r="G1372" s="57" t="str">
        <f t="shared" si="21"/>
        <v>-</v>
      </c>
      <c r="H1372" s="5" t="s">
        <v>4329</v>
      </c>
    </row>
    <row r="1373" spans="1:8" ht="25.5" x14ac:dyDescent="0.2">
      <c r="A1373" s="1" t="s">
        <v>20</v>
      </c>
      <c r="B1373" s="2" t="s">
        <v>158</v>
      </c>
      <c r="D1373" s="5" t="s">
        <v>4031</v>
      </c>
      <c r="E1373" s="3">
        <v>128559</v>
      </c>
      <c r="F1373" s="3" t="s">
        <v>465</v>
      </c>
      <c r="G1373" s="57" t="str">
        <f t="shared" si="21"/>
        <v>-</v>
      </c>
      <c r="H1373" s="5" t="s">
        <v>4032</v>
      </c>
    </row>
    <row r="1374" spans="1:8" ht="25.5" x14ac:dyDescent="0.2">
      <c r="A1374" s="1" t="s">
        <v>20</v>
      </c>
      <c r="B1374" s="2" t="s">
        <v>158</v>
      </c>
      <c r="D1374" s="5" t="s">
        <v>4033</v>
      </c>
      <c r="E1374" s="3">
        <v>121369</v>
      </c>
      <c r="F1374" s="3" t="s">
        <v>465</v>
      </c>
      <c r="G1374" s="57" t="str">
        <f t="shared" si="21"/>
        <v>-</v>
      </c>
      <c r="H1374" s="5" t="s">
        <v>4034</v>
      </c>
    </row>
    <row r="1375" spans="1:8" ht="25.5" x14ac:dyDescent="0.2">
      <c r="A1375" s="1" t="s">
        <v>20</v>
      </c>
      <c r="B1375" s="2" t="s">
        <v>158</v>
      </c>
      <c r="D1375" s="5" t="s">
        <v>1599</v>
      </c>
      <c r="E1375" s="3">
        <v>93909</v>
      </c>
      <c r="F1375" s="3">
        <v>116142</v>
      </c>
      <c r="G1375" s="57">
        <f t="shared" si="21"/>
        <v>0.23675047120084336</v>
      </c>
      <c r="H1375" s="5" t="s">
        <v>4035</v>
      </c>
    </row>
    <row r="1376" spans="1:8" x14ac:dyDescent="0.2">
      <c r="A1376" s="1" t="s">
        <v>20</v>
      </c>
      <c r="B1376" s="2" t="s">
        <v>158</v>
      </c>
      <c r="D1376" s="5" t="s">
        <v>464</v>
      </c>
      <c r="G1376" s="57" t="str">
        <f t="shared" si="21"/>
        <v>-</v>
      </c>
    </row>
    <row r="1377" spans="1:8" x14ac:dyDescent="0.2">
      <c r="A1377" s="1" t="s">
        <v>20</v>
      </c>
      <c r="B1377" s="2" t="s">
        <v>158</v>
      </c>
      <c r="D1377" s="5" t="s">
        <v>464</v>
      </c>
      <c r="E1377" s="3">
        <v>107500</v>
      </c>
      <c r="F1377" s="3" t="s">
        <v>465</v>
      </c>
      <c r="G1377" s="57" t="str">
        <f t="shared" si="21"/>
        <v>-</v>
      </c>
    </row>
    <row r="1378" spans="1:8" x14ac:dyDescent="0.2">
      <c r="A1378" s="1" t="s">
        <v>20</v>
      </c>
      <c r="B1378" s="2" t="s">
        <v>158</v>
      </c>
      <c r="D1378" s="5" t="s">
        <v>464</v>
      </c>
      <c r="E1378" s="3" t="s">
        <v>465</v>
      </c>
      <c r="F1378" s="3">
        <v>137500</v>
      </c>
      <c r="G1378" s="57" t="str">
        <f t="shared" si="21"/>
        <v>-</v>
      </c>
    </row>
    <row r="1379" spans="1:8" x14ac:dyDescent="0.2">
      <c r="A1379" s="1" t="s">
        <v>20</v>
      </c>
      <c r="B1379" s="2" t="s">
        <v>158</v>
      </c>
      <c r="C1379" s="1"/>
      <c r="D1379" s="5" t="s">
        <v>464</v>
      </c>
      <c r="E1379" s="3" t="s">
        <v>465</v>
      </c>
      <c r="F1379" s="3">
        <v>142500</v>
      </c>
      <c r="G1379" s="57" t="str">
        <f t="shared" si="21"/>
        <v>-</v>
      </c>
    </row>
    <row r="1380" spans="1:8" ht="25.5" x14ac:dyDescent="0.2">
      <c r="A1380" s="1" t="s">
        <v>11</v>
      </c>
      <c r="B1380" s="2" t="s">
        <v>159</v>
      </c>
      <c r="C1380" s="29" t="s">
        <v>2697</v>
      </c>
      <c r="G1380" s="57" t="str">
        <f t="shared" si="21"/>
        <v>-</v>
      </c>
    </row>
    <row r="1381" spans="1:8" ht="25.5" x14ac:dyDescent="0.2">
      <c r="A1381" s="1" t="s">
        <v>1</v>
      </c>
      <c r="B1381" s="2" t="s">
        <v>160</v>
      </c>
      <c r="C1381" s="5" t="s">
        <v>1586</v>
      </c>
      <c r="D1381" s="5" t="s">
        <v>450</v>
      </c>
      <c r="E1381" s="3">
        <f>164560+29036</f>
        <v>193596</v>
      </c>
      <c r="F1381" s="3">
        <f>169717+29632</f>
        <v>199349</v>
      </c>
      <c r="G1381" s="57">
        <f t="shared" si="21"/>
        <v>2.9716523068658442E-2</v>
      </c>
      <c r="H1381" s="5" t="s">
        <v>4036</v>
      </c>
    </row>
    <row r="1382" spans="1:8" ht="25.5" x14ac:dyDescent="0.2">
      <c r="A1382" s="1" t="s">
        <v>1</v>
      </c>
      <c r="B1382" s="2" t="s">
        <v>160</v>
      </c>
      <c r="C1382" s="5" t="s">
        <v>1587</v>
      </c>
      <c r="D1382" s="5" t="s">
        <v>1588</v>
      </c>
      <c r="E1382" s="3">
        <f>108435+19084</f>
        <v>127519</v>
      </c>
      <c r="F1382" s="3">
        <f>111136+20227</f>
        <v>131363</v>
      </c>
      <c r="G1382" s="57">
        <f t="shared" si="21"/>
        <v>3.0144527482179127E-2</v>
      </c>
      <c r="H1382" s="5" t="s">
        <v>4037</v>
      </c>
    </row>
    <row r="1383" spans="1:8" ht="25.5" x14ac:dyDescent="0.2">
      <c r="A1383" s="1" t="s">
        <v>1</v>
      </c>
      <c r="B1383" s="2" t="s">
        <v>160</v>
      </c>
      <c r="C1383" s="5" t="s">
        <v>1589</v>
      </c>
      <c r="D1383" s="5" t="s">
        <v>1590</v>
      </c>
      <c r="E1383" s="3">
        <f>108435+19084</f>
        <v>127519</v>
      </c>
      <c r="F1383" s="3">
        <f>111136+20227</f>
        <v>131363</v>
      </c>
      <c r="G1383" s="57">
        <f t="shared" si="21"/>
        <v>3.0144527482179127E-2</v>
      </c>
      <c r="H1383" s="5" t="s">
        <v>4037</v>
      </c>
    </row>
    <row r="1384" spans="1:8" ht="25.5" x14ac:dyDescent="0.2">
      <c r="A1384" s="1" t="s">
        <v>1</v>
      </c>
      <c r="B1384" s="2" t="s">
        <v>160</v>
      </c>
      <c r="C1384" s="5" t="s">
        <v>1591</v>
      </c>
      <c r="D1384" s="5" t="s">
        <v>4330</v>
      </c>
      <c r="E1384" s="3">
        <f>77206+13597</f>
        <v>90803</v>
      </c>
      <c r="F1384" s="3">
        <f>111136+20227</f>
        <v>131363</v>
      </c>
      <c r="G1384" s="57">
        <f t="shared" si="21"/>
        <v>0.44668127705031774</v>
      </c>
      <c r="H1384" s="5" t="s">
        <v>4331</v>
      </c>
    </row>
    <row r="1385" spans="1:8" ht="25.5" x14ac:dyDescent="0.2">
      <c r="A1385" s="1" t="s">
        <v>1</v>
      </c>
      <c r="B1385" s="2" t="s">
        <v>160</v>
      </c>
      <c r="C1385" s="5" t="s">
        <v>1592</v>
      </c>
      <c r="D1385" s="5" t="s">
        <v>1593</v>
      </c>
      <c r="E1385" s="3">
        <f>108435+19084</f>
        <v>127519</v>
      </c>
      <c r="F1385" s="3">
        <f>111136+20227</f>
        <v>131363</v>
      </c>
      <c r="G1385" s="57">
        <f t="shared" si="21"/>
        <v>3.0144527482179127E-2</v>
      </c>
      <c r="H1385" s="5" t="s">
        <v>4037</v>
      </c>
    </row>
    <row r="1386" spans="1:8" ht="25.5" x14ac:dyDescent="0.2">
      <c r="A1386" s="1" t="s">
        <v>1</v>
      </c>
      <c r="B1386" s="2" t="s">
        <v>160</v>
      </c>
      <c r="C1386" s="5" t="s">
        <v>4038</v>
      </c>
      <c r="D1386" s="5" t="s">
        <v>4039</v>
      </c>
      <c r="E1386" s="3">
        <f>108435+19084</f>
        <v>127519</v>
      </c>
      <c r="F1386" s="3">
        <f>66082+2000+17733</f>
        <v>85815</v>
      </c>
      <c r="G1386" s="57">
        <f t="shared" si="21"/>
        <v>-0.32704146048824095</v>
      </c>
      <c r="H1386" s="5" t="s">
        <v>4332</v>
      </c>
    </row>
    <row r="1387" spans="1:8" ht="25.5" x14ac:dyDescent="0.2">
      <c r="A1387" s="1" t="s">
        <v>1</v>
      </c>
      <c r="B1387" s="2" t="s">
        <v>160</v>
      </c>
      <c r="C1387" s="5" t="s">
        <v>1594</v>
      </c>
      <c r="D1387" s="5" t="s">
        <v>1595</v>
      </c>
      <c r="E1387" s="3">
        <f>108435+19084</f>
        <v>127519</v>
      </c>
      <c r="F1387" s="3">
        <f>111136+20227</f>
        <v>131363</v>
      </c>
      <c r="G1387" s="57">
        <f t="shared" si="21"/>
        <v>3.0144527482179127E-2</v>
      </c>
      <c r="H1387" s="5" t="s">
        <v>4037</v>
      </c>
    </row>
    <row r="1388" spans="1:8" ht="25.5" x14ac:dyDescent="0.2">
      <c r="A1388" s="1" t="s">
        <v>1</v>
      </c>
      <c r="B1388" s="2" t="s">
        <v>160</v>
      </c>
      <c r="C1388" s="5" t="s">
        <v>1596</v>
      </c>
      <c r="D1388" s="5" t="s">
        <v>4040</v>
      </c>
      <c r="E1388" s="3">
        <f>16431+2876</f>
        <v>19307</v>
      </c>
      <c r="F1388" s="3">
        <f>99160+536+18047</f>
        <v>117743</v>
      </c>
      <c r="G1388" s="57">
        <f t="shared" si="21"/>
        <v>5.0984616978298023</v>
      </c>
      <c r="H1388" s="5" t="s">
        <v>4333</v>
      </c>
    </row>
    <row r="1389" spans="1:8" ht="25.5" x14ac:dyDescent="0.2">
      <c r="A1389" s="1" t="s">
        <v>1</v>
      </c>
      <c r="B1389" s="2" t="s">
        <v>160</v>
      </c>
      <c r="C1389" s="5" t="s">
        <v>4041</v>
      </c>
      <c r="D1389" s="5" t="s">
        <v>604</v>
      </c>
      <c r="E1389" s="3">
        <v>104546</v>
      </c>
      <c r="F1389" s="3">
        <f>32356+5249</f>
        <v>37605</v>
      </c>
      <c r="G1389" s="57">
        <f t="shared" si="21"/>
        <v>-0.6403018766858608</v>
      </c>
      <c r="H1389" s="7" t="s">
        <v>4334</v>
      </c>
    </row>
    <row r="1390" spans="1:8" x14ac:dyDescent="0.2">
      <c r="A1390" s="1" t="s">
        <v>1</v>
      </c>
      <c r="B1390" s="2" t="s">
        <v>160</v>
      </c>
      <c r="C1390" s="1"/>
      <c r="D1390" s="5" t="s">
        <v>464</v>
      </c>
      <c r="E1390" s="3">
        <v>107500</v>
      </c>
      <c r="F1390" s="3" t="s">
        <v>465</v>
      </c>
      <c r="G1390" s="57" t="str">
        <f t="shared" si="21"/>
        <v>-</v>
      </c>
    </row>
    <row r="1391" spans="1:8" x14ac:dyDescent="0.2">
      <c r="A1391" s="1" t="s">
        <v>1</v>
      </c>
      <c r="B1391" s="2" t="s">
        <v>160</v>
      </c>
      <c r="C1391" s="1"/>
      <c r="D1391" s="5" t="s">
        <v>464</v>
      </c>
      <c r="E1391" s="3">
        <v>107500</v>
      </c>
      <c r="F1391" s="3" t="s">
        <v>465</v>
      </c>
      <c r="G1391" s="57" t="str">
        <f t="shared" si="21"/>
        <v>-</v>
      </c>
    </row>
    <row r="1392" spans="1:8" x14ac:dyDescent="0.2">
      <c r="A1392" s="1" t="s">
        <v>1</v>
      </c>
      <c r="B1392" s="2" t="s">
        <v>160</v>
      </c>
      <c r="C1392" s="1"/>
      <c r="D1392" s="5" t="s">
        <v>464</v>
      </c>
      <c r="E1392" s="3">
        <v>132500</v>
      </c>
      <c r="F1392" s="3" t="s">
        <v>465</v>
      </c>
      <c r="G1392" s="57" t="str">
        <f t="shared" si="21"/>
        <v>-</v>
      </c>
    </row>
    <row r="1393" spans="1:8" x14ac:dyDescent="0.2">
      <c r="A1393" s="1" t="s">
        <v>1</v>
      </c>
      <c r="B1393" s="2" t="s">
        <v>160</v>
      </c>
      <c r="D1393" s="5" t="s">
        <v>464</v>
      </c>
      <c r="E1393" s="3" t="s">
        <v>465</v>
      </c>
      <c r="F1393" s="3">
        <v>107500</v>
      </c>
      <c r="G1393" s="57" t="str">
        <f t="shared" si="21"/>
        <v>-</v>
      </c>
    </row>
    <row r="1394" spans="1:8" x14ac:dyDescent="0.2">
      <c r="A1394" s="1" t="s">
        <v>1</v>
      </c>
      <c r="B1394" s="2" t="s">
        <v>160</v>
      </c>
      <c r="D1394" s="5" t="s">
        <v>464</v>
      </c>
      <c r="E1394" s="3" t="s">
        <v>465</v>
      </c>
      <c r="F1394" s="3">
        <v>132500</v>
      </c>
      <c r="G1394" s="57" t="str">
        <f t="shared" si="21"/>
        <v>-</v>
      </c>
    </row>
    <row r="1395" spans="1:8" ht="25.5" x14ac:dyDescent="0.2">
      <c r="A1395" s="1" t="s">
        <v>44</v>
      </c>
      <c r="B1395" s="2" t="s">
        <v>161</v>
      </c>
      <c r="D1395" s="5" t="s">
        <v>450</v>
      </c>
      <c r="E1395" s="3">
        <v>167534</v>
      </c>
      <c r="F1395" s="3">
        <v>171703</v>
      </c>
      <c r="G1395" s="57">
        <f t="shared" si="21"/>
        <v>2.4884501056501963E-2</v>
      </c>
      <c r="H1395" s="5" t="s">
        <v>4042</v>
      </c>
    </row>
    <row r="1396" spans="1:8" ht="25.5" x14ac:dyDescent="0.2">
      <c r="A1396" s="1" t="s">
        <v>44</v>
      </c>
      <c r="B1396" s="2" t="s">
        <v>161</v>
      </c>
      <c r="D1396" s="5" t="s">
        <v>855</v>
      </c>
      <c r="E1396" s="3">
        <v>109168</v>
      </c>
      <c r="F1396" s="3" t="s">
        <v>465</v>
      </c>
      <c r="G1396" s="57" t="str">
        <f t="shared" si="21"/>
        <v>-</v>
      </c>
      <c r="H1396" s="5" t="s">
        <v>4043</v>
      </c>
    </row>
    <row r="1397" spans="1:8" x14ac:dyDescent="0.2">
      <c r="A1397" s="1" t="s">
        <v>44</v>
      </c>
      <c r="B1397" s="2" t="s">
        <v>161</v>
      </c>
      <c r="D1397" s="5" t="s">
        <v>942</v>
      </c>
      <c r="E1397" s="3">
        <v>114646</v>
      </c>
      <c r="F1397" s="3">
        <v>119032</v>
      </c>
      <c r="G1397" s="57">
        <f t="shared" si="21"/>
        <v>3.8256895138077208E-2</v>
      </c>
      <c r="H1397" s="5" t="s">
        <v>4044</v>
      </c>
    </row>
    <row r="1398" spans="1:8" x14ac:dyDescent="0.2">
      <c r="A1398" s="1" t="s">
        <v>44</v>
      </c>
      <c r="B1398" s="2" t="s">
        <v>161</v>
      </c>
      <c r="D1398" s="5" t="s">
        <v>1585</v>
      </c>
      <c r="E1398" s="3">
        <v>114646</v>
      </c>
      <c r="F1398" s="3">
        <v>119032</v>
      </c>
      <c r="G1398" s="57">
        <f t="shared" si="21"/>
        <v>3.8256895138077208E-2</v>
      </c>
      <c r="H1398" s="5" t="s">
        <v>4044</v>
      </c>
    </row>
    <row r="1399" spans="1:8" x14ac:dyDescent="0.2">
      <c r="A1399" s="1" t="s">
        <v>44</v>
      </c>
      <c r="B1399" s="2" t="s">
        <v>161</v>
      </c>
      <c r="D1399" s="5" t="s">
        <v>740</v>
      </c>
      <c r="E1399" s="3">
        <v>100397</v>
      </c>
      <c r="F1399" s="3">
        <v>100237</v>
      </c>
      <c r="G1399" s="57">
        <f t="shared" si="21"/>
        <v>-1.5936731177226412E-3</v>
      </c>
      <c r="H1399" s="5" t="s">
        <v>4045</v>
      </c>
    </row>
    <row r="1400" spans="1:8" x14ac:dyDescent="0.2">
      <c r="A1400" s="1" t="s">
        <v>44</v>
      </c>
      <c r="B1400" s="2" t="s">
        <v>161</v>
      </c>
      <c r="D1400" s="5" t="s">
        <v>570</v>
      </c>
      <c r="E1400" s="3">
        <v>101569</v>
      </c>
      <c r="F1400" s="3">
        <v>101569</v>
      </c>
      <c r="G1400" s="57">
        <f t="shared" si="21"/>
        <v>0</v>
      </c>
      <c r="H1400" s="5" t="s">
        <v>4046</v>
      </c>
    </row>
    <row r="1401" spans="1:8" x14ac:dyDescent="0.2">
      <c r="A1401" s="1" t="s">
        <v>44</v>
      </c>
      <c r="B1401" s="2" t="s">
        <v>161</v>
      </c>
      <c r="D1401" s="5" t="s">
        <v>464</v>
      </c>
      <c r="E1401" s="3">
        <v>112500</v>
      </c>
      <c r="F1401" s="3" t="s">
        <v>465</v>
      </c>
      <c r="G1401" s="57" t="str">
        <f t="shared" si="21"/>
        <v>-</v>
      </c>
    </row>
    <row r="1402" spans="1:8" x14ac:dyDescent="0.2">
      <c r="A1402" s="1" t="s">
        <v>44</v>
      </c>
      <c r="B1402" s="2" t="s">
        <v>161</v>
      </c>
      <c r="D1402" s="5" t="s">
        <v>464</v>
      </c>
      <c r="E1402" s="3" t="s">
        <v>465</v>
      </c>
      <c r="F1402" s="3">
        <v>137500</v>
      </c>
      <c r="G1402" s="57" t="str">
        <f t="shared" si="21"/>
        <v>-</v>
      </c>
    </row>
    <row r="1403" spans="1:8" x14ac:dyDescent="0.2">
      <c r="A1403" s="1" t="s">
        <v>44</v>
      </c>
      <c r="B1403" s="2" t="s">
        <v>161</v>
      </c>
      <c r="D1403" s="5" t="s">
        <v>464</v>
      </c>
      <c r="E1403" s="3" t="s">
        <v>465</v>
      </c>
      <c r="F1403" s="3">
        <v>142500</v>
      </c>
      <c r="G1403" s="57" t="str">
        <f t="shared" si="21"/>
        <v>-</v>
      </c>
    </row>
    <row r="1404" spans="1:8" x14ac:dyDescent="0.2">
      <c r="A1404" s="1" t="s">
        <v>44</v>
      </c>
      <c r="B1404" s="2" t="s">
        <v>161</v>
      </c>
      <c r="D1404" s="5" t="s">
        <v>464</v>
      </c>
      <c r="E1404" s="3" t="s">
        <v>465</v>
      </c>
      <c r="F1404" s="3">
        <v>142500</v>
      </c>
      <c r="G1404" s="57" t="str">
        <f t="shared" si="21"/>
        <v>-</v>
      </c>
    </row>
    <row r="1405" spans="1:8" ht="25.5" x14ac:dyDescent="0.2">
      <c r="A1405" s="1" t="s">
        <v>20</v>
      </c>
      <c r="B1405" s="2" t="s">
        <v>162</v>
      </c>
      <c r="D1405" s="5" t="s">
        <v>450</v>
      </c>
      <c r="E1405" s="3">
        <v>118391</v>
      </c>
      <c r="F1405" s="3">
        <v>121797</v>
      </c>
      <c r="G1405" s="57">
        <f t="shared" si="21"/>
        <v>2.8769078730646755E-2</v>
      </c>
      <c r="H1405" s="5" t="s">
        <v>4047</v>
      </c>
    </row>
    <row r="1406" spans="1:8" ht="25.5" x14ac:dyDescent="0.2">
      <c r="A1406" s="1" t="s">
        <v>34</v>
      </c>
      <c r="B1406" s="2" t="s">
        <v>163</v>
      </c>
      <c r="D1406" s="5" t="s">
        <v>472</v>
      </c>
      <c r="E1406" s="3">
        <v>103773</v>
      </c>
      <c r="F1406" s="3">
        <v>109441</v>
      </c>
      <c r="G1406" s="57">
        <f t="shared" si="21"/>
        <v>5.4619216944677328E-2</v>
      </c>
      <c r="H1406" s="5" t="s">
        <v>4048</v>
      </c>
    </row>
    <row r="1407" spans="1:8" ht="25.5" x14ac:dyDescent="0.2">
      <c r="A1407" s="1" t="s">
        <v>34</v>
      </c>
      <c r="B1407" s="2" t="s">
        <v>163</v>
      </c>
      <c r="D1407" s="5" t="s">
        <v>473</v>
      </c>
      <c r="E1407" s="3">
        <v>102100</v>
      </c>
      <c r="F1407" s="3">
        <v>107036</v>
      </c>
      <c r="G1407" s="57">
        <f t="shared" si="21"/>
        <v>4.834476003917728E-2</v>
      </c>
      <c r="H1407" s="5" t="s">
        <v>4049</v>
      </c>
    </row>
    <row r="1408" spans="1:8" ht="25.5" x14ac:dyDescent="0.2">
      <c r="A1408" s="1" t="s">
        <v>165</v>
      </c>
      <c r="B1408" s="2" t="s">
        <v>164</v>
      </c>
      <c r="D1408" s="5" t="s">
        <v>450</v>
      </c>
      <c r="E1408" s="3">
        <v>125000</v>
      </c>
      <c r="F1408" s="3">
        <v>122000</v>
      </c>
      <c r="G1408" s="57">
        <f t="shared" si="21"/>
        <v>-2.4E-2</v>
      </c>
      <c r="H1408" s="5" t="s">
        <v>4050</v>
      </c>
    </row>
    <row r="1409" spans="1:8" ht="38.25" x14ac:dyDescent="0.2">
      <c r="A1409" s="1" t="s">
        <v>111</v>
      </c>
      <c r="B1409" s="2" t="s">
        <v>166</v>
      </c>
      <c r="C1409" s="5" t="s">
        <v>1578</v>
      </c>
      <c r="D1409" s="5" t="s">
        <v>450</v>
      </c>
      <c r="E1409" s="3">
        <v>245581</v>
      </c>
      <c r="F1409" s="3">
        <v>252838</v>
      </c>
      <c r="G1409" s="57">
        <f t="shared" si="21"/>
        <v>2.9550331662465745E-2</v>
      </c>
      <c r="H1409" s="5" t="s">
        <v>4051</v>
      </c>
    </row>
    <row r="1410" spans="1:8" ht="25.5" x14ac:dyDescent="0.2">
      <c r="A1410" s="1" t="s">
        <v>111</v>
      </c>
      <c r="B1410" s="2" t="s">
        <v>166</v>
      </c>
      <c r="D1410" s="5" t="s">
        <v>451</v>
      </c>
      <c r="E1410" s="3">
        <v>128347</v>
      </c>
      <c r="F1410" s="3">
        <v>134944</v>
      </c>
      <c r="G1410" s="57">
        <f t="shared" si="21"/>
        <v>5.1399721068665416E-2</v>
      </c>
      <c r="H1410" s="5" t="s">
        <v>4052</v>
      </c>
    </row>
    <row r="1411" spans="1:8" ht="25.5" x14ac:dyDescent="0.2">
      <c r="A1411" s="1" t="s">
        <v>111</v>
      </c>
      <c r="B1411" s="2" t="s">
        <v>166</v>
      </c>
      <c r="D1411" s="5" t="s">
        <v>1579</v>
      </c>
      <c r="E1411" s="3">
        <v>165387</v>
      </c>
      <c r="F1411" s="3">
        <v>172513</v>
      </c>
      <c r="G1411" s="57">
        <f t="shared" ref="G1411:G1474" si="22">IF(ISERROR((F1411-E1411)/E1411),"-",(F1411-E1411)/E1411)</f>
        <v>4.3086820608633086E-2</v>
      </c>
      <c r="H1411" s="5" t="s">
        <v>4053</v>
      </c>
    </row>
    <row r="1412" spans="1:8" ht="25.5" x14ac:dyDescent="0.2">
      <c r="A1412" s="1" t="s">
        <v>111</v>
      </c>
      <c r="B1412" s="2" t="s">
        <v>166</v>
      </c>
      <c r="D1412" s="5" t="s">
        <v>1580</v>
      </c>
      <c r="E1412" s="3">
        <v>128304</v>
      </c>
      <c r="F1412" s="3">
        <v>135060</v>
      </c>
      <c r="G1412" s="57">
        <f t="shared" si="22"/>
        <v>5.2656191545080437E-2</v>
      </c>
      <c r="H1412" s="5" t="s">
        <v>4054</v>
      </c>
    </row>
    <row r="1413" spans="1:8" s="13" customFormat="1" ht="25.5" x14ac:dyDescent="0.2">
      <c r="A1413" s="1" t="s">
        <v>111</v>
      </c>
      <c r="B1413" s="12" t="s">
        <v>166</v>
      </c>
      <c r="C1413" s="7"/>
      <c r="D1413" s="7" t="s">
        <v>1581</v>
      </c>
      <c r="E1413" s="6">
        <f>15372+1021+2306</f>
        <v>18699</v>
      </c>
      <c r="F1413" s="6">
        <v>115770</v>
      </c>
      <c r="G1413" s="57">
        <f t="shared" si="22"/>
        <v>5.1912401732712983</v>
      </c>
      <c r="H1413" s="7" t="s">
        <v>4335</v>
      </c>
    </row>
    <row r="1414" spans="1:8" s="13" customFormat="1" ht="25.5" x14ac:dyDescent="0.2">
      <c r="A1414" s="1" t="s">
        <v>111</v>
      </c>
      <c r="B1414" s="12" t="s">
        <v>166</v>
      </c>
      <c r="C1414" s="7"/>
      <c r="D1414" s="7" t="s">
        <v>1582</v>
      </c>
      <c r="E1414" s="6">
        <f>17883+846+2680</f>
        <v>21409</v>
      </c>
      <c r="F1414" s="6">
        <v>135093</v>
      </c>
      <c r="G1414" s="57">
        <f t="shared" si="22"/>
        <v>5.3101032276145546</v>
      </c>
      <c r="H1414" s="7" t="s">
        <v>4336</v>
      </c>
    </row>
    <row r="1415" spans="1:8" ht="25.5" x14ac:dyDescent="0.2">
      <c r="A1415" s="1" t="s">
        <v>111</v>
      </c>
      <c r="B1415" s="2" t="s">
        <v>166</v>
      </c>
      <c r="D1415" s="5" t="s">
        <v>1583</v>
      </c>
      <c r="E1415" s="3">
        <v>140469</v>
      </c>
      <c r="F1415" s="3">
        <v>147523</v>
      </c>
      <c r="G1415" s="57">
        <f t="shared" si="22"/>
        <v>5.0217485708590505E-2</v>
      </c>
      <c r="H1415" s="5" t="s">
        <v>4055</v>
      </c>
    </row>
    <row r="1416" spans="1:8" ht="51" x14ac:dyDescent="0.2">
      <c r="A1416" s="1" t="s">
        <v>111</v>
      </c>
      <c r="B1416" s="2" t="s">
        <v>166</v>
      </c>
      <c r="D1416" s="5" t="s">
        <v>1584</v>
      </c>
      <c r="E1416" s="3">
        <v>324881</v>
      </c>
      <c r="F1416" s="3">
        <v>122083</v>
      </c>
      <c r="G1416" s="57">
        <f t="shared" si="22"/>
        <v>-0.62422240758924041</v>
      </c>
      <c r="H1416" s="5" t="s">
        <v>4337</v>
      </c>
    </row>
    <row r="1417" spans="1:8" x14ac:dyDescent="0.2">
      <c r="A1417" s="1" t="s">
        <v>111</v>
      </c>
      <c r="B1417" s="2" t="s">
        <v>166</v>
      </c>
      <c r="C1417" s="1"/>
      <c r="D1417" s="5" t="s">
        <v>464</v>
      </c>
      <c r="E1417" s="3">
        <v>102500</v>
      </c>
      <c r="F1417" s="3" t="s">
        <v>465</v>
      </c>
      <c r="G1417" s="57" t="str">
        <f t="shared" si="22"/>
        <v>-</v>
      </c>
      <c r="H1417" s="1"/>
    </row>
    <row r="1418" spans="1:8" x14ac:dyDescent="0.2">
      <c r="A1418" s="1" t="s">
        <v>111</v>
      </c>
      <c r="B1418" s="2" t="s">
        <v>166</v>
      </c>
      <c r="C1418" s="1"/>
      <c r="D1418" s="5" t="s">
        <v>464</v>
      </c>
      <c r="E1418" s="3">
        <v>102500</v>
      </c>
      <c r="F1418" s="3" t="s">
        <v>465</v>
      </c>
      <c r="G1418" s="57" t="str">
        <f t="shared" si="22"/>
        <v>-</v>
      </c>
      <c r="H1418" s="1"/>
    </row>
    <row r="1419" spans="1:8" x14ac:dyDescent="0.2">
      <c r="A1419" s="1" t="s">
        <v>111</v>
      </c>
      <c r="B1419" s="2" t="s">
        <v>166</v>
      </c>
      <c r="C1419" s="1"/>
      <c r="D1419" s="5" t="s">
        <v>464</v>
      </c>
      <c r="E1419" s="3">
        <v>102500</v>
      </c>
      <c r="F1419" s="3" t="s">
        <v>465</v>
      </c>
      <c r="G1419" s="57" t="str">
        <f t="shared" si="22"/>
        <v>-</v>
      </c>
      <c r="H1419" s="1"/>
    </row>
    <row r="1420" spans="1:8" x14ac:dyDescent="0.2">
      <c r="A1420" s="1" t="s">
        <v>111</v>
      </c>
      <c r="B1420" s="2" t="s">
        <v>166</v>
      </c>
      <c r="C1420" s="1"/>
      <c r="D1420" s="5" t="s">
        <v>464</v>
      </c>
      <c r="E1420" s="3">
        <v>117500</v>
      </c>
      <c r="F1420" s="3" t="s">
        <v>465</v>
      </c>
      <c r="G1420" s="57" t="str">
        <f t="shared" si="22"/>
        <v>-</v>
      </c>
      <c r="H1420" s="1"/>
    </row>
    <row r="1421" spans="1:8" x14ac:dyDescent="0.2">
      <c r="A1421" s="1" t="s">
        <v>111</v>
      </c>
      <c r="B1421" s="2" t="s">
        <v>166</v>
      </c>
      <c r="C1421" s="1"/>
      <c r="D1421" s="5" t="s">
        <v>464</v>
      </c>
      <c r="E1421" s="3" t="s">
        <v>465</v>
      </c>
      <c r="F1421" s="3">
        <v>102500</v>
      </c>
      <c r="G1421" s="57" t="str">
        <f t="shared" si="22"/>
        <v>-</v>
      </c>
      <c r="H1421" s="1"/>
    </row>
    <row r="1422" spans="1:8" x14ac:dyDescent="0.2">
      <c r="A1422" s="1" t="s">
        <v>111</v>
      </c>
      <c r="B1422" s="2" t="s">
        <v>166</v>
      </c>
      <c r="C1422" s="1"/>
      <c r="D1422" s="5" t="s">
        <v>464</v>
      </c>
      <c r="E1422" s="3" t="s">
        <v>465</v>
      </c>
      <c r="F1422" s="3">
        <v>102500</v>
      </c>
      <c r="G1422" s="57" t="str">
        <f t="shared" si="22"/>
        <v>-</v>
      </c>
      <c r="H1422" s="1"/>
    </row>
    <row r="1423" spans="1:8" x14ac:dyDescent="0.2">
      <c r="A1423" s="1" t="s">
        <v>111</v>
      </c>
      <c r="B1423" s="2" t="s">
        <v>166</v>
      </c>
      <c r="C1423" s="1"/>
      <c r="D1423" s="5" t="s">
        <v>464</v>
      </c>
      <c r="E1423" s="3" t="s">
        <v>465</v>
      </c>
      <c r="F1423" s="3">
        <v>102500</v>
      </c>
      <c r="G1423" s="57" t="str">
        <f t="shared" si="22"/>
        <v>-</v>
      </c>
      <c r="H1423" s="1"/>
    </row>
    <row r="1424" spans="1:8" x14ac:dyDescent="0.2">
      <c r="A1424" s="1" t="s">
        <v>111</v>
      </c>
      <c r="B1424" s="2" t="s">
        <v>166</v>
      </c>
      <c r="C1424" s="1"/>
      <c r="D1424" s="5" t="s">
        <v>464</v>
      </c>
      <c r="E1424" s="3" t="s">
        <v>465</v>
      </c>
      <c r="F1424" s="3">
        <v>107500</v>
      </c>
      <c r="G1424" s="57" t="str">
        <f t="shared" si="22"/>
        <v>-</v>
      </c>
      <c r="H1424" s="1"/>
    </row>
    <row r="1425" spans="1:8" x14ac:dyDescent="0.2">
      <c r="A1425" s="1" t="s">
        <v>111</v>
      </c>
      <c r="B1425" s="2" t="s">
        <v>166</v>
      </c>
      <c r="C1425" s="1"/>
      <c r="D1425" s="5" t="s">
        <v>464</v>
      </c>
      <c r="E1425" s="3" t="s">
        <v>465</v>
      </c>
      <c r="F1425" s="3">
        <v>107500</v>
      </c>
      <c r="G1425" s="57" t="str">
        <f t="shared" si="22"/>
        <v>-</v>
      </c>
      <c r="H1425" s="1"/>
    </row>
    <row r="1426" spans="1:8" x14ac:dyDescent="0.2">
      <c r="A1426" s="1" t="s">
        <v>111</v>
      </c>
      <c r="B1426" s="2" t="s">
        <v>166</v>
      </c>
      <c r="D1426" s="5" t="s">
        <v>464</v>
      </c>
      <c r="E1426" s="3" t="s">
        <v>465</v>
      </c>
      <c r="F1426" s="3">
        <v>107500</v>
      </c>
      <c r="G1426" s="57" t="str">
        <f t="shared" si="22"/>
        <v>-</v>
      </c>
    </row>
    <row r="1427" spans="1:8" x14ac:dyDescent="0.2">
      <c r="A1427" s="1" t="s">
        <v>111</v>
      </c>
      <c r="B1427" s="2" t="s">
        <v>166</v>
      </c>
      <c r="D1427" s="5" t="s">
        <v>464</v>
      </c>
      <c r="E1427" s="3" t="s">
        <v>465</v>
      </c>
      <c r="F1427" s="3">
        <v>127500</v>
      </c>
      <c r="G1427" s="57" t="str">
        <f t="shared" si="22"/>
        <v>-</v>
      </c>
    </row>
    <row r="1428" spans="1:8" x14ac:dyDescent="0.2">
      <c r="A1428" s="1" t="s">
        <v>111</v>
      </c>
      <c r="B1428" s="2" t="s">
        <v>166</v>
      </c>
      <c r="D1428" s="5" t="s">
        <v>464</v>
      </c>
      <c r="E1428" s="3" t="s">
        <v>465</v>
      </c>
      <c r="F1428" s="3">
        <v>132500</v>
      </c>
      <c r="G1428" s="57" t="str">
        <f t="shared" si="22"/>
        <v>-</v>
      </c>
    </row>
    <row r="1429" spans="1:8" ht="38.25" x14ac:dyDescent="0.2">
      <c r="A1429" s="1" t="s">
        <v>8</v>
      </c>
      <c r="B1429" s="2" t="s">
        <v>167</v>
      </c>
      <c r="D1429" s="5" t="s">
        <v>450</v>
      </c>
      <c r="E1429" s="3">
        <v>116436</v>
      </c>
      <c r="F1429" s="3">
        <v>170466</v>
      </c>
      <c r="G1429" s="57">
        <f t="shared" si="22"/>
        <v>0.46403174275997117</v>
      </c>
      <c r="H1429" s="5" t="s">
        <v>4338</v>
      </c>
    </row>
    <row r="1430" spans="1:8" ht="38.25" x14ac:dyDescent="0.2">
      <c r="A1430" s="1" t="s">
        <v>8</v>
      </c>
      <c r="B1430" s="2" t="s">
        <v>167</v>
      </c>
      <c r="D1430" s="5" t="s">
        <v>455</v>
      </c>
      <c r="E1430" s="3">
        <v>102471</v>
      </c>
      <c r="F1430" s="3">
        <v>104917</v>
      </c>
      <c r="G1430" s="57">
        <f t="shared" si="22"/>
        <v>2.3870168145133746E-2</v>
      </c>
      <c r="H1430" s="5" t="s">
        <v>4640</v>
      </c>
    </row>
    <row r="1431" spans="1:8" ht="25.5" x14ac:dyDescent="0.2">
      <c r="A1431" s="1" t="s">
        <v>1</v>
      </c>
      <c r="B1431" s="2" t="s">
        <v>168</v>
      </c>
      <c r="C1431" s="5" t="s">
        <v>1556</v>
      </c>
      <c r="D1431" s="5" t="s">
        <v>450</v>
      </c>
      <c r="E1431" s="3">
        <f>188652+28783</f>
        <v>217435</v>
      </c>
      <c r="F1431" s="3">
        <f>187181+30238</f>
        <v>217419</v>
      </c>
      <c r="G1431" s="57">
        <f t="shared" si="22"/>
        <v>-7.3585209372916039E-5</v>
      </c>
      <c r="H1431" s="5" t="s">
        <v>4056</v>
      </c>
    </row>
    <row r="1432" spans="1:8" ht="25.5" x14ac:dyDescent="0.2">
      <c r="A1432" s="1" t="s">
        <v>1</v>
      </c>
      <c r="B1432" s="2" t="s">
        <v>168</v>
      </c>
      <c r="C1432" s="5" t="s">
        <v>1557</v>
      </c>
      <c r="D1432" s="5" t="s">
        <v>1558</v>
      </c>
      <c r="E1432" s="3">
        <f>133256+22790</f>
        <v>156046</v>
      </c>
      <c r="F1432" s="3">
        <f>134051+23942</f>
        <v>157993</v>
      </c>
      <c r="G1432" s="57">
        <f t="shared" si="22"/>
        <v>1.2477090088819963E-2</v>
      </c>
      <c r="H1432" s="5" t="s">
        <v>4057</v>
      </c>
    </row>
    <row r="1433" spans="1:8" ht="63.75" x14ac:dyDescent="0.2">
      <c r="A1433" s="1" t="s">
        <v>1</v>
      </c>
      <c r="B1433" s="2" t="s">
        <v>168</v>
      </c>
      <c r="C1433" s="5" t="s">
        <v>1559</v>
      </c>
      <c r="D1433" s="5" t="s">
        <v>4641</v>
      </c>
      <c r="E1433" s="3">
        <f>145535+22785</f>
        <v>168320</v>
      </c>
      <c r="F1433" s="3">
        <f>251555+199073</f>
        <v>450628</v>
      </c>
      <c r="G1433" s="57">
        <f t="shared" si="22"/>
        <v>1.6772100760456274</v>
      </c>
      <c r="H1433" s="5" t="s">
        <v>4642</v>
      </c>
    </row>
    <row r="1434" spans="1:8" ht="25.5" x14ac:dyDescent="0.2">
      <c r="A1434" s="1" t="s">
        <v>1</v>
      </c>
      <c r="B1434" s="2" t="s">
        <v>168</v>
      </c>
      <c r="C1434" s="5" t="s">
        <v>1560</v>
      </c>
      <c r="D1434" s="5" t="s">
        <v>1561</v>
      </c>
      <c r="E1434" s="3">
        <f>103923+17939</f>
        <v>121862</v>
      </c>
      <c r="F1434" s="3">
        <f>117005+21221</f>
        <v>138226</v>
      </c>
      <c r="G1434" s="57">
        <f t="shared" si="22"/>
        <v>0.13428304147314174</v>
      </c>
      <c r="H1434" s="5" t="s">
        <v>4058</v>
      </c>
    </row>
    <row r="1435" spans="1:8" ht="25.5" x14ac:dyDescent="0.2">
      <c r="A1435" s="1" t="s">
        <v>1</v>
      </c>
      <c r="B1435" s="2" t="s">
        <v>168</v>
      </c>
      <c r="C1435" s="5" t="s">
        <v>1562</v>
      </c>
      <c r="D1435" s="5" t="s">
        <v>1563</v>
      </c>
      <c r="E1435" s="3">
        <f>131997+22785</f>
        <v>154782</v>
      </c>
      <c r="F1435" s="3">
        <f>132051+23942</f>
        <v>155993</v>
      </c>
      <c r="G1435" s="57">
        <f t="shared" si="22"/>
        <v>7.8239071726686569E-3</v>
      </c>
      <c r="H1435" s="5" t="s">
        <v>4059</v>
      </c>
    </row>
    <row r="1436" spans="1:8" ht="25.5" x14ac:dyDescent="0.2">
      <c r="A1436" s="1" t="s">
        <v>1</v>
      </c>
      <c r="B1436" s="2" t="s">
        <v>168</v>
      </c>
      <c r="C1436" s="5" t="s">
        <v>1564</v>
      </c>
      <c r="D1436" s="5" t="s">
        <v>1565</v>
      </c>
      <c r="E1436" s="3">
        <f>120416+20786</f>
        <v>141202</v>
      </c>
      <c r="F1436" s="3">
        <f>125386+22734</f>
        <v>148120</v>
      </c>
      <c r="G1436" s="57">
        <f t="shared" si="22"/>
        <v>4.8993640316709393E-2</v>
      </c>
      <c r="H1436" s="5" t="s">
        <v>4060</v>
      </c>
    </row>
    <row r="1437" spans="1:8" ht="38.25" x14ac:dyDescent="0.2">
      <c r="A1437" s="1" t="s">
        <v>1</v>
      </c>
      <c r="B1437" s="2" t="s">
        <v>168</v>
      </c>
      <c r="C1437" s="5" t="s">
        <v>1566</v>
      </c>
      <c r="D1437" s="5" t="s">
        <v>4061</v>
      </c>
      <c r="E1437" s="3">
        <f>131997+22785</f>
        <v>154782</v>
      </c>
      <c r="F1437" s="3">
        <f>154989+143585</f>
        <v>298574</v>
      </c>
      <c r="G1437" s="57">
        <f t="shared" si="22"/>
        <v>0.92899691178560817</v>
      </c>
      <c r="H1437" s="5" t="s">
        <v>4339</v>
      </c>
    </row>
    <row r="1438" spans="1:8" ht="38.25" x14ac:dyDescent="0.2">
      <c r="A1438" s="1" t="s">
        <v>1</v>
      </c>
      <c r="B1438" s="2" t="s">
        <v>168</v>
      </c>
      <c r="C1438" s="5" t="s">
        <v>1567</v>
      </c>
      <c r="D1438" s="5" t="s">
        <v>4062</v>
      </c>
      <c r="E1438" s="3">
        <f>95457+16167</f>
        <v>111624</v>
      </c>
      <c r="F1438" s="3">
        <f>154156+215671</f>
        <v>369827</v>
      </c>
      <c r="G1438" s="57">
        <f t="shared" si="22"/>
        <v>2.313149501899233</v>
      </c>
      <c r="H1438" s="5" t="s">
        <v>4341</v>
      </c>
    </row>
    <row r="1439" spans="1:8" ht="25.5" x14ac:dyDescent="0.2">
      <c r="A1439" s="1" t="s">
        <v>1</v>
      </c>
      <c r="B1439" s="2" t="s">
        <v>168</v>
      </c>
      <c r="C1439" s="5" t="s">
        <v>1568</v>
      </c>
      <c r="D1439" s="5" t="s">
        <v>1569</v>
      </c>
      <c r="E1439" s="3">
        <f>85858+14705</f>
        <v>100563</v>
      </c>
      <c r="F1439" s="3">
        <f>86781+15553</f>
        <v>102334</v>
      </c>
      <c r="G1439" s="57">
        <f t="shared" si="22"/>
        <v>1.761085090938019E-2</v>
      </c>
      <c r="H1439" s="5" t="s">
        <v>4063</v>
      </c>
    </row>
    <row r="1440" spans="1:8" ht="38.25" x14ac:dyDescent="0.2">
      <c r="A1440" s="1" t="s">
        <v>1</v>
      </c>
      <c r="B1440" s="2" t="s">
        <v>168</v>
      </c>
      <c r="C1440" s="5" t="s">
        <v>1570</v>
      </c>
      <c r="D1440" s="5" t="s">
        <v>1571</v>
      </c>
      <c r="E1440" s="3">
        <f>72739+12558</f>
        <v>85297</v>
      </c>
      <c r="F1440" s="3">
        <f>125846+14109</f>
        <v>139955</v>
      </c>
      <c r="G1440" s="57">
        <f t="shared" si="22"/>
        <v>0.64079627653962035</v>
      </c>
      <c r="H1440" s="5" t="s">
        <v>4340</v>
      </c>
    </row>
    <row r="1441" spans="1:8" ht="38.25" x14ac:dyDescent="0.2">
      <c r="A1441" s="1" t="s">
        <v>1</v>
      </c>
      <c r="B1441" s="2" t="s">
        <v>168</v>
      </c>
      <c r="C1441" s="5" t="s">
        <v>1572</v>
      </c>
      <c r="D1441" s="5" t="s">
        <v>1573</v>
      </c>
      <c r="E1441" s="3">
        <f>81541+14075</f>
        <v>95616</v>
      </c>
      <c r="F1441" s="3">
        <f>155694+100836</f>
        <v>256530</v>
      </c>
      <c r="G1441" s="57">
        <f t="shared" si="22"/>
        <v>1.6829191767068272</v>
      </c>
      <c r="H1441" s="5" t="s">
        <v>4344</v>
      </c>
    </row>
    <row r="1442" spans="1:8" ht="38.25" x14ac:dyDescent="0.2">
      <c r="A1442" s="1" t="s">
        <v>1</v>
      </c>
      <c r="B1442" s="2" t="s">
        <v>168</v>
      </c>
      <c r="C1442" s="5" t="s">
        <v>1574</v>
      </c>
      <c r="D1442" s="5" t="s">
        <v>1575</v>
      </c>
      <c r="E1442" s="3">
        <f>91049+15718</f>
        <v>106767</v>
      </c>
      <c r="F1442" s="3">
        <f>176703+172897</f>
        <v>349600</v>
      </c>
      <c r="G1442" s="57">
        <f t="shared" si="22"/>
        <v>2.2744199986887335</v>
      </c>
      <c r="H1442" s="5" t="s">
        <v>4342</v>
      </c>
    </row>
    <row r="1443" spans="1:8" ht="38.25" x14ac:dyDescent="0.2">
      <c r="A1443" s="1" t="s">
        <v>1</v>
      </c>
      <c r="B1443" s="2" t="s">
        <v>168</v>
      </c>
      <c r="C1443" s="5" t="s">
        <v>1576</v>
      </c>
      <c r="D1443" s="5" t="s">
        <v>1577</v>
      </c>
      <c r="E1443" s="3">
        <f>78880+13616</f>
        <v>92496</v>
      </c>
      <c r="F1443" s="3">
        <f>153252+222859</f>
        <v>376111</v>
      </c>
      <c r="G1443" s="57">
        <f t="shared" si="22"/>
        <v>3.0662407023006399</v>
      </c>
      <c r="H1443" s="5" t="s">
        <v>4343</v>
      </c>
    </row>
    <row r="1444" spans="1:8" x14ac:dyDescent="0.2">
      <c r="A1444" s="1" t="s">
        <v>1</v>
      </c>
      <c r="B1444" s="2" t="s">
        <v>168</v>
      </c>
      <c r="C1444" s="1"/>
      <c r="D1444" s="5" t="s">
        <v>464</v>
      </c>
      <c r="E1444" s="3">
        <v>102500</v>
      </c>
      <c r="F1444" s="3" t="s">
        <v>465</v>
      </c>
      <c r="G1444" s="57" t="str">
        <f t="shared" si="22"/>
        <v>-</v>
      </c>
      <c r="H1444" s="1"/>
    </row>
    <row r="1445" spans="1:8" x14ac:dyDescent="0.2">
      <c r="A1445" s="1" t="s">
        <v>1</v>
      </c>
      <c r="B1445" s="2" t="s">
        <v>168</v>
      </c>
      <c r="C1445" s="1"/>
      <c r="D1445" s="5" t="s">
        <v>464</v>
      </c>
      <c r="E1445" s="3">
        <v>102500</v>
      </c>
      <c r="F1445" s="3" t="s">
        <v>465</v>
      </c>
      <c r="G1445" s="57" t="str">
        <f t="shared" si="22"/>
        <v>-</v>
      </c>
      <c r="H1445" s="1"/>
    </row>
    <row r="1446" spans="1:8" x14ac:dyDescent="0.2">
      <c r="A1446" s="1" t="s">
        <v>1</v>
      </c>
      <c r="B1446" s="2" t="s">
        <v>168</v>
      </c>
      <c r="C1446" s="1"/>
      <c r="D1446" s="5" t="s">
        <v>464</v>
      </c>
      <c r="E1446" s="3">
        <v>102500</v>
      </c>
      <c r="F1446" s="3" t="s">
        <v>465</v>
      </c>
      <c r="G1446" s="57" t="str">
        <f t="shared" si="22"/>
        <v>-</v>
      </c>
      <c r="H1446" s="1"/>
    </row>
    <row r="1447" spans="1:8" x14ac:dyDescent="0.2">
      <c r="A1447" s="1" t="s">
        <v>1</v>
      </c>
      <c r="B1447" s="2" t="s">
        <v>168</v>
      </c>
      <c r="C1447" s="1"/>
      <c r="D1447" s="5" t="s">
        <v>464</v>
      </c>
      <c r="E1447" s="3">
        <v>107500</v>
      </c>
      <c r="F1447" s="3" t="s">
        <v>465</v>
      </c>
      <c r="G1447" s="57" t="str">
        <f t="shared" si="22"/>
        <v>-</v>
      </c>
      <c r="H1447" s="1"/>
    </row>
    <row r="1448" spans="1:8" x14ac:dyDescent="0.2">
      <c r="A1448" s="1" t="s">
        <v>1</v>
      </c>
      <c r="B1448" s="2" t="s">
        <v>168</v>
      </c>
      <c r="C1448" s="1"/>
      <c r="D1448" s="5" t="s">
        <v>464</v>
      </c>
      <c r="E1448" s="3">
        <v>107500</v>
      </c>
      <c r="F1448" s="3" t="s">
        <v>465</v>
      </c>
      <c r="G1448" s="57" t="str">
        <f t="shared" si="22"/>
        <v>-</v>
      </c>
      <c r="H1448" s="1"/>
    </row>
    <row r="1449" spans="1:8" x14ac:dyDescent="0.2">
      <c r="A1449" s="1" t="s">
        <v>1</v>
      </c>
      <c r="B1449" s="2" t="s">
        <v>168</v>
      </c>
      <c r="C1449" s="1"/>
      <c r="D1449" s="5" t="s">
        <v>464</v>
      </c>
      <c r="E1449" s="3">
        <v>112500</v>
      </c>
      <c r="F1449" s="3" t="s">
        <v>465</v>
      </c>
      <c r="G1449" s="57" t="str">
        <f t="shared" si="22"/>
        <v>-</v>
      </c>
      <c r="H1449" s="1"/>
    </row>
    <row r="1450" spans="1:8" x14ac:dyDescent="0.2">
      <c r="A1450" s="1" t="s">
        <v>1</v>
      </c>
      <c r="B1450" s="2" t="s">
        <v>168</v>
      </c>
      <c r="C1450" s="1"/>
      <c r="D1450" s="5" t="s">
        <v>464</v>
      </c>
      <c r="E1450" s="3">
        <v>117500</v>
      </c>
      <c r="F1450" s="3" t="s">
        <v>465</v>
      </c>
      <c r="G1450" s="57" t="str">
        <f t="shared" si="22"/>
        <v>-</v>
      </c>
      <c r="H1450" s="1"/>
    </row>
    <row r="1451" spans="1:8" x14ac:dyDescent="0.2">
      <c r="A1451" s="1" t="s">
        <v>1</v>
      </c>
      <c r="B1451" s="2" t="s">
        <v>168</v>
      </c>
      <c r="C1451" s="1"/>
      <c r="D1451" s="5" t="s">
        <v>464</v>
      </c>
      <c r="E1451" s="3">
        <v>122500</v>
      </c>
      <c r="F1451" s="3" t="s">
        <v>465</v>
      </c>
      <c r="G1451" s="57" t="str">
        <f t="shared" si="22"/>
        <v>-</v>
      </c>
      <c r="H1451" s="1"/>
    </row>
    <row r="1452" spans="1:8" x14ac:dyDescent="0.2">
      <c r="A1452" s="1" t="s">
        <v>1</v>
      </c>
      <c r="B1452" s="2" t="s">
        <v>168</v>
      </c>
      <c r="C1452" s="1"/>
      <c r="D1452" s="5" t="s">
        <v>464</v>
      </c>
      <c r="E1452" s="3">
        <v>122500</v>
      </c>
      <c r="F1452" s="3" t="s">
        <v>465</v>
      </c>
      <c r="G1452" s="57" t="str">
        <f t="shared" si="22"/>
        <v>-</v>
      </c>
      <c r="H1452" s="1"/>
    </row>
    <row r="1453" spans="1:8" x14ac:dyDescent="0.2">
      <c r="A1453" s="1" t="s">
        <v>1</v>
      </c>
      <c r="B1453" s="2" t="s">
        <v>168</v>
      </c>
      <c r="C1453" s="1"/>
      <c r="D1453" s="5" t="s">
        <v>464</v>
      </c>
      <c r="E1453" s="3">
        <v>132500</v>
      </c>
      <c r="F1453" s="3" t="s">
        <v>465</v>
      </c>
      <c r="G1453" s="57" t="str">
        <f t="shared" si="22"/>
        <v>-</v>
      </c>
      <c r="H1453" s="1"/>
    </row>
    <row r="1454" spans="1:8" x14ac:dyDescent="0.2">
      <c r="A1454" s="1" t="s">
        <v>1</v>
      </c>
      <c r="B1454" s="2" t="s">
        <v>168</v>
      </c>
      <c r="C1454" s="1"/>
      <c r="D1454" s="5" t="s">
        <v>464</v>
      </c>
      <c r="E1454" s="3">
        <v>137500</v>
      </c>
      <c r="G1454" s="57">
        <f t="shared" si="22"/>
        <v>-1</v>
      </c>
      <c r="H1454" s="1"/>
    </row>
    <row r="1455" spans="1:8" x14ac:dyDescent="0.2">
      <c r="A1455" s="1" t="s">
        <v>1</v>
      </c>
      <c r="B1455" s="2" t="s">
        <v>168</v>
      </c>
      <c r="C1455" s="1"/>
      <c r="D1455" s="5" t="s">
        <v>464</v>
      </c>
      <c r="E1455" s="3">
        <v>147500</v>
      </c>
      <c r="G1455" s="57">
        <f t="shared" si="22"/>
        <v>-1</v>
      </c>
      <c r="H1455" s="1"/>
    </row>
    <row r="1456" spans="1:8" x14ac:dyDescent="0.2">
      <c r="A1456" s="1" t="s">
        <v>1</v>
      </c>
      <c r="B1456" s="2" t="s">
        <v>168</v>
      </c>
      <c r="C1456" s="1"/>
      <c r="D1456" s="5" t="s">
        <v>464</v>
      </c>
      <c r="E1456" s="3" t="s">
        <v>465</v>
      </c>
      <c r="F1456" s="3">
        <v>102500</v>
      </c>
      <c r="G1456" s="57" t="str">
        <f t="shared" si="22"/>
        <v>-</v>
      </c>
      <c r="H1456" s="1"/>
    </row>
    <row r="1457" spans="1:8" x14ac:dyDescent="0.2">
      <c r="A1457" s="1" t="s">
        <v>1</v>
      </c>
      <c r="B1457" s="2" t="s">
        <v>168</v>
      </c>
      <c r="C1457" s="1"/>
      <c r="D1457" s="5" t="s">
        <v>464</v>
      </c>
      <c r="E1457" s="3" t="s">
        <v>465</v>
      </c>
      <c r="F1457" s="3">
        <v>102500</v>
      </c>
      <c r="G1457" s="57" t="str">
        <f t="shared" si="22"/>
        <v>-</v>
      </c>
      <c r="H1457" s="1"/>
    </row>
    <row r="1458" spans="1:8" x14ac:dyDescent="0.2">
      <c r="A1458" s="1" t="s">
        <v>1</v>
      </c>
      <c r="B1458" s="2" t="s">
        <v>168</v>
      </c>
      <c r="C1458" s="1"/>
      <c r="D1458" s="5" t="s">
        <v>464</v>
      </c>
      <c r="E1458" s="3" t="s">
        <v>465</v>
      </c>
      <c r="F1458" s="3">
        <v>102500</v>
      </c>
      <c r="G1458" s="57" t="str">
        <f t="shared" si="22"/>
        <v>-</v>
      </c>
      <c r="H1458" s="1"/>
    </row>
    <row r="1459" spans="1:8" x14ac:dyDescent="0.2">
      <c r="A1459" s="1" t="s">
        <v>1</v>
      </c>
      <c r="B1459" s="2" t="s">
        <v>168</v>
      </c>
      <c r="C1459" s="1"/>
      <c r="D1459" s="5" t="s">
        <v>464</v>
      </c>
      <c r="E1459" s="3" t="s">
        <v>465</v>
      </c>
      <c r="F1459" s="3">
        <v>107500</v>
      </c>
      <c r="G1459" s="57" t="str">
        <f t="shared" si="22"/>
        <v>-</v>
      </c>
      <c r="H1459" s="1"/>
    </row>
    <row r="1460" spans="1:8" x14ac:dyDescent="0.2">
      <c r="A1460" s="1" t="s">
        <v>1</v>
      </c>
      <c r="B1460" s="2" t="s">
        <v>168</v>
      </c>
      <c r="C1460" s="1"/>
      <c r="D1460" s="5" t="s">
        <v>464</v>
      </c>
      <c r="E1460" s="3" t="s">
        <v>465</v>
      </c>
      <c r="F1460" s="3">
        <v>107500</v>
      </c>
      <c r="G1460" s="57" t="str">
        <f t="shared" si="22"/>
        <v>-</v>
      </c>
      <c r="H1460" s="1"/>
    </row>
    <row r="1461" spans="1:8" x14ac:dyDescent="0.2">
      <c r="A1461" s="1" t="s">
        <v>1</v>
      </c>
      <c r="B1461" s="2" t="s">
        <v>168</v>
      </c>
      <c r="C1461" s="1"/>
      <c r="D1461" s="5" t="s">
        <v>464</v>
      </c>
      <c r="E1461" s="3" t="s">
        <v>465</v>
      </c>
      <c r="F1461" s="3">
        <v>107500</v>
      </c>
      <c r="G1461" s="57" t="str">
        <f t="shared" si="22"/>
        <v>-</v>
      </c>
      <c r="H1461" s="1"/>
    </row>
    <row r="1462" spans="1:8" x14ac:dyDescent="0.2">
      <c r="A1462" s="1" t="s">
        <v>1</v>
      </c>
      <c r="B1462" s="2" t="s">
        <v>168</v>
      </c>
      <c r="C1462" s="1"/>
      <c r="D1462" s="5" t="s">
        <v>464</v>
      </c>
      <c r="E1462" s="3" t="s">
        <v>465</v>
      </c>
      <c r="F1462" s="3">
        <v>107500</v>
      </c>
      <c r="G1462" s="57" t="str">
        <f t="shared" si="22"/>
        <v>-</v>
      </c>
    </row>
    <row r="1463" spans="1:8" x14ac:dyDescent="0.2">
      <c r="A1463" s="1" t="s">
        <v>1</v>
      </c>
      <c r="B1463" s="2" t="s">
        <v>168</v>
      </c>
      <c r="C1463" s="1"/>
      <c r="D1463" s="5" t="s">
        <v>464</v>
      </c>
      <c r="E1463" s="3" t="s">
        <v>465</v>
      </c>
      <c r="F1463" s="3">
        <v>112500</v>
      </c>
      <c r="G1463" s="57" t="str">
        <f t="shared" si="22"/>
        <v>-</v>
      </c>
    </row>
    <row r="1464" spans="1:8" x14ac:dyDescent="0.2">
      <c r="A1464" s="1" t="s">
        <v>1</v>
      </c>
      <c r="B1464" s="2" t="s">
        <v>168</v>
      </c>
      <c r="C1464" s="1"/>
      <c r="D1464" s="5" t="s">
        <v>464</v>
      </c>
      <c r="E1464" s="3" t="s">
        <v>465</v>
      </c>
      <c r="F1464" s="3">
        <v>112500</v>
      </c>
      <c r="G1464" s="57" t="str">
        <f t="shared" si="22"/>
        <v>-</v>
      </c>
    </row>
    <row r="1465" spans="1:8" x14ac:dyDescent="0.2">
      <c r="A1465" s="1" t="s">
        <v>1</v>
      </c>
      <c r="B1465" s="2" t="s">
        <v>168</v>
      </c>
      <c r="C1465" s="1"/>
      <c r="D1465" s="5" t="s">
        <v>464</v>
      </c>
      <c r="E1465" s="3" t="s">
        <v>465</v>
      </c>
      <c r="F1465" s="3">
        <v>112500</v>
      </c>
      <c r="G1465" s="57" t="str">
        <f t="shared" si="22"/>
        <v>-</v>
      </c>
    </row>
    <row r="1466" spans="1:8" x14ac:dyDescent="0.2">
      <c r="A1466" s="1" t="s">
        <v>1</v>
      </c>
      <c r="B1466" s="2" t="s">
        <v>168</v>
      </c>
      <c r="C1466" s="1"/>
      <c r="D1466" s="5" t="s">
        <v>464</v>
      </c>
      <c r="E1466" s="3" t="s">
        <v>465</v>
      </c>
      <c r="F1466" s="3">
        <v>122500</v>
      </c>
      <c r="G1466" s="57" t="str">
        <f t="shared" si="22"/>
        <v>-</v>
      </c>
    </row>
    <row r="1467" spans="1:8" x14ac:dyDescent="0.2">
      <c r="A1467" s="1" t="s">
        <v>1</v>
      </c>
      <c r="B1467" s="2" t="s">
        <v>168</v>
      </c>
      <c r="C1467" s="1"/>
      <c r="D1467" s="5" t="s">
        <v>464</v>
      </c>
      <c r="E1467" s="3" t="s">
        <v>465</v>
      </c>
      <c r="F1467" s="3">
        <v>132500</v>
      </c>
      <c r="G1467" s="57" t="str">
        <f t="shared" si="22"/>
        <v>-</v>
      </c>
    </row>
    <row r="1468" spans="1:8" ht="25.5" x14ac:dyDescent="0.2">
      <c r="A1468" s="1" t="s">
        <v>34</v>
      </c>
      <c r="B1468" s="2" t="s">
        <v>169</v>
      </c>
      <c r="D1468" s="5" t="s">
        <v>1554</v>
      </c>
      <c r="E1468" s="3">
        <v>133237</v>
      </c>
      <c r="F1468" s="3">
        <v>132391</v>
      </c>
      <c r="G1468" s="57">
        <f t="shared" si="22"/>
        <v>-6.3495875770243999E-3</v>
      </c>
      <c r="H1468" s="5" t="s">
        <v>4064</v>
      </c>
    </row>
    <row r="1469" spans="1:8" ht="38.25" x14ac:dyDescent="0.2">
      <c r="A1469" s="1" t="s">
        <v>34</v>
      </c>
      <c r="B1469" s="2" t="s">
        <v>169</v>
      </c>
      <c r="D1469" s="5" t="s">
        <v>852</v>
      </c>
      <c r="E1469" s="3">
        <v>115254</v>
      </c>
      <c r="F1469" s="3" t="s">
        <v>465</v>
      </c>
      <c r="G1469" s="57" t="str">
        <f t="shared" si="22"/>
        <v>-</v>
      </c>
      <c r="H1469" s="5" t="s">
        <v>4065</v>
      </c>
    </row>
    <row r="1470" spans="1:8" x14ac:dyDescent="0.2">
      <c r="A1470" s="1" t="s">
        <v>34</v>
      </c>
      <c r="B1470" s="2" t="s">
        <v>169</v>
      </c>
      <c r="D1470" s="5" t="s">
        <v>464</v>
      </c>
      <c r="E1470" s="3">
        <v>107500</v>
      </c>
      <c r="F1470" s="3" t="s">
        <v>465</v>
      </c>
      <c r="G1470" s="57" t="str">
        <f t="shared" si="22"/>
        <v>-</v>
      </c>
      <c r="H1470" s="5" t="s">
        <v>1555</v>
      </c>
    </row>
    <row r="1471" spans="1:8" x14ac:dyDescent="0.2">
      <c r="A1471" s="1" t="s">
        <v>34</v>
      </c>
      <c r="B1471" s="2" t="s">
        <v>169</v>
      </c>
      <c r="D1471" s="5" t="s">
        <v>464</v>
      </c>
      <c r="E1471" s="3" t="s">
        <v>465</v>
      </c>
      <c r="F1471" s="3">
        <v>107500</v>
      </c>
      <c r="G1471" s="57" t="str">
        <f t="shared" si="22"/>
        <v>-</v>
      </c>
      <c r="H1471" s="5" t="s">
        <v>1555</v>
      </c>
    </row>
    <row r="1472" spans="1:8" ht="25.5" x14ac:dyDescent="0.2">
      <c r="A1472" s="1" t="s">
        <v>34</v>
      </c>
      <c r="B1472" s="2" t="s">
        <v>170</v>
      </c>
      <c r="D1472" s="5" t="s">
        <v>1548</v>
      </c>
      <c r="E1472" s="3">
        <v>104795</v>
      </c>
      <c r="F1472" s="3">
        <v>109400</v>
      </c>
      <c r="G1472" s="57">
        <f t="shared" si="22"/>
        <v>4.3942936208788586E-2</v>
      </c>
      <c r="H1472" s="5" t="s">
        <v>4066</v>
      </c>
    </row>
    <row r="1473" spans="1:8" ht="25.5" x14ac:dyDescent="0.2">
      <c r="A1473" s="1" t="s">
        <v>34</v>
      </c>
      <c r="B1473" s="2" t="s">
        <v>170</v>
      </c>
      <c r="D1473" s="5" t="s">
        <v>451</v>
      </c>
      <c r="E1473" s="3">
        <v>112298</v>
      </c>
      <c r="F1473" s="3">
        <v>116921</v>
      </c>
      <c r="G1473" s="57">
        <f t="shared" si="22"/>
        <v>4.1167251420328059E-2</v>
      </c>
      <c r="H1473" s="5" t="s">
        <v>4067</v>
      </c>
    </row>
    <row r="1474" spans="1:8" ht="25.5" x14ac:dyDescent="0.2">
      <c r="A1474" s="1" t="s">
        <v>34</v>
      </c>
      <c r="B1474" s="2" t="s">
        <v>170</v>
      </c>
      <c r="D1474" s="5" t="s">
        <v>1549</v>
      </c>
      <c r="E1474" s="3">
        <v>145310</v>
      </c>
      <c r="F1474" s="3">
        <v>154715</v>
      </c>
      <c r="G1474" s="57">
        <f t="shared" si="22"/>
        <v>6.4723694171082508E-2</v>
      </c>
      <c r="H1474" s="5" t="s">
        <v>4068</v>
      </c>
    </row>
    <row r="1475" spans="1:8" ht="38.25" x14ac:dyDescent="0.2">
      <c r="A1475" s="1" t="s">
        <v>34</v>
      </c>
      <c r="B1475" s="2" t="s">
        <v>170</v>
      </c>
      <c r="D1475" s="5" t="s">
        <v>1550</v>
      </c>
      <c r="E1475" s="3" t="s">
        <v>465</v>
      </c>
      <c r="F1475" s="3">
        <v>120536</v>
      </c>
      <c r="G1475" s="57" t="str">
        <f t="shared" ref="G1475:G1538" si="23">IF(ISERROR((F1475-E1475)/E1475),"-",(F1475-E1475)/E1475)</f>
        <v>-</v>
      </c>
      <c r="H1475" s="5" t="s">
        <v>4345</v>
      </c>
    </row>
    <row r="1476" spans="1:8" ht="38.25" x14ac:dyDescent="0.2">
      <c r="A1476" s="1" t="s">
        <v>34</v>
      </c>
      <c r="B1476" s="2" t="s">
        <v>170</v>
      </c>
      <c r="D1476" s="5" t="s">
        <v>1551</v>
      </c>
      <c r="E1476" s="3">
        <v>150744</v>
      </c>
      <c r="F1476" s="3">
        <v>189720</v>
      </c>
      <c r="G1476" s="57">
        <f t="shared" si="23"/>
        <v>0.2585575545295335</v>
      </c>
      <c r="H1476" s="5" t="s">
        <v>4069</v>
      </c>
    </row>
    <row r="1477" spans="1:8" ht="25.5" x14ac:dyDescent="0.2">
      <c r="A1477" s="1" t="s">
        <v>34</v>
      </c>
      <c r="B1477" s="2" t="s">
        <v>170</v>
      </c>
      <c r="D1477" s="5" t="s">
        <v>1552</v>
      </c>
      <c r="E1477" s="3">
        <v>152539</v>
      </c>
      <c r="F1477" s="3">
        <v>133592</v>
      </c>
      <c r="G1477" s="57">
        <f t="shared" si="23"/>
        <v>-0.12421085755118363</v>
      </c>
      <c r="H1477" s="5" t="s">
        <v>4346</v>
      </c>
    </row>
    <row r="1478" spans="1:8" ht="25.5" x14ac:dyDescent="0.2">
      <c r="A1478" s="1" t="s">
        <v>34</v>
      </c>
      <c r="B1478" s="2" t="s">
        <v>170</v>
      </c>
      <c r="C1478" s="5" t="s">
        <v>1553</v>
      </c>
      <c r="D1478" s="5" t="s">
        <v>450</v>
      </c>
      <c r="E1478" s="3">
        <v>195561</v>
      </c>
      <c r="F1478" s="3">
        <v>197317</v>
      </c>
      <c r="G1478" s="57">
        <f t="shared" si="23"/>
        <v>8.9792954627967748E-3</v>
      </c>
      <c r="H1478" s="5" t="s">
        <v>4070</v>
      </c>
    </row>
    <row r="1479" spans="1:8" ht="38.25" x14ac:dyDescent="0.2">
      <c r="A1479" s="1" t="s">
        <v>34</v>
      </c>
      <c r="B1479" s="2" t="s">
        <v>170</v>
      </c>
      <c r="D1479" s="5" t="s">
        <v>4071</v>
      </c>
      <c r="E1479" s="3">
        <v>156524</v>
      </c>
      <c r="F1479" s="3">
        <v>87720</v>
      </c>
      <c r="G1479" s="57">
        <f t="shared" si="23"/>
        <v>-0.43957476169788656</v>
      </c>
      <c r="H1479" s="5" t="s">
        <v>4347</v>
      </c>
    </row>
    <row r="1480" spans="1:8" ht="38.25" x14ac:dyDescent="0.2">
      <c r="A1480" s="1" t="s">
        <v>34</v>
      </c>
      <c r="B1480" s="2" t="s">
        <v>170</v>
      </c>
      <c r="D1480" s="5" t="s">
        <v>4072</v>
      </c>
      <c r="E1480" s="3">
        <v>121825</v>
      </c>
      <c r="F1480" s="3">
        <v>148926</v>
      </c>
      <c r="G1480" s="57">
        <f t="shared" si="23"/>
        <v>0.2224584444900472</v>
      </c>
      <c r="H1480" s="5" t="s">
        <v>4348</v>
      </c>
    </row>
    <row r="1481" spans="1:8" ht="25.5" x14ac:dyDescent="0.2">
      <c r="A1481" s="1" t="s">
        <v>4</v>
      </c>
      <c r="B1481" s="2" t="s">
        <v>171</v>
      </c>
      <c r="D1481" s="5" t="s">
        <v>450</v>
      </c>
      <c r="E1481" s="3">
        <v>105139</v>
      </c>
      <c r="F1481" s="3">
        <v>105807</v>
      </c>
      <c r="G1481" s="57">
        <f t="shared" si="23"/>
        <v>6.3534939461094364E-3</v>
      </c>
      <c r="H1481" s="5" t="s">
        <v>3599</v>
      </c>
    </row>
    <row r="1482" spans="1:8" ht="51" x14ac:dyDescent="0.2">
      <c r="A1482" s="1" t="s">
        <v>4</v>
      </c>
      <c r="B1482" s="2" t="s">
        <v>171</v>
      </c>
      <c r="D1482" s="5" t="s">
        <v>1547</v>
      </c>
      <c r="E1482" s="3" t="s">
        <v>465</v>
      </c>
      <c r="F1482" s="3">
        <v>110467</v>
      </c>
      <c r="G1482" s="57" t="str">
        <f t="shared" si="23"/>
        <v>-</v>
      </c>
      <c r="H1482" s="5" t="s">
        <v>3598</v>
      </c>
    </row>
    <row r="1483" spans="1:8" ht="25.5" x14ac:dyDescent="0.2">
      <c r="A1483" s="1" t="s">
        <v>4</v>
      </c>
      <c r="B1483" s="2" t="s">
        <v>172</v>
      </c>
      <c r="D1483" s="5" t="s">
        <v>450</v>
      </c>
      <c r="E1483" s="9">
        <v>147962</v>
      </c>
      <c r="F1483" s="9">
        <v>153140</v>
      </c>
      <c r="G1483" s="57">
        <f t="shared" si="23"/>
        <v>3.4995471810329679E-2</v>
      </c>
      <c r="H1483" s="5" t="s">
        <v>3594</v>
      </c>
    </row>
    <row r="1484" spans="1:8" ht="25.5" x14ac:dyDescent="0.2">
      <c r="A1484" s="1" t="s">
        <v>4</v>
      </c>
      <c r="B1484" s="2" t="s">
        <v>172</v>
      </c>
      <c r="D1484" s="5" t="s">
        <v>1542</v>
      </c>
      <c r="E1484" s="9">
        <v>107505</v>
      </c>
      <c r="F1484" s="9">
        <v>111619</v>
      </c>
      <c r="G1484" s="57">
        <f t="shared" si="23"/>
        <v>3.8267987535463469E-2</v>
      </c>
      <c r="H1484" s="5" t="s">
        <v>3595</v>
      </c>
    </row>
    <row r="1485" spans="1:8" ht="25.5" x14ac:dyDescent="0.2">
      <c r="A1485" s="1" t="s">
        <v>4</v>
      </c>
      <c r="B1485" s="2" t="s">
        <v>172</v>
      </c>
      <c r="D1485" s="5" t="s">
        <v>1543</v>
      </c>
      <c r="E1485" s="9">
        <v>107147</v>
      </c>
      <c r="F1485" s="9">
        <v>117841</v>
      </c>
      <c r="G1485" s="57">
        <f t="shared" si="23"/>
        <v>9.9806807470111156E-2</v>
      </c>
      <c r="H1485" s="5" t="s">
        <v>3597</v>
      </c>
    </row>
    <row r="1486" spans="1:8" ht="25.5" x14ac:dyDescent="0.2">
      <c r="A1486" s="1" t="s">
        <v>4</v>
      </c>
      <c r="B1486" s="2" t="s">
        <v>172</v>
      </c>
      <c r="D1486" s="5" t="s">
        <v>1544</v>
      </c>
      <c r="E1486" s="9">
        <v>110740</v>
      </c>
      <c r="F1486" s="9">
        <v>117980</v>
      </c>
      <c r="G1486" s="57">
        <f t="shared" si="23"/>
        <v>6.5378363734874476E-2</v>
      </c>
      <c r="H1486" s="5" t="s">
        <v>3596</v>
      </c>
    </row>
    <row r="1487" spans="1:8" ht="25.5" x14ac:dyDescent="0.2">
      <c r="A1487" s="1" t="s">
        <v>4</v>
      </c>
      <c r="B1487" s="2" t="s">
        <v>172</v>
      </c>
      <c r="D1487" s="5" t="s">
        <v>1545</v>
      </c>
      <c r="E1487" s="9">
        <v>106337</v>
      </c>
      <c r="F1487" s="9">
        <v>116119</v>
      </c>
      <c r="G1487" s="57">
        <f t="shared" si="23"/>
        <v>9.199055831930561E-2</v>
      </c>
      <c r="H1487" s="5" t="s">
        <v>1546</v>
      </c>
    </row>
    <row r="1488" spans="1:8" ht="25.5" x14ac:dyDescent="0.2">
      <c r="A1488" s="1" t="s">
        <v>20</v>
      </c>
      <c r="B1488" s="2" t="s">
        <v>173</v>
      </c>
      <c r="D1488" s="5" t="s">
        <v>470</v>
      </c>
      <c r="E1488" s="9">
        <v>134767</v>
      </c>
      <c r="F1488" s="9">
        <v>137797</v>
      </c>
      <c r="G1488" s="57">
        <f t="shared" si="23"/>
        <v>2.2483248866562288E-2</v>
      </c>
      <c r="H1488" s="5" t="s">
        <v>3592</v>
      </c>
    </row>
    <row r="1489" spans="1:8" ht="25.5" x14ac:dyDescent="0.2">
      <c r="A1489" s="1" t="s">
        <v>20</v>
      </c>
      <c r="B1489" s="2" t="s">
        <v>173</v>
      </c>
      <c r="D1489" s="5" t="s">
        <v>529</v>
      </c>
      <c r="E1489" s="9">
        <v>114846</v>
      </c>
      <c r="F1489" s="9">
        <v>116516</v>
      </c>
      <c r="G1489" s="57">
        <f t="shared" si="23"/>
        <v>1.4541211709593717E-2</v>
      </c>
      <c r="H1489" s="5" t="s">
        <v>3593</v>
      </c>
    </row>
    <row r="1490" spans="1:8" ht="38.25" x14ac:dyDescent="0.2">
      <c r="A1490" s="1" t="s">
        <v>25</v>
      </c>
      <c r="B1490" s="2" t="s">
        <v>174</v>
      </c>
      <c r="C1490" s="5" t="s">
        <v>1519</v>
      </c>
      <c r="D1490" s="5" t="s">
        <v>450</v>
      </c>
      <c r="E1490" s="9">
        <v>236215</v>
      </c>
      <c r="F1490" s="9">
        <v>433157</v>
      </c>
      <c r="G1490" s="57">
        <f t="shared" si="23"/>
        <v>0.83374044832038607</v>
      </c>
      <c r="H1490" s="5" t="s">
        <v>4349</v>
      </c>
    </row>
    <row r="1491" spans="1:8" ht="25.5" x14ac:dyDescent="0.2">
      <c r="A1491" s="1" t="s">
        <v>25</v>
      </c>
      <c r="B1491" s="2" t="s">
        <v>174</v>
      </c>
      <c r="C1491" s="5" t="s">
        <v>1520</v>
      </c>
      <c r="D1491" s="5" t="s">
        <v>1521</v>
      </c>
      <c r="E1491" s="9">
        <v>163701</v>
      </c>
      <c r="F1491" s="9">
        <v>168677</v>
      </c>
      <c r="G1491" s="57">
        <f t="shared" si="23"/>
        <v>3.0396882120451312E-2</v>
      </c>
      <c r="H1491" s="5" t="s">
        <v>3584</v>
      </c>
    </row>
    <row r="1492" spans="1:8" ht="25.5" x14ac:dyDescent="0.2">
      <c r="A1492" s="1" t="s">
        <v>25</v>
      </c>
      <c r="B1492" s="2" t="s">
        <v>174</v>
      </c>
      <c r="C1492" s="5" t="s">
        <v>1522</v>
      </c>
      <c r="D1492" s="5" t="s">
        <v>886</v>
      </c>
      <c r="E1492" s="9">
        <v>154479</v>
      </c>
      <c r="F1492" s="9">
        <v>154029</v>
      </c>
      <c r="G1492" s="57">
        <f t="shared" si="23"/>
        <v>-2.9130173033227818E-3</v>
      </c>
      <c r="H1492" s="5" t="s">
        <v>3585</v>
      </c>
    </row>
    <row r="1493" spans="1:8" ht="25.5" x14ac:dyDescent="0.2">
      <c r="A1493" s="1" t="s">
        <v>25</v>
      </c>
      <c r="B1493" s="2" t="s">
        <v>174</v>
      </c>
      <c r="C1493" s="5" t="s">
        <v>1523</v>
      </c>
      <c r="D1493" s="5" t="s">
        <v>1524</v>
      </c>
      <c r="E1493" s="9">
        <v>85573</v>
      </c>
      <c r="F1493" s="9">
        <v>146696</v>
      </c>
      <c r="G1493" s="57">
        <f t="shared" si="23"/>
        <v>0.71427903661201553</v>
      </c>
      <c r="H1493" s="5" t="s">
        <v>3588</v>
      </c>
    </row>
    <row r="1494" spans="1:8" ht="25.5" x14ac:dyDescent="0.2">
      <c r="A1494" s="1" t="s">
        <v>25</v>
      </c>
      <c r="B1494" s="2" t="s">
        <v>174</v>
      </c>
      <c r="C1494" s="5" t="s">
        <v>1525</v>
      </c>
      <c r="D1494" s="5" t="s">
        <v>1526</v>
      </c>
      <c r="E1494" s="9">
        <v>147124</v>
      </c>
      <c r="F1494" s="9">
        <v>146696</v>
      </c>
      <c r="G1494" s="57">
        <f t="shared" si="23"/>
        <v>-2.9091106821456732E-3</v>
      </c>
      <c r="H1494" s="5" t="s">
        <v>3586</v>
      </c>
    </row>
    <row r="1495" spans="1:8" ht="25.5" x14ac:dyDescent="0.2">
      <c r="A1495" s="1" t="s">
        <v>25</v>
      </c>
      <c r="B1495" s="2" t="s">
        <v>174</v>
      </c>
      <c r="C1495" s="5" t="s">
        <v>1527</v>
      </c>
      <c r="D1495" s="5" t="s">
        <v>1528</v>
      </c>
      <c r="E1495" s="9">
        <v>149113</v>
      </c>
      <c r="F1495" s="9">
        <v>145032</v>
      </c>
      <c r="G1495" s="57">
        <f t="shared" si="23"/>
        <v>-2.7368505764084956E-2</v>
      </c>
      <c r="H1495" s="5" t="s">
        <v>3587</v>
      </c>
    </row>
    <row r="1496" spans="1:8" ht="25.5" x14ac:dyDescent="0.2">
      <c r="A1496" s="1" t="s">
        <v>25</v>
      </c>
      <c r="B1496" s="2" t="s">
        <v>174</v>
      </c>
      <c r="C1496" s="5" t="s">
        <v>1529</v>
      </c>
      <c r="D1496" s="5" t="s">
        <v>1530</v>
      </c>
      <c r="E1496" s="9">
        <v>146946</v>
      </c>
      <c r="F1496" s="9">
        <v>146696</v>
      </c>
      <c r="G1496" s="57">
        <f t="shared" si="23"/>
        <v>-1.7013052413811876E-3</v>
      </c>
      <c r="H1496" s="5" t="s">
        <v>3586</v>
      </c>
    </row>
    <row r="1497" spans="1:8" ht="25.5" x14ac:dyDescent="0.2">
      <c r="A1497" s="1" t="s">
        <v>25</v>
      </c>
      <c r="B1497" s="2" t="s">
        <v>174</v>
      </c>
      <c r="C1497" s="5" t="s">
        <v>1531</v>
      </c>
      <c r="D1497" s="5" t="s">
        <v>1532</v>
      </c>
      <c r="E1497" s="9">
        <v>147076</v>
      </c>
      <c r="F1497" s="9">
        <v>146696</v>
      </c>
      <c r="G1497" s="57">
        <f t="shared" si="23"/>
        <v>-2.5836982240474314E-3</v>
      </c>
      <c r="H1497" s="5" t="s">
        <v>3586</v>
      </c>
    </row>
    <row r="1498" spans="1:8" ht="25.5" x14ac:dyDescent="0.2">
      <c r="A1498" s="1" t="s">
        <v>25</v>
      </c>
      <c r="B1498" s="2" t="s">
        <v>174</v>
      </c>
      <c r="C1498" s="5" t="s">
        <v>1533</v>
      </c>
      <c r="D1498" s="5" t="s">
        <v>1534</v>
      </c>
      <c r="E1498" s="9">
        <v>131216</v>
      </c>
      <c r="F1498" s="9">
        <v>143544</v>
      </c>
      <c r="G1498" s="57">
        <f t="shared" si="23"/>
        <v>9.3951957078405077E-2</v>
      </c>
      <c r="H1498" s="5" t="s">
        <v>3589</v>
      </c>
    </row>
    <row r="1499" spans="1:8" ht="25.5" x14ac:dyDescent="0.2">
      <c r="A1499" s="1" t="s">
        <v>25</v>
      </c>
      <c r="B1499" s="2" t="s">
        <v>174</v>
      </c>
      <c r="C1499" s="5" t="s">
        <v>1535</v>
      </c>
      <c r="D1499" s="5" t="s">
        <v>1536</v>
      </c>
      <c r="E1499" s="9">
        <v>146904</v>
      </c>
      <c r="F1499" s="9">
        <v>146696</v>
      </c>
      <c r="G1499" s="57">
        <f t="shared" si="23"/>
        <v>-1.415890649675979E-3</v>
      </c>
      <c r="H1499" s="5" t="s">
        <v>3586</v>
      </c>
    </row>
    <row r="1500" spans="1:8" ht="25.5" x14ac:dyDescent="0.2">
      <c r="A1500" s="1" t="s">
        <v>25</v>
      </c>
      <c r="B1500" s="2" t="s">
        <v>174</v>
      </c>
      <c r="C1500" s="5" t="s">
        <v>1537</v>
      </c>
      <c r="D1500" s="5" t="s">
        <v>1538</v>
      </c>
      <c r="E1500" s="9">
        <v>123240</v>
      </c>
      <c r="F1500" s="9">
        <v>146696</v>
      </c>
      <c r="G1500" s="57">
        <f t="shared" si="23"/>
        <v>0.19032781564427134</v>
      </c>
      <c r="H1500" s="5" t="s">
        <v>3586</v>
      </c>
    </row>
    <row r="1501" spans="1:8" ht="25.5" x14ac:dyDescent="0.2">
      <c r="A1501" s="1" t="s">
        <v>25</v>
      </c>
      <c r="B1501" s="2" t="s">
        <v>174</v>
      </c>
      <c r="C1501" s="5" t="s">
        <v>1539</v>
      </c>
      <c r="D1501" s="5" t="s">
        <v>1540</v>
      </c>
      <c r="E1501" s="9">
        <v>118249</v>
      </c>
      <c r="F1501" s="9">
        <v>117957</v>
      </c>
      <c r="G1501" s="57">
        <f t="shared" si="23"/>
        <v>-2.4693654914629301E-3</v>
      </c>
      <c r="H1501" s="5" t="s">
        <v>3590</v>
      </c>
    </row>
    <row r="1502" spans="1:8" ht="25.5" x14ac:dyDescent="0.2">
      <c r="A1502" s="1" t="s">
        <v>25</v>
      </c>
      <c r="B1502" s="2" t="s">
        <v>174</v>
      </c>
      <c r="C1502" s="5" t="s">
        <v>1541</v>
      </c>
      <c r="D1502" s="5" t="s">
        <v>4643</v>
      </c>
      <c r="E1502" s="9" t="s">
        <v>465</v>
      </c>
      <c r="F1502" s="9">
        <v>113771</v>
      </c>
      <c r="G1502" s="57" t="str">
        <f t="shared" si="23"/>
        <v>-</v>
      </c>
      <c r="H1502" s="5" t="s">
        <v>3591</v>
      </c>
    </row>
    <row r="1503" spans="1:8" x14ac:dyDescent="0.2">
      <c r="A1503" s="1" t="s">
        <v>25</v>
      </c>
      <c r="B1503" s="2" t="s">
        <v>174</v>
      </c>
      <c r="D1503" s="5" t="s">
        <v>464</v>
      </c>
      <c r="E1503" s="3" t="s">
        <v>465</v>
      </c>
      <c r="F1503" s="3">
        <v>102500</v>
      </c>
      <c r="G1503" s="57" t="str">
        <f t="shared" si="23"/>
        <v>-</v>
      </c>
    </row>
    <row r="1504" spans="1:8" x14ac:dyDescent="0.2">
      <c r="A1504" s="1" t="s">
        <v>25</v>
      </c>
      <c r="B1504" s="2" t="s">
        <v>174</v>
      </c>
      <c r="D1504" s="5" t="s">
        <v>464</v>
      </c>
      <c r="E1504" s="3" t="s">
        <v>465</v>
      </c>
      <c r="F1504" s="3">
        <v>102500</v>
      </c>
      <c r="G1504" s="57" t="str">
        <f t="shared" si="23"/>
        <v>-</v>
      </c>
    </row>
    <row r="1505" spans="1:8" x14ac:dyDescent="0.2">
      <c r="A1505" s="1" t="s">
        <v>25</v>
      </c>
      <c r="B1505" s="2" t="s">
        <v>174</v>
      </c>
      <c r="D1505" s="5" t="s">
        <v>464</v>
      </c>
      <c r="E1505" s="3">
        <v>102500</v>
      </c>
      <c r="F1505" s="3" t="s">
        <v>465</v>
      </c>
      <c r="G1505" s="57" t="str">
        <f t="shared" si="23"/>
        <v>-</v>
      </c>
      <c r="H1505" s="5" t="s">
        <v>539</v>
      </c>
    </row>
    <row r="1506" spans="1:8" x14ac:dyDescent="0.2">
      <c r="A1506" s="1" t="s">
        <v>25</v>
      </c>
      <c r="B1506" s="2" t="s">
        <v>174</v>
      </c>
      <c r="D1506" s="5" t="s">
        <v>464</v>
      </c>
      <c r="E1506" s="3">
        <v>107500</v>
      </c>
      <c r="F1506" s="3" t="s">
        <v>465</v>
      </c>
      <c r="G1506" s="57" t="str">
        <f t="shared" si="23"/>
        <v>-</v>
      </c>
    </row>
    <row r="1507" spans="1:8" x14ac:dyDescent="0.2">
      <c r="A1507" s="1" t="s">
        <v>25</v>
      </c>
      <c r="B1507" s="2" t="s">
        <v>174</v>
      </c>
      <c r="D1507" s="5" t="s">
        <v>464</v>
      </c>
      <c r="E1507" s="3">
        <v>107500</v>
      </c>
      <c r="F1507" s="3" t="s">
        <v>465</v>
      </c>
      <c r="G1507" s="57" t="str">
        <f t="shared" si="23"/>
        <v>-</v>
      </c>
      <c r="H1507" s="5" t="s">
        <v>539</v>
      </c>
    </row>
    <row r="1508" spans="1:8" x14ac:dyDescent="0.2">
      <c r="A1508" s="1" t="s">
        <v>25</v>
      </c>
      <c r="B1508" s="2" t="s">
        <v>174</v>
      </c>
      <c r="D1508" s="5" t="s">
        <v>464</v>
      </c>
      <c r="E1508" s="3" t="s">
        <v>465</v>
      </c>
      <c r="F1508" s="3">
        <v>112500</v>
      </c>
      <c r="G1508" s="57" t="str">
        <f t="shared" si="23"/>
        <v>-</v>
      </c>
    </row>
    <row r="1509" spans="1:8" x14ac:dyDescent="0.2">
      <c r="A1509" s="1" t="s">
        <v>25</v>
      </c>
      <c r="B1509" s="2" t="s">
        <v>174</v>
      </c>
      <c r="D1509" s="5" t="s">
        <v>464</v>
      </c>
      <c r="E1509" s="3" t="s">
        <v>465</v>
      </c>
      <c r="F1509" s="3">
        <v>112500</v>
      </c>
      <c r="G1509" s="57" t="str">
        <f t="shared" si="23"/>
        <v>-</v>
      </c>
    </row>
    <row r="1510" spans="1:8" x14ac:dyDescent="0.2">
      <c r="A1510" s="1" t="s">
        <v>25</v>
      </c>
      <c r="B1510" s="2" t="s">
        <v>174</v>
      </c>
      <c r="D1510" s="5" t="s">
        <v>464</v>
      </c>
      <c r="E1510" s="3" t="s">
        <v>465</v>
      </c>
      <c r="F1510" s="3">
        <v>112500</v>
      </c>
      <c r="G1510" s="57" t="str">
        <f t="shared" si="23"/>
        <v>-</v>
      </c>
    </row>
    <row r="1511" spans="1:8" x14ac:dyDescent="0.2">
      <c r="A1511" s="1" t="s">
        <v>25</v>
      </c>
      <c r="B1511" s="2" t="s">
        <v>174</v>
      </c>
      <c r="D1511" s="5" t="s">
        <v>464</v>
      </c>
      <c r="E1511" s="3">
        <v>117500</v>
      </c>
      <c r="F1511" s="3" t="s">
        <v>465</v>
      </c>
      <c r="G1511" s="57" t="str">
        <f t="shared" si="23"/>
        <v>-</v>
      </c>
      <c r="H1511" s="5" t="s">
        <v>539</v>
      </c>
    </row>
    <row r="1512" spans="1:8" x14ac:dyDescent="0.2">
      <c r="A1512" s="1" t="s">
        <v>25</v>
      </c>
      <c r="B1512" s="2" t="s">
        <v>174</v>
      </c>
      <c r="D1512" s="5" t="s">
        <v>464</v>
      </c>
      <c r="E1512" s="3">
        <v>127500</v>
      </c>
      <c r="F1512" s="3" t="s">
        <v>465</v>
      </c>
      <c r="G1512" s="57" t="str">
        <f t="shared" si="23"/>
        <v>-</v>
      </c>
      <c r="H1512" s="5" t="s">
        <v>539</v>
      </c>
    </row>
    <row r="1513" spans="1:8" x14ac:dyDescent="0.2">
      <c r="A1513" s="1" t="s">
        <v>25</v>
      </c>
      <c r="B1513" s="2" t="s">
        <v>174</v>
      </c>
      <c r="D1513" s="5" t="s">
        <v>464</v>
      </c>
      <c r="E1513" s="3">
        <v>132500</v>
      </c>
      <c r="F1513" s="3" t="s">
        <v>465</v>
      </c>
      <c r="G1513" s="57" t="str">
        <f t="shared" si="23"/>
        <v>-</v>
      </c>
      <c r="H1513" s="5" t="s">
        <v>539</v>
      </c>
    </row>
    <row r="1514" spans="1:8" x14ac:dyDescent="0.2">
      <c r="A1514" s="1" t="s">
        <v>25</v>
      </c>
      <c r="B1514" s="2" t="s">
        <v>174</v>
      </c>
      <c r="D1514" s="5" t="s">
        <v>464</v>
      </c>
      <c r="E1514" s="3">
        <v>142500</v>
      </c>
      <c r="F1514" s="3" t="s">
        <v>465</v>
      </c>
      <c r="G1514" s="57" t="str">
        <f t="shared" si="23"/>
        <v>-</v>
      </c>
      <c r="H1514" s="5" t="s">
        <v>539</v>
      </c>
    </row>
    <row r="1515" spans="1:8" x14ac:dyDescent="0.2">
      <c r="A1515" s="1" t="s">
        <v>25</v>
      </c>
      <c r="B1515" s="2" t="s">
        <v>174</v>
      </c>
      <c r="D1515" s="5" t="s">
        <v>464</v>
      </c>
      <c r="E1515" s="3">
        <v>202500</v>
      </c>
      <c r="F1515" s="3" t="s">
        <v>465</v>
      </c>
      <c r="G1515" s="57" t="str">
        <f t="shared" si="23"/>
        <v>-</v>
      </c>
      <c r="H1515" s="5" t="s">
        <v>539</v>
      </c>
    </row>
    <row r="1516" spans="1:8" x14ac:dyDescent="0.2">
      <c r="A1516" s="1" t="s">
        <v>25</v>
      </c>
      <c r="B1516" s="2" t="s">
        <v>175</v>
      </c>
      <c r="C1516" s="5" t="s">
        <v>1509</v>
      </c>
      <c r="D1516" s="5" t="s">
        <v>450</v>
      </c>
      <c r="E1516" s="9">
        <v>225150</v>
      </c>
      <c r="F1516" s="9">
        <v>224816.65</v>
      </c>
      <c r="G1516" s="57">
        <f t="shared" si="23"/>
        <v>-1.4805685098823265E-3</v>
      </c>
      <c r="H1516" s="5" t="s">
        <v>3575</v>
      </c>
    </row>
    <row r="1517" spans="1:8" x14ac:dyDescent="0.2">
      <c r="A1517" s="1" t="s">
        <v>25</v>
      </c>
      <c r="B1517" s="2" t="s">
        <v>175</v>
      </c>
      <c r="C1517" s="5" t="s">
        <v>1510</v>
      </c>
      <c r="D1517" s="5" t="s">
        <v>455</v>
      </c>
      <c r="E1517" s="9">
        <v>196969.97</v>
      </c>
      <c r="F1517" s="9">
        <v>201450</v>
      </c>
      <c r="G1517" s="57">
        <f t="shared" si="23"/>
        <v>2.2744736164604172E-2</v>
      </c>
      <c r="H1517" s="5" t="s">
        <v>3576</v>
      </c>
    </row>
    <row r="1518" spans="1:8" x14ac:dyDescent="0.2">
      <c r="A1518" s="1" t="s">
        <v>25</v>
      </c>
      <c r="B1518" s="2" t="s">
        <v>175</v>
      </c>
      <c r="C1518" s="5" t="s">
        <v>1511</v>
      </c>
      <c r="D1518" s="5" t="s">
        <v>1512</v>
      </c>
      <c r="E1518" s="9">
        <v>171825</v>
      </c>
      <c r="F1518" s="9">
        <v>182687.51</v>
      </c>
      <c r="G1518" s="57">
        <f t="shared" si="23"/>
        <v>6.3218449003346486E-2</v>
      </c>
      <c r="H1518" s="5" t="s">
        <v>3577</v>
      </c>
    </row>
    <row r="1519" spans="1:8" x14ac:dyDescent="0.2">
      <c r="A1519" s="1" t="s">
        <v>25</v>
      </c>
      <c r="B1519" s="2" t="s">
        <v>175</v>
      </c>
      <c r="C1519" s="5" t="s">
        <v>1513</v>
      </c>
      <c r="D1519" s="5" t="s">
        <v>562</v>
      </c>
      <c r="E1519" s="9">
        <v>177750</v>
      </c>
      <c r="F1519" s="9">
        <v>177750</v>
      </c>
      <c r="G1519" s="57">
        <f t="shared" si="23"/>
        <v>0</v>
      </c>
      <c r="H1519" s="5" t="s">
        <v>3578</v>
      </c>
    </row>
    <row r="1520" spans="1:8" x14ac:dyDescent="0.2">
      <c r="A1520" s="1" t="s">
        <v>25</v>
      </c>
      <c r="B1520" s="2" t="s">
        <v>175</v>
      </c>
      <c r="D1520" s="5" t="s">
        <v>507</v>
      </c>
      <c r="E1520" s="9">
        <v>171825</v>
      </c>
      <c r="F1520" s="9">
        <v>171825</v>
      </c>
      <c r="G1520" s="57">
        <f t="shared" si="23"/>
        <v>0</v>
      </c>
      <c r="H1520" s="5" t="s">
        <v>3579</v>
      </c>
    </row>
    <row r="1521" spans="1:8" x14ac:dyDescent="0.2">
      <c r="A1521" s="1" t="s">
        <v>25</v>
      </c>
      <c r="B1521" s="2" t="s">
        <v>175</v>
      </c>
      <c r="D1521" s="5" t="s">
        <v>1514</v>
      </c>
      <c r="E1521" s="9">
        <v>148125</v>
      </c>
      <c r="F1521" s="9">
        <v>148191.67000000001</v>
      </c>
      <c r="G1521" s="57">
        <f t="shared" si="23"/>
        <v>4.5009282700430588E-4</v>
      </c>
      <c r="H1521" s="5" t="s">
        <v>3580</v>
      </c>
    </row>
    <row r="1522" spans="1:8" x14ac:dyDescent="0.2">
      <c r="A1522" s="1" t="s">
        <v>25</v>
      </c>
      <c r="B1522" s="2" t="s">
        <v>175</v>
      </c>
      <c r="D1522" s="5" t="s">
        <v>1515</v>
      </c>
      <c r="E1522" s="9">
        <v>148125</v>
      </c>
      <c r="F1522" s="9">
        <v>148125</v>
      </c>
      <c r="G1522" s="57">
        <f t="shared" si="23"/>
        <v>0</v>
      </c>
      <c r="H1522" s="5" t="s">
        <v>3581</v>
      </c>
    </row>
    <row r="1523" spans="1:8" x14ac:dyDescent="0.2">
      <c r="A1523" s="1" t="s">
        <v>25</v>
      </c>
      <c r="B1523" s="2" t="s">
        <v>175</v>
      </c>
      <c r="D1523" s="5" t="s">
        <v>1516</v>
      </c>
      <c r="E1523" s="9">
        <v>148094.5</v>
      </c>
      <c r="F1523" s="9">
        <v>148125</v>
      </c>
      <c r="G1523" s="57">
        <f t="shared" si="23"/>
        <v>2.0594957949147334E-4</v>
      </c>
      <c r="H1523" s="5" t="s">
        <v>3581</v>
      </c>
    </row>
    <row r="1524" spans="1:8" x14ac:dyDescent="0.2">
      <c r="A1524" s="1" t="s">
        <v>25</v>
      </c>
      <c r="B1524" s="2" t="s">
        <v>175</v>
      </c>
      <c r="D1524" s="5" t="s">
        <v>1517</v>
      </c>
      <c r="E1524" s="9" t="s">
        <v>465</v>
      </c>
      <c r="F1524" s="9">
        <v>138488.95000000001</v>
      </c>
      <c r="G1524" s="57" t="str">
        <f t="shared" si="23"/>
        <v>-</v>
      </c>
      <c r="H1524" s="5" t="s">
        <v>3582</v>
      </c>
    </row>
    <row r="1525" spans="1:8" x14ac:dyDescent="0.2">
      <c r="A1525" s="1" t="s">
        <v>25</v>
      </c>
      <c r="B1525" s="2" t="s">
        <v>175</v>
      </c>
      <c r="D1525" s="5" t="s">
        <v>1518</v>
      </c>
      <c r="E1525" s="9">
        <v>137460</v>
      </c>
      <c r="F1525" s="9">
        <v>137460</v>
      </c>
      <c r="G1525" s="57">
        <f t="shared" si="23"/>
        <v>0</v>
      </c>
      <c r="H1525" s="5" t="s">
        <v>3583</v>
      </c>
    </row>
    <row r="1526" spans="1:8" x14ac:dyDescent="0.2">
      <c r="A1526" s="1" t="s">
        <v>25</v>
      </c>
      <c r="B1526" s="2" t="s">
        <v>175</v>
      </c>
      <c r="D1526" s="5" t="s">
        <v>464</v>
      </c>
      <c r="E1526" s="3" t="s">
        <v>465</v>
      </c>
      <c r="F1526" s="3">
        <v>102500</v>
      </c>
      <c r="G1526" s="57" t="str">
        <f t="shared" si="23"/>
        <v>-</v>
      </c>
    </row>
    <row r="1527" spans="1:8" x14ac:dyDescent="0.2">
      <c r="A1527" s="1" t="s">
        <v>25</v>
      </c>
      <c r="B1527" s="2" t="s">
        <v>175</v>
      </c>
      <c r="D1527" s="5" t="s">
        <v>464</v>
      </c>
      <c r="E1527" s="3" t="s">
        <v>465</v>
      </c>
      <c r="F1527" s="3">
        <v>102500</v>
      </c>
      <c r="G1527" s="57" t="str">
        <f t="shared" si="23"/>
        <v>-</v>
      </c>
    </row>
    <row r="1528" spans="1:8" x14ac:dyDescent="0.2">
      <c r="A1528" s="1" t="s">
        <v>25</v>
      </c>
      <c r="B1528" s="2" t="s">
        <v>175</v>
      </c>
      <c r="D1528" s="5" t="s">
        <v>464</v>
      </c>
      <c r="E1528" s="3" t="s">
        <v>465</v>
      </c>
      <c r="F1528" s="3">
        <v>102500</v>
      </c>
      <c r="G1528" s="57" t="str">
        <f t="shared" si="23"/>
        <v>-</v>
      </c>
    </row>
    <row r="1529" spans="1:8" x14ac:dyDescent="0.2">
      <c r="A1529" s="1" t="s">
        <v>25</v>
      </c>
      <c r="B1529" s="2" t="s">
        <v>175</v>
      </c>
      <c r="D1529" s="5" t="s">
        <v>464</v>
      </c>
      <c r="E1529" s="3">
        <v>102500</v>
      </c>
      <c r="F1529" s="3" t="s">
        <v>465</v>
      </c>
      <c r="G1529" s="57" t="str">
        <f t="shared" si="23"/>
        <v>-</v>
      </c>
    </row>
    <row r="1530" spans="1:8" x14ac:dyDescent="0.2">
      <c r="A1530" s="1" t="s">
        <v>25</v>
      </c>
      <c r="B1530" s="2" t="s">
        <v>175</v>
      </c>
      <c r="D1530" s="5" t="s">
        <v>464</v>
      </c>
      <c r="E1530" s="3">
        <v>102500</v>
      </c>
      <c r="F1530" s="3" t="s">
        <v>465</v>
      </c>
      <c r="G1530" s="57" t="str">
        <f t="shared" si="23"/>
        <v>-</v>
      </c>
    </row>
    <row r="1531" spans="1:8" x14ac:dyDescent="0.2">
      <c r="A1531" s="1" t="s">
        <v>25</v>
      </c>
      <c r="B1531" s="2" t="s">
        <v>175</v>
      </c>
      <c r="D1531" s="5" t="s">
        <v>464</v>
      </c>
      <c r="E1531" s="3">
        <v>102500</v>
      </c>
      <c r="F1531" s="3" t="s">
        <v>465</v>
      </c>
      <c r="G1531" s="57" t="str">
        <f t="shared" si="23"/>
        <v>-</v>
      </c>
    </row>
    <row r="1532" spans="1:8" x14ac:dyDescent="0.2">
      <c r="A1532" s="1" t="s">
        <v>25</v>
      </c>
      <c r="B1532" s="2" t="s">
        <v>175</v>
      </c>
      <c r="D1532" s="5" t="s">
        <v>464</v>
      </c>
      <c r="E1532" s="3">
        <v>102500</v>
      </c>
      <c r="F1532" s="3" t="s">
        <v>465</v>
      </c>
      <c r="G1532" s="57" t="str">
        <f t="shared" si="23"/>
        <v>-</v>
      </c>
    </row>
    <row r="1533" spans="1:8" x14ac:dyDescent="0.2">
      <c r="A1533" s="1" t="s">
        <v>25</v>
      </c>
      <c r="B1533" s="2" t="s">
        <v>175</v>
      </c>
      <c r="D1533" s="5" t="s">
        <v>464</v>
      </c>
      <c r="E1533" s="3">
        <v>102500</v>
      </c>
      <c r="F1533" s="3" t="s">
        <v>465</v>
      </c>
      <c r="G1533" s="57" t="str">
        <f t="shared" si="23"/>
        <v>-</v>
      </c>
    </row>
    <row r="1534" spans="1:8" x14ac:dyDescent="0.2">
      <c r="A1534" s="1" t="s">
        <v>25</v>
      </c>
      <c r="B1534" s="2" t="s">
        <v>175</v>
      </c>
      <c r="D1534" s="5" t="s">
        <v>464</v>
      </c>
      <c r="E1534" s="3">
        <v>102500</v>
      </c>
      <c r="F1534" s="3" t="s">
        <v>465</v>
      </c>
      <c r="G1534" s="57" t="str">
        <f t="shared" si="23"/>
        <v>-</v>
      </c>
    </row>
    <row r="1535" spans="1:8" x14ac:dyDescent="0.2">
      <c r="A1535" s="1" t="s">
        <v>25</v>
      </c>
      <c r="B1535" s="2" t="s">
        <v>175</v>
      </c>
      <c r="D1535" s="5" t="s">
        <v>464</v>
      </c>
      <c r="E1535" s="3" t="s">
        <v>465</v>
      </c>
      <c r="F1535" s="3">
        <v>107500</v>
      </c>
      <c r="G1535" s="57" t="str">
        <f t="shared" si="23"/>
        <v>-</v>
      </c>
      <c r="H1535" s="5" t="s">
        <v>1241</v>
      </c>
    </row>
    <row r="1536" spans="1:8" x14ac:dyDescent="0.2">
      <c r="A1536" s="1" t="s">
        <v>25</v>
      </c>
      <c r="B1536" s="2" t="s">
        <v>175</v>
      </c>
      <c r="D1536" s="5" t="s">
        <v>464</v>
      </c>
      <c r="E1536" s="3" t="s">
        <v>465</v>
      </c>
      <c r="F1536" s="3">
        <v>107500</v>
      </c>
      <c r="G1536" s="57" t="str">
        <f t="shared" si="23"/>
        <v>-</v>
      </c>
    </row>
    <row r="1537" spans="1:8" x14ac:dyDescent="0.2">
      <c r="A1537" s="1" t="s">
        <v>25</v>
      </c>
      <c r="B1537" s="2" t="s">
        <v>175</v>
      </c>
      <c r="D1537" s="5" t="s">
        <v>464</v>
      </c>
      <c r="E1537" s="3" t="s">
        <v>465</v>
      </c>
      <c r="F1537" s="3">
        <v>107500</v>
      </c>
      <c r="G1537" s="57" t="str">
        <f t="shared" si="23"/>
        <v>-</v>
      </c>
    </row>
    <row r="1538" spans="1:8" x14ac:dyDescent="0.2">
      <c r="A1538" s="1" t="s">
        <v>25</v>
      </c>
      <c r="B1538" s="2" t="s">
        <v>175</v>
      </c>
      <c r="D1538" s="5" t="s">
        <v>464</v>
      </c>
      <c r="E1538" s="3" t="s">
        <v>465</v>
      </c>
      <c r="F1538" s="3">
        <v>107500</v>
      </c>
      <c r="G1538" s="57" t="str">
        <f t="shared" si="23"/>
        <v>-</v>
      </c>
    </row>
    <row r="1539" spans="1:8" x14ac:dyDescent="0.2">
      <c r="A1539" s="1" t="s">
        <v>25</v>
      </c>
      <c r="B1539" s="2" t="s">
        <v>175</v>
      </c>
      <c r="D1539" s="5" t="s">
        <v>464</v>
      </c>
      <c r="E1539" s="3" t="s">
        <v>465</v>
      </c>
      <c r="F1539" s="3">
        <v>107500</v>
      </c>
      <c r="G1539" s="57" t="str">
        <f t="shared" ref="G1539:G1602" si="24">IF(ISERROR((F1539-E1539)/E1539),"-",(F1539-E1539)/E1539)</f>
        <v>-</v>
      </c>
    </row>
    <row r="1540" spans="1:8" x14ac:dyDescent="0.2">
      <c r="A1540" s="1" t="s">
        <v>25</v>
      </c>
      <c r="B1540" s="2" t="s">
        <v>175</v>
      </c>
      <c r="D1540" s="5" t="s">
        <v>464</v>
      </c>
      <c r="E1540" s="3">
        <v>107500</v>
      </c>
      <c r="F1540" s="3" t="s">
        <v>465</v>
      </c>
      <c r="G1540" s="57" t="str">
        <f t="shared" si="24"/>
        <v>-</v>
      </c>
    </row>
    <row r="1541" spans="1:8" x14ac:dyDescent="0.2">
      <c r="A1541" s="1" t="s">
        <v>25</v>
      </c>
      <c r="B1541" s="2" t="s">
        <v>175</v>
      </c>
      <c r="D1541" s="5" t="s">
        <v>464</v>
      </c>
      <c r="E1541" s="3" t="s">
        <v>465</v>
      </c>
      <c r="F1541" s="3">
        <v>112500</v>
      </c>
      <c r="G1541" s="57" t="str">
        <f t="shared" si="24"/>
        <v>-</v>
      </c>
    </row>
    <row r="1542" spans="1:8" x14ac:dyDescent="0.2">
      <c r="A1542" s="1" t="s">
        <v>25</v>
      </c>
      <c r="B1542" s="2" t="s">
        <v>175</v>
      </c>
      <c r="D1542" s="5" t="s">
        <v>464</v>
      </c>
      <c r="E1542" s="3" t="s">
        <v>465</v>
      </c>
      <c r="F1542" s="3">
        <v>117500</v>
      </c>
      <c r="G1542" s="57" t="str">
        <f t="shared" si="24"/>
        <v>-</v>
      </c>
    </row>
    <row r="1543" spans="1:8" x14ac:dyDescent="0.2">
      <c r="A1543" s="1" t="s">
        <v>25</v>
      </c>
      <c r="B1543" s="2" t="s">
        <v>175</v>
      </c>
      <c r="D1543" s="5" t="s">
        <v>464</v>
      </c>
      <c r="E1543" s="3">
        <v>117500</v>
      </c>
      <c r="F1543" s="3" t="s">
        <v>465</v>
      </c>
      <c r="G1543" s="57" t="str">
        <f t="shared" si="24"/>
        <v>-</v>
      </c>
    </row>
    <row r="1544" spans="1:8" x14ac:dyDescent="0.2">
      <c r="A1544" s="1" t="s">
        <v>25</v>
      </c>
      <c r="B1544" s="2" t="s">
        <v>175</v>
      </c>
      <c r="D1544" s="5" t="s">
        <v>464</v>
      </c>
      <c r="E1544" s="3">
        <v>117500</v>
      </c>
      <c r="F1544" s="3" t="s">
        <v>465</v>
      </c>
      <c r="G1544" s="57" t="str">
        <f t="shared" si="24"/>
        <v>-</v>
      </c>
    </row>
    <row r="1545" spans="1:8" x14ac:dyDescent="0.2">
      <c r="A1545" s="1" t="s">
        <v>25</v>
      </c>
      <c r="B1545" s="2" t="s">
        <v>175</v>
      </c>
      <c r="D1545" s="5" t="s">
        <v>464</v>
      </c>
      <c r="E1545" s="3">
        <v>117500</v>
      </c>
      <c r="F1545" s="3" t="s">
        <v>465</v>
      </c>
      <c r="G1545" s="57" t="str">
        <f t="shared" si="24"/>
        <v>-</v>
      </c>
    </row>
    <row r="1546" spans="1:8" x14ac:dyDescent="0.2">
      <c r="A1546" s="1" t="s">
        <v>25</v>
      </c>
      <c r="B1546" s="2" t="s">
        <v>175</v>
      </c>
      <c r="D1546" s="5" t="s">
        <v>464</v>
      </c>
      <c r="E1546" s="3">
        <v>117500</v>
      </c>
      <c r="F1546" s="3" t="s">
        <v>465</v>
      </c>
      <c r="G1546" s="57" t="str">
        <f t="shared" si="24"/>
        <v>-</v>
      </c>
    </row>
    <row r="1547" spans="1:8" x14ac:dyDescent="0.2">
      <c r="A1547" s="1" t="s">
        <v>25</v>
      </c>
      <c r="B1547" s="2" t="s">
        <v>175</v>
      </c>
      <c r="D1547" s="5" t="s">
        <v>464</v>
      </c>
      <c r="E1547" s="3" t="s">
        <v>465</v>
      </c>
      <c r="F1547" s="3">
        <v>122500</v>
      </c>
      <c r="G1547" s="57" t="str">
        <f t="shared" si="24"/>
        <v>-</v>
      </c>
      <c r="H1547" s="5" t="s">
        <v>1241</v>
      </c>
    </row>
    <row r="1548" spans="1:8" x14ac:dyDescent="0.2">
      <c r="A1548" s="1" t="s">
        <v>25</v>
      </c>
      <c r="B1548" s="2" t="s">
        <v>175</v>
      </c>
      <c r="D1548" s="5" t="s">
        <v>464</v>
      </c>
      <c r="E1548" s="3" t="s">
        <v>465</v>
      </c>
      <c r="F1548" s="3">
        <v>122500</v>
      </c>
      <c r="G1548" s="57" t="str">
        <f t="shared" si="24"/>
        <v>-</v>
      </c>
    </row>
    <row r="1549" spans="1:8" x14ac:dyDescent="0.2">
      <c r="A1549" s="1" t="s">
        <v>25</v>
      </c>
      <c r="B1549" s="2" t="s">
        <v>175</v>
      </c>
      <c r="D1549" s="5" t="s">
        <v>464</v>
      </c>
      <c r="E1549" s="3">
        <v>122500</v>
      </c>
      <c r="F1549" s="3" t="s">
        <v>465</v>
      </c>
      <c r="G1549" s="57" t="str">
        <f t="shared" si="24"/>
        <v>-</v>
      </c>
    </row>
    <row r="1550" spans="1:8" x14ac:dyDescent="0.2">
      <c r="A1550" s="1" t="s">
        <v>25</v>
      </c>
      <c r="B1550" s="2" t="s">
        <v>175</v>
      </c>
      <c r="D1550" s="5" t="s">
        <v>464</v>
      </c>
      <c r="E1550" s="3" t="s">
        <v>465</v>
      </c>
      <c r="F1550" s="3">
        <v>127500</v>
      </c>
      <c r="G1550" s="57" t="str">
        <f t="shared" si="24"/>
        <v>-</v>
      </c>
    </row>
    <row r="1551" spans="1:8" x14ac:dyDescent="0.2">
      <c r="A1551" s="1" t="s">
        <v>25</v>
      </c>
      <c r="B1551" s="2" t="s">
        <v>175</v>
      </c>
      <c r="D1551" s="5" t="s">
        <v>464</v>
      </c>
      <c r="E1551" s="3">
        <v>132500</v>
      </c>
      <c r="F1551" s="3" t="s">
        <v>465</v>
      </c>
      <c r="G1551" s="57" t="str">
        <f t="shared" si="24"/>
        <v>-</v>
      </c>
    </row>
    <row r="1552" spans="1:8" x14ac:dyDescent="0.2">
      <c r="A1552" s="1" t="s">
        <v>25</v>
      </c>
      <c r="B1552" s="2" t="s">
        <v>175</v>
      </c>
      <c r="D1552" s="5" t="s">
        <v>464</v>
      </c>
      <c r="E1552" s="3">
        <v>132500</v>
      </c>
      <c r="F1552" s="3" t="s">
        <v>465</v>
      </c>
      <c r="G1552" s="57" t="str">
        <f t="shared" si="24"/>
        <v>-</v>
      </c>
    </row>
    <row r="1553" spans="1:8" x14ac:dyDescent="0.2">
      <c r="A1553" s="1" t="s">
        <v>25</v>
      </c>
      <c r="B1553" s="2" t="s">
        <v>175</v>
      </c>
      <c r="D1553" s="5" t="s">
        <v>464</v>
      </c>
      <c r="E1553" s="3" t="s">
        <v>465</v>
      </c>
      <c r="F1553" s="3">
        <v>137500</v>
      </c>
      <c r="G1553" s="57" t="str">
        <f t="shared" si="24"/>
        <v>-</v>
      </c>
    </row>
    <row r="1554" spans="1:8" x14ac:dyDescent="0.2">
      <c r="A1554" s="1" t="s">
        <v>25</v>
      </c>
      <c r="B1554" s="2" t="s">
        <v>175</v>
      </c>
      <c r="D1554" s="5" t="s">
        <v>464</v>
      </c>
      <c r="E1554" s="3" t="s">
        <v>465</v>
      </c>
      <c r="F1554" s="3">
        <v>147500</v>
      </c>
      <c r="G1554" s="57" t="str">
        <f t="shared" si="24"/>
        <v>-</v>
      </c>
    </row>
    <row r="1555" spans="1:8" ht="38.25" x14ac:dyDescent="0.2">
      <c r="A1555" s="1" t="s">
        <v>4</v>
      </c>
      <c r="B1555" s="2" t="s">
        <v>176</v>
      </c>
      <c r="D1555" s="5" t="s">
        <v>450</v>
      </c>
      <c r="E1555" s="9">
        <v>150345</v>
      </c>
      <c r="F1555" s="9">
        <v>150646</v>
      </c>
      <c r="G1555" s="57">
        <f t="shared" si="24"/>
        <v>2.0020619242409124E-3</v>
      </c>
      <c r="H1555" s="5" t="s">
        <v>4644</v>
      </c>
    </row>
    <row r="1556" spans="1:8" ht="38.25" x14ac:dyDescent="0.2">
      <c r="A1556" s="1" t="s">
        <v>4</v>
      </c>
      <c r="B1556" s="2" t="s">
        <v>176</v>
      </c>
      <c r="D1556" s="5" t="s">
        <v>504</v>
      </c>
      <c r="E1556" s="9">
        <v>115406</v>
      </c>
      <c r="F1556" s="9">
        <v>113632</v>
      </c>
      <c r="G1556" s="57">
        <f t="shared" si="24"/>
        <v>-1.5371817756442472E-2</v>
      </c>
      <c r="H1556" s="5" t="s">
        <v>4645</v>
      </c>
    </row>
    <row r="1557" spans="1:8" ht="38.25" x14ac:dyDescent="0.2">
      <c r="A1557" s="1" t="s">
        <v>4</v>
      </c>
      <c r="B1557" s="2" t="s">
        <v>176</v>
      </c>
      <c r="D1557" s="5" t="s">
        <v>504</v>
      </c>
      <c r="E1557" s="9">
        <v>110104</v>
      </c>
      <c r="F1557" s="9">
        <v>111794</v>
      </c>
      <c r="G1557" s="57">
        <f t="shared" si="24"/>
        <v>1.5349124464142992E-2</v>
      </c>
      <c r="H1557" s="5" t="s">
        <v>4646</v>
      </c>
    </row>
    <row r="1558" spans="1:8" ht="38.25" x14ac:dyDescent="0.2">
      <c r="A1558" s="1" t="s">
        <v>4</v>
      </c>
      <c r="B1558" s="2" t="s">
        <v>176</v>
      </c>
      <c r="D1558" s="5" t="s">
        <v>504</v>
      </c>
      <c r="E1558" s="9">
        <v>103488</v>
      </c>
      <c r="F1558" s="9">
        <v>106672</v>
      </c>
      <c r="G1558" s="57">
        <f t="shared" si="24"/>
        <v>3.0766852195423623E-2</v>
      </c>
      <c r="H1558" s="5" t="s">
        <v>4647</v>
      </c>
    </row>
    <row r="1559" spans="1:8" ht="51" x14ac:dyDescent="0.2">
      <c r="A1559" s="1" t="s">
        <v>4</v>
      </c>
      <c r="B1559" s="2" t="s">
        <v>176</v>
      </c>
      <c r="D1559" s="5" t="s">
        <v>1508</v>
      </c>
      <c r="E1559" s="9">
        <v>109399</v>
      </c>
      <c r="F1559" s="9">
        <v>100806</v>
      </c>
      <c r="G1559" s="57">
        <f t="shared" si="24"/>
        <v>-7.8547335898865617E-2</v>
      </c>
      <c r="H1559" s="5" t="s">
        <v>4648</v>
      </c>
    </row>
    <row r="1560" spans="1:8" ht="25.5" x14ac:dyDescent="0.2">
      <c r="A1560" s="1" t="s">
        <v>44</v>
      </c>
      <c r="B1560" s="2" t="s">
        <v>177</v>
      </c>
      <c r="D1560" s="5" t="s">
        <v>450</v>
      </c>
      <c r="E1560" s="9">
        <v>131425</v>
      </c>
      <c r="F1560" s="9">
        <v>131862</v>
      </c>
      <c r="G1560" s="57">
        <f t="shared" si="24"/>
        <v>3.325090355716188E-3</v>
      </c>
      <c r="H1560" s="5" t="s">
        <v>3574</v>
      </c>
    </row>
    <row r="1561" spans="1:8" ht="25.5" x14ac:dyDescent="0.2">
      <c r="A1561" s="1" t="s">
        <v>44</v>
      </c>
      <c r="B1561" s="2" t="s">
        <v>177</v>
      </c>
      <c r="D1561" s="5" t="s">
        <v>468</v>
      </c>
      <c r="E1561" s="9">
        <v>100948</v>
      </c>
      <c r="F1561" s="9">
        <v>100952</v>
      </c>
      <c r="G1561" s="57">
        <f t="shared" si="24"/>
        <v>3.9624361057177956E-5</v>
      </c>
      <c r="H1561" s="5" t="s">
        <v>3571</v>
      </c>
    </row>
    <row r="1562" spans="1:8" ht="25.5" x14ac:dyDescent="0.2">
      <c r="A1562" s="1" t="s">
        <v>44</v>
      </c>
      <c r="B1562" s="2" t="s">
        <v>177</v>
      </c>
      <c r="D1562" s="5" t="s">
        <v>468</v>
      </c>
      <c r="E1562" s="9">
        <v>100715</v>
      </c>
      <c r="F1562" s="9">
        <v>100735</v>
      </c>
      <c r="G1562" s="57">
        <f t="shared" si="24"/>
        <v>1.985801519138162E-4</v>
      </c>
      <c r="H1562" s="5" t="s">
        <v>3572</v>
      </c>
    </row>
    <row r="1563" spans="1:8" x14ac:dyDescent="0.2">
      <c r="A1563" s="1" t="s">
        <v>44</v>
      </c>
      <c r="B1563" s="2" t="s">
        <v>177</v>
      </c>
      <c r="D1563" s="5" t="s">
        <v>468</v>
      </c>
      <c r="E1563" s="9">
        <v>100493</v>
      </c>
      <c r="F1563" s="9">
        <v>100493</v>
      </c>
      <c r="G1563" s="57">
        <f t="shared" si="24"/>
        <v>0</v>
      </c>
      <c r="H1563" s="5" t="s">
        <v>3573</v>
      </c>
    </row>
    <row r="1564" spans="1:8" x14ac:dyDescent="0.2">
      <c r="A1564" s="1" t="s">
        <v>44</v>
      </c>
      <c r="B1564" s="2" t="s">
        <v>177</v>
      </c>
      <c r="D1564" s="5" t="s">
        <v>464</v>
      </c>
      <c r="E1564" s="9">
        <v>112500</v>
      </c>
      <c r="F1564" s="9" t="s">
        <v>465</v>
      </c>
      <c r="G1564" s="57" t="str">
        <f t="shared" si="24"/>
        <v>-</v>
      </c>
    </row>
    <row r="1565" spans="1:8" ht="38.25" x14ac:dyDescent="0.2">
      <c r="A1565" s="1" t="s">
        <v>25</v>
      </c>
      <c r="B1565" s="2" t="s">
        <v>178</v>
      </c>
      <c r="C1565" s="5" t="s">
        <v>1502</v>
      </c>
      <c r="D1565" s="5" t="s">
        <v>450</v>
      </c>
      <c r="E1565" s="9">
        <v>202805</v>
      </c>
      <c r="F1565" s="9">
        <v>203376</v>
      </c>
      <c r="G1565" s="57">
        <f t="shared" si="24"/>
        <v>2.815512438056261E-3</v>
      </c>
      <c r="H1565" s="5" t="s">
        <v>3569</v>
      </c>
    </row>
    <row r="1566" spans="1:8" ht="38.25" x14ac:dyDescent="0.2">
      <c r="A1566" s="1" t="s">
        <v>25</v>
      </c>
      <c r="B1566" s="2" t="s">
        <v>178</v>
      </c>
      <c r="C1566" s="5" t="s">
        <v>1503</v>
      </c>
      <c r="D1566" s="5" t="s">
        <v>1504</v>
      </c>
      <c r="E1566" s="9" t="s">
        <v>465</v>
      </c>
      <c r="F1566" s="9">
        <v>187111</v>
      </c>
      <c r="G1566" s="57" t="str">
        <f t="shared" si="24"/>
        <v>-</v>
      </c>
      <c r="H1566" s="5" t="s">
        <v>3570</v>
      </c>
    </row>
    <row r="1567" spans="1:8" ht="38.25" x14ac:dyDescent="0.2">
      <c r="A1567" s="1" t="s">
        <v>25</v>
      </c>
      <c r="B1567" s="2" t="s">
        <v>178</v>
      </c>
      <c r="D1567" s="5" t="s">
        <v>3562</v>
      </c>
      <c r="E1567" s="9">
        <v>147017</v>
      </c>
      <c r="F1567" s="9">
        <v>157580</v>
      </c>
      <c r="G1567" s="57">
        <f t="shared" si="24"/>
        <v>7.1848833808335094E-2</v>
      </c>
      <c r="H1567" s="5" t="s">
        <v>3561</v>
      </c>
    </row>
    <row r="1568" spans="1:8" x14ac:dyDescent="0.2">
      <c r="A1568" s="1" t="s">
        <v>25</v>
      </c>
      <c r="B1568" s="2" t="s">
        <v>178</v>
      </c>
      <c r="D1568" s="5" t="s">
        <v>3563</v>
      </c>
      <c r="E1568" s="9">
        <v>116317</v>
      </c>
      <c r="F1568" s="9" t="s">
        <v>465</v>
      </c>
      <c r="G1568" s="57" t="str">
        <f t="shared" si="24"/>
        <v>-</v>
      </c>
    </row>
    <row r="1569" spans="1:8" ht="25.5" x14ac:dyDescent="0.2">
      <c r="A1569" s="1" t="s">
        <v>25</v>
      </c>
      <c r="B1569" s="2" t="s">
        <v>178</v>
      </c>
      <c r="D1569" s="5" t="s">
        <v>1505</v>
      </c>
      <c r="E1569" s="9">
        <v>145555</v>
      </c>
      <c r="F1569" s="9">
        <v>147275</v>
      </c>
      <c r="G1569" s="57">
        <f t="shared" si="24"/>
        <v>1.1816838995568686E-2</v>
      </c>
      <c r="H1569" s="5" t="s">
        <v>3564</v>
      </c>
    </row>
    <row r="1570" spans="1:8" ht="25.5" x14ac:dyDescent="0.2">
      <c r="A1570" s="1" t="s">
        <v>25</v>
      </c>
      <c r="B1570" s="2" t="s">
        <v>178</v>
      </c>
      <c r="D1570" s="5" t="s">
        <v>1504</v>
      </c>
      <c r="E1570" s="9">
        <v>145555</v>
      </c>
      <c r="F1570" s="9" t="s">
        <v>465</v>
      </c>
      <c r="G1570" s="57" t="str">
        <f t="shared" si="24"/>
        <v>-</v>
      </c>
    </row>
    <row r="1571" spans="1:8" ht="25.5" x14ac:dyDescent="0.2">
      <c r="A1571" s="1" t="s">
        <v>25</v>
      </c>
      <c r="B1571" s="2" t="s">
        <v>178</v>
      </c>
      <c r="D1571" s="5" t="s">
        <v>1506</v>
      </c>
      <c r="E1571" s="9">
        <v>165589</v>
      </c>
      <c r="F1571" s="9">
        <v>165589</v>
      </c>
      <c r="G1571" s="57">
        <f t="shared" si="24"/>
        <v>0</v>
      </c>
      <c r="H1571" s="5" t="s">
        <v>3565</v>
      </c>
    </row>
    <row r="1572" spans="1:8" ht="25.5" x14ac:dyDescent="0.2">
      <c r="A1572" s="1" t="s">
        <v>25</v>
      </c>
      <c r="B1572" s="2" t="s">
        <v>178</v>
      </c>
      <c r="D1572" s="5" t="s">
        <v>1507</v>
      </c>
      <c r="E1572" s="9">
        <v>107047</v>
      </c>
      <c r="F1572" s="9">
        <v>108838</v>
      </c>
      <c r="G1572" s="57">
        <f t="shared" si="24"/>
        <v>1.6730968639943201E-2</v>
      </c>
      <c r="H1572" s="5" t="s">
        <v>3566</v>
      </c>
    </row>
    <row r="1573" spans="1:8" ht="25.5" x14ac:dyDescent="0.2">
      <c r="A1573" s="1" t="s">
        <v>25</v>
      </c>
      <c r="B1573" s="2" t="s">
        <v>178</v>
      </c>
      <c r="D1573" s="5" t="s">
        <v>3567</v>
      </c>
      <c r="E1573" s="9">
        <v>106603</v>
      </c>
      <c r="F1573" s="9" t="s">
        <v>465</v>
      </c>
      <c r="G1573" s="57" t="str">
        <f t="shared" si="24"/>
        <v>-</v>
      </c>
      <c r="H1573" s="5" t="s">
        <v>3568</v>
      </c>
    </row>
    <row r="1574" spans="1:8" x14ac:dyDescent="0.2">
      <c r="A1574" s="1" t="s">
        <v>25</v>
      </c>
      <c r="B1574" s="2" t="s">
        <v>178</v>
      </c>
      <c r="D1574" s="5" t="s">
        <v>464</v>
      </c>
      <c r="E1574" s="3" t="s">
        <v>465</v>
      </c>
      <c r="F1574" s="3">
        <v>102500</v>
      </c>
      <c r="G1574" s="57" t="str">
        <f t="shared" si="24"/>
        <v>-</v>
      </c>
      <c r="H1574" s="1"/>
    </row>
    <row r="1575" spans="1:8" x14ac:dyDescent="0.2">
      <c r="A1575" s="1" t="s">
        <v>25</v>
      </c>
      <c r="B1575" s="2" t="s">
        <v>178</v>
      </c>
      <c r="D1575" s="5" t="s">
        <v>464</v>
      </c>
      <c r="E1575" s="3" t="s">
        <v>465</v>
      </c>
      <c r="F1575" s="3">
        <v>102500</v>
      </c>
      <c r="G1575" s="57" t="str">
        <f t="shared" si="24"/>
        <v>-</v>
      </c>
      <c r="H1575" s="1"/>
    </row>
    <row r="1576" spans="1:8" x14ac:dyDescent="0.2">
      <c r="A1576" s="1" t="s">
        <v>25</v>
      </c>
      <c r="B1576" s="2" t="s">
        <v>178</v>
      </c>
      <c r="D1576" s="5" t="s">
        <v>464</v>
      </c>
      <c r="E1576" s="3" t="s">
        <v>465</v>
      </c>
      <c r="F1576" s="3">
        <v>102500</v>
      </c>
      <c r="G1576" s="57" t="str">
        <f t="shared" si="24"/>
        <v>-</v>
      </c>
      <c r="H1576" s="1"/>
    </row>
    <row r="1577" spans="1:8" x14ac:dyDescent="0.2">
      <c r="A1577" s="1" t="s">
        <v>25</v>
      </c>
      <c r="B1577" s="2" t="s">
        <v>178</v>
      </c>
      <c r="D1577" s="5" t="s">
        <v>464</v>
      </c>
      <c r="E1577" s="3">
        <v>102500</v>
      </c>
      <c r="F1577" s="3" t="s">
        <v>465</v>
      </c>
      <c r="G1577" s="57" t="str">
        <f t="shared" si="24"/>
        <v>-</v>
      </c>
      <c r="H1577" s="1"/>
    </row>
    <row r="1578" spans="1:8" x14ac:dyDescent="0.2">
      <c r="A1578" s="1" t="s">
        <v>25</v>
      </c>
      <c r="B1578" s="2" t="s">
        <v>178</v>
      </c>
      <c r="D1578" s="5" t="s">
        <v>464</v>
      </c>
      <c r="E1578" s="3">
        <v>102500</v>
      </c>
      <c r="F1578" s="3" t="s">
        <v>465</v>
      </c>
      <c r="G1578" s="57" t="str">
        <f t="shared" si="24"/>
        <v>-</v>
      </c>
      <c r="H1578" s="1"/>
    </row>
    <row r="1579" spans="1:8" x14ac:dyDescent="0.2">
      <c r="A1579" s="1" t="s">
        <v>25</v>
      </c>
      <c r="B1579" s="2" t="s">
        <v>178</v>
      </c>
      <c r="D1579" s="5" t="s">
        <v>464</v>
      </c>
      <c r="E1579" s="3" t="s">
        <v>465</v>
      </c>
      <c r="F1579" s="3">
        <v>107500</v>
      </c>
      <c r="G1579" s="57" t="str">
        <f t="shared" si="24"/>
        <v>-</v>
      </c>
    </row>
    <row r="1580" spans="1:8" x14ac:dyDescent="0.2">
      <c r="A1580" s="1" t="s">
        <v>25</v>
      </c>
      <c r="B1580" s="2" t="s">
        <v>178</v>
      </c>
      <c r="D1580" s="5" t="s">
        <v>464</v>
      </c>
      <c r="E1580" s="3" t="s">
        <v>465</v>
      </c>
      <c r="F1580" s="3">
        <v>107500</v>
      </c>
      <c r="G1580" s="57" t="str">
        <f t="shared" si="24"/>
        <v>-</v>
      </c>
    </row>
    <row r="1581" spans="1:8" x14ac:dyDescent="0.2">
      <c r="A1581" s="1" t="s">
        <v>25</v>
      </c>
      <c r="B1581" s="2" t="s">
        <v>178</v>
      </c>
      <c r="D1581" s="5" t="s">
        <v>464</v>
      </c>
      <c r="E1581" s="3" t="s">
        <v>465</v>
      </c>
      <c r="F1581" s="3">
        <v>107500</v>
      </c>
      <c r="G1581" s="57" t="str">
        <f t="shared" si="24"/>
        <v>-</v>
      </c>
    </row>
    <row r="1582" spans="1:8" x14ac:dyDescent="0.2">
      <c r="A1582" s="1" t="s">
        <v>25</v>
      </c>
      <c r="B1582" s="2" t="s">
        <v>178</v>
      </c>
      <c r="D1582" s="5" t="s">
        <v>464</v>
      </c>
      <c r="E1582" s="3" t="s">
        <v>465</v>
      </c>
      <c r="F1582" s="3">
        <v>107500</v>
      </c>
      <c r="G1582" s="57" t="str">
        <f t="shared" si="24"/>
        <v>-</v>
      </c>
    </row>
    <row r="1583" spans="1:8" x14ac:dyDescent="0.2">
      <c r="A1583" s="1" t="s">
        <v>25</v>
      </c>
      <c r="B1583" s="2" t="s">
        <v>178</v>
      </c>
      <c r="D1583" s="5" t="s">
        <v>464</v>
      </c>
      <c r="E1583" s="3" t="s">
        <v>465</v>
      </c>
      <c r="F1583" s="3">
        <v>112500</v>
      </c>
      <c r="G1583" s="57" t="str">
        <f t="shared" si="24"/>
        <v>-</v>
      </c>
    </row>
    <row r="1584" spans="1:8" x14ac:dyDescent="0.2">
      <c r="A1584" s="1" t="s">
        <v>25</v>
      </c>
      <c r="B1584" s="2" t="s">
        <v>178</v>
      </c>
      <c r="D1584" s="5" t="s">
        <v>464</v>
      </c>
      <c r="E1584" s="3">
        <v>132500</v>
      </c>
      <c r="F1584" s="3" t="s">
        <v>465</v>
      </c>
      <c r="G1584" s="57" t="str">
        <f t="shared" si="24"/>
        <v>-</v>
      </c>
    </row>
    <row r="1585" spans="1:8" x14ac:dyDescent="0.2">
      <c r="A1585" s="1" t="s">
        <v>25</v>
      </c>
      <c r="B1585" s="2" t="s">
        <v>178</v>
      </c>
      <c r="D1585" s="5" t="s">
        <v>464</v>
      </c>
      <c r="E1585" s="3" t="s">
        <v>465</v>
      </c>
      <c r="F1585" s="3">
        <v>137500</v>
      </c>
      <c r="G1585" s="57" t="str">
        <f t="shared" si="24"/>
        <v>-</v>
      </c>
    </row>
    <row r="1586" spans="1:8" x14ac:dyDescent="0.2">
      <c r="A1586" s="1" t="s">
        <v>25</v>
      </c>
      <c r="B1586" s="2" t="s">
        <v>178</v>
      </c>
      <c r="D1586" s="5" t="s">
        <v>464</v>
      </c>
      <c r="E1586" s="3">
        <v>137500</v>
      </c>
      <c r="F1586" s="3" t="s">
        <v>465</v>
      </c>
      <c r="G1586" s="57" t="str">
        <f t="shared" si="24"/>
        <v>-</v>
      </c>
    </row>
    <row r="1587" spans="1:8" x14ac:dyDescent="0.2">
      <c r="A1587" s="1" t="s">
        <v>25</v>
      </c>
      <c r="B1587" s="2" t="s">
        <v>178</v>
      </c>
      <c r="D1587" s="5" t="s">
        <v>464</v>
      </c>
      <c r="E1587" s="3" t="s">
        <v>465</v>
      </c>
      <c r="F1587" s="3">
        <v>147500</v>
      </c>
      <c r="G1587" s="57" t="str">
        <f t="shared" si="24"/>
        <v>-</v>
      </c>
    </row>
    <row r="1588" spans="1:8" x14ac:dyDescent="0.2">
      <c r="A1588" s="1" t="s">
        <v>25</v>
      </c>
      <c r="B1588" s="2" t="s">
        <v>178</v>
      </c>
      <c r="D1588" s="5" t="s">
        <v>464</v>
      </c>
      <c r="E1588" s="3" t="s">
        <v>465</v>
      </c>
      <c r="F1588" s="3">
        <v>152500</v>
      </c>
      <c r="G1588" s="57" t="str">
        <f t="shared" si="24"/>
        <v>-</v>
      </c>
    </row>
    <row r="1589" spans="1:8" x14ac:dyDescent="0.2">
      <c r="A1589" s="1" t="s">
        <v>25</v>
      </c>
      <c r="B1589" s="2" t="s">
        <v>178</v>
      </c>
      <c r="D1589" s="5" t="s">
        <v>464</v>
      </c>
      <c r="E1589" s="3" t="s">
        <v>465</v>
      </c>
      <c r="F1589" s="3">
        <v>162500</v>
      </c>
      <c r="G1589" s="57" t="str">
        <f t="shared" si="24"/>
        <v>-</v>
      </c>
    </row>
    <row r="1590" spans="1:8" x14ac:dyDescent="0.2">
      <c r="A1590" s="1" t="s">
        <v>25</v>
      </c>
      <c r="B1590" s="2" t="s">
        <v>178</v>
      </c>
      <c r="D1590" s="5" t="s">
        <v>464</v>
      </c>
      <c r="E1590" s="3">
        <v>172500</v>
      </c>
      <c r="F1590" s="3" t="s">
        <v>465</v>
      </c>
      <c r="G1590" s="57" t="str">
        <f t="shared" si="24"/>
        <v>-</v>
      </c>
    </row>
    <row r="1591" spans="1:8" x14ac:dyDescent="0.2">
      <c r="A1591" s="1" t="s">
        <v>25</v>
      </c>
      <c r="B1591" s="2" t="s">
        <v>178</v>
      </c>
      <c r="D1591" s="5" t="s">
        <v>464</v>
      </c>
      <c r="E1591" s="3" t="s">
        <v>465</v>
      </c>
      <c r="F1591" s="3">
        <v>207500</v>
      </c>
      <c r="G1591" s="57" t="str">
        <f t="shared" si="24"/>
        <v>-</v>
      </c>
    </row>
    <row r="1592" spans="1:8" ht="114.75" x14ac:dyDescent="0.2">
      <c r="A1592" s="1" t="s">
        <v>6</v>
      </c>
      <c r="B1592" s="2" t="s">
        <v>179</v>
      </c>
      <c r="C1592" s="5" t="s">
        <v>1489</v>
      </c>
      <c r="D1592" s="5" t="s">
        <v>450</v>
      </c>
      <c r="E1592" s="9">
        <v>194700</v>
      </c>
      <c r="F1592" s="9">
        <v>194700</v>
      </c>
      <c r="G1592" s="57">
        <f t="shared" si="24"/>
        <v>0</v>
      </c>
      <c r="H1592" s="5" t="s">
        <v>3551</v>
      </c>
    </row>
    <row r="1593" spans="1:8" ht="25.5" x14ac:dyDescent="0.2">
      <c r="A1593" s="1" t="s">
        <v>6</v>
      </c>
      <c r="B1593" s="2" t="s">
        <v>179</v>
      </c>
      <c r="D1593" s="5" t="s">
        <v>1490</v>
      </c>
      <c r="E1593" s="9">
        <v>128100</v>
      </c>
      <c r="F1593" s="9">
        <v>129400</v>
      </c>
      <c r="G1593" s="57">
        <f t="shared" si="24"/>
        <v>1.0148321623731461E-2</v>
      </c>
      <c r="H1593" s="5" t="s">
        <v>4649</v>
      </c>
    </row>
    <row r="1594" spans="1:8" ht="25.5" x14ac:dyDescent="0.2">
      <c r="A1594" s="1" t="s">
        <v>6</v>
      </c>
      <c r="B1594" s="2" t="s">
        <v>179</v>
      </c>
      <c r="D1594" s="5" t="s">
        <v>1491</v>
      </c>
      <c r="E1594" s="9">
        <v>126300</v>
      </c>
      <c r="F1594" s="9">
        <v>123300</v>
      </c>
      <c r="G1594" s="57">
        <f t="shared" si="24"/>
        <v>-2.3752969121140142E-2</v>
      </c>
      <c r="H1594" s="5" t="s">
        <v>3552</v>
      </c>
    </row>
    <row r="1595" spans="1:8" ht="38.25" x14ac:dyDescent="0.2">
      <c r="A1595" s="1" t="s">
        <v>6</v>
      </c>
      <c r="B1595" s="2" t="s">
        <v>179</v>
      </c>
      <c r="D1595" s="5" t="s">
        <v>1492</v>
      </c>
      <c r="E1595" s="9">
        <v>131200</v>
      </c>
      <c r="F1595" s="9">
        <v>131200</v>
      </c>
      <c r="G1595" s="57">
        <f t="shared" si="24"/>
        <v>0</v>
      </c>
      <c r="H1595" s="5" t="s">
        <v>3553</v>
      </c>
    </row>
    <row r="1596" spans="1:8" ht="25.5" x14ac:dyDescent="0.2">
      <c r="A1596" s="1" t="s">
        <v>6</v>
      </c>
      <c r="B1596" s="2" t="s">
        <v>179</v>
      </c>
      <c r="D1596" s="5" t="s">
        <v>1493</v>
      </c>
      <c r="E1596" s="9">
        <v>127200</v>
      </c>
      <c r="F1596" s="9">
        <v>128700</v>
      </c>
      <c r="G1596" s="57">
        <f t="shared" si="24"/>
        <v>1.179245283018868E-2</v>
      </c>
      <c r="H1596" s="5" t="s">
        <v>3554</v>
      </c>
    </row>
    <row r="1597" spans="1:8" ht="25.5" x14ac:dyDescent="0.2">
      <c r="A1597" s="1" t="s">
        <v>6</v>
      </c>
      <c r="B1597" s="2" t="s">
        <v>179</v>
      </c>
      <c r="D1597" s="5" t="s">
        <v>1494</v>
      </c>
      <c r="E1597" s="9">
        <v>98500</v>
      </c>
      <c r="F1597" s="9">
        <v>103500</v>
      </c>
      <c r="G1597" s="57">
        <f t="shared" si="24"/>
        <v>5.0761421319796954E-2</v>
      </c>
      <c r="H1597" s="5" t="s">
        <v>3555</v>
      </c>
    </row>
    <row r="1598" spans="1:8" ht="25.5" x14ac:dyDescent="0.2">
      <c r="A1598" s="1" t="s">
        <v>6</v>
      </c>
      <c r="B1598" s="2" t="s">
        <v>179</v>
      </c>
      <c r="D1598" s="5" t="s">
        <v>1495</v>
      </c>
      <c r="E1598" s="9">
        <v>99200</v>
      </c>
      <c r="F1598" s="9">
        <v>101000</v>
      </c>
      <c r="G1598" s="57">
        <f t="shared" si="24"/>
        <v>1.8145161290322582E-2</v>
      </c>
      <c r="H1598" s="5" t="s">
        <v>3556</v>
      </c>
    </row>
    <row r="1599" spans="1:8" ht="25.5" x14ac:dyDescent="0.2">
      <c r="A1599" s="1" t="s">
        <v>6</v>
      </c>
      <c r="B1599" s="2" t="s">
        <v>179</v>
      </c>
      <c r="D1599" s="5" t="s">
        <v>1496</v>
      </c>
      <c r="E1599" s="9">
        <v>98500</v>
      </c>
      <c r="F1599" s="9">
        <v>101000</v>
      </c>
      <c r="G1599" s="57">
        <f t="shared" si="24"/>
        <v>2.5380710659898477E-2</v>
      </c>
      <c r="H1599" s="5" t="s">
        <v>3557</v>
      </c>
    </row>
    <row r="1600" spans="1:8" ht="38.25" x14ac:dyDescent="0.2">
      <c r="A1600" s="1" t="s">
        <v>6</v>
      </c>
      <c r="B1600" s="2" t="s">
        <v>179</v>
      </c>
      <c r="D1600" s="5" t="s">
        <v>1497</v>
      </c>
      <c r="E1600" s="9">
        <v>104400</v>
      </c>
      <c r="F1600" s="9">
        <v>106600</v>
      </c>
      <c r="G1600" s="57">
        <f t="shared" si="24"/>
        <v>2.1072796934865901E-2</v>
      </c>
      <c r="H1600" s="5" t="s">
        <v>3558</v>
      </c>
    </row>
    <row r="1601" spans="1:8" ht="25.5" x14ac:dyDescent="0.2">
      <c r="A1601" s="1" t="s">
        <v>6</v>
      </c>
      <c r="B1601" s="2" t="s">
        <v>179</v>
      </c>
      <c r="D1601" s="5" t="s">
        <v>1498</v>
      </c>
      <c r="E1601" s="9">
        <v>103500</v>
      </c>
      <c r="F1601" s="9">
        <v>103500</v>
      </c>
      <c r="G1601" s="57">
        <f t="shared" si="24"/>
        <v>0</v>
      </c>
      <c r="H1601" s="5" t="s">
        <v>3559</v>
      </c>
    </row>
    <row r="1602" spans="1:8" ht="25.5" x14ac:dyDescent="0.2">
      <c r="A1602" s="1" t="s">
        <v>6</v>
      </c>
      <c r="B1602" s="2" t="s">
        <v>179</v>
      </c>
      <c r="D1602" s="5" t="s">
        <v>1499</v>
      </c>
      <c r="E1602" s="9">
        <v>98500</v>
      </c>
      <c r="F1602" s="9">
        <v>101000</v>
      </c>
      <c r="G1602" s="57">
        <f t="shared" si="24"/>
        <v>2.5380710659898477E-2</v>
      </c>
      <c r="H1602" s="5" t="s">
        <v>3556</v>
      </c>
    </row>
    <row r="1603" spans="1:8" ht="25.5" x14ac:dyDescent="0.2">
      <c r="A1603" s="1" t="s">
        <v>6</v>
      </c>
      <c r="B1603" s="2" t="s">
        <v>179</v>
      </c>
      <c r="D1603" s="5" t="s">
        <v>1500</v>
      </c>
      <c r="E1603" s="9">
        <v>100200</v>
      </c>
      <c r="F1603" s="9">
        <v>100400</v>
      </c>
      <c r="G1603" s="57">
        <f t="shared" ref="G1603:G1666" si="25">IF(ISERROR((F1603-E1603)/E1603),"-",(F1603-E1603)/E1603)</f>
        <v>1.996007984031936E-3</v>
      </c>
      <c r="H1603" s="5" t="s">
        <v>3560</v>
      </c>
    </row>
    <row r="1604" spans="1:8" ht="25.5" x14ac:dyDescent="0.2">
      <c r="A1604" s="1" t="s">
        <v>6</v>
      </c>
      <c r="B1604" s="2" t="s">
        <v>179</v>
      </c>
      <c r="D1604" s="5" t="s">
        <v>1501</v>
      </c>
      <c r="E1604" s="9">
        <v>98500</v>
      </c>
      <c r="F1604" s="9">
        <v>101000</v>
      </c>
      <c r="G1604" s="57">
        <f t="shared" si="25"/>
        <v>2.5380710659898477E-2</v>
      </c>
      <c r="H1604" s="5" t="s">
        <v>3557</v>
      </c>
    </row>
    <row r="1605" spans="1:8" x14ac:dyDescent="0.2">
      <c r="A1605" s="1" t="s">
        <v>6</v>
      </c>
      <c r="B1605" s="2" t="s">
        <v>179</v>
      </c>
      <c r="D1605" s="5" t="s">
        <v>464</v>
      </c>
      <c r="G1605" s="57" t="str">
        <f t="shared" si="25"/>
        <v>-</v>
      </c>
    </row>
    <row r="1606" spans="1:8" x14ac:dyDescent="0.2">
      <c r="A1606" s="1" t="s">
        <v>6</v>
      </c>
      <c r="B1606" s="2" t="s">
        <v>179</v>
      </c>
      <c r="D1606" s="5" t="s">
        <v>464</v>
      </c>
      <c r="G1606" s="57" t="str">
        <f t="shared" si="25"/>
        <v>-</v>
      </c>
    </row>
    <row r="1607" spans="1:8" x14ac:dyDescent="0.2">
      <c r="A1607" s="1" t="s">
        <v>6</v>
      </c>
      <c r="B1607" s="2" t="s">
        <v>179</v>
      </c>
      <c r="D1607" s="5" t="s">
        <v>464</v>
      </c>
      <c r="E1607" s="3">
        <v>142500</v>
      </c>
      <c r="F1607" s="3" t="s">
        <v>465</v>
      </c>
      <c r="G1607" s="57" t="str">
        <f t="shared" si="25"/>
        <v>-</v>
      </c>
    </row>
    <row r="1608" spans="1:8" ht="25.5" x14ac:dyDescent="0.2">
      <c r="A1608" s="1" t="s">
        <v>28</v>
      </c>
      <c r="B1608" s="2" t="s">
        <v>180</v>
      </c>
      <c r="D1608" s="5" t="s">
        <v>450</v>
      </c>
      <c r="E1608" s="3">
        <v>151299</v>
      </c>
      <c r="F1608" s="3">
        <v>149428</v>
      </c>
      <c r="G1608" s="57">
        <f t="shared" si="25"/>
        <v>-1.2366241680381232E-2</v>
      </c>
      <c r="H1608" s="5" t="s">
        <v>3550</v>
      </c>
    </row>
    <row r="1609" spans="1:8" ht="25.5" x14ac:dyDescent="0.2">
      <c r="A1609" s="1" t="s">
        <v>28</v>
      </c>
      <c r="B1609" s="2" t="s">
        <v>180</v>
      </c>
      <c r="D1609" s="5" t="s">
        <v>455</v>
      </c>
      <c r="E1609" s="3">
        <v>106293</v>
      </c>
      <c r="F1609" s="3">
        <v>104436</v>
      </c>
      <c r="G1609" s="57">
        <f t="shared" si="25"/>
        <v>-1.7470576613699867E-2</v>
      </c>
      <c r="H1609" s="5" t="s">
        <v>4650</v>
      </c>
    </row>
    <row r="1610" spans="1:8" ht="63.75" x14ac:dyDescent="0.2">
      <c r="A1610" s="1" t="s">
        <v>25</v>
      </c>
      <c r="B1610" s="2" t="s">
        <v>181</v>
      </c>
      <c r="C1610" s="5" t="s">
        <v>1476</v>
      </c>
      <c r="D1610" s="5" t="s">
        <v>450</v>
      </c>
      <c r="E1610" s="9">
        <v>270474</v>
      </c>
      <c r="F1610" s="9">
        <v>281666</v>
      </c>
      <c r="G1610" s="57">
        <f t="shared" si="25"/>
        <v>4.1379208352743703E-2</v>
      </c>
      <c r="H1610" s="5" t="s">
        <v>3540</v>
      </c>
    </row>
    <row r="1611" spans="1:8" ht="25.5" x14ac:dyDescent="0.2">
      <c r="A1611" s="1" t="s">
        <v>25</v>
      </c>
      <c r="B1611" s="2" t="s">
        <v>181</v>
      </c>
      <c r="C1611" s="5" t="s">
        <v>1477</v>
      </c>
      <c r="D1611" s="5" t="s">
        <v>1478</v>
      </c>
      <c r="E1611" s="9">
        <v>203806</v>
      </c>
      <c r="F1611" s="9">
        <v>206133</v>
      </c>
      <c r="G1611" s="57">
        <f t="shared" si="25"/>
        <v>1.1417720773676927E-2</v>
      </c>
      <c r="H1611" s="5" t="s">
        <v>3541</v>
      </c>
    </row>
    <row r="1612" spans="1:8" ht="25.5" x14ac:dyDescent="0.2">
      <c r="A1612" s="1" t="s">
        <v>25</v>
      </c>
      <c r="B1612" s="2" t="s">
        <v>181</v>
      </c>
      <c r="C1612" s="5" t="s">
        <v>1479</v>
      </c>
      <c r="D1612" s="5" t="s">
        <v>1480</v>
      </c>
      <c r="E1612" s="9">
        <v>193612</v>
      </c>
      <c r="F1612" s="9">
        <v>195865</v>
      </c>
      <c r="G1612" s="57">
        <f t="shared" si="25"/>
        <v>1.1636675412681033E-2</v>
      </c>
      <c r="H1612" s="5" t="s">
        <v>3542</v>
      </c>
    </row>
    <row r="1613" spans="1:8" ht="25.5" x14ac:dyDescent="0.2">
      <c r="A1613" s="1" t="s">
        <v>25</v>
      </c>
      <c r="B1613" s="2" t="s">
        <v>181</v>
      </c>
      <c r="C1613" s="5" t="s">
        <v>1481</v>
      </c>
      <c r="D1613" s="5" t="s">
        <v>855</v>
      </c>
      <c r="E1613" s="9">
        <v>198298</v>
      </c>
      <c r="F1613" s="9">
        <v>180777</v>
      </c>
      <c r="G1613" s="57">
        <f t="shared" si="25"/>
        <v>-8.8356917366791396E-2</v>
      </c>
      <c r="H1613" s="5" t="s">
        <v>3543</v>
      </c>
    </row>
    <row r="1614" spans="1:8" ht="25.5" x14ac:dyDescent="0.2">
      <c r="A1614" s="1" t="s">
        <v>25</v>
      </c>
      <c r="B1614" s="2" t="s">
        <v>181</v>
      </c>
      <c r="C1614" s="5" t="s">
        <v>1482</v>
      </c>
      <c r="D1614" s="5" t="s">
        <v>562</v>
      </c>
      <c r="E1614" s="9">
        <v>192192</v>
      </c>
      <c r="F1614" s="9">
        <v>198367</v>
      </c>
      <c r="G1614" s="57">
        <f t="shared" si="25"/>
        <v>3.2129329004329008E-2</v>
      </c>
      <c r="H1614" s="5" t="s">
        <v>3544</v>
      </c>
    </row>
    <row r="1615" spans="1:8" ht="25.5" x14ac:dyDescent="0.2">
      <c r="A1615" s="1" t="s">
        <v>25</v>
      </c>
      <c r="B1615" s="2" t="s">
        <v>181</v>
      </c>
      <c r="C1615" s="5" t="s">
        <v>1483</v>
      </c>
      <c r="D1615" s="5" t="s">
        <v>1484</v>
      </c>
      <c r="E1615" s="9">
        <v>185153</v>
      </c>
      <c r="F1615" s="9">
        <v>166802</v>
      </c>
      <c r="G1615" s="57">
        <f t="shared" si="25"/>
        <v>-9.9112625774359586E-2</v>
      </c>
      <c r="H1615" s="5" t="s">
        <v>3545</v>
      </c>
    </row>
    <row r="1616" spans="1:8" ht="76.5" x14ac:dyDescent="0.2">
      <c r="A1616" s="1" t="s">
        <v>25</v>
      </c>
      <c r="B1616" s="2" t="s">
        <v>181</v>
      </c>
      <c r="C1616" s="5" t="s">
        <v>1485</v>
      </c>
      <c r="D1616" s="5" t="s">
        <v>3547</v>
      </c>
      <c r="E1616" s="9">
        <v>142586</v>
      </c>
      <c r="F1616" s="9">
        <v>149420</v>
      </c>
      <c r="G1616" s="57">
        <f t="shared" si="25"/>
        <v>4.7928969183510306E-2</v>
      </c>
      <c r="H1616" s="5" t="s">
        <v>3546</v>
      </c>
    </row>
    <row r="1617" spans="1:8" ht="38.25" x14ac:dyDescent="0.2">
      <c r="A1617" s="1" t="s">
        <v>25</v>
      </c>
      <c r="B1617" s="2" t="s">
        <v>181</v>
      </c>
      <c r="C1617" s="5" t="s">
        <v>1486</v>
      </c>
      <c r="D1617" s="5" t="s">
        <v>1487</v>
      </c>
      <c r="E1617" s="9" t="s">
        <v>465</v>
      </c>
      <c r="F1617" s="9">
        <v>182400</v>
      </c>
      <c r="G1617" s="57" t="str">
        <f t="shared" si="25"/>
        <v>-</v>
      </c>
      <c r="H1617" s="5" t="s">
        <v>3548</v>
      </c>
    </row>
    <row r="1618" spans="1:8" ht="25.5" x14ac:dyDescent="0.2">
      <c r="A1618" s="1" t="s">
        <v>25</v>
      </c>
      <c r="B1618" s="2" t="s">
        <v>181</v>
      </c>
      <c r="D1618" s="5" t="s">
        <v>464</v>
      </c>
      <c r="G1618" s="57" t="str">
        <f t="shared" si="25"/>
        <v>-</v>
      </c>
      <c r="H1618" s="5" t="s">
        <v>3549</v>
      </c>
    </row>
    <row r="1619" spans="1:8" x14ac:dyDescent="0.2">
      <c r="A1619" s="1" t="s">
        <v>25</v>
      </c>
      <c r="B1619" s="2" t="s">
        <v>181</v>
      </c>
      <c r="D1619" s="5" t="s">
        <v>464</v>
      </c>
      <c r="E1619" s="3" t="s">
        <v>465</v>
      </c>
      <c r="F1619" s="3">
        <v>102500</v>
      </c>
      <c r="G1619" s="57" t="str">
        <f t="shared" si="25"/>
        <v>-</v>
      </c>
    </row>
    <row r="1620" spans="1:8" x14ac:dyDescent="0.2">
      <c r="A1620" s="1" t="s">
        <v>25</v>
      </c>
      <c r="B1620" s="2" t="s">
        <v>181</v>
      </c>
      <c r="D1620" s="5" t="s">
        <v>464</v>
      </c>
      <c r="E1620" s="3" t="s">
        <v>465</v>
      </c>
      <c r="F1620" s="3">
        <v>102500</v>
      </c>
      <c r="G1620" s="57" t="str">
        <f t="shared" si="25"/>
        <v>-</v>
      </c>
    </row>
    <row r="1621" spans="1:8" x14ac:dyDescent="0.2">
      <c r="A1621" s="1" t="s">
        <v>25</v>
      </c>
      <c r="B1621" s="2" t="s">
        <v>181</v>
      </c>
      <c r="D1621" s="5" t="s">
        <v>464</v>
      </c>
      <c r="E1621" s="3" t="s">
        <v>465</v>
      </c>
      <c r="F1621" s="3">
        <v>102500</v>
      </c>
      <c r="G1621" s="57" t="str">
        <f t="shared" si="25"/>
        <v>-</v>
      </c>
    </row>
    <row r="1622" spans="1:8" x14ac:dyDescent="0.2">
      <c r="A1622" s="1" t="s">
        <v>25</v>
      </c>
      <c r="B1622" s="2" t="s">
        <v>181</v>
      </c>
      <c r="D1622" s="5" t="s">
        <v>464</v>
      </c>
      <c r="E1622" s="3" t="s">
        <v>465</v>
      </c>
      <c r="F1622" s="3">
        <v>102500</v>
      </c>
      <c r="G1622" s="57" t="str">
        <f t="shared" si="25"/>
        <v>-</v>
      </c>
    </row>
    <row r="1623" spans="1:8" x14ac:dyDescent="0.2">
      <c r="A1623" s="1" t="s">
        <v>25</v>
      </c>
      <c r="B1623" s="2" t="s">
        <v>181</v>
      </c>
      <c r="D1623" s="5" t="s">
        <v>464</v>
      </c>
      <c r="E1623" s="3" t="s">
        <v>465</v>
      </c>
      <c r="F1623" s="3">
        <v>102500</v>
      </c>
      <c r="G1623" s="57" t="str">
        <f t="shared" si="25"/>
        <v>-</v>
      </c>
    </row>
    <row r="1624" spans="1:8" x14ac:dyDescent="0.2">
      <c r="A1624" s="1" t="s">
        <v>25</v>
      </c>
      <c r="B1624" s="2" t="s">
        <v>181</v>
      </c>
      <c r="D1624" s="5" t="s">
        <v>464</v>
      </c>
      <c r="E1624" s="3" t="s">
        <v>465</v>
      </c>
      <c r="F1624" s="3">
        <v>102500</v>
      </c>
      <c r="G1624" s="57" t="str">
        <f t="shared" si="25"/>
        <v>-</v>
      </c>
    </row>
    <row r="1625" spans="1:8" x14ac:dyDescent="0.2">
      <c r="A1625" s="1" t="s">
        <v>25</v>
      </c>
      <c r="B1625" s="2" t="s">
        <v>181</v>
      </c>
      <c r="D1625" s="5" t="s">
        <v>464</v>
      </c>
      <c r="E1625" s="3">
        <v>102500</v>
      </c>
      <c r="F1625" s="3" t="s">
        <v>465</v>
      </c>
      <c r="G1625" s="57" t="str">
        <f t="shared" si="25"/>
        <v>-</v>
      </c>
      <c r="H1625" s="5" t="s">
        <v>1488</v>
      </c>
    </row>
    <row r="1626" spans="1:8" x14ac:dyDescent="0.2">
      <c r="A1626" s="1" t="s">
        <v>25</v>
      </c>
      <c r="B1626" s="2" t="s">
        <v>181</v>
      </c>
      <c r="D1626" s="5" t="s">
        <v>464</v>
      </c>
      <c r="E1626" s="3">
        <v>102500</v>
      </c>
      <c r="F1626" s="3" t="s">
        <v>465</v>
      </c>
      <c r="G1626" s="57" t="str">
        <f t="shared" si="25"/>
        <v>-</v>
      </c>
    </row>
    <row r="1627" spans="1:8" x14ac:dyDescent="0.2">
      <c r="A1627" s="1" t="s">
        <v>25</v>
      </c>
      <c r="B1627" s="2" t="s">
        <v>181</v>
      </c>
      <c r="D1627" s="5" t="s">
        <v>464</v>
      </c>
      <c r="E1627" s="3">
        <v>102500</v>
      </c>
      <c r="F1627" s="3" t="s">
        <v>465</v>
      </c>
      <c r="G1627" s="57" t="str">
        <f t="shared" si="25"/>
        <v>-</v>
      </c>
    </row>
    <row r="1628" spans="1:8" x14ac:dyDescent="0.2">
      <c r="A1628" s="1" t="s">
        <v>25</v>
      </c>
      <c r="B1628" s="2" t="s">
        <v>181</v>
      </c>
      <c r="D1628" s="5" t="s">
        <v>464</v>
      </c>
      <c r="E1628" s="3">
        <v>102500</v>
      </c>
      <c r="F1628" s="3" t="s">
        <v>465</v>
      </c>
      <c r="G1628" s="57" t="str">
        <f t="shared" si="25"/>
        <v>-</v>
      </c>
    </row>
    <row r="1629" spans="1:8" x14ac:dyDescent="0.2">
      <c r="A1629" s="1" t="s">
        <v>25</v>
      </c>
      <c r="B1629" s="2" t="s">
        <v>181</v>
      </c>
      <c r="D1629" s="5" t="s">
        <v>464</v>
      </c>
      <c r="E1629" s="3">
        <v>102500</v>
      </c>
      <c r="F1629" s="3" t="s">
        <v>465</v>
      </c>
      <c r="G1629" s="57" t="str">
        <f t="shared" si="25"/>
        <v>-</v>
      </c>
    </row>
    <row r="1630" spans="1:8" x14ac:dyDescent="0.2">
      <c r="A1630" s="1" t="s">
        <v>25</v>
      </c>
      <c r="B1630" s="2" t="s">
        <v>181</v>
      </c>
      <c r="D1630" s="5" t="s">
        <v>464</v>
      </c>
      <c r="E1630" s="3">
        <v>102500</v>
      </c>
      <c r="F1630" s="3" t="s">
        <v>465</v>
      </c>
      <c r="G1630" s="57" t="str">
        <f t="shared" si="25"/>
        <v>-</v>
      </c>
    </row>
    <row r="1631" spans="1:8" x14ac:dyDescent="0.2">
      <c r="A1631" s="1" t="s">
        <v>25</v>
      </c>
      <c r="B1631" s="2" t="s">
        <v>181</v>
      </c>
      <c r="D1631" s="5" t="s">
        <v>464</v>
      </c>
      <c r="E1631" s="3">
        <v>102500</v>
      </c>
      <c r="F1631" s="3" t="s">
        <v>465</v>
      </c>
      <c r="G1631" s="57" t="str">
        <f t="shared" si="25"/>
        <v>-</v>
      </c>
    </row>
    <row r="1632" spans="1:8" x14ac:dyDescent="0.2">
      <c r="A1632" s="1" t="s">
        <v>25</v>
      </c>
      <c r="B1632" s="2" t="s">
        <v>181</v>
      </c>
      <c r="D1632" s="5" t="s">
        <v>464</v>
      </c>
      <c r="E1632" s="3" t="s">
        <v>465</v>
      </c>
      <c r="F1632" s="3">
        <v>107500</v>
      </c>
      <c r="G1632" s="57" t="str">
        <f t="shared" si="25"/>
        <v>-</v>
      </c>
    </row>
    <row r="1633" spans="1:8" x14ac:dyDescent="0.2">
      <c r="A1633" s="1" t="s">
        <v>25</v>
      </c>
      <c r="B1633" s="2" t="s">
        <v>181</v>
      </c>
      <c r="D1633" s="5" t="s">
        <v>464</v>
      </c>
      <c r="E1633" s="3" t="s">
        <v>465</v>
      </c>
      <c r="F1633" s="3">
        <v>107500</v>
      </c>
      <c r="G1633" s="57" t="str">
        <f t="shared" si="25"/>
        <v>-</v>
      </c>
    </row>
    <row r="1634" spans="1:8" x14ac:dyDescent="0.2">
      <c r="A1634" s="1" t="s">
        <v>25</v>
      </c>
      <c r="B1634" s="2" t="s">
        <v>181</v>
      </c>
      <c r="D1634" s="5" t="s">
        <v>464</v>
      </c>
      <c r="E1634" s="3" t="s">
        <v>465</v>
      </c>
      <c r="F1634" s="3">
        <v>107500</v>
      </c>
      <c r="G1634" s="57" t="str">
        <f t="shared" si="25"/>
        <v>-</v>
      </c>
    </row>
    <row r="1635" spans="1:8" x14ac:dyDescent="0.2">
      <c r="A1635" s="1" t="s">
        <v>25</v>
      </c>
      <c r="B1635" s="2" t="s">
        <v>181</v>
      </c>
      <c r="D1635" s="5" t="s">
        <v>464</v>
      </c>
      <c r="E1635" s="3">
        <v>107500</v>
      </c>
      <c r="F1635" s="3" t="s">
        <v>465</v>
      </c>
      <c r="G1635" s="57" t="str">
        <f t="shared" si="25"/>
        <v>-</v>
      </c>
    </row>
    <row r="1636" spans="1:8" x14ac:dyDescent="0.2">
      <c r="A1636" s="1" t="s">
        <v>25</v>
      </c>
      <c r="B1636" s="2" t="s">
        <v>181</v>
      </c>
      <c r="D1636" s="5" t="s">
        <v>464</v>
      </c>
      <c r="E1636" s="3">
        <v>107500</v>
      </c>
      <c r="F1636" s="3" t="s">
        <v>465</v>
      </c>
      <c r="G1636" s="57" t="str">
        <f t="shared" si="25"/>
        <v>-</v>
      </c>
    </row>
    <row r="1637" spans="1:8" x14ac:dyDescent="0.2">
      <c r="A1637" s="1" t="s">
        <v>25</v>
      </c>
      <c r="B1637" s="2" t="s">
        <v>181</v>
      </c>
      <c r="D1637" s="5" t="s">
        <v>464</v>
      </c>
      <c r="E1637" s="3">
        <v>107500</v>
      </c>
      <c r="F1637" s="3" t="s">
        <v>465</v>
      </c>
      <c r="G1637" s="57" t="str">
        <f t="shared" si="25"/>
        <v>-</v>
      </c>
    </row>
    <row r="1638" spans="1:8" x14ac:dyDescent="0.2">
      <c r="A1638" s="1" t="s">
        <v>25</v>
      </c>
      <c r="B1638" s="2" t="s">
        <v>181</v>
      </c>
      <c r="D1638" s="5" t="s">
        <v>464</v>
      </c>
      <c r="E1638" s="3">
        <v>107500</v>
      </c>
      <c r="F1638" s="3" t="s">
        <v>465</v>
      </c>
      <c r="G1638" s="57" t="str">
        <f t="shared" si="25"/>
        <v>-</v>
      </c>
    </row>
    <row r="1639" spans="1:8" x14ac:dyDescent="0.2">
      <c r="A1639" s="1" t="s">
        <v>25</v>
      </c>
      <c r="B1639" s="2" t="s">
        <v>181</v>
      </c>
      <c r="D1639" s="5" t="s">
        <v>464</v>
      </c>
      <c r="E1639" s="3" t="s">
        <v>465</v>
      </c>
      <c r="F1639" s="3">
        <v>112500</v>
      </c>
      <c r="G1639" s="57" t="str">
        <f t="shared" si="25"/>
        <v>-</v>
      </c>
      <c r="H1639" s="5" t="s">
        <v>1488</v>
      </c>
    </row>
    <row r="1640" spans="1:8" x14ac:dyDescent="0.2">
      <c r="A1640" s="1" t="s">
        <v>25</v>
      </c>
      <c r="B1640" s="2" t="s">
        <v>181</v>
      </c>
      <c r="D1640" s="5" t="s">
        <v>464</v>
      </c>
      <c r="E1640" s="3" t="s">
        <v>465</v>
      </c>
      <c r="F1640" s="3">
        <v>112500</v>
      </c>
      <c r="G1640" s="57" t="str">
        <f t="shared" si="25"/>
        <v>-</v>
      </c>
    </row>
    <row r="1641" spans="1:8" x14ac:dyDescent="0.2">
      <c r="A1641" s="1" t="s">
        <v>25</v>
      </c>
      <c r="B1641" s="2" t="s">
        <v>181</v>
      </c>
      <c r="D1641" s="5" t="s">
        <v>464</v>
      </c>
      <c r="E1641" s="3" t="s">
        <v>465</v>
      </c>
      <c r="F1641" s="3">
        <v>127500</v>
      </c>
      <c r="G1641" s="57" t="str">
        <f t="shared" si="25"/>
        <v>-</v>
      </c>
    </row>
    <row r="1642" spans="1:8" x14ac:dyDescent="0.2">
      <c r="A1642" s="1" t="s">
        <v>25</v>
      </c>
      <c r="B1642" s="2" t="s">
        <v>181</v>
      </c>
      <c r="D1642" s="5" t="s">
        <v>464</v>
      </c>
      <c r="E1642" s="3" t="s">
        <v>465</v>
      </c>
      <c r="F1642" s="3">
        <v>132500</v>
      </c>
      <c r="G1642" s="57" t="str">
        <f t="shared" si="25"/>
        <v>-</v>
      </c>
    </row>
    <row r="1643" spans="1:8" x14ac:dyDescent="0.2">
      <c r="A1643" s="1" t="s">
        <v>25</v>
      </c>
      <c r="B1643" s="2" t="s">
        <v>181</v>
      </c>
      <c r="D1643" s="5" t="s">
        <v>464</v>
      </c>
      <c r="E1643" s="3">
        <v>132500</v>
      </c>
      <c r="F1643" s="3" t="s">
        <v>465</v>
      </c>
      <c r="G1643" s="57" t="str">
        <f t="shared" si="25"/>
        <v>-</v>
      </c>
      <c r="H1643" s="5" t="s">
        <v>1488</v>
      </c>
    </row>
    <row r="1644" spans="1:8" x14ac:dyDescent="0.2">
      <c r="A1644" s="1" t="s">
        <v>25</v>
      </c>
      <c r="B1644" s="2" t="s">
        <v>181</v>
      </c>
      <c r="D1644" s="5" t="s">
        <v>464</v>
      </c>
      <c r="E1644" s="3" t="s">
        <v>465</v>
      </c>
      <c r="F1644" s="3">
        <v>137500</v>
      </c>
      <c r="G1644" s="57" t="str">
        <f t="shared" si="25"/>
        <v>-</v>
      </c>
    </row>
    <row r="1645" spans="1:8" x14ac:dyDescent="0.2">
      <c r="A1645" s="1" t="s">
        <v>25</v>
      </c>
      <c r="B1645" s="2" t="s">
        <v>181</v>
      </c>
      <c r="D1645" s="5" t="s">
        <v>464</v>
      </c>
      <c r="E1645" s="3">
        <v>137500</v>
      </c>
      <c r="F1645" s="3" t="s">
        <v>465</v>
      </c>
      <c r="G1645" s="57" t="str">
        <f t="shared" si="25"/>
        <v>-</v>
      </c>
    </row>
    <row r="1646" spans="1:8" x14ac:dyDescent="0.2">
      <c r="A1646" s="1" t="s">
        <v>25</v>
      </c>
      <c r="B1646" s="2" t="s">
        <v>181</v>
      </c>
      <c r="D1646" s="5" t="s">
        <v>464</v>
      </c>
      <c r="E1646" s="3">
        <v>137500</v>
      </c>
      <c r="F1646" s="3" t="s">
        <v>465</v>
      </c>
      <c r="G1646" s="57" t="str">
        <f t="shared" si="25"/>
        <v>-</v>
      </c>
    </row>
    <row r="1647" spans="1:8" ht="25.5" x14ac:dyDescent="0.2">
      <c r="A1647" s="1" t="s">
        <v>4</v>
      </c>
      <c r="B1647" s="2" t="s">
        <v>182</v>
      </c>
      <c r="C1647" s="5" t="s">
        <v>1467</v>
      </c>
      <c r="D1647" s="5" t="s">
        <v>450</v>
      </c>
      <c r="E1647" s="9">
        <v>246648</v>
      </c>
      <c r="F1647" s="9">
        <v>246980</v>
      </c>
      <c r="G1647" s="57">
        <f t="shared" si="25"/>
        <v>1.3460478090233856E-3</v>
      </c>
      <c r="H1647" s="5" t="s">
        <v>3529</v>
      </c>
    </row>
    <row r="1648" spans="1:8" ht="25.5" x14ac:dyDescent="0.2">
      <c r="A1648" s="1" t="s">
        <v>4</v>
      </c>
      <c r="B1648" s="2" t="s">
        <v>182</v>
      </c>
      <c r="C1648" s="5" t="s">
        <v>1468</v>
      </c>
      <c r="D1648" s="5" t="s">
        <v>1469</v>
      </c>
      <c r="E1648" s="9">
        <v>193541</v>
      </c>
      <c r="F1648" s="9">
        <v>201759</v>
      </c>
      <c r="G1648" s="57">
        <f t="shared" si="25"/>
        <v>4.2461287272464232E-2</v>
      </c>
      <c r="H1648" s="5" t="s">
        <v>3530</v>
      </c>
    </row>
    <row r="1649" spans="1:8" ht="25.5" x14ac:dyDescent="0.2">
      <c r="A1649" s="1" t="s">
        <v>4</v>
      </c>
      <c r="B1649" s="2" t="s">
        <v>182</v>
      </c>
      <c r="C1649" s="5" t="s">
        <v>1470</v>
      </c>
      <c r="D1649" s="5" t="s">
        <v>1471</v>
      </c>
      <c r="E1649" s="9" t="s">
        <v>465</v>
      </c>
      <c r="F1649" s="9">
        <v>115130</v>
      </c>
      <c r="G1649" s="57" t="str">
        <f t="shared" si="25"/>
        <v>-</v>
      </c>
      <c r="H1649" s="5" t="s">
        <v>3531</v>
      </c>
    </row>
    <row r="1650" spans="1:8" ht="25.5" x14ac:dyDescent="0.2">
      <c r="A1650" s="1" t="s">
        <v>4</v>
      </c>
      <c r="B1650" s="2" t="s">
        <v>182</v>
      </c>
      <c r="C1650" s="5" t="s">
        <v>3532</v>
      </c>
      <c r="D1650" s="5" t="s">
        <v>1471</v>
      </c>
      <c r="E1650" s="9">
        <v>187409</v>
      </c>
      <c r="F1650" s="9">
        <v>39369</v>
      </c>
      <c r="G1650" s="57">
        <f t="shared" si="25"/>
        <v>-0.78993004604901584</v>
      </c>
      <c r="H1650" s="5" t="s">
        <v>3533</v>
      </c>
    </row>
    <row r="1651" spans="1:8" ht="38.25" x14ac:dyDescent="0.2">
      <c r="A1651" s="1" t="s">
        <v>4</v>
      </c>
      <c r="B1651" s="2" t="s">
        <v>182</v>
      </c>
      <c r="D1651" s="5" t="s">
        <v>942</v>
      </c>
      <c r="E1651" s="9">
        <v>166124</v>
      </c>
      <c r="F1651" s="9">
        <v>165401</v>
      </c>
      <c r="G1651" s="57">
        <f t="shared" si="25"/>
        <v>-4.3521706676940119E-3</v>
      </c>
      <c r="H1651" s="5" t="s">
        <v>3534</v>
      </c>
    </row>
    <row r="1652" spans="1:8" ht="51" x14ac:dyDescent="0.2">
      <c r="A1652" s="1" t="s">
        <v>4</v>
      </c>
      <c r="B1652" s="2" t="s">
        <v>182</v>
      </c>
      <c r="D1652" s="5" t="s">
        <v>1472</v>
      </c>
      <c r="E1652" s="9">
        <v>101832</v>
      </c>
      <c r="F1652" s="9">
        <v>253040</v>
      </c>
      <c r="G1652" s="57">
        <f t="shared" si="25"/>
        <v>1.4848770524000314</v>
      </c>
      <c r="H1652" s="5" t="s">
        <v>3535</v>
      </c>
    </row>
    <row r="1653" spans="1:8" ht="25.5" x14ac:dyDescent="0.2">
      <c r="A1653" s="1" t="s">
        <v>4</v>
      </c>
      <c r="B1653" s="2" t="s">
        <v>182</v>
      </c>
      <c r="D1653" s="5" t="s">
        <v>1473</v>
      </c>
      <c r="E1653" s="9">
        <v>165590</v>
      </c>
      <c r="F1653" s="9">
        <v>165401</v>
      </c>
      <c r="G1653" s="57">
        <f t="shared" si="25"/>
        <v>-1.1413732713328099E-3</v>
      </c>
      <c r="H1653" s="5" t="s">
        <v>3536</v>
      </c>
    </row>
    <row r="1654" spans="1:8" ht="25.5" x14ac:dyDescent="0.2">
      <c r="A1654" s="1" t="s">
        <v>4</v>
      </c>
      <c r="B1654" s="2" t="s">
        <v>182</v>
      </c>
      <c r="D1654" s="5" t="s">
        <v>658</v>
      </c>
      <c r="E1654" s="9">
        <v>161668</v>
      </c>
      <c r="F1654" s="9">
        <v>160727</v>
      </c>
      <c r="G1654" s="57">
        <f t="shared" si="25"/>
        <v>-5.8205705519954474E-3</v>
      </c>
      <c r="H1654" s="5" t="s">
        <v>3537</v>
      </c>
    </row>
    <row r="1655" spans="1:8" ht="38.25" x14ac:dyDescent="0.2">
      <c r="A1655" s="1" t="s">
        <v>4</v>
      </c>
      <c r="B1655" s="2" t="s">
        <v>182</v>
      </c>
      <c r="D1655" s="5" t="s">
        <v>1474</v>
      </c>
      <c r="E1655" s="9">
        <v>148113</v>
      </c>
      <c r="F1655" s="9">
        <v>215051</v>
      </c>
      <c r="G1655" s="57">
        <f t="shared" si="25"/>
        <v>0.45193872246190409</v>
      </c>
      <c r="H1655" s="5" t="s">
        <v>3538</v>
      </c>
    </row>
    <row r="1656" spans="1:8" ht="25.5" x14ac:dyDescent="0.2">
      <c r="A1656" s="1" t="s">
        <v>4</v>
      </c>
      <c r="B1656" s="2" t="s">
        <v>182</v>
      </c>
      <c r="D1656" s="5" t="s">
        <v>949</v>
      </c>
      <c r="E1656" s="9">
        <v>149307</v>
      </c>
      <c r="F1656" s="9">
        <v>148319</v>
      </c>
      <c r="G1656" s="57">
        <f t="shared" si="25"/>
        <v>-6.6172383076480001E-3</v>
      </c>
      <c r="H1656" s="5" t="s">
        <v>3539</v>
      </c>
    </row>
    <row r="1657" spans="1:8" x14ac:dyDescent="0.2">
      <c r="A1657" s="1" t="s">
        <v>4</v>
      </c>
      <c r="B1657" s="2" t="s">
        <v>182</v>
      </c>
      <c r="D1657" s="5" t="s">
        <v>464</v>
      </c>
      <c r="E1657" s="3" t="s">
        <v>465</v>
      </c>
      <c r="F1657" s="3">
        <v>102500</v>
      </c>
      <c r="G1657" s="57" t="str">
        <f t="shared" si="25"/>
        <v>-</v>
      </c>
      <c r="H1657" s="5" t="s">
        <v>1475</v>
      </c>
    </row>
    <row r="1658" spans="1:8" x14ac:dyDescent="0.2">
      <c r="A1658" s="1" t="s">
        <v>4</v>
      </c>
      <c r="B1658" s="2" t="s">
        <v>182</v>
      </c>
      <c r="D1658" s="5" t="s">
        <v>464</v>
      </c>
      <c r="E1658" s="3" t="s">
        <v>465</v>
      </c>
      <c r="F1658" s="3">
        <v>102500</v>
      </c>
      <c r="G1658" s="57" t="str">
        <f t="shared" si="25"/>
        <v>-</v>
      </c>
      <c r="H1658" s="5" t="s">
        <v>1475</v>
      </c>
    </row>
    <row r="1659" spans="1:8" x14ac:dyDescent="0.2">
      <c r="A1659" s="1" t="s">
        <v>4</v>
      </c>
      <c r="B1659" s="2" t="s">
        <v>182</v>
      </c>
      <c r="D1659" s="5" t="s">
        <v>464</v>
      </c>
      <c r="E1659" s="3" t="s">
        <v>465</v>
      </c>
      <c r="F1659" s="3">
        <v>102500</v>
      </c>
      <c r="G1659" s="57" t="str">
        <f t="shared" si="25"/>
        <v>-</v>
      </c>
      <c r="H1659" s="5" t="s">
        <v>1475</v>
      </c>
    </row>
    <row r="1660" spans="1:8" x14ac:dyDescent="0.2">
      <c r="A1660" s="1" t="s">
        <v>4</v>
      </c>
      <c r="B1660" s="2" t="s">
        <v>182</v>
      </c>
      <c r="D1660" s="5" t="s">
        <v>464</v>
      </c>
      <c r="E1660" s="3" t="s">
        <v>465</v>
      </c>
      <c r="F1660" s="3">
        <v>102500</v>
      </c>
      <c r="G1660" s="57" t="str">
        <f t="shared" si="25"/>
        <v>-</v>
      </c>
      <c r="H1660" s="5" t="s">
        <v>1475</v>
      </c>
    </row>
    <row r="1661" spans="1:8" x14ac:dyDescent="0.2">
      <c r="A1661" s="1" t="s">
        <v>4</v>
      </c>
      <c r="B1661" s="2" t="s">
        <v>182</v>
      </c>
      <c r="D1661" s="5" t="s">
        <v>464</v>
      </c>
      <c r="E1661" s="3" t="s">
        <v>465</v>
      </c>
      <c r="F1661" s="3">
        <v>102500</v>
      </c>
      <c r="G1661" s="57" t="str">
        <f t="shared" si="25"/>
        <v>-</v>
      </c>
      <c r="H1661" s="5" t="s">
        <v>1475</v>
      </c>
    </row>
    <row r="1662" spans="1:8" x14ac:dyDescent="0.2">
      <c r="A1662" s="1" t="s">
        <v>4</v>
      </c>
      <c r="B1662" s="2" t="s">
        <v>182</v>
      </c>
      <c r="D1662" s="5" t="s">
        <v>464</v>
      </c>
      <c r="E1662" s="3" t="s">
        <v>465</v>
      </c>
      <c r="F1662" s="3">
        <v>102500</v>
      </c>
      <c r="G1662" s="57" t="str">
        <f t="shared" si="25"/>
        <v>-</v>
      </c>
      <c r="H1662" s="5" t="s">
        <v>1475</v>
      </c>
    </row>
    <row r="1663" spans="1:8" x14ac:dyDescent="0.2">
      <c r="A1663" s="1" t="s">
        <v>4</v>
      </c>
      <c r="B1663" s="2" t="s">
        <v>182</v>
      </c>
      <c r="D1663" s="5" t="s">
        <v>464</v>
      </c>
      <c r="E1663" s="3" t="s">
        <v>465</v>
      </c>
      <c r="F1663" s="3">
        <v>102500</v>
      </c>
      <c r="G1663" s="57" t="str">
        <f t="shared" si="25"/>
        <v>-</v>
      </c>
    </row>
    <row r="1664" spans="1:8" x14ac:dyDescent="0.2">
      <c r="A1664" s="1" t="s">
        <v>4</v>
      </c>
      <c r="B1664" s="2" t="s">
        <v>182</v>
      </c>
      <c r="D1664" s="5" t="s">
        <v>464</v>
      </c>
      <c r="E1664" s="3" t="s">
        <v>465</v>
      </c>
      <c r="F1664" s="3">
        <v>102500</v>
      </c>
      <c r="G1664" s="57" t="str">
        <f t="shared" si="25"/>
        <v>-</v>
      </c>
    </row>
    <row r="1665" spans="1:8" x14ac:dyDescent="0.2">
      <c r="A1665" s="1" t="s">
        <v>4</v>
      </c>
      <c r="B1665" s="2" t="s">
        <v>182</v>
      </c>
      <c r="D1665" s="5" t="s">
        <v>464</v>
      </c>
      <c r="E1665" s="3" t="s">
        <v>465</v>
      </c>
      <c r="F1665" s="3">
        <v>102500</v>
      </c>
      <c r="G1665" s="57" t="str">
        <f t="shared" si="25"/>
        <v>-</v>
      </c>
    </row>
    <row r="1666" spans="1:8" x14ac:dyDescent="0.2">
      <c r="A1666" s="1" t="s">
        <v>4</v>
      </c>
      <c r="B1666" s="2" t="s">
        <v>182</v>
      </c>
      <c r="D1666" s="5" t="s">
        <v>464</v>
      </c>
      <c r="E1666" s="3">
        <v>102500</v>
      </c>
      <c r="F1666" s="3" t="s">
        <v>465</v>
      </c>
      <c r="G1666" s="57" t="str">
        <f t="shared" si="25"/>
        <v>-</v>
      </c>
    </row>
    <row r="1667" spans="1:8" x14ac:dyDescent="0.2">
      <c r="A1667" s="1" t="s">
        <v>4</v>
      </c>
      <c r="B1667" s="2" t="s">
        <v>182</v>
      </c>
      <c r="D1667" s="5" t="s">
        <v>464</v>
      </c>
      <c r="E1667" s="3">
        <v>102500</v>
      </c>
      <c r="F1667" s="3" t="s">
        <v>465</v>
      </c>
      <c r="G1667" s="57" t="str">
        <f t="shared" ref="G1667:G1730" si="26">IF(ISERROR((F1667-E1667)/E1667),"-",(F1667-E1667)/E1667)</f>
        <v>-</v>
      </c>
    </row>
    <row r="1668" spans="1:8" x14ac:dyDescent="0.2">
      <c r="A1668" s="1" t="s">
        <v>4</v>
      </c>
      <c r="B1668" s="2" t="s">
        <v>182</v>
      </c>
      <c r="D1668" s="5" t="s">
        <v>464</v>
      </c>
      <c r="E1668" s="3" t="s">
        <v>465</v>
      </c>
      <c r="F1668" s="3">
        <v>107500</v>
      </c>
      <c r="G1668" s="57" t="str">
        <f t="shared" si="26"/>
        <v>-</v>
      </c>
      <c r="H1668" s="5" t="s">
        <v>1475</v>
      </c>
    </row>
    <row r="1669" spans="1:8" x14ac:dyDescent="0.2">
      <c r="A1669" s="1" t="s">
        <v>4</v>
      </c>
      <c r="B1669" s="2" t="s">
        <v>182</v>
      </c>
      <c r="D1669" s="5" t="s">
        <v>464</v>
      </c>
      <c r="E1669" s="3" t="s">
        <v>465</v>
      </c>
      <c r="F1669" s="3">
        <v>107500</v>
      </c>
      <c r="G1669" s="57" t="str">
        <f t="shared" si="26"/>
        <v>-</v>
      </c>
      <c r="H1669" s="5" t="s">
        <v>1475</v>
      </c>
    </row>
    <row r="1670" spans="1:8" x14ac:dyDescent="0.2">
      <c r="A1670" s="1" t="s">
        <v>4</v>
      </c>
      <c r="B1670" s="2" t="s">
        <v>182</v>
      </c>
      <c r="D1670" s="5" t="s">
        <v>464</v>
      </c>
      <c r="E1670" s="3" t="s">
        <v>465</v>
      </c>
      <c r="F1670" s="3">
        <v>107500</v>
      </c>
      <c r="G1670" s="57" t="str">
        <f t="shared" si="26"/>
        <v>-</v>
      </c>
    </row>
    <row r="1671" spans="1:8" x14ac:dyDescent="0.2">
      <c r="A1671" s="1" t="s">
        <v>4</v>
      </c>
      <c r="B1671" s="2" t="s">
        <v>182</v>
      </c>
      <c r="D1671" s="5" t="s">
        <v>464</v>
      </c>
      <c r="E1671" s="3" t="s">
        <v>465</v>
      </c>
      <c r="F1671" s="3">
        <v>107500</v>
      </c>
      <c r="G1671" s="57" t="str">
        <f t="shared" si="26"/>
        <v>-</v>
      </c>
    </row>
    <row r="1672" spans="1:8" x14ac:dyDescent="0.2">
      <c r="A1672" s="1" t="s">
        <v>4</v>
      </c>
      <c r="B1672" s="2" t="s">
        <v>182</v>
      </c>
      <c r="D1672" s="5" t="s">
        <v>464</v>
      </c>
      <c r="E1672" s="3" t="s">
        <v>465</v>
      </c>
      <c r="F1672" s="3">
        <v>107500</v>
      </c>
      <c r="G1672" s="57" t="str">
        <f t="shared" si="26"/>
        <v>-</v>
      </c>
    </row>
    <row r="1673" spans="1:8" x14ac:dyDescent="0.2">
      <c r="A1673" s="1" t="s">
        <v>4</v>
      </c>
      <c r="B1673" s="2" t="s">
        <v>182</v>
      </c>
      <c r="D1673" s="5" t="s">
        <v>464</v>
      </c>
      <c r="E1673" s="3">
        <v>107500</v>
      </c>
      <c r="F1673" s="3" t="s">
        <v>465</v>
      </c>
      <c r="G1673" s="57" t="str">
        <f t="shared" si="26"/>
        <v>-</v>
      </c>
    </row>
    <row r="1674" spans="1:8" x14ac:dyDescent="0.2">
      <c r="A1674" s="1" t="s">
        <v>4</v>
      </c>
      <c r="B1674" s="2" t="s">
        <v>182</v>
      </c>
      <c r="D1674" s="5" t="s">
        <v>464</v>
      </c>
      <c r="E1674" s="3">
        <v>107500</v>
      </c>
      <c r="F1674" s="3" t="s">
        <v>465</v>
      </c>
      <c r="G1674" s="57" t="str">
        <f t="shared" si="26"/>
        <v>-</v>
      </c>
    </row>
    <row r="1675" spans="1:8" x14ac:dyDescent="0.2">
      <c r="A1675" s="1" t="s">
        <v>4</v>
      </c>
      <c r="B1675" s="2" t="s">
        <v>182</v>
      </c>
      <c r="D1675" s="5" t="s">
        <v>464</v>
      </c>
      <c r="E1675" s="3" t="s">
        <v>465</v>
      </c>
      <c r="F1675" s="3">
        <v>112500</v>
      </c>
      <c r="G1675" s="57" t="str">
        <f t="shared" si="26"/>
        <v>-</v>
      </c>
      <c r="H1675" s="5" t="s">
        <v>1475</v>
      </c>
    </row>
    <row r="1676" spans="1:8" x14ac:dyDescent="0.2">
      <c r="A1676" s="1" t="s">
        <v>4</v>
      </c>
      <c r="B1676" s="2" t="s">
        <v>182</v>
      </c>
      <c r="D1676" s="5" t="s">
        <v>464</v>
      </c>
      <c r="E1676" s="3" t="s">
        <v>465</v>
      </c>
      <c r="F1676" s="3">
        <v>112500</v>
      </c>
      <c r="G1676" s="57" t="str">
        <f t="shared" si="26"/>
        <v>-</v>
      </c>
      <c r="H1676" s="5" t="s">
        <v>1475</v>
      </c>
    </row>
    <row r="1677" spans="1:8" x14ac:dyDescent="0.2">
      <c r="A1677" s="1" t="s">
        <v>4</v>
      </c>
      <c r="B1677" s="2" t="s">
        <v>182</v>
      </c>
      <c r="D1677" s="5" t="s">
        <v>464</v>
      </c>
      <c r="E1677" s="3" t="s">
        <v>465</v>
      </c>
      <c r="F1677" s="3">
        <v>112500</v>
      </c>
      <c r="G1677" s="57" t="str">
        <f t="shared" si="26"/>
        <v>-</v>
      </c>
      <c r="H1677" s="5" t="s">
        <v>1475</v>
      </c>
    </row>
    <row r="1678" spans="1:8" x14ac:dyDescent="0.2">
      <c r="A1678" s="1" t="s">
        <v>4</v>
      </c>
      <c r="B1678" s="2" t="s">
        <v>182</v>
      </c>
      <c r="D1678" s="5" t="s">
        <v>464</v>
      </c>
      <c r="E1678" s="3">
        <v>112500</v>
      </c>
      <c r="F1678" s="3" t="s">
        <v>465</v>
      </c>
      <c r="G1678" s="57" t="str">
        <f t="shared" si="26"/>
        <v>-</v>
      </c>
    </row>
    <row r="1679" spans="1:8" x14ac:dyDescent="0.2">
      <c r="A1679" s="1" t="s">
        <v>4</v>
      </c>
      <c r="B1679" s="2" t="s">
        <v>182</v>
      </c>
      <c r="D1679" s="5" t="s">
        <v>464</v>
      </c>
      <c r="E1679" s="3" t="s">
        <v>465</v>
      </c>
      <c r="F1679" s="3">
        <v>117500</v>
      </c>
      <c r="G1679" s="57" t="str">
        <f t="shared" si="26"/>
        <v>-</v>
      </c>
      <c r="H1679" s="5" t="s">
        <v>1475</v>
      </c>
    </row>
    <row r="1680" spans="1:8" x14ac:dyDescent="0.2">
      <c r="A1680" s="1" t="s">
        <v>4</v>
      </c>
      <c r="B1680" s="2" t="s">
        <v>182</v>
      </c>
      <c r="D1680" s="5" t="s">
        <v>464</v>
      </c>
      <c r="E1680" s="3" t="s">
        <v>465</v>
      </c>
      <c r="F1680" s="3">
        <v>122500</v>
      </c>
      <c r="G1680" s="57" t="str">
        <f t="shared" si="26"/>
        <v>-</v>
      </c>
      <c r="H1680" s="5" t="s">
        <v>1475</v>
      </c>
    </row>
    <row r="1681" spans="1:8" x14ac:dyDescent="0.2">
      <c r="A1681" s="1" t="s">
        <v>4</v>
      </c>
      <c r="B1681" s="2" t="s">
        <v>182</v>
      </c>
      <c r="D1681" s="5" t="s">
        <v>464</v>
      </c>
      <c r="E1681" s="3" t="s">
        <v>465</v>
      </c>
      <c r="F1681" s="3">
        <v>122500</v>
      </c>
      <c r="G1681" s="57" t="str">
        <f t="shared" si="26"/>
        <v>-</v>
      </c>
    </row>
    <row r="1682" spans="1:8" x14ac:dyDescent="0.2">
      <c r="A1682" s="1" t="s">
        <v>4</v>
      </c>
      <c r="B1682" s="2" t="s">
        <v>182</v>
      </c>
      <c r="D1682" s="5" t="s">
        <v>464</v>
      </c>
      <c r="E1682" s="3">
        <v>122500</v>
      </c>
      <c r="F1682" s="3" t="s">
        <v>465</v>
      </c>
      <c r="G1682" s="57" t="str">
        <f t="shared" si="26"/>
        <v>-</v>
      </c>
    </row>
    <row r="1683" spans="1:8" x14ac:dyDescent="0.2">
      <c r="A1683" s="1" t="s">
        <v>4</v>
      </c>
      <c r="B1683" s="2" t="s">
        <v>182</v>
      </c>
      <c r="D1683" s="5" t="s">
        <v>464</v>
      </c>
      <c r="E1683" s="3" t="s">
        <v>465</v>
      </c>
      <c r="F1683" s="3">
        <v>127500</v>
      </c>
      <c r="G1683" s="57" t="str">
        <f t="shared" si="26"/>
        <v>-</v>
      </c>
      <c r="H1683" s="5" t="s">
        <v>1475</v>
      </c>
    </row>
    <row r="1684" spans="1:8" x14ac:dyDescent="0.2">
      <c r="A1684" s="1" t="s">
        <v>4</v>
      </c>
      <c r="B1684" s="2" t="s">
        <v>182</v>
      </c>
      <c r="D1684" s="5" t="s">
        <v>464</v>
      </c>
      <c r="E1684" s="3" t="s">
        <v>465</v>
      </c>
      <c r="F1684" s="3">
        <v>132500</v>
      </c>
      <c r="G1684" s="57" t="str">
        <f t="shared" si="26"/>
        <v>-</v>
      </c>
      <c r="H1684" s="5" t="s">
        <v>1475</v>
      </c>
    </row>
    <row r="1685" spans="1:8" x14ac:dyDescent="0.2">
      <c r="A1685" s="1" t="s">
        <v>4</v>
      </c>
      <c r="B1685" s="2" t="s">
        <v>182</v>
      </c>
      <c r="D1685" s="5" t="s">
        <v>464</v>
      </c>
      <c r="E1685" s="3" t="s">
        <v>465</v>
      </c>
      <c r="F1685" s="3">
        <v>132500</v>
      </c>
      <c r="G1685" s="57" t="str">
        <f t="shared" si="26"/>
        <v>-</v>
      </c>
      <c r="H1685" s="5" t="s">
        <v>1475</v>
      </c>
    </row>
    <row r="1686" spans="1:8" x14ac:dyDescent="0.2">
      <c r="A1686" s="1" t="s">
        <v>4</v>
      </c>
      <c r="B1686" s="2" t="s">
        <v>182</v>
      </c>
      <c r="D1686" s="5" t="s">
        <v>464</v>
      </c>
      <c r="E1686" s="3" t="s">
        <v>465</v>
      </c>
      <c r="F1686" s="3">
        <v>137500</v>
      </c>
      <c r="G1686" s="57" t="str">
        <f t="shared" si="26"/>
        <v>-</v>
      </c>
      <c r="H1686" s="5" t="s">
        <v>1475</v>
      </c>
    </row>
    <row r="1687" spans="1:8" x14ac:dyDescent="0.2">
      <c r="A1687" s="1" t="s">
        <v>4</v>
      </c>
      <c r="B1687" s="2" t="s">
        <v>182</v>
      </c>
      <c r="D1687" s="5" t="s">
        <v>464</v>
      </c>
      <c r="E1687" s="3" t="s">
        <v>465</v>
      </c>
      <c r="F1687" s="3">
        <v>142500</v>
      </c>
      <c r="G1687" s="57" t="str">
        <f t="shared" si="26"/>
        <v>-</v>
      </c>
      <c r="H1687" s="5" t="s">
        <v>1475</v>
      </c>
    </row>
    <row r="1688" spans="1:8" x14ac:dyDescent="0.2">
      <c r="A1688" s="1" t="s">
        <v>4</v>
      </c>
      <c r="B1688" s="2" t="s">
        <v>182</v>
      </c>
      <c r="D1688" s="5" t="s">
        <v>464</v>
      </c>
      <c r="E1688" s="3" t="s">
        <v>465</v>
      </c>
      <c r="F1688" s="3">
        <v>142500</v>
      </c>
      <c r="G1688" s="57" t="str">
        <f t="shared" si="26"/>
        <v>-</v>
      </c>
      <c r="H1688" s="5" t="s">
        <v>1475</v>
      </c>
    </row>
    <row r="1689" spans="1:8" x14ac:dyDescent="0.2">
      <c r="A1689" s="1" t="s">
        <v>4</v>
      </c>
      <c r="B1689" s="2" t="s">
        <v>182</v>
      </c>
      <c r="D1689" s="5" t="s">
        <v>464</v>
      </c>
      <c r="E1689" s="3" t="s">
        <v>465</v>
      </c>
      <c r="F1689" s="3">
        <v>142500</v>
      </c>
      <c r="G1689" s="57" t="str">
        <f t="shared" si="26"/>
        <v>-</v>
      </c>
      <c r="H1689" s="5" t="s">
        <v>1475</v>
      </c>
    </row>
    <row r="1690" spans="1:8" x14ac:dyDescent="0.2">
      <c r="A1690" s="1" t="s">
        <v>4</v>
      </c>
      <c r="B1690" s="2" t="s">
        <v>182</v>
      </c>
      <c r="D1690" s="5" t="s">
        <v>464</v>
      </c>
      <c r="E1690" s="3" t="s">
        <v>465</v>
      </c>
      <c r="F1690" s="3">
        <v>147500</v>
      </c>
      <c r="G1690" s="57" t="str">
        <f t="shared" si="26"/>
        <v>-</v>
      </c>
      <c r="H1690" s="5" t="s">
        <v>1475</v>
      </c>
    </row>
    <row r="1691" spans="1:8" x14ac:dyDescent="0.2">
      <c r="A1691" s="1" t="s">
        <v>4</v>
      </c>
      <c r="B1691" s="2" t="s">
        <v>182</v>
      </c>
      <c r="D1691" s="5" t="s">
        <v>464</v>
      </c>
      <c r="E1691" s="3" t="s">
        <v>465</v>
      </c>
      <c r="F1691" s="3">
        <v>147500</v>
      </c>
      <c r="G1691" s="57" t="str">
        <f t="shared" si="26"/>
        <v>-</v>
      </c>
      <c r="H1691" s="5" t="s">
        <v>1475</v>
      </c>
    </row>
    <row r="1692" spans="1:8" ht="25.5" x14ac:dyDescent="0.2">
      <c r="A1692" s="1" t="s">
        <v>8</v>
      </c>
      <c r="B1692" s="2" t="s">
        <v>183</v>
      </c>
      <c r="D1692" s="5" t="s">
        <v>450</v>
      </c>
      <c r="E1692" s="3">
        <v>107378</v>
      </c>
      <c r="F1692" s="3">
        <v>119792</v>
      </c>
      <c r="G1692" s="57">
        <f t="shared" si="26"/>
        <v>0.11561027398536013</v>
      </c>
      <c r="H1692" s="5" t="s">
        <v>3528</v>
      </c>
    </row>
    <row r="1693" spans="1:8" ht="25.5" x14ac:dyDescent="0.2">
      <c r="A1693" s="1" t="s">
        <v>25</v>
      </c>
      <c r="B1693" s="2" t="s">
        <v>184</v>
      </c>
      <c r="C1693" s="5" t="s">
        <v>1462</v>
      </c>
      <c r="D1693" s="5" t="s">
        <v>764</v>
      </c>
      <c r="E1693" s="9">
        <v>282670</v>
      </c>
      <c r="F1693" s="9">
        <v>245800</v>
      </c>
      <c r="G1693" s="57">
        <f t="shared" si="26"/>
        <v>-0.13043478260869565</v>
      </c>
      <c r="H1693" s="5" t="s">
        <v>2232</v>
      </c>
    </row>
    <row r="1694" spans="1:8" ht="25.5" x14ac:dyDescent="0.2">
      <c r="A1694" s="1" t="s">
        <v>25</v>
      </c>
      <c r="B1694" s="2" t="s">
        <v>184</v>
      </c>
      <c r="C1694" s="5" t="s">
        <v>1463</v>
      </c>
      <c r="D1694" s="5" t="s">
        <v>450</v>
      </c>
      <c r="E1694" s="9">
        <v>19355</v>
      </c>
      <c r="F1694" s="9">
        <v>236263</v>
      </c>
      <c r="G1694" s="57">
        <f t="shared" si="26"/>
        <v>11.20681994316714</v>
      </c>
      <c r="H1694" s="5" t="s">
        <v>2233</v>
      </c>
    </row>
    <row r="1695" spans="1:8" ht="25.5" x14ac:dyDescent="0.2">
      <c r="A1695" s="1" t="s">
        <v>25</v>
      </c>
      <c r="B1695" s="2" t="s">
        <v>184</v>
      </c>
      <c r="D1695" s="5" t="s">
        <v>1464</v>
      </c>
      <c r="E1695" s="9">
        <v>177497</v>
      </c>
      <c r="F1695" s="9">
        <v>170159</v>
      </c>
      <c r="G1695" s="57">
        <f t="shared" si="26"/>
        <v>-4.1341543800740295E-2</v>
      </c>
      <c r="H1695" s="5" t="s">
        <v>3523</v>
      </c>
    </row>
    <row r="1696" spans="1:8" ht="25.5" x14ac:dyDescent="0.2">
      <c r="A1696" s="1" t="s">
        <v>25</v>
      </c>
      <c r="B1696" s="2" t="s">
        <v>184</v>
      </c>
      <c r="D1696" s="5" t="s">
        <v>854</v>
      </c>
      <c r="E1696" s="9">
        <v>173502</v>
      </c>
      <c r="F1696" s="9">
        <v>173505</v>
      </c>
      <c r="G1696" s="57">
        <f t="shared" si="26"/>
        <v>1.7290866964069578E-5</v>
      </c>
      <c r="H1696" s="5" t="s">
        <v>3524</v>
      </c>
    </row>
    <row r="1697" spans="1:8" ht="25.5" x14ac:dyDescent="0.2">
      <c r="A1697" s="1" t="s">
        <v>25</v>
      </c>
      <c r="B1697" s="2" t="s">
        <v>184</v>
      </c>
      <c r="D1697" s="5" t="s">
        <v>1465</v>
      </c>
      <c r="E1697" s="9">
        <v>171402</v>
      </c>
      <c r="F1697" s="9">
        <v>167035</v>
      </c>
      <c r="G1697" s="57">
        <f t="shared" si="26"/>
        <v>-2.5478115774611731E-2</v>
      </c>
      <c r="H1697" s="5" t="s">
        <v>3525</v>
      </c>
    </row>
    <row r="1698" spans="1:8" x14ac:dyDescent="0.2">
      <c r="A1698" s="1" t="s">
        <v>25</v>
      </c>
      <c r="B1698" s="2" t="s">
        <v>184</v>
      </c>
      <c r="D1698" s="5" t="s">
        <v>611</v>
      </c>
      <c r="E1698" s="9">
        <v>147830</v>
      </c>
      <c r="F1698" s="9" t="s">
        <v>465</v>
      </c>
      <c r="G1698" s="57" t="str">
        <f t="shared" si="26"/>
        <v>-</v>
      </c>
    </row>
    <row r="1699" spans="1:8" ht="25.5" x14ac:dyDescent="0.2">
      <c r="A1699" s="1" t="s">
        <v>25</v>
      </c>
      <c r="B1699" s="2" t="s">
        <v>184</v>
      </c>
      <c r="D1699" s="5" t="s">
        <v>1466</v>
      </c>
      <c r="E1699" s="9">
        <v>130312</v>
      </c>
      <c r="F1699" s="9">
        <v>129846</v>
      </c>
      <c r="G1699" s="57">
        <f t="shared" si="26"/>
        <v>-3.5760329056418443E-3</v>
      </c>
      <c r="H1699" s="5" t="s">
        <v>3526</v>
      </c>
    </row>
    <row r="1700" spans="1:8" ht="25.5" x14ac:dyDescent="0.2">
      <c r="A1700" s="1" t="s">
        <v>25</v>
      </c>
      <c r="B1700" s="2" t="s">
        <v>184</v>
      </c>
      <c r="D1700" s="5" t="s">
        <v>520</v>
      </c>
      <c r="E1700" s="9">
        <v>123816</v>
      </c>
      <c r="F1700" s="9">
        <v>113774</v>
      </c>
      <c r="G1700" s="57">
        <f t="shared" si="26"/>
        <v>-8.110421916392066E-2</v>
      </c>
      <c r="H1700" s="5" t="s">
        <v>3527</v>
      </c>
    </row>
    <row r="1701" spans="1:8" x14ac:dyDescent="0.2">
      <c r="A1701" s="1" t="s">
        <v>25</v>
      </c>
      <c r="B1701" s="2" t="s">
        <v>184</v>
      </c>
      <c r="D1701" s="5" t="s">
        <v>464</v>
      </c>
      <c r="E1701" s="3" t="s">
        <v>465</v>
      </c>
      <c r="F1701" s="3">
        <v>102500</v>
      </c>
      <c r="G1701" s="57" t="str">
        <f t="shared" si="26"/>
        <v>-</v>
      </c>
    </row>
    <row r="1702" spans="1:8" x14ac:dyDescent="0.2">
      <c r="A1702" s="1" t="s">
        <v>25</v>
      </c>
      <c r="B1702" s="2" t="s">
        <v>184</v>
      </c>
      <c r="D1702" s="5" t="s">
        <v>464</v>
      </c>
      <c r="E1702" s="3" t="s">
        <v>465</v>
      </c>
      <c r="F1702" s="3">
        <v>102500</v>
      </c>
      <c r="G1702" s="57" t="str">
        <f t="shared" si="26"/>
        <v>-</v>
      </c>
    </row>
    <row r="1703" spans="1:8" x14ac:dyDescent="0.2">
      <c r="A1703" s="1" t="s">
        <v>25</v>
      </c>
      <c r="B1703" s="2" t="s">
        <v>184</v>
      </c>
      <c r="D1703" s="5" t="s">
        <v>464</v>
      </c>
      <c r="E1703" s="3" t="s">
        <v>465</v>
      </c>
      <c r="F1703" s="3">
        <v>127500</v>
      </c>
      <c r="G1703" s="57" t="str">
        <f t="shared" si="26"/>
        <v>-</v>
      </c>
    </row>
    <row r="1704" spans="1:8" x14ac:dyDescent="0.2">
      <c r="A1704" s="1" t="s">
        <v>25</v>
      </c>
      <c r="B1704" s="2" t="s">
        <v>184</v>
      </c>
      <c r="D1704" s="5" t="s">
        <v>464</v>
      </c>
      <c r="E1704" s="3">
        <v>102500</v>
      </c>
      <c r="F1704" s="3" t="s">
        <v>465</v>
      </c>
      <c r="G1704" s="57" t="str">
        <f t="shared" si="26"/>
        <v>-</v>
      </c>
      <c r="H1704" s="5" t="s">
        <v>4350</v>
      </c>
    </row>
    <row r="1705" spans="1:8" x14ac:dyDescent="0.2">
      <c r="A1705" s="1" t="s">
        <v>25</v>
      </c>
      <c r="B1705" s="2" t="s">
        <v>184</v>
      </c>
      <c r="D1705" s="5" t="s">
        <v>464</v>
      </c>
      <c r="E1705" s="3">
        <v>112500</v>
      </c>
      <c r="F1705" s="3" t="s">
        <v>465</v>
      </c>
      <c r="G1705" s="57" t="str">
        <f t="shared" si="26"/>
        <v>-</v>
      </c>
      <c r="H1705" s="5" t="s">
        <v>4350</v>
      </c>
    </row>
    <row r="1706" spans="1:8" x14ac:dyDescent="0.2">
      <c r="A1706" s="1" t="s">
        <v>25</v>
      </c>
      <c r="B1706" s="2" t="s">
        <v>184</v>
      </c>
      <c r="D1706" s="5" t="s">
        <v>464</v>
      </c>
      <c r="E1706" s="3">
        <v>112500</v>
      </c>
      <c r="F1706" s="3" t="s">
        <v>465</v>
      </c>
      <c r="G1706" s="57" t="str">
        <f t="shared" si="26"/>
        <v>-</v>
      </c>
      <c r="H1706" s="5" t="s">
        <v>4350</v>
      </c>
    </row>
    <row r="1707" spans="1:8" x14ac:dyDescent="0.2">
      <c r="A1707" s="1" t="s">
        <v>25</v>
      </c>
      <c r="B1707" s="2" t="s">
        <v>184</v>
      </c>
      <c r="D1707" s="5" t="s">
        <v>464</v>
      </c>
      <c r="E1707" s="3">
        <v>122500</v>
      </c>
      <c r="F1707" s="3" t="s">
        <v>465</v>
      </c>
      <c r="G1707" s="57" t="str">
        <f t="shared" si="26"/>
        <v>-</v>
      </c>
      <c r="H1707" s="5" t="s">
        <v>4350</v>
      </c>
    </row>
    <row r="1708" spans="1:8" x14ac:dyDescent="0.2">
      <c r="A1708" s="1" t="s">
        <v>25</v>
      </c>
      <c r="B1708" s="2" t="s">
        <v>184</v>
      </c>
      <c r="D1708" s="5" t="s">
        <v>464</v>
      </c>
      <c r="E1708" s="3">
        <v>127500</v>
      </c>
      <c r="F1708" s="3" t="s">
        <v>465</v>
      </c>
      <c r="G1708" s="57" t="str">
        <f t="shared" si="26"/>
        <v>-</v>
      </c>
      <c r="H1708" s="5" t="s">
        <v>4350</v>
      </c>
    </row>
    <row r="1709" spans="1:8" ht="25.5" x14ac:dyDescent="0.2">
      <c r="A1709" s="1" t="s">
        <v>20</v>
      </c>
      <c r="B1709" s="2" t="s">
        <v>185</v>
      </c>
      <c r="D1709" s="5" t="s">
        <v>450</v>
      </c>
      <c r="E1709" s="9">
        <v>138992</v>
      </c>
      <c r="F1709" s="9">
        <v>155306</v>
      </c>
      <c r="G1709" s="57">
        <f t="shared" si="26"/>
        <v>0.11737366179348452</v>
      </c>
      <c r="H1709" s="5" t="s">
        <v>3521</v>
      </c>
    </row>
    <row r="1710" spans="1:8" ht="25.5" x14ac:dyDescent="0.2">
      <c r="A1710" s="1" t="s">
        <v>20</v>
      </c>
      <c r="B1710" s="2" t="s">
        <v>185</v>
      </c>
      <c r="D1710" s="5" t="s">
        <v>504</v>
      </c>
      <c r="E1710" s="9" t="s">
        <v>465</v>
      </c>
      <c r="F1710" s="9">
        <v>113552</v>
      </c>
      <c r="G1710" s="57" t="str">
        <f t="shared" si="26"/>
        <v>-</v>
      </c>
      <c r="H1710" s="5" t="s">
        <v>3522</v>
      </c>
    </row>
    <row r="1711" spans="1:8" ht="25.5" x14ac:dyDescent="0.2">
      <c r="A1711" s="1" t="s">
        <v>20</v>
      </c>
      <c r="B1711" s="2" t="s">
        <v>185</v>
      </c>
      <c r="D1711" s="5" t="s">
        <v>504</v>
      </c>
      <c r="E1711" s="9" t="s">
        <v>465</v>
      </c>
      <c r="F1711" s="9">
        <v>113552</v>
      </c>
      <c r="G1711" s="57" t="str">
        <f t="shared" si="26"/>
        <v>-</v>
      </c>
      <c r="H1711" s="5" t="s">
        <v>3522</v>
      </c>
    </row>
    <row r="1712" spans="1:8" x14ac:dyDescent="0.2">
      <c r="A1712" s="1" t="s">
        <v>20</v>
      </c>
      <c r="B1712" s="2" t="s">
        <v>185</v>
      </c>
      <c r="D1712" s="5" t="s">
        <v>504</v>
      </c>
      <c r="E1712" s="9">
        <v>108065</v>
      </c>
      <c r="F1712" s="9" t="s">
        <v>465</v>
      </c>
      <c r="G1712" s="57" t="str">
        <f t="shared" si="26"/>
        <v>-</v>
      </c>
    </row>
    <row r="1713" spans="1:8" x14ac:dyDescent="0.2">
      <c r="A1713" s="1" t="s">
        <v>20</v>
      </c>
      <c r="B1713" s="2" t="s">
        <v>185</v>
      </c>
      <c r="D1713" s="5" t="s">
        <v>504</v>
      </c>
      <c r="E1713" s="9">
        <v>108062</v>
      </c>
      <c r="F1713" s="9" t="s">
        <v>465</v>
      </c>
      <c r="G1713" s="57" t="str">
        <f t="shared" si="26"/>
        <v>-</v>
      </c>
    </row>
    <row r="1714" spans="1:8" ht="25.5" x14ac:dyDescent="0.2">
      <c r="A1714" s="1" t="s">
        <v>28</v>
      </c>
      <c r="B1714" s="2" t="s">
        <v>186</v>
      </c>
      <c r="D1714" s="5" t="s">
        <v>450</v>
      </c>
      <c r="E1714" s="9">
        <v>143333</v>
      </c>
      <c r="F1714" s="9">
        <v>142009</v>
      </c>
      <c r="G1714" s="57">
        <f t="shared" si="26"/>
        <v>-9.2372307842576371E-3</v>
      </c>
      <c r="H1714" s="5" t="s">
        <v>3515</v>
      </c>
    </row>
    <row r="1715" spans="1:8" ht="25.5" x14ac:dyDescent="0.2">
      <c r="A1715" s="1" t="s">
        <v>28</v>
      </c>
      <c r="B1715" s="2" t="s">
        <v>186</v>
      </c>
      <c r="D1715" s="5" t="s">
        <v>463</v>
      </c>
      <c r="E1715" s="9">
        <v>107071</v>
      </c>
      <c r="F1715" s="9">
        <v>108413</v>
      </c>
      <c r="G1715" s="57">
        <f t="shared" si="26"/>
        <v>1.2533739294486836E-2</v>
      </c>
      <c r="H1715" s="5" t="s">
        <v>3516</v>
      </c>
    </row>
    <row r="1716" spans="1:8" ht="25.5" x14ac:dyDescent="0.2">
      <c r="A1716" s="1" t="s">
        <v>28</v>
      </c>
      <c r="B1716" s="2" t="s">
        <v>186</v>
      </c>
      <c r="D1716" s="5" t="s">
        <v>855</v>
      </c>
      <c r="E1716" s="9">
        <v>106468</v>
      </c>
      <c r="F1716" s="9">
        <v>102672</v>
      </c>
      <c r="G1716" s="57">
        <f t="shared" si="26"/>
        <v>-3.5653905398805273E-2</v>
      </c>
      <c r="H1716" s="5" t="s">
        <v>3517</v>
      </c>
    </row>
    <row r="1717" spans="1:8" ht="25.5" x14ac:dyDescent="0.2">
      <c r="A1717" s="1" t="s">
        <v>28</v>
      </c>
      <c r="B1717" s="2" t="s">
        <v>186</v>
      </c>
      <c r="D1717" s="5" t="s">
        <v>2600</v>
      </c>
      <c r="E1717" s="9">
        <v>101913</v>
      </c>
      <c r="F1717" s="9">
        <v>102782</v>
      </c>
      <c r="G1717" s="57">
        <f t="shared" si="26"/>
        <v>8.5268807708535708E-3</v>
      </c>
      <c r="H1717" s="5" t="s">
        <v>3518</v>
      </c>
    </row>
    <row r="1718" spans="1:8" ht="51" x14ac:dyDescent="0.2">
      <c r="A1718" s="1" t="s">
        <v>28</v>
      </c>
      <c r="B1718" s="2" t="s">
        <v>186</v>
      </c>
      <c r="D1718" s="5" t="s">
        <v>3519</v>
      </c>
      <c r="E1718" s="9">
        <v>115372</v>
      </c>
      <c r="F1718" s="9">
        <v>19624</v>
      </c>
      <c r="G1718" s="57">
        <f t="shared" si="26"/>
        <v>-0.82990673646985402</v>
      </c>
      <c r="H1718" s="5" t="s">
        <v>3520</v>
      </c>
    </row>
    <row r="1719" spans="1:8" ht="25.5" x14ac:dyDescent="0.2">
      <c r="A1719" s="1" t="s">
        <v>25</v>
      </c>
      <c r="B1719" s="2" t="s">
        <v>187</v>
      </c>
      <c r="C1719" s="5" t="s">
        <v>1456</v>
      </c>
      <c r="D1719" s="5" t="s">
        <v>450</v>
      </c>
      <c r="E1719" s="9">
        <v>219504</v>
      </c>
      <c r="F1719" s="9">
        <v>230822</v>
      </c>
      <c r="G1719" s="57">
        <f t="shared" si="26"/>
        <v>5.1561702748013701E-2</v>
      </c>
      <c r="H1719" s="5" t="s">
        <v>3506</v>
      </c>
    </row>
    <row r="1720" spans="1:8" ht="25.5" x14ac:dyDescent="0.2">
      <c r="A1720" s="1" t="s">
        <v>25</v>
      </c>
      <c r="B1720" s="2" t="s">
        <v>187</v>
      </c>
      <c r="D1720" s="5" t="s">
        <v>1457</v>
      </c>
      <c r="E1720" s="9">
        <v>167814</v>
      </c>
      <c r="F1720" s="9">
        <v>168712</v>
      </c>
      <c r="G1720" s="57">
        <f t="shared" si="26"/>
        <v>5.3511625966844245E-3</v>
      </c>
      <c r="H1720" s="5" t="s">
        <v>3507</v>
      </c>
    </row>
    <row r="1721" spans="1:8" ht="38.25" x14ac:dyDescent="0.2">
      <c r="A1721" s="1" t="s">
        <v>25</v>
      </c>
      <c r="B1721" s="2" t="s">
        <v>187</v>
      </c>
      <c r="D1721" s="5" t="s">
        <v>1458</v>
      </c>
      <c r="E1721" s="9">
        <v>145884</v>
      </c>
      <c r="F1721" s="9">
        <v>165790</v>
      </c>
      <c r="G1721" s="57">
        <f t="shared" si="26"/>
        <v>0.13645087878040085</v>
      </c>
      <c r="H1721" s="5" t="s">
        <v>3508</v>
      </c>
    </row>
    <row r="1722" spans="1:8" ht="25.5" x14ac:dyDescent="0.2">
      <c r="A1722" s="1" t="s">
        <v>25</v>
      </c>
      <c r="B1722" s="2" t="s">
        <v>187</v>
      </c>
      <c r="D1722" s="5" t="s">
        <v>1459</v>
      </c>
      <c r="E1722" s="9">
        <v>151756</v>
      </c>
      <c r="F1722" s="9">
        <v>164480</v>
      </c>
      <c r="G1722" s="57">
        <f t="shared" si="26"/>
        <v>8.3845119797569784E-2</v>
      </c>
      <c r="H1722" s="5" t="s">
        <v>3513</v>
      </c>
    </row>
    <row r="1723" spans="1:8" ht="25.5" x14ac:dyDescent="0.2">
      <c r="A1723" s="1" t="s">
        <v>25</v>
      </c>
      <c r="B1723" s="2" t="s">
        <v>187</v>
      </c>
      <c r="D1723" s="5" t="s">
        <v>1460</v>
      </c>
      <c r="E1723" s="9">
        <v>158262</v>
      </c>
      <c r="F1723" s="9">
        <v>161086</v>
      </c>
      <c r="G1723" s="57">
        <f t="shared" si="26"/>
        <v>1.7843828588037559E-2</v>
      </c>
      <c r="H1723" s="5" t="s">
        <v>3509</v>
      </c>
    </row>
    <row r="1724" spans="1:8" ht="25.5" x14ac:dyDescent="0.2">
      <c r="A1724" s="1" t="s">
        <v>25</v>
      </c>
      <c r="B1724" s="2" t="s">
        <v>187</v>
      </c>
      <c r="D1724" s="5" t="s">
        <v>2720</v>
      </c>
      <c r="E1724" s="9">
        <v>165569</v>
      </c>
      <c r="F1724" s="9">
        <v>156637</v>
      </c>
      <c r="G1724" s="57">
        <f t="shared" si="26"/>
        <v>-5.3947296897366055E-2</v>
      </c>
      <c r="H1724" s="5" t="s">
        <v>3510</v>
      </c>
    </row>
    <row r="1725" spans="1:8" ht="25.5" x14ac:dyDescent="0.2">
      <c r="A1725" s="1" t="s">
        <v>25</v>
      </c>
      <c r="B1725" s="2" t="s">
        <v>187</v>
      </c>
      <c r="D1725" s="5" t="s">
        <v>1461</v>
      </c>
      <c r="E1725" s="9">
        <v>158178</v>
      </c>
      <c r="F1725" s="9">
        <v>155373</v>
      </c>
      <c r="G1725" s="57">
        <f t="shared" si="26"/>
        <v>-1.773318666312635E-2</v>
      </c>
      <c r="H1725" s="5" t="s">
        <v>3511</v>
      </c>
    </row>
    <row r="1726" spans="1:8" ht="25.5" x14ac:dyDescent="0.2">
      <c r="A1726" s="1" t="s">
        <v>25</v>
      </c>
      <c r="B1726" s="2" t="s">
        <v>187</v>
      </c>
      <c r="D1726" s="5" t="s">
        <v>451</v>
      </c>
      <c r="E1726" s="9">
        <v>127112</v>
      </c>
      <c r="F1726" s="9">
        <v>131350</v>
      </c>
      <c r="G1726" s="57">
        <f t="shared" si="26"/>
        <v>3.3340675939329094E-2</v>
      </c>
      <c r="H1726" s="5" t="s">
        <v>3512</v>
      </c>
    </row>
    <row r="1727" spans="1:8" ht="25.5" x14ac:dyDescent="0.2">
      <c r="A1727" s="1" t="s">
        <v>25</v>
      </c>
      <c r="B1727" s="2" t="s">
        <v>187</v>
      </c>
      <c r="D1727" s="5" t="s">
        <v>464</v>
      </c>
      <c r="E1727" s="3">
        <v>102500</v>
      </c>
      <c r="F1727" s="3" t="s">
        <v>465</v>
      </c>
      <c r="G1727" s="57" t="str">
        <f t="shared" si="26"/>
        <v>-</v>
      </c>
      <c r="H1727" s="5" t="s">
        <v>3514</v>
      </c>
    </row>
    <row r="1728" spans="1:8" x14ac:dyDescent="0.2">
      <c r="A1728" s="1" t="s">
        <v>25</v>
      </c>
      <c r="B1728" s="2" t="s">
        <v>187</v>
      </c>
      <c r="D1728" s="5" t="s">
        <v>464</v>
      </c>
      <c r="E1728" s="3" t="s">
        <v>465</v>
      </c>
      <c r="F1728" s="3">
        <v>102500</v>
      </c>
      <c r="G1728" s="57" t="str">
        <f t="shared" si="26"/>
        <v>-</v>
      </c>
      <c r="H1728" s="1"/>
    </row>
    <row r="1729" spans="1:8" x14ac:dyDescent="0.2">
      <c r="A1729" s="1" t="s">
        <v>25</v>
      </c>
      <c r="B1729" s="2" t="s">
        <v>187</v>
      </c>
      <c r="D1729" s="5" t="s">
        <v>464</v>
      </c>
      <c r="E1729" s="3" t="s">
        <v>465</v>
      </c>
      <c r="F1729" s="3">
        <v>102500</v>
      </c>
      <c r="G1729" s="57" t="str">
        <f t="shared" si="26"/>
        <v>-</v>
      </c>
      <c r="H1729" s="1"/>
    </row>
    <row r="1730" spans="1:8" x14ac:dyDescent="0.2">
      <c r="A1730" s="1" t="s">
        <v>25</v>
      </c>
      <c r="B1730" s="2" t="s">
        <v>187</v>
      </c>
      <c r="D1730" s="5" t="s">
        <v>464</v>
      </c>
      <c r="E1730" s="3">
        <v>107500</v>
      </c>
      <c r="F1730" s="3" t="s">
        <v>465</v>
      </c>
      <c r="G1730" s="57" t="str">
        <f t="shared" si="26"/>
        <v>-</v>
      </c>
      <c r="H1730" s="1"/>
    </row>
    <row r="1731" spans="1:8" x14ac:dyDescent="0.2">
      <c r="A1731" s="1" t="s">
        <v>25</v>
      </c>
      <c r="B1731" s="2" t="s">
        <v>187</v>
      </c>
      <c r="D1731" s="5" t="s">
        <v>464</v>
      </c>
      <c r="E1731" s="3">
        <v>107500</v>
      </c>
      <c r="F1731" s="3" t="s">
        <v>465</v>
      </c>
      <c r="G1731" s="57" t="str">
        <f t="shared" ref="G1731:G1794" si="27">IF(ISERROR((F1731-E1731)/E1731),"-",(F1731-E1731)/E1731)</f>
        <v>-</v>
      </c>
      <c r="H1731" s="1"/>
    </row>
    <row r="1732" spans="1:8" x14ac:dyDescent="0.2">
      <c r="A1732" s="1" t="s">
        <v>25</v>
      </c>
      <c r="B1732" s="2" t="s">
        <v>187</v>
      </c>
      <c r="D1732" s="5" t="s">
        <v>464</v>
      </c>
      <c r="E1732" s="3">
        <v>107500</v>
      </c>
      <c r="F1732" s="3" t="s">
        <v>465</v>
      </c>
      <c r="G1732" s="57" t="str">
        <f t="shared" si="27"/>
        <v>-</v>
      </c>
      <c r="H1732" s="1"/>
    </row>
    <row r="1733" spans="1:8" x14ac:dyDescent="0.2">
      <c r="A1733" s="1" t="s">
        <v>25</v>
      </c>
      <c r="B1733" s="2" t="s">
        <v>187</v>
      </c>
      <c r="D1733" s="5" t="s">
        <v>464</v>
      </c>
      <c r="E1733" s="3" t="s">
        <v>465</v>
      </c>
      <c r="F1733" s="3">
        <v>107500</v>
      </c>
      <c r="G1733" s="57" t="str">
        <f t="shared" si="27"/>
        <v>-</v>
      </c>
      <c r="H1733" s="1"/>
    </row>
    <row r="1734" spans="1:8" x14ac:dyDescent="0.2">
      <c r="A1734" s="1" t="s">
        <v>25</v>
      </c>
      <c r="B1734" s="2" t="s">
        <v>187</v>
      </c>
      <c r="D1734" s="5" t="s">
        <v>464</v>
      </c>
      <c r="E1734" s="3">
        <v>112500</v>
      </c>
      <c r="F1734" s="3" t="s">
        <v>465</v>
      </c>
      <c r="G1734" s="57" t="str">
        <f t="shared" si="27"/>
        <v>-</v>
      </c>
      <c r="H1734" s="1"/>
    </row>
    <row r="1735" spans="1:8" x14ac:dyDescent="0.2">
      <c r="A1735" s="1" t="s">
        <v>25</v>
      </c>
      <c r="B1735" s="2" t="s">
        <v>187</v>
      </c>
      <c r="D1735" s="5" t="s">
        <v>464</v>
      </c>
      <c r="E1735" s="3">
        <v>112500</v>
      </c>
      <c r="F1735" s="3" t="s">
        <v>465</v>
      </c>
      <c r="G1735" s="57" t="str">
        <f t="shared" si="27"/>
        <v>-</v>
      </c>
      <c r="H1735" s="1"/>
    </row>
    <row r="1736" spans="1:8" x14ac:dyDescent="0.2">
      <c r="A1736" s="1" t="s">
        <v>25</v>
      </c>
      <c r="B1736" s="2" t="s">
        <v>187</v>
      </c>
      <c r="D1736" s="5" t="s">
        <v>464</v>
      </c>
      <c r="E1736" s="3" t="s">
        <v>465</v>
      </c>
      <c r="F1736" s="3">
        <v>112500</v>
      </c>
      <c r="G1736" s="57" t="str">
        <f t="shared" si="27"/>
        <v>-</v>
      </c>
      <c r="H1736" s="1"/>
    </row>
    <row r="1737" spans="1:8" x14ac:dyDescent="0.2">
      <c r="A1737" s="1" t="s">
        <v>25</v>
      </c>
      <c r="B1737" s="2" t="s">
        <v>187</v>
      </c>
      <c r="D1737" s="5" t="s">
        <v>464</v>
      </c>
      <c r="E1737" s="3" t="s">
        <v>465</v>
      </c>
      <c r="F1737" s="3">
        <v>112500</v>
      </c>
      <c r="G1737" s="57" t="str">
        <f t="shared" si="27"/>
        <v>-</v>
      </c>
      <c r="H1737" s="1"/>
    </row>
    <row r="1738" spans="1:8" x14ac:dyDescent="0.2">
      <c r="A1738" s="1" t="s">
        <v>25</v>
      </c>
      <c r="B1738" s="2" t="s">
        <v>187</v>
      </c>
      <c r="D1738" s="5" t="s">
        <v>464</v>
      </c>
      <c r="E1738" s="3">
        <v>117500</v>
      </c>
      <c r="F1738" s="3" t="s">
        <v>465</v>
      </c>
      <c r="G1738" s="57" t="str">
        <f t="shared" si="27"/>
        <v>-</v>
      </c>
      <c r="H1738" s="1"/>
    </row>
    <row r="1739" spans="1:8" x14ac:dyDescent="0.2">
      <c r="A1739" s="1" t="s">
        <v>25</v>
      </c>
      <c r="B1739" s="2" t="s">
        <v>187</v>
      </c>
      <c r="D1739" s="5" t="s">
        <v>464</v>
      </c>
      <c r="E1739" s="3">
        <v>132500</v>
      </c>
      <c r="F1739" s="3" t="s">
        <v>465</v>
      </c>
      <c r="G1739" s="57" t="str">
        <f t="shared" si="27"/>
        <v>-</v>
      </c>
      <c r="H1739" s="1"/>
    </row>
    <row r="1740" spans="1:8" x14ac:dyDescent="0.2">
      <c r="A1740" s="1" t="s">
        <v>25</v>
      </c>
      <c r="B1740" s="2" t="s">
        <v>187</v>
      </c>
      <c r="D1740" s="5" t="s">
        <v>464</v>
      </c>
      <c r="E1740" s="3" t="s">
        <v>465</v>
      </c>
      <c r="F1740" s="3">
        <v>142500</v>
      </c>
      <c r="G1740" s="57" t="str">
        <f t="shared" si="27"/>
        <v>-</v>
      </c>
      <c r="H1740" s="1"/>
    </row>
    <row r="1741" spans="1:8" x14ac:dyDescent="0.2">
      <c r="A1741" s="1" t="s">
        <v>25</v>
      </c>
      <c r="B1741" s="2" t="s">
        <v>187</v>
      </c>
      <c r="D1741" s="5" t="s">
        <v>464</v>
      </c>
      <c r="E1741" s="3" t="s">
        <v>465</v>
      </c>
      <c r="F1741" s="3">
        <v>197500</v>
      </c>
      <c r="G1741" s="57" t="str">
        <f t="shared" si="27"/>
        <v>-</v>
      </c>
      <c r="H1741" s="1"/>
    </row>
    <row r="1742" spans="1:8" ht="25.5" x14ac:dyDescent="0.2">
      <c r="A1742" s="1" t="s">
        <v>4</v>
      </c>
      <c r="B1742" s="2" t="s">
        <v>188</v>
      </c>
      <c r="D1742" s="5" t="s">
        <v>450</v>
      </c>
      <c r="E1742" s="3">
        <v>121662</v>
      </c>
      <c r="F1742" s="3">
        <v>122456</v>
      </c>
      <c r="G1742" s="57">
        <f t="shared" si="27"/>
        <v>6.5262777202413245E-3</v>
      </c>
      <c r="H1742" s="5" t="s">
        <v>3505</v>
      </c>
    </row>
    <row r="1743" spans="1:8" ht="25.5" x14ac:dyDescent="0.2">
      <c r="A1743" s="1" t="s">
        <v>111</v>
      </c>
      <c r="B1743" s="2" t="s">
        <v>189</v>
      </c>
      <c r="C1743" s="5" t="s">
        <v>1452</v>
      </c>
      <c r="D1743" s="5" t="s">
        <v>450</v>
      </c>
      <c r="E1743" s="9">
        <v>183565</v>
      </c>
      <c r="F1743" s="9">
        <v>196934</v>
      </c>
      <c r="G1743" s="57">
        <f t="shared" si="27"/>
        <v>7.2829787813581015E-2</v>
      </c>
      <c r="H1743" s="5" t="s">
        <v>3501</v>
      </c>
    </row>
    <row r="1744" spans="1:8" ht="51" x14ac:dyDescent="0.2">
      <c r="A1744" s="1" t="s">
        <v>111</v>
      </c>
      <c r="B1744" s="2" t="s">
        <v>189</v>
      </c>
      <c r="D1744" s="5" t="s">
        <v>1453</v>
      </c>
      <c r="E1744" s="9">
        <v>81648</v>
      </c>
      <c r="F1744" s="9">
        <v>143670</v>
      </c>
      <c r="G1744" s="57">
        <f t="shared" si="27"/>
        <v>0.75962669018224571</v>
      </c>
      <c r="H1744" s="5" t="s">
        <v>3503</v>
      </c>
    </row>
    <row r="1745" spans="1:8" ht="51" x14ac:dyDescent="0.2">
      <c r="A1745" s="1" t="s">
        <v>111</v>
      </c>
      <c r="B1745" s="2" t="s">
        <v>189</v>
      </c>
      <c r="D1745" s="5" t="s">
        <v>1454</v>
      </c>
      <c r="E1745" s="9">
        <v>81648</v>
      </c>
      <c r="F1745" s="9">
        <v>143670</v>
      </c>
      <c r="G1745" s="57">
        <f t="shared" si="27"/>
        <v>0.75962669018224571</v>
      </c>
      <c r="H1745" s="5" t="s">
        <v>3503</v>
      </c>
    </row>
    <row r="1746" spans="1:8" ht="25.5" x14ac:dyDescent="0.2">
      <c r="A1746" s="1" t="s">
        <v>111</v>
      </c>
      <c r="B1746" s="2" t="s">
        <v>189</v>
      </c>
      <c r="D1746" s="5" t="s">
        <v>1455</v>
      </c>
      <c r="E1746" s="9">
        <v>97787</v>
      </c>
      <c r="F1746" s="9">
        <v>100220</v>
      </c>
      <c r="G1746" s="57">
        <f t="shared" si="27"/>
        <v>2.4880607851759436E-2</v>
      </c>
      <c r="H1746" s="5" t="s">
        <v>3502</v>
      </c>
    </row>
    <row r="1747" spans="1:8" x14ac:dyDescent="0.2">
      <c r="A1747" s="1" t="s">
        <v>111</v>
      </c>
      <c r="B1747" s="2" t="s">
        <v>189</v>
      </c>
      <c r="D1747" s="5" t="s">
        <v>3504</v>
      </c>
      <c r="E1747" s="9">
        <v>151268</v>
      </c>
      <c r="F1747" s="9" t="s">
        <v>465</v>
      </c>
      <c r="G1747" s="57" t="str">
        <f t="shared" si="27"/>
        <v>-</v>
      </c>
      <c r="H1747" s="5" t="s">
        <v>2356</v>
      </c>
    </row>
    <row r="1748" spans="1:8" x14ac:dyDescent="0.2">
      <c r="A1748" s="1" t="s">
        <v>111</v>
      </c>
      <c r="B1748" s="2" t="s">
        <v>189</v>
      </c>
      <c r="D1748" s="5" t="s">
        <v>487</v>
      </c>
      <c r="E1748" s="9">
        <v>138719</v>
      </c>
      <c r="F1748" s="9" t="s">
        <v>465</v>
      </c>
      <c r="G1748" s="57" t="str">
        <f t="shared" si="27"/>
        <v>-</v>
      </c>
      <c r="H1748" s="5" t="s">
        <v>2356</v>
      </c>
    </row>
    <row r="1749" spans="1:8" x14ac:dyDescent="0.2">
      <c r="A1749" s="1" t="s">
        <v>111</v>
      </c>
      <c r="B1749" s="2" t="s">
        <v>189</v>
      </c>
      <c r="D1749" s="5" t="s">
        <v>464</v>
      </c>
      <c r="E1749" s="3" t="s">
        <v>465</v>
      </c>
      <c r="F1749" s="3">
        <v>107500</v>
      </c>
      <c r="G1749" s="57" t="str">
        <f t="shared" si="27"/>
        <v>-</v>
      </c>
      <c r="H1749" s="5" t="s">
        <v>539</v>
      </c>
    </row>
    <row r="1750" spans="1:8" x14ac:dyDescent="0.2">
      <c r="A1750" s="1" t="s">
        <v>111</v>
      </c>
      <c r="B1750" s="2" t="s">
        <v>189</v>
      </c>
      <c r="D1750" s="5" t="s">
        <v>464</v>
      </c>
      <c r="E1750" s="3" t="s">
        <v>465</v>
      </c>
      <c r="F1750" s="3">
        <v>107500</v>
      </c>
      <c r="G1750" s="57" t="str">
        <f t="shared" si="27"/>
        <v>-</v>
      </c>
      <c r="H1750" s="5" t="s">
        <v>539</v>
      </c>
    </row>
    <row r="1751" spans="1:8" x14ac:dyDescent="0.2">
      <c r="A1751" s="1" t="s">
        <v>111</v>
      </c>
      <c r="B1751" s="2" t="s">
        <v>189</v>
      </c>
      <c r="D1751" s="5" t="s">
        <v>464</v>
      </c>
      <c r="E1751" s="3">
        <v>112500</v>
      </c>
      <c r="F1751" s="3" t="s">
        <v>465</v>
      </c>
      <c r="G1751" s="57" t="str">
        <f t="shared" si="27"/>
        <v>-</v>
      </c>
      <c r="H1751" s="5" t="s">
        <v>539</v>
      </c>
    </row>
    <row r="1752" spans="1:8" ht="38.25" x14ac:dyDescent="0.2">
      <c r="A1752" s="1" t="s">
        <v>4</v>
      </c>
      <c r="B1752" s="2" t="s">
        <v>190</v>
      </c>
      <c r="D1752" s="5" t="s">
        <v>450</v>
      </c>
      <c r="E1752" s="3">
        <v>132097</v>
      </c>
      <c r="F1752" s="3">
        <v>131402</v>
      </c>
      <c r="G1752" s="57">
        <f t="shared" si="27"/>
        <v>-5.2612852676442315E-3</v>
      </c>
      <c r="H1752" s="5" t="s">
        <v>3500</v>
      </c>
    </row>
    <row r="1753" spans="1:8" ht="38.25" x14ac:dyDescent="0.2">
      <c r="A1753" s="1" t="s">
        <v>4</v>
      </c>
      <c r="B1753" s="2" t="s">
        <v>191</v>
      </c>
      <c r="D1753" s="5" t="s">
        <v>3494</v>
      </c>
      <c r="E1753" s="9">
        <v>131704</v>
      </c>
      <c r="F1753" s="9">
        <v>148875</v>
      </c>
      <c r="G1753" s="57">
        <f t="shared" si="27"/>
        <v>0.13037569094332746</v>
      </c>
      <c r="H1753" s="5" t="s">
        <v>3495</v>
      </c>
    </row>
    <row r="1754" spans="1:8" ht="38.25" x14ac:dyDescent="0.2">
      <c r="A1754" s="1" t="s">
        <v>4</v>
      </c>
      <c r="B1754" s="2" t="s">
        <v>191</v>
      </c>
      <c r="D1754" s="5" t="s">
        <v>1447</v>
      </c>
      <c r="E1754" s="9">
        <v>96478</v>
      </c>
      <c r="F1754" s="9">
        <v>271992</v>
      </c>
      <c r="G1754" s="57">
        <f t="shared" si="27"/>
        <v>1.8192126702460665</v>
      </c>
      <c r="H1754" s="5" t="s">
        <v>3496</v>
      </c>
    </row>
    <row r="1755" spans="1:8" ht="38.25" x14ac:dyDescent="0.2">
      <c r="A1755" s="1" t="s">
        <v>4</v>
      </c>
      <c r="B1755" s="2" t="s">
        <v>191</v>
      </c>
      <c r="D1755" s="5" t="s">
        <v>1448</v>
      </c>
      <c r="E1755" s="9">
        <v>97214</v>
      </c>
      <c r="F1755" s="9">
        <v>197188</v>
      </c>
      <c r="G1755" s="57">
        <f t="shared" si="27"/>
        <v>1.0283909724936737</v>
      </c>
      <c r="H1755" s="5" t="s">
        <v>3497</v>
      </c>
    </row>
    <row r="1756" spans="1:8" ht="38.25" x14ac:dyDescent="0.2">
      <c r="A1756" s="1" t="s">
        <v>4</v>
      </c>
      <c r="B1756" s="2" t="s">
        <v>191</v>
      </c>
      <c r="D1756" s="5" t="s">
        <v>1449</v>
      </c>
      <c r="E1756" s="9">
        <v>84961</v>
      </c>
      <c r="F1756" s="9">
        <v>237122</v>
      </c>
      <c r="G1756" s="57">
        <f t="shared" si="27"/>
        <v>1.7909511422888149</v>
      </c>
      <c r="H1756" s="5" t="s">
        <v>3498</v>
      </c>
    </row>
    <row r="1757" spans="1:8" ht="38.25" x14ac:dyDescent="0.2">
      <c r="A1757" s="1" t="s">
        <v>4</v>
      </c>
      <c r="B1757" s="2" t="s">
        <v>191</v>
      </c>
      <c r="D1757" s="5" t="s">
        <v>1450</v>
      </c>
      <c r="E1757" s="9">
        <v>78865</v>
      </c>
      <c r="F1757" s="9">
        <v>118976</v>
      </c>
      <c r="G1757" s="57">
        <f t="shared" si="27"/>
        <v>0.50860330945286247</v>
      </c>
      <c r="H1757" s="5" t="s">
        <v>3499</v>
      </c>
    </row>
    <row r="1758" spans="1:8" ht="38.25" x14ac:dyDescent="0.2">
      <c r="A1758" s="1" t="s">
        <v>4</v>
      </c>
      <c r="B1758" s="2" t="s">
        <v>191</v>
      </c>
      <c r="D1758" s="5" t="s">
        <v>1451</v>
      </c>
      <c r="E1758" s="9">
        <v>78349</v>
      </c>
      <c r="F1758" s="9">
        <v>140910</v>
      </c>
      <c r="G1758" s="57">
        <f t="shared" si="27"/>
        <v>0.79849136555667588</v>
      </c>
      <c r="H1758" s="5" t="s">
        <v>4651</v>
      </c>
    </row>
    <row r="1759" spans="1:8" ht="25.5" x14ac:dyDescent="0.2">
      <c r="A1759" s="1" t="s">
        <v>25</v>
      </c>
      <c r="B1759" s="2" t="s">
        <v>192</v>
      </c>
      <c r="C1759" s="5" t="s">
        <v>1442</v>
      </c>
      <c r="D1759" s="5" t="s">
        <v>450</v>
      </c>
      <c r="E1759" s="9">
        <v>200215</v>
      </c>
      <c r="F1759" s="9">
        <v>208326</v>
      </c>
      <c r="G1759" s="57">
        <f t="shared" si="27"/>
        <v>4.0511450191044629E-2</v>
      </c>
      <c r="H1759" s="5" t="s">
        <v>3490</v>
      </c>
    </row>
    <row r="1760" spans="1:8" x14ac:dyDescent="0.2">
      <c r="A1760" s="1" t="s">
        <v>25</v>
      </c>
      <c r="B1760" s="2" t="s">
        <v>192</v>
      </c>
      <c r="D1760" s="5" t="s">
        <v>1443</v>
      </c>
      <c r="E1760" s="9">
        <v>167620</v>
      </c>
      <c r="F1760" s="9">
        <v>167620</v>
      </c>
      <c r="G1760" s="57">
        <f t="shared" si="27"/>
        <v>0</v>
      </c>
      <c r="H1760" s="5" t="s">
        <v>3491</v>
      </c>
    </row>
    <row r="1761" spans="1:8" x14ac:dyDescent="0.2">
      <c r="A1761" s="1" t="s">
        <v>25</v>
      </c>
      <c r="B1761" s="2" t="s">
        <v>192</v>
      </c>
      <c r="D1761" s="5" t="s">
        <v>1444</v>
      </c>
      <c r="E1761" s="9">
        <v>161824</v>
      </c>
      <c r="F1761" s="9">
        <v>150280</v>
      </c>
      <c r="G1761" s="57">
        <f t="shared" si="27"/>
        <v>-7.1336760925449869E-2</v>
      </c>
      <c r="H1761" s="5" t="s">
        <v>3492</v>
      </c>
    </row>
    <row r="1762" spans="1:8" ht="25.5" x14ac:dyDescent="0.2">
      <c r="A1762" s="1" t="s">
        <v>25</v>
      </c>
      <c r="B1762" s="2" t="s">
        <v>192</v>
      </c>
      <c r="D1762" s="5" t="s">
        <v>1445</v>
      </c>
      <c r="E1762" s="9">
        <v>85472</v>
      </c>
      <c r="F1762" s="9">
        <v>150280</v>
      </c>
      <c r="G1762" s="57">
        <f t="shared" si="27"/>
        <v>0.7582366154998128</v>
      </c>
      <c r="H1762" s="5" t="s">
        <v>4351</v>
      </c>
    </row>
    <row r="1763" spans="1:8" ht="25.5" x14ac:dyDescent="0.2">
      <c r="A1763" s="1" t="s">
        <v>25</v>
      </c>
      <c r="B1763" s="2" t="s">
        <v>192</v>
      </c>
      <c r="D1763" s="5" t="s">
        <v>1446</v>
      </c>
      <c r="E1763" s="9">
        <v>125374</v>
      </c>
      <c r="F1763" s="9">
        <v>121380</v>
      </c>
      <c r="G1763" s="57">
        <f t="shared" si="27"/>
        <v>-3.1856684799081152E-2</v>
      </c>
      <c r="H1763" s="5" t="s">
        <v>3493</v>
      </c>
    </row>
    <row r="1764" spans="1:8" x14ac:dyDescent="0.2">
      <c r="A1764" s="1" t="s">
        <v>25</v>
      </c>
      <c r="B1764" s="2" t="s">
        <v>192</v>
      </c>
      <c r="D1764" s="5" t="s">
        <v>464</v>
      </c>
      <c r="E1764" s="3">
        <v>102500</v>
      </c>
      <c r="F1764" s="3" t="s">
        <v>465</v>
      </c>
      <c r="G1764" s="57" t="str">
        <f t="shared" si="27"/>
        <v>-</v>
      </c>
    </row>
    <row r="1765" spans="1:8" x14ac:dyDescent="0.2">
      <c r="A1765" s="1" t="s">
        <v>25</v>
      </c>
      <c r="B1765" s="2" t="s">
        <v>192</v>
      </c>
      <c r="D1765" s="5" t="s">
        <v>464</v>
      </c>
      <c r="E1765" s="3" t="s">
        <v>465</v>
      </c>
      <c r="F1765" s="3">
        <v>102500</v>
      </c>
      <c r="G1765" s="57" t="str">
        <f t="shared" si="27"/>
        <v>-</v>
      </c>
    </row>
    <row r="1766" spans="1:8" x14ac:dyDescent="0.2">
      <c r="A1766" s="1" t="s">
        <v>25</v>
      </c>
      <c r="B1766" s="2" t="s">
        <v>192</v>
      </c>
      <c r="D1766" s="5" t="s">
        <v>464</v>
      </c>
      <c r="E1766" s="3" t="s">
        <v>465</v>
      </c>
      <c r="F1766" s="3">
        <v>102500</v>
      </c>
      <c r="G1766" s="57" t="str">
        <f t="shared" si="27"/>
        <v>-</v>
      </c>
    </row>
    <row r="1767" spans="1:8" x14ac:dyDescent="0.2">
      <c r="A1767" s="1" t="s">
        <v>25</v>
      </c>
      <c r="B1767" s="2" t="s">
        <v>192</v>
      </c>
      <c r="D1767" s="5" t="s">
        <v>464</v>
      </c>
      <c r="E1767" s="3">
        <v>107500</v>
      </c>
      <c r="F1767" s="3" t="s">
        <v>465</v>
      </c>
      <c r="G1767" s="57" t="str">
        <f t="shared" si="27"/>
        <v>-</v>
      </c>
    </row>
    <row r="1768" spans="1:8" x14ac:dyDescent="0.2">
      <c r="A1768" s="1" t="s">
        <v>25</v>
      </c>
      <c r="B1768" s="2" t="s">
        <v>192</v>
      </c>
      <c r="D1768" s="5" t="s">
        <v>464</v>
      </c>
      <c r="E1768" s="3" t="s">
        <v>465</v>
      </c>
      <c r="F1768" s="3">
        <v>107500</v>
      </c>
      <c r="G1768" s="57" t="str">
        <f t="shared" si="27"/>
        <v>-</v>
      </c>
    </row>
    <row r="1769" spans="1:8" x14ac:dyDescent="0.2">
      <c r="A1769" s="1" t="s">
        <v>25</v>
      </c>
      <c r="B1769" s="2" t="s">
        <v>192</v>
      </c>
      <c r="D1769" s="5" t="s">
        <v>464</v>
      </c>
      <c r="E1769" s="3" t="s">
        <v>465</v>
      </c>
      <c r="F1769" s="3">
        <v>112500</v>
      </c>
      <c r="G1769" s="57" t="str">
        <f t="shared" si="27"/>
        <v>-</v>
      </c>
    </row>
    <row r="1770" spans="1:8" x14ac:dyDescent="0.2">
      <c r="A1770" s="1" t="s">
        <v>25</v>
      </c>
      <c r="B1770" s="2" t="s">
        <v>192</v>
      </c>
      <c r="D1770" s="5" t="s">
        <v>464</v>
      </c>
      <c r="E1770" s="3" t="s">
        <v>465</v>
      </c>
      <c r="F1770" s="3">
        <v>117500</v>
      </c>
      <c r="G1770" s="57" t="str">
        <f t="shared" si="27"/>
        <v>-</v>
      </c>
    </row>
    <row r="1771" spans="1:8" ht="25.5" x14ac:dyDescent="0.2">
      <c r="A1771" s="1" t="s">
        <v>39</v>
      </c>
      <c r="B1771" s="2" t="s">
        <v>193</v>
      </c>
      <c r="C1771" s="5" t="s">
        <v>1441</v>
      </c>
      <c r="D1771" s="5" t="s">
        <v>450</v>
      </c>
      <c r="E1771" s="9">
        <v>219734</v>
      </c>
      <c r="F1771" s="9">
        <v>221203</v>
      </c>
      <c r="G1771" s="57">
        <f t="shared" si="27"/>
        <v>6.6853559303521534E-3</v>
      </c>
      <c r="H1771" s="5" t="s">
        <v>3482</v>
      </c>
    </row>
    <row r="1772" spans="1:8" ht="25.5" x14ac:dyDescent="0.2">
      <c r="A1772" s="1" t="s">
        <v>39</v>
      </c>
      <c r="B1772" s="2" t="s">
        <v>193</v>
      </c>
      <c r="D1772" s="5" t="s">
        <v>455</v>
      </c>
      <c r="E1772" s="9" t="s">
        <v>465</v>
      </c>
      <c r="F1772" s="9">
        <v>151736</v>
      </c>
      <c r="G1772" s="57" t="str">
        <f t="shared" si="27"/>
        <v>-</v>
      </c>
      <c r="H1772" s="5" t="s">
        <v>3485</v>
      </c>
    </row>
    <row r="1773" spans="1:8" x14ac:dyDescent="0.2">
      <c r="A1773" s="1" t="s">
        <v>39</v>
      </c>
      <c r="B1773" s="2" t="s">
        <v>193</v>
      </c>
      <c r="D1773" s="5" t="s">
        <v>942</v>
      </c>
      <c r="E1773" s="9">
        <v>250127</v>
      </c>
      <c r="F1773" s="9" t="s">
        <v>465</v>
      </c>
      <c r="G1773" s="57" t="str">
        <f t="shared" si="27"/>
        <v>-</v>
      </c>
      <c r="H1773" s="5" t="s">
        <v>3486</v>
      </c>
    </row>
    <row r="1774" spans="1:8" ht="25.5" x14ac:dyDescent="0.2">
      <c r="A1774" s="1" t="s">
        <v>39</v>
      </c>
      <c r="B1774" s="2" t="s">
        <v>193</v>
      </c>
      <c r="D1774" s="5" t="s">
        <v>562</v>
      </c>
      <c r="E1774" s="9">
        <v>147036</v>
      </c>
      <c r="F1774" s="9">
        <v>22506</v>
      </c>
      <c r="G1774" s="57">
        <f t="shared" si="27"/>
        <v>-0.84693544438096791</v>
      </c>
      <c r="H1774" s="5" t="s">
        <v>3487</v>
      </c>
    </row>
    <row r="1775" spans="1:8" ht="25.5" x14ac:dyDescent="0.2">
      <c r="A1775" s="1" t="s">
        <v>39</v>
      </c>
      <c r="B1775" s="2" t="s">
        <v>193</v>
      </c>
      <c r="D1775" s="5" t="s">
        <v>4352</v>
      </c>
      <c r="E1775" s="9">
        <v>130784</v>
      </c>
      <c r="F1775" s="9">
        <v>131836</v>
      </c>
      <c r="G1775" s="57">
        <f t="shared" si="27"/>
        <v>8.0437974064105702E-3</v>
      </c>
      <c r="H1775" s="5" t="s">
        <v>3483</v>
      </c>
    </row>
    <row r="1776" spans="1:8" ht="25.5" x14ac:dyDescent="0.2">
      <c r="A1776" s="1" t="s">
        <v>39</v>
      </c>
      <c r="B1776" s="2" t="s">
        <v>193</v>
      </c>
      <c r="D1776" s="5" t="s">
        <v>463</v>
      </c>
      <c r="E1776" s="9">
        <v>131491</v>
      </c>
      <c r="F1776" s="9">
        <v>127006</v>
      </c>
      <c r="G1776" s="57">
        <f t="shared" si="27"/>
        <v>-3.410879832079762E-2</v>
      </c>
      <c r="H1776" s="5" t="s">
        <v>3484</v>
      </c>
    </row>
    <row r="1777" spans="1:8" x14ac:dyDescent="0.2">
      <c r="A1777" s="1" t="s">
        <v>39</v>
      </c>
      <c r="B1777" s="2" t="s">
        <v>193</v>
      </c>
      <c r="D1777" s="5" t="s">
        <v>3488</v>
      </c>
      <c r="E1777" s="3">
        <v>223820</v>
      </c>
      <c r="F1777" s="3" t="s">
        <v>465</v>
      </c>
      <c r="G1777" s="57" t="str">
        <f t="shared" si="27"/>
        <v>-</v>
      </c>
      <c r="H1777" s="5" t="s">
        <v>3489</v>
      </c>
    </row>
    <row r="1778" spans="1:8" x14ac:dyDescent="0.2">
      <c r="A1778" s="1" t="s">
        <v>39</v>
      </c>
      <c r="B1778" s="2" t="s">
        <v>193</v>
      </c>
      <c r="D1778" s="5" t="s">
        <v>464</v>
      </c>
      <c r="E1778" s="3" t="s">
        <v>465</v>
      </c>
      <c r="F1778" s="3">
        <v>112500</v>
      </c>
      <c r="G1778" s="57" t="str">
        <f t="shared" si="27"/>
        <v>-</v>
      </c>
    </row>
    <row r="1779" spans="1:8" ht="25.5" x14ac:dyDescent="0.2">
      <c r="A1779" s="1" t="s">
        <v>20</v>
      </c>
      <c r="B1779" s="2" t="s">
        <v>194</v>
      </c>
      <c r="C1779" s="5" t="s">
        <v>1424</v>
      </c>
      <c r="D1779" s="5" t="s">
        <v>450</v>
      </c>
      <c r="E1779" s="9">
        <v>251190</v>
      </c>
      <c r="F1779" s="9">
        <v>250118</v>
      </c>
      <c r="G1779" s="57">
        <f t="shared" si="27"/>
        <v>-4.2676858155181333E-3</v>
      </c>
      <c r="H1779" s="5" t="s">
        <v>3468</v>
      </c>
    </row>
    <row r="1780" spans="1:8" ht="25.5" x14ac:dyDescent="0.2">
      <c r="A1780" s="1" t="s">
        <v>20</v>
      </c>
      <c r="B1780" s="2" t="s">
        <v>194</v>
      </c>
      <c r="C1780" s="5" t="s">
        <v>1425</v>
      </c>
      <c r="D1780" s="5" t="s">
        <v>1426</v>
      </c>
      <c r="E1780" s="9">
        <v>202191</v>
      </c>
      <c r="F1780" s="9">
        <v>202443</v>
      </c>
      <c r="G1780" s="57">
        <f t="shared" si="27"/>
        <v>1.2463462765404988E-3</v>
      </c>
      <c r="H1780" s="5" t="s">
        <v>3469</v>
      </c>
    </row>
    <row r="1781" spans="1:8" x14ac:dyDescent="0.2">
      <c r="A1781" s="1" t="s">
        <v>20</v>
      </c>
      <c r="B1781" s="2" t="s">
        <v>194</v>
      </c>
      <c r="C1781" s="5" t="s">
        <v>1427</v>
      </c>
      <c r="D1781" s="5" t="s">
        <v>1428</v>
      </c>
      <c r="E1781" s="9">
        <v>192305</v>
      </c>
      <c r="F1781" s="9">
        <v>192305</v>
      </c>
      <c r="G1781" s="57">
        <f t="shared" si="27"/>
        <v>0</v>
      </c>
      <c r="H1781" s="5" t="s">
        <v>3470</v>
      </c>
    </row>
    <row r="1782" spans="1:8" ht="51" x14ac:dyDescent="0.2">
      <c r="A1782" s="1" t="s">
        <v>20</v>
      </c>
      <c r="B1782" s="2" t="s">
        <v>194</v>
      </c>
      <c r="C1782" s="5" t="s">
        <v>1429</v>
      </c>
      <c r="D1782" s="5" t="s">
        <v>1430</v>
      </c>
      <c r="E1782" s="9">
        <v>123165</v>
      </c>
      <c r="F1782" s="9">
        <v>181086</v>
      </c>
      <c r="G1782" s="57">
        <f t="shared" si="27"/>
        <v>0.47027158689562781</v>
      </c>
      <c r="H1782" s="5" t="s">
        <v>3473</v>
      </c>
    </row>
    <row r="1783" spans="1:8" ht="38.25" x14ac:dyDescent="0.2">
      <c r="A1783" s="1" t="s">
        <v>20</v>
      </c>
      <c r="B1783" s="2" t="s">
        <v>194</v>
      </c>
      <c r="C1783" s="5" t="s">
        <v>3472</v>
      </c>
      <c r="D1783" s="5" t="s">
        <v>3471</v>
      </c>
      <c r="E1783" s="9">
        <v>111998</v>
      </c>
      <c r="F1783" s="9" t="s">
        <v>465</v>
      </c>
      <c r="G1783" s="57" t="str">
        <f t="shared" si="27"/>
        <v>-</v>
      </c>
      <c r="H1783" s="5" t="s">
        <v>4354</v>
      </c>
    </row>
    <row r="1784" spans="1:8" ht="25.5" x14ac:dyDescent="0.2">
      <c r="A1784" s="1" t="s">
        <v>20</v>
      </c>
      <c r="B1784" s="2" t="s">
        <v>194</v>
      </c>
      <c r="C1784" s="5" t="s">
        <v>1431</v>
      </c>
      <c r="D1784" s="5" t="s">
        <v>1432</v>
      </c>
      <c r="E1784" s="9">
        <v>166787</v>
      </c>
      <c r="F1784" s="9">
        <v>165760</v>
      </c>
      <c r="G1784" s="57">
        <f t="shared" si="27"/>
        <v>-6.1575542458345072E-3</v>
      </c>
      <c r="H1784" s="5" t="s">
        <v>3474</v>
      </c>
    </row>
    <row r="1785" spans="1:8" ht="25.5" x14ac:dyDescent="0.2">
      <c r="A1785" s="1" t="s">
        <v>20</v>
      </c>
      <c r="B1785" s="2" t="s">
        <v>194</v>
      </c>
      <c r="C1785" s="5" t="s">
        <v>1433</v>
      </c>
      <c r="D1785" s="5" t="s">
        <v>1434</v>
      </c>
      <c r="E1785" s="9">
        <v>155499</v>
      </c>
      <c r="F1785" s="9">
        <v>155720</v>
      </c>
      <c r="G1785" s="57">
        <f t="shared" si="27"/>
        <v>1.4212310047009948E-3</v>
      </c>
      <c r="H1785" s="5" t="s">
        <v>3475</v>
      </c>
    </row>
    <row r="1786" spans="1:8" ht="25.5" x14ac:dyDescent="0.2">
      <c r="A1786" s="1" t="s">
        <v>20</v>
      </c>
      <c r="B1786" s="2" t="s">
        <v>194</v>
      </c>
      <c r="C1786" s="5" t="s">
        <v>1435</v>
      </c>
      <c r="D1786" s="5" t="s">
        <v>486</v>
      </c>
      <c r="E1786" s="9">
        <v>61907</v>
      </c>
      <c r="F1786" s="9">
        <v>124615</v>
      </c>
      <c r="G1786" s="57">
        <f t="shared" si="27"/>
        <v>1.0129387629831845</v>
      </c>
      <c r="H1786" s="5" t="s">
        <v>3478</v>
      </c>
    </row>
    <row r="1787" spans="1:8" ht="25.5" x14ac:dyDescent="0.2">
      <c r="A1787" s="1" t="s">
        <v>20</v>
      </c>
      <c r="B1787" s="2" t="s">
        <v>194</v>
      </c>
      <c r="C1787" s="5" t="s">
        <v>1436</v>
      </c>
      <c r="D1787" s="5" t="s">
        <v>1437</v>
      </c>
      <c r="E1787" s="9">
        <v>114033</v>
      </c>
      <c r="F1787" s="9">
        <v>125359</v>
      </c>
      <c r="G1787" s="57">
        <f t="shared" si="27"/>
        <v>9.932212605123078E-2</v>
      </c>
      <c r="H1787" s="5" t="s">
        <v>3476</v>
      </c>
    </row>
    <row r="1788" spans="1:8" x14ac:dyDescent="0.2">
      <c r="A1788" s="1" t="s">
        <v>20</v>
      </c>
      <c r="B1788" s="2" t="s">
        <v>194</v>
      </c>
      <c r="C1788" s="5" t="s">
        <v>1438</v>
      </c>
      <c r="D1788" s="5" t="s">
        <v>1439</v>
      </c>
      <c r="E1788" s="9">
        <v>133972</v>
      </c>
      <c r="F1788" s="9">
        <v>133513</v>
      </c>
      <c r="G1788" s="57">
        <f t="shared" si="27"/>
        <v>-3.4260890335293943E-3</v>
      </c>
      <c r="H1788" s="5" t="s">
        <v>3477</v>
      </c>
    </row>
    <row r="1789" spans="1:8" ht="38.25" x14ac:dyDescent="0.2">
      <c r="A1789" s="1" t="s">
        <v>20</v>
      </c>
      <c r="B1789" s="2" t="s">
        <v>194</v>
      </c>
      <c r="C1789" s="5" t="s">
        <v>1440</v>
      </c>
      <c r="D1789" s="5" t="s">
        <v>3479</v>
      </c>
      <c r="E1789" s="9">
        <v>77507</v>
      </c>
      <c r="F1789" s="9">
        <v>114894</v>
      </c>
      <c r="G1789" s="57">
        <f t="shared" si="27"/>
        <v>0.48236933438270091</v>
      </c>
      <c r="H1789" s="5" t="s">
        <v>4652</v>
      </c>
    </row>
    <row r="1790" spans="1:8" ht="38.25" x14ac:dyDescent="0.2">
      <c r="A1790" s="1" t="s">
        <v>20</v>
      </c>
      <c r="B1790" s="2" t="s">
        <v>194</v>
      </c>
      <c r="C1790" s="5" t="s">
        <v>3481</v>
      </c>
      <c r="D1790" s="5" t="s">
        <v>3480</v>
      </c>
      <c r="E1790" s="9">
        <v>158625</v>
      </c>
      <c r="F1790" s="9" t="s">
        <v>465</v>
      </c>
      <c r="G1790" s="57" t="str">
        <f t="shared" si="27"/>
        <v>-</v>
      </c>
      <c r="H1790" s="5" t="s">
        <v>4353</v>
      </c>
    </row>
    <row r="1791" spans="1:8" x14ac:dyDescent="0.2">
      <c r="A1791" s="1" t="s">
        <v>20</v>
      </c>
      <c r="B1791" s="2" t="s">
        <v>194</v>
      </c>
      <c r="D1791" s="5" t="s">
        <v>464</v>
      </c>
      <c r="E1791" s="3">
        <v>102500</v>
      </c>
      <c r="F1791" s="3" t="s">
        <v>465</v>
      </c>
      <c r="G1791" s="57" t="str">
        <f t="shared" si="27"/>
        <v>-</v>
      </c>
      <c r="H1791" s="1"/>
    </row>
    <row r="1792" spans="1:8" x14ac:dyDescent="0.2">
      <c r="A1792" s="1" t="s">
        <v>20</v>
      </c>
      <c r="B1792" s="2" t="s">
        <v>194</v>
      </c>
      <c r="D1792" s="5" t="s">
        <v>464</v>
      </c>
      <c r="E1792" s="3">
        <v>102500</v>
      </c>
      <c r="F1792" s="3" t="s">
        <v>465</v>
      </c>
      <c r="G1792" s="57" t="str">
        <f t="shared" si="27"/>
        <v>-</v>
      </c>
      <c r="H1792" s="1"/>
    </row>
    <row r="1793" spans="1:8" x14ac:dyDescent="0.2">
      <c r="A1793" s="1" t="s">
        <v>20</v>
      </c>
      <c r="B1793" s="2" t="s">
        <v>194</v>
      </c>
      <c r="D1793" s="5" t="s">
        <v>464</v>
      </c>
      <c r="E1793" s="3">
        <v>102500</v>
      </c>
      <c r="F1793" s="3" t="s">
        <v>465</v>
      </c>
      <c r="G1793" s="57" t="str">
        <f t="shared" si="27"/>
        <v>-</v>
      </c>
      <c r="H1793" s="1"/>
    </row>
    <row r="1794" spans="1:8" x14ac:dyDescent="0.2">
      <c r="A1794" s="1" t="s">
        <v>20</v>
      </c>
      <c r="B1794" s="2" t="s">
        <v>194</v>
      </c>
      <c r="D1794" s="5" t="s">
        <v>464</v>
      </c>
      <c r="E1794" s="3">
        <v>102500</v>
      </c>
      <c r="F1794" s="3" t="s">
        <v>465</v>
      </c>
      <c r="G1794" s="57" t="str">
        <f t="shared" si="27"/>
        <v>-</v>
      </c>
      <c r="H1794" s="1"/>
    </row>
    <row r="1795" spans="1:8" x14ac:dyDescent="0.2">
      <c r="A1795" s="1" t="s">
        <v>20</v>
      </c>
      <c r="B1795" s="2" t="s">
        <v>194</v>
      </c>
      <c r="D1795" s="5" t="s">
        <v>464</v>
      </c>
      <c r="E1795" s="3" t="s">
        <v>465</v>
      </c>
      <c r="F1795" s="3">
        <v>102500</v>
      </c>
      <c r="G1795" s="57" t="str">
        <f t="shared" ref="G1795:G1858" si="28">IF(ISERROR((F1795-E1795)/E1795),"-",(F1795-E1795)/E1795)</f>
        <v>-</v>
      </c>
      <c r="H1795" s="1"/>
    </row>
    <row r="1796" spans="1:8" x14ac:dyDescent="0.2">
      <c r="A1796" s="1" t="s">
        <v>20</v>
      </c>
      <c r="B1796" s="2" t="s">
        <v>194</v>
      </c>
      <c r="D1796" s="5" t="s">
        <v>464</v>
      </c>
      <c r="E1796" s="3" t="s">
        <v>465</v>
      </c>
      <c r="F1796" s="3">
        <v>102500</v>
      </c>
      <c r="G1796" s="57" t="str">
        <f t="shared" si="28"/>
        <v>-</v>
      </c>
      <c r="H1796" s="1"/>
    </row>
    <row r="1797" spans="1:8" x14ac:dyDescent="0.2">
      <c r="A1797" s="1" t="s">
        <v>20</v>
      </c>
      <c r="B1797" s="2" t="s">
        <v>194</v>
      </c>
      <c r="D1797" s="5" t="s">
        <v>464</v>
      </c>
      <c r="E1797" s="3" t="s">
        <v>465</v>
      </c>
      <c r="F1797" s="3">
        <v>102500</v>
      </c>
      <c r="G1797" s="57" t="str">
        <f t="shared" si="28"/>
        <v>-</v>
      </c>
      <c r="H1797" s="1"/>
    </row>
    <row r="1798" spans="1:8" x14ac:dyDescent="0.2">
      <c r="A1798" s="1" t="s">
        <v>20</v>
      </c>
      <c r="B1798" s="2" t="s">
        <v>194</v>
      </c>
      <c r="D1798" s="5" t="s">
        <v>464</v>
      </c>
      <c r="E1798" s="3" t="s">
        <v>465</v>
      </c>
      <c r="F1798" s="3">
        <v>107500</v>
      </c>
      <c r="G1798" s="57" t="str">
        <f t="shared" si="28"/>
        <v>-</v>
      </c>
      <c r="H1798" s="1"/>
    </row>
    <row r="1799" spans="1:8" x14ac:dyDescent="0.2">
      <c r="A1799" s="1" t="s">
        <v>20</v>
      </c>
      <c r="B1799" s="2" t="s">
        <v>194</v>
      </c>
      <c r="D1799" s="5" t="s">
        <v>464</v>
      </c>
      <c r="E1799" s="3">
        <v>112500</v>
      </c>
      <c r="F1799" s="3" t="s">
        <v>465</v>
      </c>
      <c r="G1799" s="57" t="str">
        <f t="shared" si="28"/>
        <v>-</v>
      </c>
      <c r="H1799" s="1"/>
    </row>
    <row r="1800" spans="1:8" x14ac:dyDescent="0.2">
      <c r="A1800" s="1" t="s">
        <v>20</v>
      </c>
      <c r="B1800" s="2" t="s">
        <v>194</v>
      </c>
      <c r="D1800" s="5" t="s">
        <v>464</v>
      </c>
      <c r="E1800" s="3" t="s">
        <v>465</v>
      </c>
      <c r="F1800" s="3">
        <v>112500</v>
      </c>
      <c r="G1800" s="57" t="str">
        <f t="shared" si="28"/>
        <v>-</v>
      </c>
    </row>
    <row r="1801" spans="1:8" x14ac:dyDescent="0.2">
      <c r="A1801" s="1" t="s">
        <v>20</v>
      </c>
      <c r="B1801" s="2" t="s">
        <v>194</v>
      </c>
      <c r="D1801" s="5" t="s">
        <v>464</v>
      </c>
      <c r="E1801" s="3">
        <v>117500</v>
      </c>
      <c r="F1801" s="3" t="s">
        <v>465</v>
      </c>
      <c r="G1801" s="57" t="str">
        <f t="shared" si="28"/>
        <v>-</v>
      </c>
    </row>
    <row r="1802" spans="1:8" x14ac:dyDescent="0.2">
      <c r="A1802" s="1" t="s">
        <v>20</v>
      </c>
      <c r="B1802" s="2" t="s">
        <v>194</v>
      </c>
      <c r="D1802" s="5" t="s">
        <v>464</v>
      </c>
      <c r="E1802" s="3" t="s">
        <v>465</v>
      </c>
      <c r="F1802" s="3">
        <v>117500</v>
      </c>
      <c r="G1802" s="57" t="str">
        <f t="shared" si="28"/>
        <v>-</v>
      </c>
    </row>
    <row r="1803" spans="1:8" x14ac:dyDescent="0.2">
      <c r="A1803" s="1" t="s">
        <v>20</v>
      </c>
      <c r="B1803" s="2" t="s">
        <v>194</v>
      </c>
      <c r="D1803" s="5" t="s">
        <v>464</v>
      </c>
      <c r="E1803" s="3" t="s">
        <v>465</v>
      </c>
      <c r="F1803" s="3">
        <v>122500</v>
      </c>
      <c r="G1803" s="57" t="str">
        <f t="shared" si="28"/>
        <v>-</v>
      </c>
    </row>
    <row r="1804" spans="1:8" x14ac:dyDescent="0.2">
      <c r="A1804" s="1" t="s">
        <v>20</v>
      </c>
      <c r="B1804" s="2" t="s">
        <v>194</v>
      </c>
      <c r="D1804" s="5" t="s">
        <v>464</v>
      </c>
      <c r="E1804" s="3">
        <v>217500</v>
      </c>
      <c r="F1804" s="3" t="s">
        <v>465</v>
      </c>
      <c r="G1804" s="57" t="str">
        <f t="shared" si="28"/>
        <v>-</v>
      </c>
    </row>
    <row r="1805" spans="1:8" ht="25.5" x14ac:dyDescent="0.2">
      <c r="A1805" s="1" t="s">
        <v>20</v>
      </c>
      <c r="B1805" s="2" t="s">
        <v>195</v>
      </c>
      <c r="D1805" s="5" t="s">
        <v>450</v>
      </c>
      <c r="E1805" s="3">
        <v>184000</v>
      </c>
      <c r="F1805" s="3">
        <v>187000</v>
      </c>
      <c r="G1805" s="57">
        <f t="shared" si="28"/>
        <v>1.6304347826086956E-2</v>
      </c>
      <c r="H1805" s="5" t="s">
        <v>3465</v>
      </c>
    </row>
    <row r="1806" spans="1:8" x14ac:dyDescent="0.2">
      <c r="A1806" s="1" t="s">
        <v>20</v>
      </c>
      <c r="B1806" s="2" t="s">
        <v>195</v>
      </c>
      <c r="D1806" s="5" t="s">
        <v>1423</v>
      </c>
      <c r="E1806" s="3">
        <v>119000</v>
      </c>
      <c r="F1806" s="3">
        <v>122000</v>
      </c>
      <c r="G1806" s="57">
        <f t="shared" si="28"/>
        <v>2.5210084033613446E-2</v>
      </c>
      <c r="H1806" s="5" t="s">
        <v>3466</v>
      </c>
    </row>
    <row r="1807" spans="1:8" ht="25.5" x14ac:dyDescent="0.2">
      <c r="A1807" s="1" t="s">
        <v>20</v>
      </c>
      <c r="B1807" s="2" t="s">
        <v>195</v>
      </c>
      <c r="D1807" s="5" t="s">
        <v>942</v>
      </c>
      <c r="E1807" s="3">
        <v>122000</v>
      </c>
      <c r="F1807" s="3">
        <v>124000</v>
      </c>
      <c r="G1807" s="57">
        <f t="shared" si="28"/>
        <v>1.6393442622950821E-2</v>
      </c>
      <c r="H1807" s="5" t="s">
        <v>3467</v>
      </c>
    </row>
    <row r="1808" spans="1:8" ht="51" x14ac:dyDescent="0.2">
      <c r="A1808" s="1" t="s">
        <v>8</v>
      </c>
      <c r="B1808" s="30" t="s">
        <v>4357</v>
      </c>
      <c r="D1808" s="5" t="s">
        <v>4355</v>
      </c>
      <c r="E1808" s="3">
        <v>119786</v>
      </c>
      <c r="F1808" s="3">
        <v>121545</v>
      </c>
      <c r="G1808" s="57">
        <f t="shared" si="28"/>
        <v>1.4684520728632728E-2</v>
      </c>
      <c r="H1808" s="5" t="s">
        <v>2590</v>
      </c>
    </row>
    <row r="1809" spans="1:8" ht="51" x14ac:dyDescent="0.2">
      <c r="A1809" s="1" t="s">
        <v>8</v>
      </c>
      <c r="B1809" s="30" t="s">
        <v>3463</v>
      </c>
      <c r="D1809" s="5" t="s">
        <v>4356</v>
      </c>
      <c r="E1809" s="3">
        <v>117269</v>
      </c>
      <c r="F1809" s="3">
        <v>114470</v>
      </c>
      <c r="G1809" s="57">
        <f t="shared" si="28"/>
        <v>-2.3868200462185234E-2</v>
      </c>
      <c r="H1809" s="5" t="s">
        <v>3464</v>
      </c>
    </row>
    <row r="1810" spans="1:8" ht="38.25" x14ac:dyDescent="0.2">
      <c r="A1810" s="1" t="s">
        <v>1</v>
      </c>
      <c r="B1810" s="2" t="s">
        <v>196</v>
      </c>
      <c r="C1810" s="5" t="s">
        <v>1412</v>
      </c>
      <c r="D1810" s="5" t="s">
        <v>1413</v>
      </c>
      <c r="E1810" s="6">
        <v>105450</v>
      </c>
      <c r="F1810" s="9">
        <f>105533+31192</f>
        <v>136725</v>
      </c>
      <c r="G1810" s="57">
        <f t="shared" si="28"/>
        <v>0.29658605974395447</v>
      </c>
      <c r="H1810" s="5" t="s">
        <v>3455</v>
      </c>
    </row>
    <row r="1811" spans="1:8" ht="38.25" x14ac:dyDescent="0.2">
      <c r="A1811" s="1" t="s">
        <v>1</v>
      </c>
      <c r="B1811" s="2" t="s">
        <v>196</v>
      </c>
      <c r="C1811" s="5" t="s">
        <v>1414</v>
      </c>
      <c r="D1811" s="5" t="s">
        <v>4653</v>
      </c>
      <c r="E1811" s="6">
        <v>105450</v>
      </c>
      <c r="F1811" s="9">
        <f>105775+31192</f>
        <v>136967</v>
      </c>
      <c r="G1811" s="57">
        <f t="shared" si="28"/>
        <v>0.29888098624940729</v>
      </c>
      <c r="H1811" s="5" t="s">
        <v>3456</v>
      </c>
    </row>
    <row r="1812" spans="1:8" ht="38.25" x14ac:dyDescent="0.2">
      <c r="A1812" s="1" t="s">
        <v>1</v>
      </c>
      <c r="B1812" s="2" t="s">
        <v>196</v>
      </c>
      <c r="C1812" s="5" t="s">
        <v>1415</v>
      </c>
      <c r="D1812" s="5" t="s">
        <v>450</v>
      </c>
      <c r="E1812" s="6">
        <v>140112</v>
      </c>
      <c r="F1812" s="9">
        <f>148549+43476</f>
        <v>192025</v>
      </c>
      <c r="G1812" s="57">
        <f t="shared" si="28"/>
        <v>0.37051073426972708</v>
      </c>
      <c r="H1812" s="5" t="s">
        <v>3457</v>
      </c>
    </row>
    <row r="1813" spans="1:8" ht="38.25" x14ac:dyDescent="0.2">
      <c r="A1813" s="1" t="s">
        <v>1</v>
      </c>
      <c r="B1813" s="2" t="s">
        <v>196</v>
      </c>
      <c r="C1813" s="5" t="s">
        <v>1416</v>
      </c>
      <c r="D1813" s="5" t="s">
        <v>1417</v>
      </c>
      <c r="E1813" s="6">
        <v>105450</v>
      </c>
      <c r="F1813" s="9">
        <f>105576+31192</f>
        <v>136768</v>
      </c>
      <c r="G1813" s="57">
        <f t="shared" si="28"/>
        <v>0.29699383594120438</v>
      </c>
      <c r="H1813" s="5" t="s">
        <v>3458</v>
      </c>
    </row>
    <row r="1814" spans="1:8" ht="38.25" x14ac:dyDescent="0.2">
      <c r="A1814" s="1" t="s">
        <v>1</v>
      </c>
      <c r="B1814" s="2" t="s">
        <v>196</v>
      </c>
      <c r="C1814" s="5" t="s">
        <v>1418</v>
      </c>
      <c r="D1814" s="5" t="s">
        <v>1419</v>
      </c>
      <c r="E1814" s="6">
        <v>115995</v>
      </c>
      <c r="F1814" s="9">
        <f>115995+34984</f>
        <v>150979</v>
      </c>
      <c r="G1814" s="57">
        <f t="shared" si="28"/>
        <v>0.30159920686236474</v>
      </c>
      <c r="H1814" s="5" t="s">
        <v>3459</v>
      </c>
    </row>
    <row r="1815" spans="1:8" ht="38.25" x14ac:dyDescent="0.2">
      <c r="A1815" s="1" t="s">
        <v>1</v>
      </c>
      <c r="B1815" s="2" t="s">
        <v>196</v>
      </c>
      <c r="C1815" s="5" t="s">
        <v>1420</v>
      </c>
      <c r="D1815" s="5" t="s">
        <v>1421</v>
      </c>
      <c r="E1815" s="6">
        <v>105450</v>
      </c>
      <c r="F1815" s="9">
        <f>105779+31192</f>
        <v>136971</v>
      </c>
      <c r="G1815" s="57">
        <f t="shared" si="28"/>
        <v>0.29891891891891892</v>
      </c>
      <c r="H1815" s="5" t="s">
        <v>3460</v>
      </c>
    </row>
    <row r="1816" spans="1:8" ht="38.25" x14ac:dyDescent="0.2">
      <c r="A1816" s="1" t="s">
        <v>1</v>
      </c>
      <c r="B1816" s="2" t="s">
        <v>196</v>
      </c>
      <c r="C1816" s="5" t="s">
        <v>1422</v>
      </c>
      <c r="D1816" s="5" t="s">
        <v>451</v>
      </c>
      <c r="E1816" s="6">
        <v>105450</v>
      </c>
      <c r="F1816" s="9">
        <f>105450+31192</f>
        <v>136642</v>
      </c>
      <c r="G1816" s="57">
        <f t="shared" si="28"/>
        <v>0.29579895685158841</v>
      </c>
      <c r="H1816" s="5" t="s">
        <v>3461</v>
      </c>
    </row>
    <row r="1817" spans="1:8" ht="25.5" x14ac:dyDescent="0.2">
      <c r="A1817" s="1" t="s">
        <v>1</v>
      </c>
      <c r="B1817" s="2" t="s">
        <v>196</v>
      </c>
      <c r="C1817" s="5" t="s">
        <v>3454</v>
      </c>
      <c r="D1817" s="5" t="s">
        <v>908</v>
      </c>
      <c r="E1817" s="6">
        <v>105450</v>
      </c>
      <c r="F1817" s="9" t="s">
        <v>465</v>
      </c>
      <c r="G1817" s="57" t="str">
        <f t="shared" si="28"/>
        <v>-</v>
      </c>
      <c r="H1817" s="5" t="s">
        <v>3462</v>
      </c>
    </row>
    <row r="1818" spans="1:8" x14ac:dyDescent="0.2">
      <c r="A1818" s="1" t="s">
        <v>25</v>
      </c>
      <c r="B1818" s="12" t="s">
        <v>197</v>
      </c>
      <c r="C1818" s="5" t="s">
        <v>1400</v>
      </c>
      <c r="D1818" s="5" t="s">
        <v>450</v>
      </c>
      <c r="E1818" s="9">
        <v>215206</v>
      </c>
      <c r="F1818" s="9">
        <v>183250</v>
      </c>
      <c r="G1818" s="57">
        <f t="shared" si="28"/>
        <v>-0.14849028372814885</v>
      </c>
      <c r="H1818" s="5" t="s">
        <v>3433</v>
      </c>
    </row>
    <row r="1819" spans="1:8" ht="25.5" x14ac:dyDescent="0.2">
      <c r="A1819" s="1" t="s">
        <v>25</v>
      </c>
      <c r="B1819" s="12" t="s">
        <v>197</v>
      </c>
      <c r="D1819" s="5" t="s">
        <v>1401</v>
      </c>
      <c r="E1819" s="9">
        <v>165000</v>
      </c>
      <c r="F1819" s="9">
        <v>167561</v>
      </c>
      <c r="G1819" s="57">
        <f t="shared" si="28"/>
        <v>1.5521212121212121E-2</v>
      </c>
      <c r="H1819" s="5" t="s">
        <v>3434</v>
      </c>
    </row>
    <row r="1820" spans="1:8" x14ac:dyDescent="0.2">
      <c r="A1820" s="1" t="s">
        <v>25</v>
      </c>
      <c r="B1820" s="12" t="s">
        <v>197</v>
      </c>
      <c r="D1820" s="5" t="s">
        <v>1402</v>
      </c>
      <c r="E1820" s="9">
        <v>136904</v>
      </c>
      <c r="F1820" s="9">
        <v>145891</v>
      </c>
      <c r="G1820" s="57">
        <f t="shared" si="28"/>
        <v>6.564453923917489E-2</v>
      </c>
      <c r="H1820" s="5" t="s">
        <v>3447</v>
      </c>
    </row>
    <row r="1821" spans="1:8" ht="25.5" x14ac:dyDescent="0.2">
      <c r="A1821" s="1" t="s">
        <v>25</v>
      </c>
      <c r="B1821" s="12" t="s">
        <v>197</v>
      </c>
      <c r="D1821" s="5" t="s">
        <v>569</v>
      </c>
      <c r="E1821" s="9">
        <v>114166</v>
      </c>
      <c r="F1821" s="9">
        <v>133943</v>
      </c>
      <c r="G1821" s="57">
        <f t="shared" si="28"/>
        <v>0.17323020864355412</v>
      </c>
      <c r="H1821" s="5" t="s">
        <v>3435</v>
      </c>
    </row>
    <row r="1822" spans="1:8" x14ac:dyDescent="0.2">
      <c r="A1822" s="1" t="s">
        <v>25</v>
      </c>
      <c r="B1822" s="12" t="s">
        <v>197</v>
      </c>
      <c r="D1822" s="5" t="s">
        <v>532</v>
      </c>
      <c r="E1822" s="9">
        <v>132089</v>
      </c>
      <c r="F1822" s="9">
        <v>132933</v>
      </c>
      <c r="G1822" s="57">
        <f t="shared" si="28"/>
        <v>6.3896312334865129E-3</v>
      </c>
      <c r="H1822" s="5" t="s">
        <v>3436</v>
      </c>
    </row>
    <row r="1823" spans="1:8" x14ac:dyDescent="0.2">
      <c r="A1823" s="1" t="s">
        <v>25</v>
      </c>
      <c r="B1823" s="12" t="s">
        <v>197</v>
      </c>
      <c r="D1823" s="5" t="s">
        <v>546</v>
      </c>
      <c r="E1823" s="9">
        <v>106715</v>
      </c>
      <c r="F1823" s="9">
        <v>111232</v>
      </c>
      <c r="G1823" s="57">
        <f t="shared" si="28"/>
        <v>4.2327695263083914E-2</v>
      </c>
      <c r="H1823" s="5" t="s">
        <v>3437</v>
      </c>
    </row>
    <row r="1824" spans="1:8" x14ac:dyDescent="0.2">
      <c r="A1824" s="1" t="s">
        <v>25</v>
      </c>
      <c r="B1824" s="2" t="s">
        <v>197</v>
      </c>
      <c r="D1824" s="5" t="s">
        <v>1403</v>
      </c>
      <c r="E1824" s="9">
        <v>102146</v>
      </c>
      <c r="F1824" s="9">
        <v>102733</v>
      </c>
      <c r="G1824" s="57">
        <f t="shared" si="28"/>
        <v>5.7466763260431144E-3</v>
      </c>
      <c r="H1824" s="5" t="s">
        <v>3438</v>
      </c>
    </row>
    <row r="1825" spans="1:8" x14ac:dyDescent="0.2">
      <c r="A1825" s="1" t="s">
        <v>25</v>
      </c>
      <c r="B1825" s="2" t="s">
        <v>197</v>
      </c>
      <c r="D1825" s="5" t="s">
        <v>1287</v>
      </c>
      <c r="E1825" s="9">
        <v>102087</v>
      </c>
      <c r="F1825" s="9">
        <v>105571</v>
      </c>
      <c r="G1825" s="57">
        <f t="shared" si="28"/>
        <v>3.4127753778639788E-2</v>
      </c>
      <c r="H1825" s="5" t="s">
        <v>3439</v>
      </c>
    </row>
    <row r="1826" spans="1:8" ht="38.25" x14ac:dyDescent="0.2">
      <c r="A1826" s="1" t="s">
        <v>25</v>
      </c>
      <c r="B1826" s="2" t="s">
        <v>197</v>
      </c>
      <c r="D1826" s="5" t="s">
        <v>1404</v>
      </c>
      <c r="E1826" s="9">
        <v>167710</v>
      </c>
      <c r="F1826" s="9">
        <v>170111</v>
      </c>
      <c r="G1826" s="57">
        <f t="shared" si="28"/>
        <v>1.4316379464551904E-2</v>
      </c>
      <c r="H1826" s="5" t="s">
        <v>3440</v>
      </c>
    </row>
    <row r="1827" spans="1:8" x14ac:dyDescent="0.2">
      <c r="A1827" s="1" t="s">
        <v>25</v>
      </c>
      <c r="B1827" s="2" t="s">
        <v>197</v>
      </c>
      <c r="D1827" s="5" t="s">
        <v>1405</v>
      </c>
      <c r="E1827" s="9">
        <v>14669</v>
      </c>
      <c r="F1827" s="9">
        <v>119716</v>
      </c>
      <c r="G1827" s="57">
        <f t="shared" si="28"/>
        <v>7.1611561796986845</v>
      </c>
      <c r="H1827" s="5" t="s">
        <v>3441</v>
      </c>
    </row>
    <row r="1828" spans="1:8" ht="25.5" x14ac:dyDescent="0.2">
      <c r="A1828" s="1" t="s">
        <v>25</v>
      </c>
      <c r="B1828" s="2" t="s">
        <v>197</v>
      </c>
      <c r="D1828" s="5" t="s">
        <v>1406</v>
      </c>
      <c r="E1828" s="9">
        <v>124562</v>
      </c>
      <c r="F1828" s="9">
        <v>132016</v>
      </c>
      <c r="G1828" s="57">
        <f t="shared" si="28"/>
        <v>5.9841685265169156E-2</v>
      </c>
      <c r="H1828" s="5" t="s">
        <v>3442</v>
      </c>
    </row>
    <row r="1829" spans="1:8" x14ac:dyDescent="0.2">
      <c r="A1829" s="1" t="s">
        <v>25</v>
      </c>
      <c r="B1829" s="2" t="s">
        <v>197</v>
      </c>
      <c r="D1829" s="5" t="s">
        <v>718</v>
      </c>
      <c r="E1829" s="9">
        <v>98214</v>
      </c>
      <c r="F1829" s="9">
        <v>105962</v>
      </c>
      <c r="G1829" s="57">
        <f t="shared" si="28"/>
        <v>7.8888956767874233E-2</v>
      </c>
      <c r="H1829" s="5" t="s">
        <v>3443</v>
      </c>
    </row>
    <row r="1830" spans="1:8" x14ac:dyDescent="0.2">
      <c r="A1830" s="1" t="s">
        <v>25</v>
      </c>
      <c r="B1830" s="2" t="s">
        <v>197</v>
      </c>
      <c r="D1830" s="5" t="s">
        <v>1407</v>
      </c>
      <c r="E1830" s="9">
        <v>118965</v>
      </c>
      <c r="F1830" s="9">
        <v>126829</v>
      </c>
      <c r="G1830" s="57">
        <f t="shared" si="28"/>
        <v>6.610347581221368E-2</v>
      </c>
      <c r="H1830" s="5" t="s">
        <v>3444</v>
      </c>
    </row>
    <row r="1831" spans="1:8" ht="25.5" x14ac:dyDescent="0.2">
      <c r="A1831" s="1" t="s">
        <v>25</v>
      </c>
      <c r="B1831" s="2" t="s">
        <v>197</v>
      </c>
      <c r="D1831" s="5" t="s">
        <v>1408</v>
      </c>
      <c r="E1831" s="9">
        <v>133550</v>
      </c>
      <c r="F1831" s="9">
        <v>139268</v>
      </c>
      <c r="G1831" s="57">
        <f t="shared" si="28"/>
        <v>4.2815424934481469E-2</v>
      </c>
      <c r="H1831" s="5" t="s">
        <v>3445</v>
      </c>
    </row>
    <row r="1832" spans="1:8" ht="38.25" x14ac:dyDescent="0.2">
      <c r="A1832" s="1" t="s">
        <v>25</v>
      </c>
      <c r="B1832" s="2" t="s">
        <v>197</v>
      </c>
      <c r="D1832" s="5" t="s">
        <v>1409</v>
      </c>
      <c r="E1832" s="9">
        <v>12835</v>
      </c>
      <c r="F1832" s="9">
        <v>124404</v>
      </c>
      <c r="G1832" s="57">
        <f t="shared" si="28"/>
        <v>8.6925594078691084</v>
      </c>
      <c r="H1832" s="5" t="s">
        <v>3448</v>
      </c>
    </row>
    <row r="1833" spans="1:8" ht="25.5" x14ac:dyDescent="0.2">
      <c r="A1833" s="1" t="s">
        <v>25</v>
      </c>
      <c r="B1833" s="2" t="s">
        <v>197</v>
      </c>
      <c r="D1833" s="5" t="s">
        <v>1410</v>
      </c>
      <c r="E1833" s="9">
        <v>96950</v>
      </c>
      <c r="F1833" s="9">
        <v>101387</v>
      </c>
      <c r="G1833" s="57">
        <f t="shared" si="28"/>
        <v>4.5765858690046415E-2</v>
      </c>
      <c r="H1833" s="5" t="s">
        <v>3449</v>
      </c>
    </row>
    <row r="1834" spans="1:8" ht="25.5" x14ac:dyDescent="0.2">
      <c r="A1834" s="1" t="s">
        <v>25</v>
      </c>
      <c r="B1834" s="2" t="s">
        <v>197</v>
      </c>
      <c r="D1834" s="5" t="s">
        <v>1411</v>
      </c>
      <c r="E1834" s="9">
        <v>168328</v>
      </c>
      <c r="F1834" s="9">
        <v>204050</v>
      </c>
      <c r="G1834" s="57">
        <f t="shared" si="28"/>
        <v>0.21221662468513855</v>
      </c>
      <c r="H1834" s="5" t="s">
        <v>3450</v>
      </c>
    </row>
    <row r="1835" spans="1:8" ht="38.25" x14ac:dyDescent="0.2">
      <c r="A1835" s="1" t="s">
        <v>25</v>
      </c>
      <c r="B1835" s="2" t="s">
        <v>197</v>
      </c>
      <c r="D1835" s="5" t="s">
        <v>1011</v>
      </c>
      <c r="E1835" s="9">
        <v>164192</v>
      </c>
      <c r="F1835" s="9">
        <v>220608</v>
      </c>
      <c r="G1835" s="57">
        <f t="shared" si="28"/>
        <v>0.3435977392321185</v>
      </c>
      <c r="H1835" s="5" t="s">
        <v>3446</v>
      </c>
    </row>
    <row r="1836" spans="1:8" ht="25.5" x14ac:dyDescent="0.2">
      <c r="A1836" s="1" t="s">
        <v>25</v>
      </c>
      <c r="B1836" s="2" t="s">
        <v>197</v>
      </c>
      <c r="D1836" s="5" t="s">
        <v>3451</v>
      </c>
      <c r="E1836" s="9">
        <v>143429</v>
      </c>
      <c r="F1836" s="9">
        <v>97003</v>
      </c>
      <c r="G1836" s="57">
        <f t="shared" si="28"/>
        <v>-0.3236862838059249</v>
      </c>
      <c r="H1836" s="5" t="s">
        <v>3452</v>
      </c>
    </row>
    <row r="1837" spans="1:8" x14ac:dyDescent="0.2">
      <c r="A1837" s="1" t="s">
        <v>25</v>
      </c>
      <c r="B1837" s="2" t="s">
        <v>197</v>
      </c>
      <c r="D1837" s="5" t="s">
        <v>920</v>
      </c>
      <c r="E1837" s="9">
        <v>159516</v>
      </c>
      <c r="F1837" s="9" t="s">
        <v>465</v>
      </c>
      <c r="G1837" s="57" t="str">
        <f t="shared" si="28"/>
        <v>-</v>
      </c>
      <c r="H1837" s="5" t="s">
        <v>3453</v>
      </c>
    </row>
    <row r="1838" spans="1:8" x14ac:dyDescent="0.2">
      <c r="A1838" s="1" t="s">
        <v>25</v>
      </c>
      <c r="B1838" s="2" t="s">
        <v>197</v>
      </c>
      <c r="D1838" s="5" t="s">
        <v>464</v>
      </c>
      <c r="E1838" s="3">
        <v>102500</v>
      </c>
      <c r="F1838" s="3" t="s">
        <v>465</v>
      </c>
      <c r="G1838" s="57" t="str">
        <f t="shared" si="28"/>
        <v>-</v>
      </c>
    </row>
    <row r="1839" spans="1:8" x14ac:dyDescent="0.2">
      <c r="A1839" s="1" t="s">
        <v>25</v>
      </c>
      <c r="B1839" s="2" t="s">
        <v>197</v>
      </c>
      <c r="D1839" s="5" t="s">
        <v>464</v>
      </c>
      <c r="E1839" s="3" t="s">
        <v>465</v>
      </c>
      <c r="F1839" s="3">
        <v>112500</v>
      </c>
      <c r="G1839" s="57" t="str">
        <f t="shared" si="28"/>
        <v>-</v>
      </c>
      <c r="H1839" s="5" t="s">
        <v>2234</v>
      </c>
    </row>
    <row r="1840" spans="1:8" x14ac:dyDescent="0.2">
      <c r="A1840" s="1" t="s">
        <v>25</v>
      </c>
      <c r="B1840" s="2" t="s">
        <v>197</v>
      </c>
      <c r="D1840" s="5" t="s">
        <v>464</v>
      </c>
      <c r="E1840" s="3" t="s">
        <v>465</v>
      </c>
      <c r="F1840" s="3">
        <v>117500</v>
      </c>
      <c r="G1840" s="57" t="str">
        <f t="shared" si="28"/>
        <v>-</v>
      </c>
      <c r="H1840" s="5" t="s">
        <v>2234</v>
      </c>
    </row>
    <row r="1841" spans="1:8" x14ac:dyDescent="0.2">
      <c r="A1841" s="1" t="s">
        <v>25</v>
      </c>
      <c r="B1841" s="2" t="s">
        <v>197</v>
      </c>
      <c r="D1841" s="5" t="s">
        <v>464</v>
      </c>
      <c r="E1841" s="3">
        <v>132500</v>
      </c>
      <c r="F1841" s="3" t="s">
        <v>465</v>
      </c>
      <c r="G1841" s="57" t="str">
        <f t="shared" si="28"/>
        <v>-</v>
      </c>
      <c r="H1841" s="5" t="s">
        <v>2234</v>
      </c>
    </row>
    <row r="1842" spans="1:8" x14ac:dyDescent="0.2">
      <c r="A1842" s="1" t="s">
        <v>25</v>
      </c>
      <c r="B1842" s="2" t="s">
        <v>197</v>
      </c>
      <c r="D1842" s="5" t="s">
        <v>464</v>
      </c>
      <c r="E1842" s="3" t="s">
        <v>465</v>
      </c>
      <c r="F1842" s="3">
        <v>142500</v>
      </c>
      <c r="G1842" s="57" t="str">
        <f t="shared" si="28"/>
        <v>-</v>
      </c>
      <c r="H1842" s="5" t="s">
        <v>2234</v>
      </c>
    </row>
    <row r="1843" spans="1:8" x14ac:dyDescent="0.2">
      <c r="A1843" s="1" t="s">
        <v>25</v>
      </c>
      <c r="B1843" s="2" t="s">
        <v>197</v>
      </c>
      <c r="D1843" s="5" t="s">
        <v>464</v>
      </c>
      <c r="E1843" s="3">
        <v>152500</v>
      </c>
      <c r="F1843" s="3" t="s">
        <v>465</v>
      </c>
      <c r="G1843" s="57" t="str">
        <f t="shared" si="28"/>
        <v>-</v>
      </c>
      <c r="H1843" s="5" t="s">
        <v>2234</v>
      </c>
    </row>
    <row r="1844" spans="1:8" ht="25.5" x14ac:dyDescent="0.2">
      <c r="A1844" s="1" t="s">
        <v>8</v>
      </c>
      <c r="B1844" s="2" t="s">
        <v>198</v>
      </c>
      <c r="C1844" s="5" t="s">
        <v>1399</v>
      </c>
      <c r="D1844" s="5" t="s">
        <v>450</v>
      </c>
      <c r="E1844" s="3">
        <v>161851</v>
      </c>
      <c r="F1844" s="3">
        <v>161851</v>
      </c>
      <c r="G1844" s="57">
        <f t="shared" si="28"/>
        <v>0</v>
      </c>
      <c r="H1844" s="5" t="s">
        <v>3429</v>
      </c>
    </row>
    <row r="1845" spans="1:8" ht="25.5" x14ac:dyDescent="0.2">
      <c r="A1845" s="1" t="s">
        <v>8</v>
      </c>
      <c r="B1845" s="2" t="s">
        <v>198</v>
      </c>
      <c r="D1845" s="5" t="s">
        <v>455</v>
      </c>
      <c r="E1845" s="3">
        <v>108229</v>
      </c>
      <c r="F1845" s="3">
        <v>112439</v>
      </c>
      <c r="G1845" s="57">
        <f t="shared" si="28"/>
        <v>3.8899001191917137E-2</v>
      </c>
      <c r="H1845" s="5" t="s">
        <v>3430</v>
      </c>
    </row>
    <row r="1846" spans="1:8" ht="25.5" x14ac:dyDescent="0.2">
      <c r="A1846" s="1" t="s">
        <v>8</v>
      </c>
      <c r="B1846" s="2" t="s">
        <v>198</v>
      </c>
      <c r="D1846" s="5" t="s">
        <v>507</v>
      </c>
      <c r="E1846" s="3">
        <v>103403</v>
      </c>
      <c r="F1846" s="3">
        <v>116762</v>
      </c>
      <c r="G1846" s="57">
        <f t="shared" si="28"/>
        <v>0.12919354370762937</v>
      </c>
      <c r="H1846" s="5" t="s">
        <v>3431</v>
      </c>
    </row>
    <row r="1847" spans="1:8" x14ac:dyDescent="0.2">
      <c r="A1847" s="1" t="s">
        <v>8</v>
      </c>
      <c r="B1847" s="2" t="s">
        <v>198</v>
      </c>
      <c r="D1847" s="5" t="s">
        <v>3432</v>
      </c>
      <c r="E1847" s="3">
        <v>103403</v>
      </c>
      <c r="F1847" s="3" t="s">
        <v>465</v>
      </c>
      <c r="G1847" s="57" t="str">
        <f t="shared" si="28"/>
        <v>-</v>
      </c>
    </row>
    <row r="1848" spans="1:8" ht="25.5" x14ac:dyDescent="0.2">
      <c r="A1848" s="1" t="s">
        <v>4</v>
      </c>
      <c r="B1848" s="2" t="s">
        <v>199</v>
      </c>
      <c r="D1848" s="5" t="s">
        <v>450</v>
      </c>
      <c r="E1848" s="9">
        <v>134394</v>
      </c>
      <c r="F1848" s="9">
        <v>137306</v>
      </c>
      <c r="G1848" s="57">
        <f t="shared" si="28"/>
        <v>2.1667633971754693E-2</v>
      </c>
      <c r="H1848" s="5" t="s">
        <v>3420</v>
      </c>
    </row>
    <row r="1849" spans="1:8" ht="25.5" x14ac:dyDescent="0.2">
      <c r="A1849" s="1" t="s">
        <v>4</v>
      </c>
      <c r="B1849" s="2" t="s">
        <v>199</v>
      </c>
      <c r="D1849" s="5" t="s">
        <v>1397</v>
      </c>
      <c r="E1849" s="9">
        <v>119957</v>
      </c>
      <c r="F1849" s="9">
        <v>119256</v>
      </c>
      <c r="G1849" s="57">
        <f t="shared" si="28"/>
        <v>-5.8437606809106594E-3</v>
      </c>
      <c r="H1849" s="5" t="s">
        <v>3421</v>
      </c>
    </row>
    <row r="1850" spans="1:8" ht="25.5" x14ac:dyDescent="0.2">
      <c r="A1850" s="1" t="s">
        <v>4</v>
      </c>
      <c r="B1850" s="2" t="s">
        <v>199</v>
      </c>
      <c r="D1850" s="5" t="s">
        <v>1398</v>
      </c>
      <c r="E1850" s="9">
        <v>106665</v>
      </c>
      <c r="F1850" s="9">
        <v>111465</v>
      </c>
      <c r="G1850" s="57">
        <f t="shared" si="28"/>
        <v>4.5000703135986503E-2</v>
      </c>
      <c r="H1850" s="5" t="s">
        <v>3422</v>
      </c>
    </row>
    <row r="1851" spans="1:8" ht="38.25" x14ac:dyDescent="0.2">
      <c r="A1851" s="1" t="s">
        <v>4</v>
      </c>
      <c r="B1851" s="2" t="s">
        <v>199</v>
      </c>
      <c r="D1851" s="5" t="s">
        <v>524</v>
      </c>
      <c r="E1851" s="9">
        <v>125206</v>
      </c>
      <c r="F1851" s="9" t="s">
        <v>465</v>
      </c>
      <c r="G1851" s="57" t="str">
        <f t="shared" si="28"/>
        <v>-</v>
      </c>
      <c r="H1851" s="5" t="s">
        <v>3428</v>
      </c>
    </row>
    <row r="1852" spans="1:8" x14ac:dyDescent="0.2">
      <c r="A1852" s="1" t="s">
        <v>4</v>
      </c>
      <c r="B1852" s="2" t="s">
        <v>199</v>
      </c>
      <c r="D1852" s="5" t="s">
        <v>3423</v>
      </c>
      <c r="E1852" s="9">
        <v>207693</v>
      </c>
      <c r="F1852" s="9" t="s">
        <v>465</v>
      </c>
      <c r="G1852" s="57" t="str">
        <f t="shared" si="28"/>
        <v>-</v>
      </c>
    </row>
    <row r="1853" spans="1:8" x14ac:dyDescent="0.2">
      <c r="A1853" s="1" t="s">
        <v>4</v>
      </c>
      <c r="B1853" s="2" t="s">
        <v>199</v>
      </c>
      <c r="D1853" s="5" t="s">
        <v>3424</v>
      </c>
      <c r="E1853" s="9">
        <v>140080</v>
      </c>
      <c r="F1853" s="9" t="s">
        <v>465</v>
      </c>
      <c r="G1853" s="57" t="str">
        <f t="shared" si="28"/>
        <v>-</v>
      </c>
    </row>
    <row r="1854" spans="1:8" x14ac:dyDescent="0.2">
      <c r="A1854" s="1" t="s">
        <v>4</v>
      </c>
      <c r="B1854" s="2" t="s">
        <v>199</v>
      </c>
      <c r="D1854" s="5" t="s">
        <v>3425</v>
      </c>
      <c r="E1854" s="9">
        <v>158388</v>
      </c>
      <c r="F1854" s="9" t="s">
        <v>465</v>
      </c>
      <c r="G1854" s="57" t="str">
        <f t="shared" si="28"/>
        <v>-</v>
      </c>
    </row>
    <row r="1855" spans="1:8" x14ac:dyDescent="0.2">
      <c r="A1855" s="1" t="s">
        <v>4</v>
      </c>
      <c r="B1855" s="2" t="s">
        <v>199</v>
      </c>
      <c r="D1855" s="5" t="s">
        <v>3426</v>
      </c>
      <c r="E1855" s="9">
        <v>167056</v>
      </c>
      <c r="F1855" s="9" t="s">
        <v>465</v>
      </c>
      <c r="G1855" s="57" t="str">
        <f t="shared" si="28"/>
        <v>-</v>
      </c>
    </row>
    <row r="1856" spans="1:8" x14ac:dyDescent="0.2">
      <c r="A1856" s="1" t="s">
        <v>4</v>
      </c>
      <c r="B1856" s="2" t="s">
        <v>199</v>
      </c>
      <c r="D1856" s="5" t="s">
        <v>3427</v>
      </c>
      <c r="E1856" s="9">
        <v>202203</v>
      </c>
      <c r="F1856" s="9" t="s">
        <v>465</v>
      </c>
      <c r="G1856" s="57" t="str">
        <f t="shared" si="28"/>
        <v>-</v>
      </c>
    </row>
    <row r="1857" spans="1:8" x14ac:dyDescent="0.2">
      <c r="A1857" s="1" t="s">
        <v>4</v>
      </c>
      <c r="B1857" s="2" t="s">
        <v>199</v>
      </c>
      <c r="D1857" s="5" t="s">
        <v>464</v>
      </c>
      <c r="E1857" s="3" t="s">
        <v>465</v>
      </c>
      <c r="F1857" s="3">
        <v>112500</v>
      </c>
      <c r="G1857" s="57" t="str">
        <f t="shared" si="28"/>
        <v>-</v>
      </c>
    </row>
    <row r="1858" spans="1:8" ht="25.5" x14ac:dyDescent="0.2">
      <c r="A1858" s="1" t="s">
        <v>25</v>
      </c>
      <c r="B1858" s="2" t="s">
        <v>200</v>
      </c>
      <c r="C1858" s="5" t="s">
        <v>3413</v>
      </c>
      <c r="D1858" s="5" t="s">
        <v>450</v>
      </c>
      <c r="E1858" s="9">
        <v>201183</v>
      </c>
      <c r="F1858" s="9">
        <v>33388</v>
      </c>
      <c r="G1858" s="57">
        <f t="shared" si="28"/>
        <v>-0.83404164367764677</v>
      </c>
      <c r="H1858" s="5" t="s">
        <v>3419</v>
      </c>
    </row>
    <row r="1859" spans="1:8" x14ac:dyDescent="0.2">
      <c r="A1859" s="1" t="s">
        <v>25</v>
      </c>
      <c r="B1859" s="2" t="s">
        <v>200</v>
      </c>
      <c r="D1859" s="5" t="s">
        <v>507</v>
      </c>
      <c r="E1859" s="9">
        <v>156630</v>
      </c>
      <c r="F1859" s="9">
        <v>165880</v>
      </c>
      <c r="G1859" s="57">
        <f t="shared" ref="G1859:G1922" si="29">IF(ISERROR((F1859-E1859)/E1859),"-",(F1859-E1859)/E1859)</f>
        <v>5.9056374896252317E-2</v>
      </c>
      <c r="H1859" s="5" t="s">
        <v>3414</v>
      </c>
    </row>
    <row r="1860" spans="1:8" x14ac:dyDescent="0.2">
      <c r="A1860" s="1" t="s">
        <v>25</v>
      </c>
      <c r="B1860" s="2" t="s">
        <v>200</v>
      </c>
      <c r="D1860" s="5" t="s">
        <v>452</v>
      </c>
      <c r="E1860" s="9">
        <v>147378</v>
      </c>
      <c r="F1860" s="9">
        <v>159182</v>
      </c>
      <c r="G1860" s="57">
        <f t="shared" si="29"/>
        <v>8.0093365359823046E-2</v>
      </c>
      <c r="H1860" s="5" t="s">
        <v>3415</v>
      </c>
    </row>
    <row r="1861" spans="1:8" x14ac:dyDescent="0.2">
      <c r="A1861" s="1" t="s">
        <v>25</v>
      </c>
      <c r="B1861" s="2" t="s">
        <v>200</v>
      </c>
      <c r="D1861" s="5" t="s">
        <v>562</v>
      </c>
      <c r="E1861" s="9">
        <v>154077</v>
      </c>
      <c r="F1861" s="9">
        <v>165880</v>
      </c>
      <c r="G1861" s="57">
        <f t="shared" si="29"/>
        <v>7.6604554865424432E-2</v>
      </c>
      <c r="H1861" s="5" t="s">
        <v>3414</v>
      </c>
    </row>
    <row r="1862" spans="1:8" x14ac:dyDescent="0.2">
      <c r="A1862" s="1" t="s">
        <v>25</v>
      </c>
      <c r="B1862" s="2" t="s">
        <v>200</v>
      </c>
      <c r="D1862" s="5" t="s">
        <v>855</v>
      </c>
      <c r="E1862" s="9">
        <v>172579</v>
      </c>
      <c r="F1862" s="9">
        <v>177684</v>
      </c>
      <c r="G1862" s="57">
        <f t="shared" si="29"/>
        <v>2.9580655815597493E-2</v>
      </c>
      <c r="H1862" s="5" t="s">
        <v>3416</v>
      </c>
    </row>
    <row r="1863" spans="1:8" x14ac:dyDescent="0.2">
      <c r="A1863" s="1" t="s">
        <v>25</v>
      </c>
      <c r="B1863" s="2" t="s">
        <v>200</v>
      </c>
      <c r="D1863" s="5" t="s">
        <v>942</v>
      </c>
      <c r="E1863" s="9">
        <v>147378</v>
      </c>
      <c r="F1863" s="9">
        <v>156630</v>
      </c>
      <c r="G1863" s="57">
        <f t="shared" si="29"/>
        <v>6.277734804380572E-2</v>
      </c>
      <c r="H1863" s="5" t="s">
        <v>3417</v>
      </c>
    </row>
    <row r="1864" spans="1:8" x14ac:dyDescent="0.2">
      <c r="A1864" s="1" t="s">
        <v>25</v>
      </c>
      <c r="B1864" s="2" t="s">
        <v>200</v>
      </c>
      <c r="D1864" s="5" t="s">
        <v>532</v>
      </c>
      <c r="E1864" s="9">
        <v>165880</v>
      </c>
      <c r="F1864" s="9">
        <v>175132</v>
      </c>
      <c r="G1864" s="57">
        <f t="shared" si="29"/>
        <v>5.5775259223535087E-2</v>
      </c>
      <c r="H1864" s="5" t="s">
        <v>3418</v>
      </c>
    </row>
    <row r="1865" spans="1:8" x14ac:dyDescent="0.2">
      <c r="A1865" s="1" t="s">
        <v>25</v>
      </c>
      <c r="B1865" s="2" t="s">
        <v>200</v>
      </c>
      <c r="D1865" s="5" t="s">
        <v>464</v>
      </c>
      <c r="E1865" s="3">
        <v>102500</v>
      </c>
      <c r="F1865" s="3" t="s">
        <v>465</v>
      </c>
      <c r="G1865" s="57" t="str">
        <f t="shared" si="29"/>
        <v>-</v>
      </c>
    </row>
    <row r="1866" spans="1:8" x14ac:dyDescent="0.2">
      <c r="A1866" s="1" t="s">
        <v>25</v>
      </c>
      <c r="B1866" s="2" t="s">
        <v>200</v>
      </c>
      <c r="D1866" s="5" t="s">
        <v>464</v>
      </c>
      <c r="E1866" s="3" t="s">
        <v>465</v>
      </c>
      <c r="F1866" s="3">
        <v>102500</v>
      </c>
      <c r="G1866" s="57" t="str">
        <f t="shared" si="29"/>
        <v>-</v>
      </c>
    </row>
    <row r="1867" spans="1:8" x14ac:dyDescent="0.2">
      <c r="A1867" s="1" t="s">
        <v>25</v>
      </c>
      <c r="B1867" s="2" t="s">
        <v>200</v>
      </c>
      <c r="D1867" s="5" t="s">
        <v>464</v>
      </c>
      <c r="E1867" s="3" t="s">
        <v>465</v>
      </c>
      <c r="F1867" s="3">
        <v>102500</v>
      </c>
      <c r="G1867" s="57" t="str">
        <f t="shared" si="29"/>
        <v>-</v>
      </c>
    </row>
    <row r="1868" spans="1:8" x14ac:dyDescent="0.2">
      <c r="A1868" s="1" t="s">
        <v>25</v>
      </c>
      <c r="B1868" s="2" t="s">
        <v>200</v>
      </c>
      <c r="D1868" s="5" t="s">
        <v>464</v>
      </c>
      <c r="E1868" s="3">
        <v>107500</v>
      </c>
      <c r="F1868" s="3" t="s">
        <v>465</v>
      </c>
      <c r="G1868" s="57" t="str">
        <f t="shared" si="29"/>
        <v>-</v>
      </c>
    </row>
    <row r="1869" spans="1:8" x14ac:dyDescent="0.2">
      <c r="A1869" s="1" t="s">
        <v>25</v>
      </c>
      <c r="B1869" s="2" t="s">
        <v>200</v>
      </c>
      <c r="D1869" s="5" t="s">
        <v>464</v>
      </c>
      <c r="E1869" s="3" t="s">
        <v>465</v>
      </c>
      <c r="F1869" s="3">
        <v>107500</v>
      </c>
      <c r="G1869" s="57" t="str">
        <f t="shared" si="29"/>
        <v>-</v>
      </c>
    </row>
    <row r="1870" spans="1:8" x14ac:dyDescent="0.2">
      <c r="A1870" s="1" t="s">
        <v>25</v>
      </c>
      <c r="B1870" s="2" t="s">
        <v>200</v>
      </c>
      <c r="D1870" s="5" t="s">
        <v>464</v>
      </c>
      <c r="E1870" s="3" t="s">
        <v>465</v>
      </c>
      <c r="F1870" s="3">
        <v>107500</v>
      </c>
      <c r="G1870" s="57" t="str">
        <f t="shared" si="29"/>
        <v>-</v>
      </c>
    </row>
    <row r="1871" spans="1:8" x14ac:dyDescent="0.2">
      <c r="A1871" s="1" t="s">
        <v>25</v>
      </c>
      <c r="B1871" s="2" t="s">
        <v>200</v>
      </c>
      <c r="D1871" s="5" t="s">
        <v>464</v>
      </c>
      <c r="E1871" s="3" t="s">
        <v>465</v>
      </c>
      <c r="F1871" s="3">
        <v>112500</v>
      </c>
      <c r="G1871" s="57" t="str">
        <f t="shared" si="29"/>
        <v>-</v>
      </c>
    </row>
    <row r="1872" spans="1:8" x14ac:dyDescent="0.2">
      <c r="A1872" s="1" t="s">
        <v>25</v>
      </c>
      <c r="B1872" s="2" t="s">
        <v>200</v>
      </c>
      <c r="D1872" s="5" t="s">
        <v>464</v>
      </c>
      <c r="E1872" s="3" t="s">
        <v>465</v>
      </c>
      <c r="F1872" s="3">
        <v>117500</v>
      </c>
      <c r="G1872" s="57" t="str">
        <f t="shared" si="29"/>
        <v>-</v>
      </c>
    </row>
    <row r="1873" spans="1:8" x14ac:dyDescent="0.2">
      <c r="A1873" s="1" t="s">
        <v>25</v>
      </c>
      <c r="B1873" s="2" t="s">
        <v>200</v>
      </c>
      <c r="D1873" s="5" t="s">
        <v>464</v>
      </c>
      <c r="E1873" s="3" t="s">
        <v>465</v>
      </c>
      <c r="F1873" s="3">
        <v>132500</v>
      </c>
      <c r="G1873" s="57" t="str">
        <f t="shared" si="29"/>
        <v>-</v>
      </c>
    </row>
    <row r="1874" spans="1:8" x14ac:dyDescent="0.2">
      <c r="A1874" s="1" t="s">
        <v>25</v>
      </c>
      <c r="B1874" s="2" t="s">
        <v>200</v>
      </c>
      <c r="D1874" s="5" t="s">
        <v>464</v>
      </c>
      <c r="E1874" s="3" t="s">
        <v>465</v>
      </c>
      <c r="F1874" s="3">
        <v>132500</v>
      </c>
      <c r="G1874" s="57" t="str">
        <f t="shared" si="29"/>
        <v>-</v>
      </c>
    </row>
    <row r="1875" spans="1:8" ht="25.5" x14ac:dyDescent="0.2">
      <c r="A1875" s="1" t="s">
        <v>20</v>
      </c>
      <c r="B1875" s="2" t="s">
        <v>201</v>
      </c>
      <c r="C1875" s="5" t="s">
        <v>1393</v>
      </c>
      <c r="D1875" s="5" t="s">
        <v>450</v>
      </c>
      <c r="E1875" s="3">
        <v>206684</v>
      </c>
      <c r="F1875" s="3">
        <v>201524</v>
      </c>
      <c r="G1875" s="57">
        <f t="shared" si="29"/>
        <v>-2.496564804242225E-2</v>
      </c>
      <c r="H1875" s="5" t="s">
        <v>3410</v>
      </c>
    </row>
    <row r="1876" spans="1:8" ht="25.5" x14ac:dyDescent="0.2">
      <c r="A1876" s="1" t="s">
        <v>20</v>
      </c>
      <c r="B1876" s="2" t="s">
        <v>201</v>
      </c>
      <c r="D1876" s="5" t="s">
        <v>1394</v>
      </c>
      <c r="E1876" s="3">
        <v>123118</v>
      </c>
      <c r="F1876" s="3">
        <v>117764</v>
      </c>
      <c r="G1876" s="57">
        <f t="shared" si="29"/>
        <v>-4.3486736301759289E-2</v>
      </c>
      <c r="H1876" s="5" t="s">
        <v>4654</v>
      </c>
    </row>
    <row r="1877" spans="1:8" ht="25.5" x14ac:dyDescent="0.2">
      <c r="A1877" s="1" t="s">
        <v>20</v>
      </c>
      <c r="B1877" s="2" t="s">
        <v>201</v>
      </c>
      <c r="D1877" s="5" t="s">
        <v>1395</v>
      </c>
      <c r="E1877" s="3">
        <v>118584</v>
      </c>
      <c r="F1877" s="3">
        <v>118537</v>
      </c>
      <c r="G1877" s="57">
        <f t="shared" si="29"/>
        <v>-3.963435202050867E-4</v>
      </c>
      <c r="H1877" s="5" t="s">
        <v>3411</v>
      </c>
    </row>
    <row r="1878" spans="1:8" ht="25.5" x14ac:dyDescent="0.2">
      <c r="A1878" s="1" t="s">
        <v>20</v>
      </c>
      <c r="B1878" s="2" t="s">
        <v>201</v>
      </c>
      <c r="D1878" s="5" t="s">
        <v>1396</v>
      </c>
      <c r="E1878" s="3">
        <v>120294</v>
      </c>
      <c r="F1878" s="3">
        <v>120622</v>
      </c>
      <c r="G1878" s="57">
        <f t="shared" si="29"/>
        <v>2.7266530334014998E-3</v>
      </c>
      <c r="H1878" s="5" t="s">
        <v>3412</v>
      </c>
    </row>
    <row r="1879" spans="1:8" x14ac:dyDescent="0.2">
      <c r="A1879" s="1" t="s">
        <v>20</v>
      </c>
      <c r="B1879" s="2" t="s">
        <v>201</v>
      </c>
      <c r="D1879" s="5" t="s">
        <v>464</v>
      </c>
      <c r="E1879" s="3" t="s">
        <v>465</v>
      </c>
      <c r="F1879" s="3">
        <v>112500</v>
      </c>
      <c r="G1879" s="57" t="str">
        <f t="shared" si="29"/>
        <v>-</v>
      </c>
    </row>
    <row r="1880" spans="1:8" x14ac:dyDescent="0.2">
      <c r="A1880" s="1" t="s">
        <v>20</v>
      </c>
      <c r="B1880" s="2" t="s">
        <v>201</v>
      </c>
      <c r="D1880" s="5" t="s">
        <v>464</v>
      </c>
      <c r="E1880" s="3" t="s">
        <v>465</v>
      </c>
      <c r="F1880" s="3">
        <v>142500</v>
      </c>
      <c r="G1880" s="57" t="str">
        <f t="shared" si="29"/>
        <v>-</v>
      </c>
    </row>
    <row r="1881" spans="1:8" ht="25.5" x14ac:dyDescent="0.2">
      <c r="A1881" s="1" t="s">
        <v>6</v>
      </c>
      <c r="B1881" s="2" t="s">
        <v>202</v>
      </c>
      <c r="D1881" s="5" t="s">
        <v>3409</v>
      </c>
      <c r="E1881" s="3">
        <v>147672</v>
      </c>
      <c r="F1881" s="3">
        <v>149485</v>
      </c>
      <c r="G1881" s="57">
        <f t="shared" si="29"/>
        <v>1.2277208949563898E-2</v>
      </c>
      <c r="H1881" s="5" t="s">
        <v>3407</v>
      </c>
    </row>
    <row r="1882" spans="1:8" ht="25.5" x14ac:dyDescent="0.2">
      <c r="A1882" s="1" t="s">
        <v>6</v>
      </c>
      <c r="B1882" s="2" t="s">
        <v>202</v>
      </c>
      <c r="D1882" s="5" t="s">
        <v>1392</v>
      </c>
      <c r="E1882" s="3">
        <v>119053</v>
      </c>
      <c r="F1882" s="3">
        <v>121251</v>
      </c>
      <c r="G1882" s="57">
        <f t="shared" si="29"/>
        <v>1.846236550107935E-2</v>
      </c>
      <c r="H1882" s="5" t="s">
        <v>3408</v>
      </c>
    </row>
    <row r="1883" spans="1:8" ht="25.5" x14ac:dyDescent="0.2">
      <c r="A1883" s="1" t="s">
        <v>1</v>
      </c>
      <c r="B1883" s="2" t="s">
        <v>203</v>
      </c>
      <c r="C1883" s="5" t="s">
        <v>1382</v>
      </c>
      <c r="D1883" s="5" t="s">
        <v>450</v>
      </c>
      <c r="E1883" s="9">
        <f>111450+19281</f>
        <v>130731</v>
      </c>
      <c r="F1883" s="9">
        <f>114629+20225</f>
        <v>134854</v>
      </c>
      <c r="G1883" s="57">
        <f t="shared" si="29"/>
        <v>3.1538043769266659E-2</v>
      </c>
      <c r="H1883" s="5" t="s">
        <v>3401</v>
      </c>
    </row>
    <row r="1884" spans="1:8" ht="25.5" x14ac:dyDescent="0.2">
      <c r="A1884" s="1" t="s">
        <v>1</v>
      </c>
      <c r="B1884" s="2" t="s">
        <v>203</v>
      </c>
      <c r="C1884" s="5" t="s">
        <v>1383</v>
      </c>
      <c r="D1884" s="5" t="s">
        <v>1384</v>
      </c>
      <c r="E1884" s="9">
        <f>99628+17160</f>
        <v>116788</v>
      </c>
      <c r="F1884" s="9">
        <f>102184+18433</f>
        <v>120617</v>
      </c>
      <c r="G1884" s="57">
        <f t="shared" si="29"/>
        <v>3.2785902661232318E-2</v>
      </c>
      <c r="H1884" s="5" t="s">
        <v>3402</v>
      </c>
    </row>
    <row r="1885" spans="1:8" ht="25.5" x14ac:dyDescent="0.2">
      <c r="A1885" s="1" t="s">
        <v>1</v>
      </c>
      <c r="B1885" s="2" t="s">
        <v>203</v>
      </c>
      <c r="C1885" s="5" t="s">
        <v>1385</v>
      </c>
      <c r="D1885" s="5" t="s">
        <v>1386</v>
      </c>
      <c r="E1885" s="9">
        <f>85914+14863</f>
        <v>100777</v>
      </c>
      <c r="F1885" s="9">
        <f>102184+18351</f>
        <v>120535</v>
      </c>
      <c r="G1885" s="57">
        <f t="shared" si="29"/>
        <v>0.1960566399079155</v>
      </c>
      <c r="H1885" s="5" t="s">
        <v>3403</v>
      </c>
    </row>
    <row r="1886" spans="1:8" ht="25.5" x14ac:dyDescent="0.2">
      <c r="A1886" s="1" t="s">
        <v>1</v>
      </c>
      <c r="B1886" s="2" t="s">
        <v>203</v>
      </c>
      <c r="C1886" s="5" t="s">
        <v>1387</v>
      </c>
      <c r="D1886" s="5" t="s">
        <v>1388</v>
      </c>
      <c r="E1886" s="9">
        <f>88207+15260</f>
        <v>103467</v>
      </c>
      <c r="F1886" s="9">
        <f>102034+18433</f>
        <v>120467</v>
      </c>
      <c r="G1886" s="57">
        <f t="shared" si="29"/>
        <v>0.16430359438275005</v>
      </c>
      <c r="H1886" s="5" t="s">
        <v>3404</v>
      </c>
    </row>
    <row r="1887" spans="1:8" ht="25.5" x14ac:dyDescent="0.2">
      <c r="A1887" s="1" t="s">
        <v>1</v>
      </c>
      <c r="B1887" s="2" t="s">
        <v>203</v>
      </c>
      <c r="C1887" s="5" t="s">
        <v>1389</v>
      </c>
      <c r="D1887" s="5" t="s">
        <v>1390</v>
      </c>
      <c r="E1887" s="9">
        <f>99191+17160</f>
        <v>116351</v>
      </c>
      <c r="F1887" s="9">
        <f>102334+18433</f>
        <v>120767</v>
      </c>
      <c r="G1887" s="57">
        <f t="shared" si="29"/>
        <v>3.7954121580390368E-2</v>
      </c>
      <c r="H1887" s="5" t="s">
        <v>3405</v>
      </c>
    </row>
    <row r="1888" spans="1:8" ht="25.5" x14ac:dyDescent="0.2">
      <c r="A1888" s="1" t="s">
        <v>1</v>
      </c>
      <c r="B1888" s="2" t="s">
        <v>203</v>
      </c>
      <c r="C1888" s="5" t="s">
        <v>1391</v>
      </c>
      <c r="D1888" s="5" t="s">
        <v>852</v>
      </c>
      <c r="E1888" s="9">
        <f>80801+13979</f>
        <v>94780</v>
      </c>
      <c r="F1888" s="9">
        <f>85818+15016</f>
        <v>100834</v>
      </c>
      <c r="G1888" s="57">
        <f t="shared" si="29"/>
        <v>6.3874235070690025E-2</v>
      </c>
      <c r="H1888" s="5" t="s">
        <v>3406</v>
      </c>
    </row>
    <row r="1889" spans="1:8" x14ac:dyDescent="0.2">
      <c r="A1889" s="1" t="s">
        <v>1</v>
      </c>
      <c r="B1889" s="2" t="s">
        <v>203</v>
      </c>
      <c r="D1889" s="5" t="s">
        <v>464</v>
      </c>
      <c r="E1889" s="3" t="s">
        <v>465</v>
      </c>
      <c r="F1889" s="3">
        <v>107500</v>
      </c>
      <c r="G1889" s="57" t="str">
        <f t="shared" si="29"/>
        <v>-</v>
      </c>
    </row>
    <row r="1890" spans="1:8" ht="25.5" x14ac:dyDescent="0.2">
      <c r="A1890" s="1" t="s">
        <v>20</v>
      </c>
      <c r="B1890" s="2" t="s">
        <v>204</v>
      </c>
      <c r="D1890" s="5" t="s">
        <v>450</v>
      </c>
      <c r="E1890" s="3" t="s">
        <v>465</v>
      </c>
      <c r="F1890" s="3">
        <v>103614</v>
      </c>
      <c r="G1890" s="57" t="str">
        <f t="shared" si="29"/>
        <v>-</v>
      </c>
      <c r="H1890" s="5" t="s">
        <v>3400</v>
      </c>
    </row>
    <row r="1891" spans="1:8" x14ac:dyDescent="0.2">
      <c r="A1891" s="1" t="s">
        <v>44</v>
      </c>
      <c r="B1891" s="2" t="s">
        <v>205</v>
      </c>
      <c r="D1891" s="5" t="s">
        <v>470</v>
      </c>
      <c r="E1891" s="59">
        <v>141138</v>
      </c>
      <c r="F1891" s="3" t="s">
        <v>465</v>
      </c>
      <c r="G1891" s="57" t="str">
        <f t="shared" si="29"/>
        <v>-</v>
      </c>
      <c r="H1891" s="5" t="s">
        <v>3397</v>
      </c>
    </row>
    <row r="1892" spans="1:8" ht="51" x14ac:dyDescent="0.2">
      <c r="A1892" s="1" t="s">
        <v>44</v>
      </c>
      <c r="B1892" s="2" t="s">
        <v>205</v>
      </c>
      <c r="D1892" s="5" t="s">
        <v>3398</v>
      </c>
      <c r="E1892" s="59">
        <v>106545</v>
      </c>
      <c r="F1892" s="3">
        <v>97517</v>
      </c>
      <c r="G1892" s="57">
        <f t="shared" si="29"/>
        <v>-8.4734149889717961E-2</v>
      </c>
      <c r="H1892" s="5" t="s">
        <v>3399</v>
      </c>
    </row>
    <row r="1893" spans="1:8" ht="25.5" x14ac:dyDescent="0.2">
      <c r="A1893" s="1" t="s">
        <v>4</v>
      </c>
      <c r="B1893" s="2" t="s">
        <v>206</v>
      </c>
      <c r="D1893" s="5" t="s">
        <v>450</v>
      </c>
      <c r="E1893" s="9">
        <v>183937</v>
      </c>
      <c r="F1893" s="9">
        <v>184116</v>
      </c>
      <c r="G1893" s="57">
        <f t="shared" si="29"/>
        <v>9.7315928823455853E-4</v>
      </c>
      <c r="H1893" s="5" t="s">
        <v>3385</v>
      </c>
    </row>
    <row r="1894" spans="1:8" ht="38.25" x14ac:dyDescent="0.2">
      <c r="A1894" s="1" t="s">
        <v>4</v>
      </c>
      <c r="B1894" s="2" t="s">
        <v>206</v>
      </c>
      <c r="D1894" s="5" t="s">
        <v>1377</v>
      </c>
      <c r="E1894" s="9">
        <v>33932</v>
      </c>
      <c r="F1894" s="9">
        <v>156564</v>
      </c>
      <c r="G1894" s="57">
        <f t="shared" si="29"/>
        <v>3.614051632677119</v>
      </c>
      <c r="H1894" s="5" t="s">
        <v>3386</v>
      </c>
    </row>
    <row r="1895" spans="1:8" ht="38.25" x14ac:dyDescent="0.2">
      <c r="A1895" s="1" t="s">
        <v>4</v>
      </c>
      <c r="B1895" s="2" t="s">
        <v>206</v>
      </c>
      <c r="D1895" s="5" t="s">
        <v>1378</v>
      </c>
      <c r="E1895" s="9">
        <v>28571</v>
      </c>
      <c r="F1895" s="9">
        <v>133782</v>
      </c>
      <c r="G1895" s="57">
        <f t="shared" si="29"/>
        <v>3.6824402366035489</v>
      </c>
      <c r="H1895" s="5" t="s">
        <v>3387</v>
      </c>
    </row>
    <row r="1896" spans="1:8" ht="38.25" x14ac:dyDescent="0.2">
      <c r="A1896" s="1" t="s">
        <v>4</v>
      </c>
      <c r="B1896" s="2" t="s">
        <v>206</v>
      </c>
      <c r="D1896" s="5" t="s">
        <v>1094</v>
      </c>
      <c r="E1896" s="9" t="s">
        <v>465</v>
      </c>
      <c r="F1896" s="9">
        <v>103581</v>
      </c>
      <c r="G1896" s="57" t="str">
        <f t="shared" si="29"/>
        <v>-</v>
      </c>
      <c r="H1896" s="5" t="s">
        <v>3388</v>
      </c>
    </row>
    <row r="1897" spans="1:8" ht="25.5" x14ac:dyDescent="0.2">
      <c r="A1897" s="1" t="s">
        <v>4</v>
      </c>
      <c r="B1897" s="2" t="s">
        <v>206</v>
      </c>
      <c r="D1897" s="5" t="s">
        <v>1379</v>
      </c>
      <c r="E1897" s="9">
        <v>185405</v>
      </c>
      <c r="F1897" s="9">
        <v>181121</v>
      </c>
      <c r="G1897" s="57">
        <f t="shared" si="29"/>
        <v>-2.3106172972681426E-2</v>
      </c>
      <c r="H1897" s="5" t="s">
        <v>3389</v>
      </c>
    </row>
    <row r="1898" spans="1:8" x14ac:dyDescent="0.2">
      <c r="A1898" s="1" t="s">
        <v>4</v>
      </c>
      <c r="B1898" s="2" t="s">
        <v>206</v>
      </c>
      <c r="D1898" s="5" t="s">
        <v>1380</v>
      </c>
      <c r="E1898" s="9">
        <v>133384</v>
      </c>
      <c r="F1898" s="9">
        <v>134487</v>
      </c>
      <c r="G1898" s="57">
        <f t="shared" si="29"/>
        <v>8.2693576440952439E-3</v>
      </c>
      <c r="H1898" s="5" t="s">
        <v>3390</v>
      </c>
    </row>
    <row r="1899" spans="1:8" ht="25.5" x14ac:dyDescent="0.2">
      <c r="A1899" s="1" t="s">
        <v>4</v>
      </c>
      <c r="B1899" s="2" t="s">
        <v>206</v>
      </c>
      <c r="D1899" s="5" t="s">
        <v>452</v>
      </c>
      <c r="E1899" s="9">
        <v>124392</v>
      </c>
      <c r="F1899" s="9">
        <v>123937</v>
      </c>
      <c r="G1899" s="57">
        <f t="shared" si="29"/>
        <v>-3.6577914978455205E-3</v>
      </c>
      <c r="H1899" s="5" t="s">
        <v>3391</v>
      </c>
    </row>
    <row r="1900" spans="1:8" ht="140.25" x14ac:dyDescent="0.2">
      <c r="A1900" s="1" t="s">
        <v>4</v>
      </c>
      <c r="B1900" s="2" t="s">
        <v>206</v>
      </c>
      <c r="D1900" s="5" t="s">
        <v>515</v>
      </c>
      <c r="E1900" s="9">
        <v>149732</v>
      </c>
      <c r="F1900" s="9">
        <v>142976</v>
      </c>
      <c r="G1900" s="57">
        <f t="shared" si="29"/>
        <v>-4.5120615499692783E-2</v>
      </c>
      <c r="H1900" s="5" t="s">
        <v>3393</v>
      </c>
    </row>
    <row r="1901" spans="1:8" ht="38.25" x14ac:dyDescent="0.2">
      <c r="A1901" s="1" t="s">
        <v>4</v>
      </c>
      <c r="B1901" s="2" t="s">
        <v>206</v>
      </c>
      <c r="D1901" s="5" t="s">
        <v>604</v>
      </c>
      <c r="E1901" s="9">
        <v>107199</v>
      </c>
      <c r="F1901" s="9">
        <v>97631</v>
      </c>
      <c r="G1901" s="57">
        <f t="shared" si="29"/>
        <v>-8.9254563941827819E-2</v>
      </c>
      <c r="H1901" s="5" t="s">
        <v>3392</v>
      </c>
    </row>
    <row r="1902" spans="1:8" x14ac:dyDescent="0.2">
      <c r="A1902" s="1" t="s">
        <v>4</v>
      </c>
      <c r="B1902" s="2" t="s">
        <v>206</v>
      </c>
      <c r="D1902" s="5" t="s">
        <v>1381</v>
      </c>
      <c r="E1902" s="9">
        <v>111714</v>
      </c>
      <c r="F1902" s="9">
        <v>112486</v>
      </c>
      <c r="G1902" s="57">
        <f t="shared" si="29"/>
        <v>6.9105036074261061E-3</v>
      </c>
      <c r="H1902" s="5" t="s">
        <v>3394</v>
      </c>
    </row>
    <row r="1903" spans="1:8" ht="25.5" x14ac:dyDescent="0.2">
      <c r="A1903" s="1" t="s">
        <v>4</v>
      </c>
      <c r="B1903" s="2" t="s">
        <v>206</v>
      </c>
      <c r="D1903" s="5" t="s">
        <v>4655</v>
      </c>
      <c r="E1903" s="9">
        <v>109623</v>
      </c>
      <c r="F1903" s="9">
        <v>110644</v>
      </c>
      <c r="G1903" s="57">
        <f t="shared" si="29"/>
        <v>9.313738905156764E-3</v>
      </c>
      <c r="H1903" s="5" t="s">
        <v>3395</v>
      </c>
    </row>
    <row r="1904" spans="1:8" ht="25.5" x14ac:dyDescent="0.2">
      <c r="A1904" s="1" t="s">
        <v>34</v>
      </c>
      <c r="B1904" s="2" t="s">
        <v>207</v>
      </c>
      <c r="D1904" s="5" t="s">
        <v>450</v>
      </c>
      <c r="E1904" s="3">
        <v>90852</v>
      </c>
      <c r="F1904" s="3">
        <v>104854</v>
      </c>
      <c r="G1904" s="57">
        <f t="shared" si="29"/>
        <v>0.15411878659798353</v>
      </c>
      <c r="H1904" s="5" t="s">
        <v>3384</v>
      </c>
    </row>
    <row r="1905" spans="1:8" ht="25.5" x14ac:dyDescent="0.2">
      <c r="A1905" s="1" t="s">
        <v>25</v>
      </c>
      <c r="B1905" s="2" t="s">
        <v>208</v>
      </c>
      <c r="C1905" s="5" t="s">
        <v>1373</v>
      </c>
      <c r="D1905" s="5" t="s">
        <v>450</v>
      </c>
      <c r="E1905" s="9">
        <v>222868</v>
      </c>
      <c r="F1905" s="9">
        <f>210000+13834.75</f>
        <v>223834.75</v>
      </c>
      <c r="G1905" s="57">
        <f t="shared" si="29"/>
        <v>4.3377694420015439E-3</v>
      </c>
      <c r="H1905" s="5" t="s">
        <v>3377</v>
      </c>
    </row>
    <row r="1906" spans="1:8" ht="25.5" x14ac:dyDescent="0.2">
      <c r="A1906" s="1" t="s">
        <v>25</v>
      </c>
      <c r="B1906" s="2" t="s">
        <v>208</v>
      </c>
      <c r="D1906" s="5" t="s">
        <v>1061</v>
      </c>
      <c r="E1906" s="9">
        <v>166279</v>
      </c>
      <c r="F1906" s="9">
        <f>164412+250</f>
        <v>164662</v>
      </c>
      <c r="G1906" s="57">
        <f t="shared" si="29"/>
        <v>-9.7246194648753E-3</v>
      </c>
      <c r="H1906" s="5" t="s">
        <v>3379</v>
      </c>
    </row>
    <row r="1907" spans="1:8" x14ac:dyDescent="0.2">
      <c r="A1907" s="1" t="s">
        <v>25</v>
      </c>
      <c r="B1907" s="2" t="s">
        <v>208</v>
      </c>
      <c r="D1907" s="5" t="s">
        <v>562</v>
      </c>
      <c r="E1907" s="9">
        <v>107762</v>
      </c>
      <c r="F1907" s="9" t="s">
        <v>465</v>
      </c>
      <c r="G1907" s="57" t="str">
        <f t="shared" si="29"/>
        <v>-</v>
      </c>
      <c r="H1907" s="5" t="s">
        <v>3383</v>
      </c>
    </row>
    <row r="1908" spans="1:8" ht="25.5" x14ac:dyDescent="0.2">
      <c r="A1908" s="1" t="s">
        <v>25</v>
      </c>
      <c r="B1908" s="2" t="s">
        <v>208</v>
      </c>
      <c r="D1908" s="5" t="s">
        <v>1374</v>
      </c>
      <c r="E1908" s="9">
        <v>151290</v>
      </c>
      <c r="F1908" s="9">
        <v>151290</v>
      </c>
      <c r="G1908" s="57">
        <f t="shared" si="29"/>
        <v>0</v>
      </c>
      <c r="H1908" s="5" t="s">
        <v>3378</v>
      </c>
    </row>
    <row r="1909" spans="1:8" ht="25.5" x14ac:dyDescent="0.2">
      <c r="A1909" s="1" t="s">
        <v>25</v>
      </c>
      <c r="B1909" s="2" t="s">
        <v>208</v>
      </c>
      <c r="D1909" s="5" t="s">
        <v>1375</v>
      </c>
      <c r="E1909" s="9">
        <v>132246</v>
      </c>
      <c r="F1909" s="9">
        <f>137703+650</f>
        <v>138353</v>
      </c>
      <c r="G1909" s="57">
        <f t="shared" si="29"/>
        <v>4.6179090482887951E-2</v>
      </c>
      <c r="H1909" s="5" t="s">
        <v>3380</v>
      </c>
    </row>
    <row r="1910" spans="1:8" ht="25.5" x14ac:dyDescent="0.2">
      <c r="A1910" s="1" t="s">
        <v>25</v>
      </c>
      <c r="B1910" s="2" t="s">
        <v>208</v>
      </c>
      <c r="D1910" s="5" t="s">
        <v>1376</v>
      </c>
      <c r="E1910" s="9">
        <v>148615</v>
      </c>
      <c r="F1910" s="9">
        <f>148615+5316</f>
        <v>153931</v>
      </c>
      <c r="G1910" s="57">
        <f t="shared" si="29"/>
        <v>3.5770278908589311E-2</v>
      </c>
      <c r="H1910" s="5" t="s">
        <v>3381</v>
      </c>
    </row>
    <row r="1911" spans="1:8" ht="25.5" x14ac:dyDescent="0.2">
      <c r="A1911" s="1" t="s">
        <v>25</v>
      </c>
      <c r="B1911" s="2" t="s">
        <v>208</v>
      </c>
      <c r="D1911" s="5" t="s">
        <v>1064</v>
      </c>
      <c r="E1911" s="9">
        <v>145970</v>
      </c>
      <c r="F1911" s="9">
        <f>148648+650</f>
        <v>149298</v>
      </c>
      <c r="G1911" s="57">
        <f t="shared" si="29"/>
        <v>2.2799205316160854E-2</v>
      </c>
      <c r="H1911" s="5" t="s">
        <v>3382</v>
      </c>
    </row>
    <row r="1912" spans="1:8" x14ac:dyDescent="0.2">
      <c r="A1912" s="1" t="s">
        <v>25</v>
      </c>
      <c r="B1912" s="2" t="s">
        <v>208</v>
      </c>
      <c r="D1912" s="5" t="s">
        <v>464</v>
      </c>
      <c r="E1912" s="3">
        <v>102500</v>
      </c>
      <c r="F1912" s="3" t="s">
        <v>465</v>
      </c>
      <c r="G1912" s="57" t="str">
        <f t="shared" si="29"/>
        <v>-</v>
      </c>
      <c r="H1912" s="1"/>
    </row>
    <row r="1913" spans="1:8" x14ac:dyDescent="0.2">
      <c r="A1913" s="1" t="s">
        <v>25</v>
      </c>
      <c r="B1913" s="2" t="s">
        <v>208</v>
      </c>
      <c r="D1913" s="5" t="s">
        <v>464</v>
      </c>
      <c r="E1913" s="3">
        <v>102500</v>
      </c>
      <c r="F1913" s="3" t="s">
        <v>465</v>
      </c>
      <c r="G1913" s="57" t="str">
        <f t="shared" si="29"/>
        <v>-</v>
      </c>
      <c r="H1913" s="1"/>
    </row>
    <row r="1914" spans="1:8" x14ac:dyDescent="0.2">
      <c r="A1914" s="1" t="s">
        <v>25</v>
      </c>
      <c r="B1914" s="2" t="s">
        <v>208</v>
      </c>
      <c r="D1914" s="5" t="s">
        <v>464</v>
      </c>
      <c r="E1914" s="3">
        <v>102500</v>
      </c>
      <c r="F1914" s="3" t="s">
        <v>465</v>
      </c>
      <c r="G1914" s="57" t="str">
        <f t="shared" si="29"/>
        <v>-</v>
      </c>
      <c r="H1914" s="1"/>
    </row>
    <row r="1915" spans="1:8" x14ac:dyDescent="0.2">
      <c r="A1915" s="1" t="s">
        <v>25</v>
      </c>
      <c r="B1915" s="2" t="s">
        <v>208</v>
      </c>
      <c r="D1915" s="5" t="s">
        <v>464</v>
      </c>
      <c r="E1915" s="3">
        <v>102500</v>
      </c>
      <c r="F1915" s="3" t="s">
        <v>465</v>
      </c>
      <c r="G1915" s="57" t="str">
        <f t="shared" si="29"/>
        <v>-</v>
      </c>
      <c r="H1915" s="1"/>
    </row>
    <row r="1916" spans="1:8" x14ac:dyDescent="0.2">
      <c r="A1916" s="1" t="s">
        <v>25</v>
      </c>
      <c r="B1916" s="2" t="s">
        <v>208</v>
      </c>
      <c r="D1916" s="5" t="s">
        <v>464</v>
      </c>
      <c r="E1916" s="3">
        <v>102500</v>
      </c>
      <c r="F1916" s="3" t="s">
        <v>465</v>
      </c>
      <c r="G1916" s="57" t="str">
        <f t="shared" si="29"/>
        <v>-</v>
      </c>
      <c r="H1916" s="1"/>
    </row>
    <row r="1917" spans="1:8" x14ac:dyDescent="0.2">
      <c r="A1917" s="1" t="s">
        <v>25</v>
      </c>
      <c r="B1917" s="2" t="s">
        <v>208</v>
      </c>
      <c r="D1917" s="5" t="s">
        <v>464</v>
      </c>
      <c r="E1917" s="3">
        <v>102500</v>
      </c>
      <c r="F1917" s="3" t="s">
        <v>465</v>
      </c>
      <c r="G1917" s="57" t="str">
        <f t="shared" si="29"/>
        <v>-</v>
      </c>
      <c r="H1917" s="1"/>
    </row>
    <row r="1918" spans="1:8" x14ac:dyDescent="0.2">
      <c r="A1918" s="1" t="s">
        <v>25</v>
      </c>
      <c r="B1918" s="2" t="s">
        <v>208</v>
      </c>
      <c r="D1918" s="5" t="s">
        <v>464</v>
      </c>
      <c r="E1918" s="3">
        <v>102500</v>
      </c>
      <c r="F1918" s="3" t="s">
        <v>465</v>
      </c>
      <c r="G1918" s="57" t="str">
        <f t="shared" si="29"/>
        <v>-</v>
      </c>
      <c r="H1918" s="1"/>
    </row>
    <row r="1919" spans="1:8" x14ac:dyDescent="0.2">
      <c r="A1919" s="1" t="s">
        <v>25</v>
      </c>
      <c r="B1919" s="2" t="s">
        <v>208</v>
      </c>
      <c r="D1919" s="5" t="s">
        <v>464</v>
      </c>
      <c r="E1919" s="3">
        <v>102500</v>
      </c>
      <c r="F1919" s="3" t="s">
        <v>465</v>
      </c>
      <c r="G1919" s="57" t="str">
        <f t="shared" si="29"/>
        <v>-</v>
      </c>
      <c r="H1919" s="1"/>
    </row>
    <row r="1920" spans="1:8" x14ac:dyDescent="0.2">
      <c r="A1920" s="1" t="s">
        <v>25</v>
      </c>
      <c r="B1920" s="2" t="s">
        <v>208</v>
      </c>
      <c r="D1920" s="5" t="s">
        <v>464</v>
      </c>
      <c r="E1920" s="3">
        <v>102500</v>
      </c>
      <c r="F1920" s="3" t="s">
        <v>465</v>
      </c>
      <c r="G1920" s="57" t="str">
        <f t="shared" si="29"/>
        <v>-</v>
      </c>
      <c r="H1920" s="1"/>
    </row>
    <row r="1921" spans="1:8" x14ac:dyDescent="0.2">
      <c r="A1921" s="1" t="s">
        <v>25</v>
      </c>
      <c r="B1921" s="2" t="s">
        <v>208</v>
      </c>
      <c r="D1921" s="5" t="s">
        <v>464</v>
      </c>
      <c r="E1921" s="3" t="s">
        <v>465</v>
      </c>
      <c r="F1921" s="3">
        <v>102500</v>
      </c>
      <c r="G1921" s="57" t="str">
        <f t="shared" si="29"/>
        <v>-</v>
      </c>
      <c r="H1921" s="1"/>
    </row>
    <row r="1922" spans="1:8" x14ac:dyDescent="0.2">
      <c r="A1922" s="1" t="s">
        <v>25</v>
      </c>
      <c r="B1922" s="2" t="s">
        <v>208</v>
      </c>
      <c r="D1922" s="5" t="s">
        <v>464</v>
      </c>
      <c r="E1922" s="3" t="s">
        <v>465</v>
      </c>
      <c r="F1922" s="3">
        <v>102500</v>
      </c>
      <c r="G1922" s="57" t="str">
        <f t="shared" si="29"/>
        <v>-</v>
      </c>
      <c r="H1922" s="1"/>
    </row>
    <row r="1923" spans="1:8" x14ac:dyDescent="0.2">
      <c r="A1923" s="1" t="s">
        <v>25</v>
      </c>
      <c r="B1923" s="2" t="s">
        <v>208</v>
      </c>
      <c r="D1923" s="5" t="s">
        <v>464</v>
      </c>
      <c r="E1923" s="3" t="s">
        <v>465</v>
      </c>
      <c r="F1923" s="3">
        <v>102500</v>
      </c>
      <c r="G1923" s="57" t="str">
        <f t="shared" ref="G1923:G1986" si="30">IF(ISERROR((F1923-E1923)/E1923),"-",(F1923-E1923)/E1923)</f>
        <v>-</v>
      </c>
      <c r="H1923" s="1"/>
    </row>
    <row r="1924" spans="1:8" x14ac:dyDescent="0.2">
      <c r="A1924" s="1" t="s">
        <v>25</v>
      </c>
      <c r="B1924" s="2" t="s">
        <v>208</v>
      </c>
      <c r="D1924" s="5" t="s">
        <v>464</v>
      </c>
      <c r="E1924" s="3" t="s">
        <v>465</v>
      </c>
      <c r="F1924" s="3">
        <v>102500</v>
      </c>
      <c r="G1924" s="57" t="str">
        <f t="shared" si="30"/>
        <v>-</v>
      </c>
      <c r="H1924" s="1"/>
    </row>
    <row r="1925" spans="1:8" x14ac:dyDescent="0.2">
      <c r="A1925" s="1" t="s">
        <v>25</v>
      </c>
      <c r="B1925" s="2" t="s">
        <v>208</v>
      </c>
      <c r="D1925" s="5" t="s">
        <v>464</v>
      </c>
      <c r="E1925" s="3" t="s">
        <v>465</v>
      </c>
      <c r="F1925" s="3">
        <v>102500</v>
      </c>
      <c r="G1925" s="57" t="str">
        <f t="shared" si="30"/>
        <v>-</v>
      </c>
      <c r="H1925" s="1"/>
    </row>
    <row r="1926" spans="1:8" x14ac:dyDescent="0.2">
      <c r="A1926" s="1" t="s">
        <v>25</v>
      </c>
      <c r="B1926" s="2" t="s">
        <v>208</v>
      </c>
      <c r="D1926" s="5" t="s">
        <v>464</v>
      </c>
      <c r="E1926" s="3" t="s">
        <v>465</v>
      </c>
      <c r="F1926" s="3">
        <v>102500</v>
      </c>
      <c r="G1926" s="57" t="str">
        <f t="shared" si="30"/>
        <v>-</v>
      </c>
      <c r="H1926" s="1"/>
    </row>
    <row r="1927" spans="1:8" x14ac:dyDescent="0.2">
      <c r="A1927" s="1" t="s">
        <v>25</v>
      </c>
      <c r="B1927" s="2" t="s">
        <v>208</v>
      </c>
      <c r="D1927" s="5" t="s">
        <v>464</v>
      </c>
      <c r="E1927" s="3" t="s">
        <v>465</v>
      </c>
      <c r="F1927" s="3">
        <v>102500</v>
      </c>
      <c r="G1927" s="57" t="str">
        <f t="shared" si="30"/>
        <v>-</v>
      </c>
      <c r="H1927" s="1"/>
    </row>
    <row r="1928" spans="1:8" x14ac:dyDescent="0.2">
      <c r="A1928" s="1" t="s">
        <v>25</v>
      </c>
      <c r="B1928" s="2" t="s">
        <v>208</v>
      </c>
      <c r="D1928" s="5" t="s">
        <v>464</v>
      </c>
      <c r="E1928" s="3" t="s">
        <v>465</v>
      </c>
      <c r="F1928" s="3">
        <v>102500</v>
      </c>
      <c r="G1928" s="57" t="str">
        <f t="shared" si="30"/>
        <v>-</v>
      </c>
      <c r="H1928" s="1"/>
    </row>
    <row r="1929" spans="1:8" x14ac:dyDescent="0.2">
      <c r="A1929" s="1" t="s">
        <v>25</v>
      </c>
      <c r="B1929" s="2" t="s">
        <v>208</v>
      </c>
      <c r="D1929" s="5" t="s">
        <v>464</v>
      </c>
      <c r="E1929" s="3" t="s">
        <v>465</v>
      </c>
      <c r="F1929" s="3">
        <v>102500</v>
      </c>
      <c r="G1929" s="57" t="str">
        <f t="shared" si="30"/>
        <v>-</v>
      </c>
      <c r="H1929" s="1"/>
    </row>
    <row r="1930" spans="1:8" x14ac:dyDescent="0.2">
      <c r="A1930" s="1" t="s">
        <v>25</v>
      </c>
      <c r="B1930" s="2" t="s">
        <v>208</v>
      </c>
      <c r="D1930" s="5" t="s">
        <v>464</v>
      </c>
      <c r="E1930" s="3" t="s">
        <v>465</v>
      </c>
      <c r="F1930" s="3">
        <v>102500</v>
      </c>
      <c r="G1930" s="57" t="str">
        <f t="shared" si="30"/>
        <v>-</v>
      </c>
      <c r="H1930" s="1"/>
    </row>
    <row r="1931" spans="1:8" x14ac:dyDescent="0.2">
      <c r="A1931" s="1" t="s">
        <v>25</v>
      </c>
      <c r="B1931" s="2" t="s">
        <v>208</v>
      </c>
      <c r="D1931" s="5" t="s">
        <v>464</v>
      </c>
      <c r="E1931" s="3" t="s">
        <v>465</v>
      </c>
      <c r="F1931" s="3">
        <v>102500</v>
      </c>
      <c r="G1931" s="57" t="str">
        <f t="shared" si="30"/>
        <v>-</v>
      </c>
      <c r="H1931" s="1"/>
    </row>
    <row r="1932" spans="1:8" x14ac:dyDescent="0.2">
      <c r="A1932" s="1" t="s">
        <v>25</v>
      </c>
      <c r="B1932" s="2" t="s">
        <v>208</v>
      </c>
      <c r="D1932" s="5" t="s">
        <v>464</v>
      </c>
      <c r="E1932" s="3">
        <v>107500</v>
      </c>
      <c r="F1932" s="3" t="s">
        <v>465</v>
      </c>
      <c r="G1932" s="57" t="str">
        <f t="shared" si="30"/>
        <v>-</v>
      </c>
      <c r="H1932" s="1"/>
    </row>
    <row r="1933" spans="1:8" x14ac:dyDescent="0.2">
      <c r="A1933" s="1" t="s">
        <v>25</v>
      </c>
      <c r="B1933" s="2" t="s">
        <v>208</v>
      </c>
      <c r="D1933" s="5" t="s">
        <v>464</v>
      </c>
      <c r="E1933" s="3">
        <v>107500</v>
      </c>
      <c r="F1933" s="3" t="s">
        <v>465</v>
      </c>
      <c r="G1933" s="57" t="str">
        <f t="shared" si="30"/>
        <v>-</v>
      </c>
      <c r="H1933" s="1"/>
    </row>
    <row r="1934" spans="1:8" x14ac:dyDescent="0.2">
      <c r="A1934" s="1" t="s">
        <v>25</v>
      </c>
      <c r="B1934" s="2" t="s">
        <v>208</v>
      </c>
      <c r="D1934" s="5" t="s">
        <v>464</v>
      </c>
      <c r="E1934" s="3" t="s">
        <v>465</v>
      </c>
      <c r="F1934" s="3">
        <v>107500</v>
      </c>
      <c r="G1934" s="57" t="str">
        <f t="shared" si="30"/>
        <v>-</v>
      </c>
      <c r="H1934" s="1"/>
    </row>
    <row r="1935" spans="1:8" x14ac:dyDescent="0.2">
      <c r="A1935" s="1" t="s">
        <v>25</v>
      </c>
      <c r="B1935" s="2" t="s">
        <v>208</v>
      </c>
      <c r="D1935" s="5" t="s">
        <v>464</v>
      </c>
      <c r="E1935" s="3" t="s">
        <v>465</v>
      </c>
      <c r="F1935" s="3">
        <v>107500</v>
      </c>
      <c r="G1935" s="57" t="str">
        <f t="shared" si="30"/>
        <v>-</v>
      </c>
      <c r="H1935" s="1"/>
    </row>
    <row r="1936" spans="1:8" x14ac:dyDescent="0.2">
      <c r="A1936" s="1" t="s">
        <v>25</v>
      </c>
      <c r="B1936" s="2" t="s">
        <v>208</v>
      </c>
      <c r="D1936" s="5" t="s">
        <v>464</v>
      </c>
      <c r="E1936" s="3" t="s">
        <v>465</v>
      </c>
      <c r="F1936" s="3">
        <v>107500</v>
      </c>
      <c r="G1936" s="57" t="str">
        <f t="shared" si="30"/>
        <v>-</v>
      </c>
      <c r="H1936" s="1"/>
    </row>
    <row r="1937" spans="1:8" x14ac:dyDescent="0.2">
      <c r="A1937" s="1" t="s">
        <v>25</v>
      </c>
      <c r="B1937" s="2" t="s">
        <v>208</v>
      </c>
      <c r="D1937" s="5" t="s">
        <v>464</v>
      </c>
      <c r="E1937" s="3">
        <v>112500</v>
      </c>
      <c r="F1937" s="3" t="s">
        <v>465</v>
      </c>
      <c r="G1937" s="57" t="str">
        <f t="shared" si="30"/>
        <v>-</v>
      </c>
      <c r="H1937" s="1"/>
    </row>
    <row r="1938" spans="1:8" x14ac:dyDescent="0.2">
      <c r="A1938" s="1" t="s">
        <v>25</v>
      </c>
      <c r="B1938" s="2" t="s">
        <v>208</v>
      </c>
      <c r="D1938" s="5" t="s">
        <v>464</v>
      </c>
      <c r="E1938" s="3">
        <v>112500</v>
      </c>
      <c r="F1938" s="3" t="s">
        <v>465</v>
      </c>
      <c r="G1938" s="57" t="str">
        <f t="shared" si="30"/>
        <v>-</v>
      </c>
      <c r="H1938" s="1"/>
    </row>
    <row r="1939" spans="1:8" x14ac:dyDescent="0.2">
      <c r="A1939" s="1" t="s">
        <v>25</v>
      </c>
      <c r="B1939" s="2" t="s">
        <v>208</v>
      </c>
      <c r="D1939" s="5" t="s">
        <v>464</v>
      </c>
      <c r="E1939" s="3">
        <v>112500</v>
      </c>
      <c r="F1939" s="3" t="s">
        <v>465</v>
      </c>
      <c r="G1939" s="57" t="str">
        <f t="shared" si="30"/>
        <v>-</v>
      </c>
      <c r="H1939" s="1"/>
    </row>
    <row r="1940" spans="1:8" x14ac:dyDescent="0.2">
      <c r="A1940" s="1" t="s">
        <v>25</v>
      </c>
      <c r="B1940" s="2" t="s">
        <v>208</v>
      </c>
      <c r="D1940" s="5" t="s">
        <v>464</v>
      </c>
      <c r="E1940" s="3" t="s">
        <v>465</v>
      </c>
      <c r="F1940" s="3">
        <v>112500</v>
      </c>
      <c r="G1940" s="57" t="str">
        <f t="shared" si="30"/>
        <v>-</v>
      </c>
    </row>
    <row r="1941" spans="1:8" x14ac:dyDescent="0.2">
      <c r="A1941" s="1" t="s">
        <v>25</v>
      </c>
      <c r="B1941" s="2" t="s">
        <v>208</v>
      </c>
      <c r="D1941" s="5" t="s">
        <v>464</v>
      </c>
      <c r="E1941" s="3">
        <v>117500</v>
      </c>
      <c r="F1941" s="3" t="s">
        <v>465</v>
      </c>
      <c r="G1941" s="57" t="str">
        <f t="shared" si="30"/>
        <v>-</v>
      </c>
    </row>
    <row r="1942" spans="1:8" x14ac:dyDescent="0.2">
      <c r="A1942" s="1" t="s">
        <v>25</v>
      </c>
      <c r="B1942" s="2" t="s">
        <v>208</v>
      </c>
      <c r="D1942" s="5" t="s">
        <v>464</v>
      </c>
      <c r="E1942" s="3" t="s">
        <v>465</v>
      </c>
      <c r="F1942" s="3">
        <v>142500</v>
      </c>
      <c r="G1942" s="57" t="str">
        <f t="shared" si="30"/>
        <v>-</v>
      </c>
    </row>
    <row r="1943" spans="1:8" x14ac:dyDescent="0.2">
      <c r="A1943" s="1" t="s">
        <v>25</v>
      </c>
      <c r="B1943" s="2" t="s">
        <v>208</v>
      </c>
      <c r="D1943" s="5" t="s">
        <v>464</v>
      </c>
      <c r="E1943" s="3" t="s">
        <v>465</v>
      </c>
      <c r="F1943" s="3">
        <v>147500</v>
      </c>
      <c r="G1943" s="57" t="str">
        <f t="shared" si="30"/>
        <v>-</v>
      </c>
    </row>
    <row r="1944" spans="1:8" x14ac:dyDescent="0.2">
      <c r="A1944" s="1" t="s">
        <v>25</v>
      </c>
      <c r="B1944" s="2" t="s">
        <v>208</v>
      </c>
      <c r="D1944" s="5" t="s">
        <v>464</v>
      </c>
      <c r="E1944" s="3">
        <v>150000</v>
      </c>
      <c r="F1944" s="3" t="s">
        <v>465</v>
      </c>
      <c r="G1944" s="57" t="str">
        <f t="shared" si="30"/>
        <v>-</v>
      </c>
    </row>
    <row r="1945" spans="1:8" x14ac:dyDescent="0.2">
      <c r="A1945" s="1" t="s">
        <v>25</v>
      </c>
      <c r="B1945" s="2" t="s">
        <v>208</v>
      </c>
      <c r="D1945" s="5" t="s">
        <v>464</v>
      </c>
      <c r="E1945" s="3">
        <v>150000</v>
      </c>
      <c r="F1945" s="3" t="s">
        <v>465</v>
      </c>
      <c r="G1945" s="57" t="str">
        <f t="shared" si="30"/>
        <v>-</v>
      </c>
    </row>
    <row r="1946" spans="1:8" ht="38.25" x14ac:dyDescent="0.2">
      <c r="A1946" s="1" t="s">
        <v>25</v>
      </c>
      <c r="B1946" s="2" t="s">
        <v>209</v>
      </c>
      <c r="C1946" s="5" t="s">
        <v>1357</v>
      </c>
      <c r="D1946" s="5" t="s">
        <v>1358</v>
      </c>
      <c r="E1946" s="9">
        <v>268423</v>
      </c>
      <c r="F1946" s="9">
        <v>268475</v>
      </c>
      <c r="G1946" s="57">
        <f t="shared" si="30"/>
        <v>1.9372408474683614E-4</v>
      </c>
      <c r="H1946" s="5" t="s">
        <v>3369</v>
      </c>
    </row>
    <row r="1947" spans="1:8" ht="25.5" x14ac:dyDescent="0.2">
      <c r="A1947" s="1" t="s">
        <v>25</v>
      </c>
      <c r="B1947" s="2" t="s">
        <v>209</v>
      </c>
      <c r="C1947" s="5" t="s">
        <v>1359</v>
      </c>
      <c r="D1947" s="5" t="s">
        <v>1360</v>
      </c>
      <c r="E1947" s="9">
        <v>179743</v>
      </c>
      <c r="F1947" s="9">
        <v>191487</v>
      </c>
      <c r="G1947" s="57">
        <f t="shared" si="30"/>
        <v>6.5337732206539337E-2</v>
      </c>
      <c r="H1947" s="5" t="s">
        <v>3370</v>
      </c>
    </row>
    <row r="1948" spans="1:8" ht="25.5" x14ac:dyDescent="0.2">
      <c r="A1948" s="1" t="s">
        <v>25</v>
      </c>
      <c r="B1948" s="2" t="s">
        <v>209</v>
      </c>
      <c r="C1948" s="5" t="s">
        <v>1361</v>
      </c>
      <c r="D1948" s="5" t="s">
        <v>1362</v>
      </c>
      <c r="E1948" s="9">
        <v>192748</v>
      </c>
      <c r="F1948" s="9">
        <v>120867</v>
      </c>
      <c r="G1948" s="57">
        <f t="shared" si="30"/>
        <v>-0.37292734554962959</v>
      </c>
      <c r="H1948" s="5" t="s">
        <v>3371</v>
      </c>
    </row>
    <row r="1949" spans="1:8" ht="38.25" x14ac:dyDescent="0.2">
      <c r="A1949" s="1" t="s">
        <v>25</v>
      </c>
      <c r="B1949" s="2" t="s">
        <v>209</v>
      </c>
      <c r="C1949" s="5" t="s">
        <v>1363</v>
      </c>
      <c r="D1949" s="5" t="s">
        <v>1364</v>
      </c>
      <c r="E1949" s="9">
        <v>149738</v>
      </c>
      <c r="F1949" s="9">
        <v>153383</v>
      </c>
      <c r="G1949" s="57">
        <f t="shared" si="30"/>
        <v>2.4342518265236614E-2</v>
      </c>
      <c r="H1949" s="5" t="s">
        <v>3372</v>
      </c>
    </row>
    <row r="1950" spans="1:8" ht="25.5" x14ac:dyDescent="0.2">
      <c r="A1950" s="1" t="s">
        <v>25</v>
      </c>
      <c r="B1950" s="2" t="s">
        <v>209</v>
      </c>
      <c r="C1950" s="5" t="s">
        <v>1365</v>
      </c>
      <c r="D1950" s="5" t="s">
        <v>1366</v>
      </c>
      <c r="E1950" s="9">
        <v>166440</v>
      </c>
      <c r="F1950" s="9">
        <v>169772</v>
      </c>
      <c r="G1950" s="57">
        <f t="shared" si="30"/>
        <v>2.0019226147560683E-2</v>
      </c>
      <c r="H1950" s="5" t="s">
        <v>3373</v>
      </c>
    </row>
    <row r="1951" spans="1:8" ht="25.5" x14ac:dyDescent="0.2">
      <c r="A1951" s="1" t="s">
        <v>25</v>
      </c>
      <c r="B1951" s="2" t="s">
        <v>209</v>
      </c>
      <c r="C1951" s="5" t="s">
        <v>1367</v>
      </c>
      <c r="D1951" s="5" t="s">
        <v>1368</v>
      </c>
      <c r="E1951" s="9">
        <v>3593</v>
      </c>
      <c r="F1951" s="9">
        <v>133956</v>
      </c>
      <c r="G1951" s="57">
        <f t="shared" si="30"/>
        <v>36.282493737823543</v>
      </c>
      <c r="H1951" s="5" t="s">
        <v>3374</v>
      </c>
    </row>
    <row r="1952" spans="1:8" ht="38.25" x14ac:dyDescent="0.2">
      <c r="A1952" s="1" t="s">
        <v>25</v>
      </c>
      <c r="B1952" s="2" t="s">
        <v>209</v>
      </c>
      <c r="C1952" s="5" t="s">
        <v>1369</v>
      </c>
      <c r="D1952" s="5" t="s">
        <v>1370</v>
      </c>
      <c r="E1952" s="9">
        <v>124545</v>
      </c>
      <c r="F1952" s="9">
        <v>124916</v>
      </c>
      <c r="G1952" s="57">
        <f t="shared" si="30"/>
        <v>2.97884298847806E-3</v>
      </c>
      <c r="H1952" s="5" t="s">
        <v>3375</v>
      </c>
    </row>
    <row r="1953" spans="1:8" ht="25.5" x14ac:dyDescent="0.2">
      <c r="A1953" s="1" t="s">
        <v>25</v>
      </c>
      <c r="B1953" s="2" t="s">
        <v>209</v>
      </c>
      <c r="C1953" s="5" t="s">
        <v>1371</v>
      </c>
      <c r="D1953" s="5" t="s">
        <v>1372</v>
      </c>
      <c r="E1953" s="9">
        <v>166639</v>
      </c>
      <c r="F1953" s="9">
        <v>169398</v>
      </c>
      <c r="G1953" s="57">
        <f t="shared" si="30"/>
        <v>1.6556748420237761E-2</v>
      </c>
      <c r="H1953" s="5" t="s">
        <v>3376</v>
      </c>
    </row>
    <row r="1954" spans="1:8" x14ac:dyDescent="0.2">
      <c r="A1954" s="1" t="s">
        <v>25</v>
      </c>
      <c r="B1954" s="2" t="s">
        <v>209</v>
      </c>
      <c r="D1954" s="5" t="s">
        <v>464</v>
      </c>
      <c r="E1954" s="3" t="s">
        <v>465</v>
      </c>
      <c r="F1954" s="3">
        <v>102500</v>
      </c>
      <c r="G1954" s="57" t="str">
        <f t="shared" si="30"/>
        <v>-</v>
      </c>
      <c r="H1954" s="1"/>
    </row>
    <row r="1955" spans="1:8" x14ac:dyDescent="0.2">
      <c r="A1955" s="1" t="s">
        <v>25</v>
      </c>
      <c r="B1955" s="2" t="s">
        <v>209</v>
      </c>
      <c r="D1955" s="5" t="s">
        <v>464</v>
      </c>
      <c r="E1955" s="3" t="s">
        <v>465</v>
      </c>
      <c r="F1955" s="3">
        <v>102500</v>
      </c>
      <c r="G1955" s="57" t="str">
        <f t="shared" si="30"/>
        <v>-</v>
      </c>
    </row>
    <row r="1956" spans="1:8" x14ac:dyDescent="0.2">
      <c r="A1956" s="1" t="s">
        <v>25</v>
      </c>
      <c r="B1956" s="2" t="s">
        <v>209</v>
      </c>
      <c r="D1956" s="5" t="s">
        <v>464</v>
      </c>
      <c r="E1956" s="3">
        <v>102500</v>
      </c>
      <c r="F1956" s="3" t="s">
        <v>465</v>
      </c>
      <c r="G1956" s="57" t="str">
        <f t="shared" si="30"/>
        <v>-</v>
      </c>
    </row>
    <row r="1957" spans="1:8" x14ac:dyDescent="0.2">
      <c r="A1957" s="1" t="s">
        <v>25</v>
      </c>
      <c r="B1957" s="2" t="s">
        <v>209</v>
      </c>
      <c r="D1957" s="5" t="s">
        <v>464</v>
      </c>
      <c r="E1957" s="3">
        <v>102500</v>
      </c>
      <c r="F1957" s="3" t="s">
        <v>465</v>
      </c>
      <c r="G1957" s="57" t="str">
        <f t="shared" si="30"/>
        <v>-</v>
      </c>
    </row>
    <row r="1958" spans="1:8" x14ac:dyDescent="0.2">
      <c r="A1958" s="1" t="s">
        <v>25</v>
      </c>
      <c r="B1958" s="2" t="s">
        <v>209</v>
      </c>
      <c r="D1958" s="5" t="s">
        <v>464</v>
      </c>
      <c r="E1958" s="3">
        <v>102500</v>
      </c>
      <c r="F1958" s="3" t="s">
        <v>465</v>
      </c>
      <c r="G1958" s="57" t="str">
        <f t="shared" si="30"/>
        <v>-</v>
      </c>
    </row>
    <row r="1959" spans="1:8" x14ac:dyDescent="0.2">
      <c r="A1959" s="1" t="s">
        <v>25</v>
      </c>
      <c r="B1959" s="2" t="s">
        <v>209</v>
      </c>
      <c r="D1959" s="5" t="s">
        <v>464</v>
      </c>
      <c r="E1959" s="3" t="s">
        <v>465</v>
      </c>
      <c r="F1959" s="3">
        <v>107500</v>
      </c>
      <c r="G1959" s="57" t="str">
        <f t="shared" si="30"/>
        <v>-</v>
      </c>
    </row>
    <row r="1960" spans="1:8" x14ac:dyDescent="0.2">
      <c r="A1960" s="1" t="s">
        <v>25</v>
      </c>
      <c r="B1960" s="2" t="s">
        <v>209</v>
      </c>
      <c r="D1960" s="5" t="s">
        <v>464</v>
      </c>
      <c r="E1960" s="3" t="s">
        <v>465</v>
      </c>
      <c r="F1960" s="3">
        <v>107500</v>
      </c>
      <c r="G1960" s="57" t="str">
        <f t="shared" si="30"/>
        <v>-</v>
      </c>
    </row>
    <row r="1961" spans="1:8" x14ac:dyDescent="0.2">
      <c r="A1961" s="1" t="s">
        <v>25</v>
      </c>
      <c r="B1961" s="2" t="s">
        <v>209</v>
      </c>
      <c r="D1961" s="5" t="s">
        <v>464</v>
      </c>
      <c r="E1961" s="3" t="s">
        <v>465</v>
      </c>
      <c r="F1961" s="3">
        <v>112500</v>
      </c>
      <c r="G1961" s="57" t="str">
        <f t="shared" si="30"/>
        <v>-</v>
      </c>
    </row>
    <row r="1962" spans="1:8" x14ac:dyDescent="0.2">
      <c r="A1962" s="1" t="s">
        <v>25</v>
      </c>
      <c r="B1962" s="2" t="s">
        <v>209</v>
      </c>
      <c r="D1962" s="5" t="s">
        <v>464</v>
      </c>
      <c r="E1962" s="3">
        <v>112500</v>
      </c>
      <c r="F1962" s="3" t="s">
        <v>465</v>
      </c>
      <c r="G1962" s="57" t="str">
        <f t="shared" si="30"/>
        <v>-</v>
      </c>
    </row>
    <row r="1963" spans="1:8" x14ac:dyDescent="0.2">
      <c r="A1963" s="1" t="s">
        <v>25</v>
      </c>
      <c r="B1963" s="2" t="s">
        <v>209</v>
      </c>
      <c r="D1963" s="5" t="s">
        <v>464</v>
      </c>
      <c r="E1963" s="3">
        <v>117500</v>
      </c>
      <c r="F1963" s="3" t="s">
        <v>465</v>
      </c>
      <c r="G1963" s="57" t="str">
        <f t="shared" si="30"/>
        <v>-</v>
      </c>
    </row>
    <row r="1964" spans="1:8" x14ac:dyDescent="0.2">
      <c r="A1964" s="1" t="s">
        <v>25</v>
      </c>
      <c r="B1964" s="2" t="s">
        <v>209</v>
      </c>
      <c r="D1964" s="5" t="s">
        <v>464</v>
      </c>
      <c r="E1964" s="3" t="s">
        <v>465</v>
      </c>
      <c r="F1964" s="3">
        <v>122500</v>
      </c>
      <c r="G1964" s="57" t="str">
        <f t="shared" si="30"/>
        <v>-</v>
      </c>
    </row>
    <row r="1965" spans="1:8" x14ac:dyDescent="0.2">
      <c r="A1965" s="1" t="s">
        <v>25</v>
      </c>
      <c r="B1965" s="2" t="s">
        <v>209</v>
      </c>
      <c r="D1965" s="5" t="s">
        <v>464</v>
      </c>
      <c r="E1965" s="3">
        <v>137500</v>
      </c>
      <c r="F1965" s="3" t="s">
        <v>465</v>
      </c>
      <c r="G1965" s="57" t="str">
        <f t="shared" si="30"/>
        <v>-</v>
      </c>
    </row>
    <row r="1966" spans="1:8" x14ac:dyDescent="0.2">
      <c r="A1966" s="1" t="s">
        <v>25</v>
      </c>
      <c r="B1966" s="2" t="s">
        <v>209</v>
      </c>
      <c r="D1966" s="5" t="s">
        <v>464</v>
      </c>
      <c r="E1966" s="3" t="s">
        <v>465</v>
      </c>
      <c r="F1966" s="3">
        <v>142500</v>
      </c>
      <c r="G1966" s="57" t="str">
        <f t="shared" si="30"/>
        <v>-</v>
      </c>
    </row>
    <row r="1967" spans="1:8" ht="38.25" x14ac:dyDescent="0.2">
      <c r="A1967" s="1" t="s">
        <v>4</v>
      </c>
      <c r="B1967" s="2" t="s">
        <v>210</v>
      </c>
      <c r="C1967" s="5" t="s">
        <v>1338</v>
      </c>
      <c r="D1967" s="5" t="s">
        <v>450</v>
      </c>
      <c r="E1967" s="9">
        <v>299611</v>
      </c>
      <c r="F1967" s="9">
        <v>439071</v>
      </c>
      <c r="G1967" s="57">
        <f t="shared" si="30"/>
        <v>0.46547022639355695</v>
      </c>
      <c r="H1967" s="5" t="s">
        <v>3358</v>
      </c>
    </row>
    <row r="1968" spans="1:8" ht="25.5" x14ac:dyDescent="0.2">
      <c r="A1968" s="1" t="s">
        <v>4</v>
      </c>
      <c r="B1968" s="2" t="s">
        <v>210</v>
      </c>
      <c r="C1968" s="5" t="s">
        <v>1339</v>
      </c>
      <c r="D1968" s="5" t="s">
        <v>1340</v>
      </c>
      <c r="E1968" s="9"/>
      <c r="F1968" s="9">
        <v>198047</v>
      </c>
      <c r="G1968" s="57" t="str">
        <f t="shared" si="30"/>
        <v>-</v>
      </c>
      <c r="H1968" s="5" t="s">
        <v>3359</v>
      </c>
    </row>
    <row r="1969" spans="1:8" ht="25.5" x14ac:dyDescent="0.2">
      <c r="A1969" s="1" t="s">
        <v>4</v>
      </c>
      <c r="B1969" s="2" t="s">
        <v>210</v>
      </c>
      <c r="C1969" s="5" t="s">
        <v>1341</v>
      </c>
      <c r="D1969" s="5" t="s">
        <v>1342</v>
      </c>
      <c r="E1969" s="9">
        <v>205515</v>
      </c>
      <c r="F1969" s="9">
        <v>317649</v>
      </c>
      <c r="G1969" s="57">
        <f t="shared" si="30"/>
        <v>0.54562440697759285</v>
      </c>
      <c r="H1969" s="5" t="s">
        <v>3360</v>
      </c>
    </row>
    <row r="1970" spans="1:8" ht="25.5" x14ac:dyDescent="0.2">
      <c r="A1970" s="1" t="s">
        <v>4</v>
      </c>
      <c r="B1970" s="2" t="s">
        <v>210</v>
      </c>
      <c r="C1970" s="5" t="s">
        <v>1343</v>
      </c>
      <c r="D1970" s="5" t="s">
        <v>1344</v>
      </c>
      <c r="E1970" s="9">
        <v>205515</v>
      </c>
      <c r="F1970" s="9">
        <v>195821</v>
      </c>
      <c r="G1970" s="57">
        <f t="shared" si="30"/>
        <v>-4.7169306376663507E-2</v>
      </c>
      <c r="H1970" s="5" t="s">
        <v>3361</v>
      </c>
    </row>
    <row r="1971" spans="1:8" ht="25.5" x14ac:dyDescent="0.2">
      <c r="A1971" s="1" t="s">
        <v>4</v>
      </c>
      <c r="B1971" s="2" t="s">
        <v>210</v>
      </c>
      <c r="C1971" s="5" t="s">
        <v>1345</v>
      </c>
      <c r="D1971" s="5" t="s">
        <v>4656</v>
      </c>
      <c r="E1971" s="9">
        <v>204862</v>
      </c>
      <c r="F1971" s="9">
        <v>201355</v>
      </c>
      <c r="G1971" s="57">
        <f t="shared" si="30"/>
        <v>-1.7118840975876445E-2</v>
      </c>
      <c r="H1971" s="5" t="s">
        <v>3362</v>
      </c>
    </row>
    <row r="1972" spans="1:8" ht="25.5" x14ac:dyDescent="0.2">
      <c r="A1972" s="1" t="s">
        <v>4</v>
      </c>
      <c r="B1972" s="2" t="s">
        <v>210</v>
      </c>
      <c r="C1972" s="5" t="s">
        <v>1346</v>
      </c>
      <c r="D1972" s="5" t="s">
        <v>1347</v>
      </c>
      <c r="E1972" s="9">
        <v>198552</v>
      </c>
      <c r="F1972" s="9">
        <v>318237</v>
      </c>
      <c r="G1972" s="57">
        <f t="shared" si="30"/>
        <v>0.60278919376284301</v>
      </c>
      <c r="H1972" s="5" t="s">
        <v>3363</v>
      </c>
    </row>
    <row r="1973" spans="1:8" ht="25.5" x14ac:dyDescent="0.2">
      <c r="A1973" s="1" t="s">
        <v>4</v>
      </c>
      <c r="B1973" s="2" t="s">
        <v>210</v>
      </c>
      <c r="C1973" s="5" t="s">
        <v>1348</v>
      </c>
      <c r="D1973" s="5" t="s">
        <v>1349</v>
      </c>
      <c r="E1973" s="9">
        <v>183972</v>
      </c>
      <c r="F1973" s="9">
        <v>184650</v>
      </c>
      <c r="G1973" s="57">
        <f t="shared" si="30"/>
        <v>3.6853434218250603E-3</v>
      </c>
      <c r="H1973" s="5" t="s">
        <v>3364</v>
      </c>
    </row>
    <row r="1974" spans="1:8" ht="25.5" x14ac:dyDescent="0.2">
      <c r="A1974" s="1" t="s">
        <v>4</v>
      </c>
      <c r="B1974" s="2" t="s">
        <v>210</v>
      </c>
      <c r="C1974" s="5" t="s">
        <v>3365</v>
      </c>
      <c r="D1974" s="5" t="s">
        <v>3366</v>
      </c>
      <c r="E1974" s="9">
        <v>183870</v>
      </c>
      <c r="F1974" s="9" t="s">
        <v>465</v>
      </c>
      <c r="G1974" s="57" t="str">
        <f t="shared" si="30"/>
        <v>-</v>
      </c>
    </row>
    <row r="1975" spans="1:8" ht="25.5" x14ac:dyDescent="0.2">
      <c r="A1975" s="1" t="s">
        <v>4</v>
      </c>
      <c r="B1975" s="2" t="s">
        <v>210</v>
      </c>
      <c r="D1975" s="5" t="s">
        <v>507</v>
      </c>
      <c r="E1975" s="9">
        <v>167847</v>
      </c>
      <c r="F1975" s="9">
        <v>167847</v>
      </c>
      <c r="G1975" s="57">
        <f t="shared" si="30"/>
        <v>0</v>
      </c>
      <c r="H1975" s="5" t="s">
        <v>3353</v>
      </c>
    </row>
    <row r="1976" spans="1:8" ht="76.5" x14ac:dyDescent="0.2">
      <c r="A1976" s="1" t="s">
        <v>4</v>
      </c>
      <c r="B1976" s="2" t="s">
        <v>210</v>
      </c>
      <c r="D1976" s="5" t="s">
        <v>1350</v>
      </c>
      <c r="E1976" s="9" t="s">
        <v>465</v>
      </c>
      <c r="F1976" s="9">
        <v>122691</v>
      </c>
      <c r="G1976" s="57" t="str">
        <f t="shared" si="30"/>
        <v>-</v>
      </c>
      <c r="H1976" s="5" t="s">
        <v>4657</v>
      </c>
    </row>
    <row r="1977" spans="1:8" ht="25.5" x14ac:dyDescent="0.2">
      <c r="A1977" s="1" t="s">
        <v>4</v>
      </c>
      <c r="B1977" s="2" t="s">
        <v>210</v>
      </c>
      <c r="D1977" s="5" t="s">
        <v>1351</v>
      </c>
      <c r="E1977" s="9">
        <v>172570</v>
      </c>
      <c r="F1977" s="9">
        <f>128270+29630</f>
        <v>157900</v>
      </c>
      <c r="G1977" s="57">
        <f t="shared" si="30"/>
        <v>-8.5008981862432637E-2</v>
      </c>
      <c r="H1977" s="5" t="s">
        <v>3354</v>
      </c>
    </row>
    <row r="1978" spans="1:8" ht="25.5" x14ac:dyDescent="0.2">
      <c r="A1978" s="1" t="s">
        <v>4</v>
      </c>
      <c r="B1978" s="2" t="s">
        <v>210</v>
      </c>
      <c r="D1978" s="5" t="s">
        <v>1352</v>
      </c>
      <c r="E1978" s="9">
        <v>125414</v>
      </c>
      <c r="F1978" s="9">
        <v>120638</v>
      </c>
      <c r="G1978" s="57">
        <f t="shared" si="30"/>
        <v>-3.8081872837163314E-2</v>
      </c>
      <c r="H1978" s="5" t="s">
        <v>3355</v>
      </c>
    </row>
    <row r="1979" spans="1:8" ht="51" x14ac:dyDescent="0.2">
      <c r="A1979" s="1" t="s">
        <v>4</v>
      </c>
      <c r="B1979" s="2" t="s">
        <v>210</v>
      </c>
      <c r="D1979" s="5" t="s">
        <v>1353</v>
      </c>
      <c r="E1979" s="9" t="s">
        <v>465</v>
      </c>
      <c r="F1979" s="9">
        <v>120730</v>
      </c>
      <c r="G1979" s="57" t="str">
        <f t="shared" si="30"/>
        <v>-</v>
      </c>
      <c r="H1979" s="5" t="s">
        <v>4658</v>
      </c>
    </row>
    <row r="1980" spans="1:8" ht="38.25" x14ac:dyDescent="0.2">
      <c r="A1980" s="1" t="s">
        <v>4</v>
      </c>
      <c r="B1980" s="2" t="s">
        <v>210</v>
      </c>
      <c r="D1980" s="5" t="s">
        <v>1354</v>
      </c>
      <c r="E1980" s="9" t="s">
        <v>465</v>
      </c>
      <c r="F1980" s="9">
        <v>120679</v>
      </c>
      <c r="G1980" s="57" t="str">
        <f t="shared" si="30"/>
        <v>-</v>
      </c>
      <c r="H1980" s="5" t="s">
        <v>4659</v>
      </c>
    </row>
    <row r="1981" spans="1:8" ht="25.5" x14ac:dyDescent="0.2">
      <c r="A1981" s="1" t="s">
        <v>4</v>
      </c>
      <c r="B1981" s="2" t="s">
        <v>210</v>
      </c>
      <c r="D1981" s="5" t="s">
        <v>1355</v>
      </c>
      <c r="E1981" s="9">
        <v>112306</v>
      </c>
      <c r="F1981" s="9">
        <v>123577</v>
      </c>
      <c r="G1981" s="57">
        <f t="shared" si="30"/>
        <v>0.10035973144800812</v>
      </c>
      <c r="H1981" s="5" t="s">
        <v>3356</v>
      </c>
    </row>
    <row r="1982" spans="1:8" ht="25.5" x14ac:dyDescent="0.2">
      <c r="A1982" s="1" t="s">
        <v>4</v>
      </c>
      <c r="B1982" s="2" t="s">
        <v>210</v>
      </c>
      <c r="D1982" s="5" t="s">
        <v>1356</v>
      </c>
      <c r="E1982" s="9" t="s">
        <v>465</v>
      </c>
      <c r="F1982" s="9">
        <v>106605</v>
      </c>
      <c r="G1982" s="57" t="str">
        <f t="shared" si="30"/>
        <v>-</v>
      </c>
      <c r="H1982" s="5" t="s">
        <v>3357</v>
      </c>
    </row>
    <row r="1983" spans="1:8" ht="38.25" x14ac:dyDescent="0.2">
      <c r="A1983" s="1" t="s">
        <v>4</v>
      </c>
      <c r="B1983" s="2" t="s">
        <v>210</v>
      </c>
      <c r="D1983" s="5" t="s">
        <v>3367</v>
      </c>
      <c r="E1983" s="9">
        <v>134424</v>
      </c>
      <c r="F1983" s="9">
        <v>42757</v>
      </c>
      <c r="G1983" s="57">
        <f t="shared" si="30"/>
        <v>-0.68192435874546209</v>
      </c>
      <c r="H1983" s="5" t="s">
        <v>3368</v>
      </c>
    </row>
    <row r="1984" spans="1:8" x14ac:dyDescent="0.2">
      <c r="A1984" s="1" t="s">
        <v>4</v>
      </c>
      <c r="B1984" s="2" t="s">
        <v>210</v>
      </c>
      <c r="D1984" s="5" t="s">
        <v>464</v>
      </c>
      <c r="E1984" s="3" t="s">
        <v>465</v>
      </c>
      <c r="F1984" s="3">
        <v>102500</v>
      </c>
      <c r="G1984" s="57" t="str">
        <f t="shared" si="30"/>
        <v>-</v>
      </c>
      <c r="H1984" s="1"/>
    </row>
    <row r="1985" spans="1:8" x14ac:dyDescent="0.2">
      <c r="A1985" s="1" t="s">
        <v>4</v>
      </c>
      <c r="B1985" s="2" t="s">
        <v>210</v>
      </c>
      <c r="D1985" s="5" t="s">
        <v>464</v>
      </c>
      <c r="E1985" s="3" t="s">
        <v>465</v>
      </c>
      <c r="F1985" s="3">
        <v>102500</v>
      </c>
      <c r="G1985" s="57" t="str">
        <f t="shared" si="30"/>
        <v>-</v>
      </c>
      <c r="H1985" s="1"/>
    </row>
    <row r="1986" spans="1:8" x14ac:dyDescent="0.2">
      <c r="A1986" s="1" t="s">
        <v>4</v>
      </c>
      <c r="B1986" s="2" t="s">
        <v>210</v>
      </c>
      <c r="D1986" s="5" t="s">
        <v>464</v>
      </c>
      <c r="E1986" s="3" t="s">
        <v>465</v>
      </c>
      <c r="F1986" s="3">
        <v>102500</v>
      </c>
      <c r="G1986" s="57" t="str">
        <f t="shared" si="30"/>
        <v>-</v>
      </c>
      <c r="H1986" s="1"/>
    </row>
    <row r="1987" spans="1:8" x14ac:dyDescent="0.2">
      <c r="A1987" s="1" t="s">
        <v>4</v>
      </c>
      <c r="B1987" s="2" t="s">
        <v>210</v>
      </c>
      <c r="D1987" s="5" t="s">
        <v>464</v>
      </c>
      <c r="E1987" s="3">
        <v>102500</v>
      </c>
      <c r="F1987" s="3" t="s">
        <v>465</v>
      </c>
      <c r="G1987" s="57" t="str">
        <f t="shared" ref="G1987:G2050" si="31">IF(ISERROR((F1987-E1987)/E1987),"-",(F1987-E1987)/E1987)</f>
        <v>-</v>
      </c>
      <c r="H1987" s="1"/>
    </row>
    <row r="1988" spans="1:8" x14ac:dyDescent="0.2">
      <c r="A1988" s="1" t="s">
        <v>4</v>
      </c>
      <c r="B1988" s="2" t="s">
        <v>210</v>
      </c>
      <c r="D1988" s="5" t="s">
        <v>464</v>
      </c>
      <c r="E1988" s="3">
        <v>102500</v>
      </c>
      <c r="F1988" s="3" t="s">
        <v>465</v>
      </c>
      <c r="G1988" s="57" t="str">
        <f t="shared" si="31"/>
        <v>-</v>
      </c>
      <c r="H1988" s="1"/>
    </row>
    <row r="1989" spans="1:8" x14ac:dyDescent="0.2">
      <c r="A1989" s="1" t="s">
        <v>4</v>
      </c>
      <c r="B1989" s="2" t="s">
        <v>210</v>
      </c>
      <c r="D1989" s="5" t="s">
        <v>464</v>
      </c>
      <c r="E1989" s="3" t="s">
        <v>465</v>
      </c>
      <c r="F1989" s="3">
        <v>107500</v>
      </c>
      <c r="G1989" s="57" t="str">
        <f t="shared" si="31"/>
        <v>-</v>
      </c>
      <c r="H1989" s="1"/>
    </row>
    <row r="1990" spans="1:8" x14ac:dyDescent="0.2">
      <c r="A1990" s="1" t="s">
        <v>4</v>
      </c>
      <c r="B1990" s="2" t="s">
        <v>210</v>
      </c>
      <c r="D1990" s="5" t="s">
        <v>464</v>
      </c>
      <c r="E1990" s="3" t="s">
        <v>465</v>
      </c>
      <c r="F1990" s="3">
        <v>107500</v>
      </c>
      <c r="G1990" s="57" t="str">
        <f t="shared" si="31"/>
        <v>-</v>
      </c>
      <c r="H1990" s="1"/>
    </row>
    <row r="1991" spans="1:8" x14ac:dyDescent="0.2">
      <c r="A1991" s="1" t="s">
        <v>4</v>
      </c>
      <c r="B1991" s="2" t="s">
        <v>210</v>
      </c>
      <c r="D1991" s="5" t="s">
        <v>464</v>
      </c>
      <c r="E1991" s="3" t="s">
        <v>465</v>
      </c>
      <c r="F1991" s="3">
        <v>107500</v>
      </c>
      <c r="G1991" s="57" t="str">
        <f t="shared" si="31"/>
        <v>-</v>
      </c>
      <c r="H1991" s="1"/>
    </row>
    <row r="1992" spans="1:8" x14ac:dyDescent="0.2">
      <c r="A1992" s="1" t="s">
        <v>4</v>
      </c>
      <c r="B1992" s="2" t="s">
        <v>210</v>
      </c>
      <c r="D1992" s="5" t="s">
        <v>464</v>
      </c>
      <c r="E1992" s="3">
        <v>107500</v>
      </c>
      <c r="F1992" s="3" t="s">
        <v>465</v>
      </c>
      <c r="G1992" s="57" t="str">
        <f t="shared" si="31"/>
        <v>-</v>
      </c>
      <c r="H1992" s="1"/>
    </row>
    <row r="1993" spans="1:8" x14ac:dyDescent="0.2">
      <c r="A1993" s="1" t="s">
        <v>4</v>
      </c>
      <c r="B1993" s="2" t="s">
        <v>210</v>
      </c>
      <c r="D1993" s="5" t="s">
        <v>464</v>
      </c>
      <c r="E1993" s="3">
        <v>107500</v>
      </c>
      <c r="F1993" s="3" t="s">
        <v>465</v>
      </c>
      <c r="G1993" s="57" t="str">
        <f t="shared" si="31"/>
        <v>-</v>
      </c>
      <c r="H1993" s="1"/>
    </row>
    <row r="1994" spans="1:8" x14ac:dyDescent="0.2">
      <c r="A1994" s="1" t="s">
        <v>4</v>
      </c>
      <c r="B1994" s="2" t="s">
        <v>210</v>
      </c>
      <c r="D1994" s="5" t="s">
        <v>464</v>
      </c>
      <c r="E1994" s="3">
        <v>107500</v>
      </c>
      <c r="F1994" s="3" t="s">
        <v>465</v>
      </c>
      <c r="G1994" s="57" t="str">
        <f t="shared" si="31"/>
        <v>-</v>
      </c>
      <c r="H1994" s="1"/>
    </row>
    <row r="1995" spans="1:8" x14ac:dyDescent="0.2">
      <c r="A1995" s="1" t="s">
        <v>4</v>
      </c>
      <c r="B1995" s="2" t="s">
        <v>210</v>
      </c>
      <c r="D1995" s="5" t="s">
        <v>464</v>
      </c>
      <c r="E1995" s="3">
        <v>107500</v>
      </c>
      <c r="F1995" s="3" t="s">
        <v>465</v>
      </c>
      <c r="G1995" s="57" t="str">
        <f t="shared" si="31"/>
        <v>-</v>
      </c>
      <c r="H1995" s="1"/>
    </row>
    <row r="1996" spans="1:8" x14ac:dyDescent="0.2">
      <c r="A1996" s="1" t="s">
        <v>4</v>
      </c>
      <c r="B1996" s="2" t="s">
        <v>210</v>
      </c>
      <c r="D1996" s="5" t="s">
        <v>464</v>
      </c>
      <c r="E1996" s="3">
        <v>107500</v>
      </c>
      <c r="F1996" s="3" t="s">
        <v>465</v>
      </c>
      <c r="G1996" s="57" t="str">
        <f t="shared" si="31"/>
        <v>-</v>
      </c>
      <c r="H1996" s="1"/>
    </row>
    <row r="1997" spans="1:8" x14ac:dyDescent="0.2">
      <c r="A1997" s="1" t="s">
        <v>4</v>
      </c>
      <c r="B1997" s="2" t="s">
        <v>210</v>
      </c>
      <c r="D1997" s="5" t="s">
        <v>464</v>
      </c>
      <c r="E1997" s="3">
        <v>107500</v>
      </c>
      <c r="F1997" s="3" t="s">
        <v>465</v>
      </c>
      <c r="G1997" s="57" t="str">
        <f t="shared" si="31"/>
        <v>-</v>
      </c>
      <c r="H1997" s="1"/>
    </row>
    <row r="1998" spans="1:8" x14ac:dyDescent="0.2">
      <c r="A1998" s="1" t="s">
        <v>4</v>
      </c>
      <c r="B1998" s="2" t="s">
        <v>210</v>
      </c>
      <c r="D1998" s="5" t="s">
        <v>464</v>
      </c>
      <c r="E1998" s="3">
        <v>107500</v>
      </c>
      <c r="F1998" s="3" t="s">
        <v>465</v>
      </c>
      <c r="G1998" s="57" t="str">
        <f t="shared" si="31"/>
        <v>-</v>
      </c>
      <c r="H1998" s="1"/>
    </row>
    <row r="1999" spans="1:8" x14ac:dyDescent="0.2">
      <c r="A1999" s="1" t="s">
        <v>4</v>
      </c>
      <c r="B1999" s="2" t="s">
        <v>210</v>
      </c>
      <c r="D1999" s="5" t="s">
        <v>464</v>
      </c>
      <c r="E1999" s="3">
        <v>107500</v>
      </c>
      <c r="F1999" s="3" t="s">
        <v>465</v>
      </c>
      <c r="G1999" s="57" t="str">
        <f t="shared" si="31"/>
        <v>-</v>
      </c>
      <c r="H1999" s="1"/>
    </row>
    <row r="2000" spans="1:8" x14ac:dyDescent="0.2">
      <c r="A2000" s="1" t="s">
        <v>4</v>
      </c>
      <c r="B2000" s="2" t="s">
        <v>210</v>
      </c>
      <c r="D2000" s="5" t="s">
        <v>464</v>
      </c>
      <c r="E2000" s="3">
        <v>107500</v>
      </c>
      <c r="F2000" s="3" t="s">
        <v>465</v>
      </c>
      <c r="G2000" s="57" t="str">
        <f t="shared" si="31"/>
        <v>-</v>
      </c>
      <c r="H2000" s="1"/>
    </row>
    <row r="2001" spans="1:8" x14ac:dyDescent="0.2">
      <c r="A2001" s="1" t="s">
        <v>4</v>
      </c>
      <c r="B2001" s="2" t="s">
        <v>210</v>
      </c>
      <c r="D2001" s="5" t="s">
        <v>464</v>
      </c>
      <c r="E2001" s="3">
        <v>107500</v>
      </c>
      <c r="F2001" s="3" t="s">
        <v>465</v>
      </c>
      <c r="G2001" s="57" t="str">
        <f t="shared" si="31"/>
        <v>-</v>
      </c>
      <c r="H2001" s="1"/>
    </row>
    <row r="2002" spans="1:8" x14ac:dyDescent="0.2">
      <c r="A2002" s="1" t="s">
        <v>4</v>
      </c>
      <c r="B2002" s="2" t="s">
        <v>210</v>
      </c>
      <c r="D2002" s="5" t="s">
        <v>464</v>
      </c>
      <c r="E2002" s="3">
        <v>107500</v>
      </c>
      <c r="F2002" s="3" t="s">
        <v>465</v>
      </c>
      <c r="G2002" s="57" t="str">
        <f t="shared" si="31"/>
        <v>-</v>
      </c>
      <c r="H2002" s="1"/>
    </row>
    <row r="2003" spans="1:8" x14ac:dyDescent="0.2">
      <c r="A2003" s="1" t="s">
        <v>4</v>
      </c>
      <c r="B2003" s="2" t="s">
        <v>210</v>
      </c>
      <c r="D2003" s="5" t="s">
        <v>464</v>
      </c>
      <c r="E2003" s="3" t="s">
        <v>465</v>
      </c>
      <c r="F2003" s="3">
        <v>112500</v>
      </c>
      <c r="G2003" s="57" t="str">
        <f t="shared" si="31"/>
        <v>-</v>
      </c>
      <c r="H2003" s="1"/>
    </row>
    <row r="2004" spans="1:8" x14ac:dyDescent="0.2">
      <c r="A2004" s="1" t="s">
        <v>4</v>
      </c>
      <c r="B2004" s="2" t="s">
        <v>210</v>
      </c>
      <c r="D2004" s="5" t="s">
        <v>464</v>
      </c>
      <c r="E2004" s="3" t="s">
        <v>465</v>
      </c>
      <c r="F2004" s="3">
        <v>112500</v>
      </c>
      <c r="G2004" s="57" t="str">
        <f t="shared" si="31"/>
        <v>-</v>
      </c>
      <c r="H2004" s="1"/>
    </row>
    <row r="2005" spans="1:8" x14ac:dyDescent="0.2">
      <c r="A2005" s="1" t="s">
        <v>4</v>
      </c>
      <c r="B2005" s="2" t="s">
        <v>210</v>
      </c>
      <c r="D2005" s="5" t="s">
        <v>464</v>
      </c>
      <c r="E2005" s="3">
        <v>117500</v>
      </c>
      <c r="F2005" s="3" t="s">
        <v>465</v>
      </c>
      <c r="G2005" s="57" t="str">
        <f t="shared" si="31"/>
        <v>-</v>
      </c>
      <c r="H2005" s="1"/>
    </row>
    <row r="2006" spans="1:8" x14ac:dyDescent="0.2">
      <c r="A2006" s="1" t="s">
        <v>4</v>
      </c>
      <c r="B2006" s="2" t="s">
        <v>210</v>
      </c>
      <c r="D2006" s="5" t="s">
        <v>464</v>
      </c>
      <c r="E2006" s="3">
        <v>122500</v>
      </c>
      <c r="F2006" s="3" t="s">
        <v>465</v>
      </c>
      <c r="G2006" s="57" t="str">
        <f t="shared" si="31"/>
        <v>-</v>
      </c>
      <c r="H2006" s="1"/>
    </row>
    <row r="2007" spans="1:8" x14ac:dyDescent="0.2">
      <c r="A2007" s="1" t="s">
        <v>4</v>
      </c>
      <c r="B2007" s="2" t="s">
        <v>210</v>
      </c>
      <c r="D2007" s="5" t="s">
        <v>464</v>
      </c>
      <c r="E2007" s="3">
        <v>122500</v>
      </c>
      <c r="F2007" s="3" t="s">
        <v>465</v>
      </c>
      <c r="G2007" s="57" t="str">
        <f t="shared" si="31"/>
        <v>-</v>
      </c>
      <c r="H2007" s="1"/>
    </row>
    <row r="2008" spans="1:8" x14ac:dyDescent="0.2">
      <c r="A2008" s="1" t="s">
        <v>4</v>
      </c>
      <c r="B2008" s="2" t="s">
        <v>210</v>
      </c>
      <c r="D2008" s="5" t="s">
        <v>464</v>
      </c>
      <c r="E2008" s="3" t="s">
        <v>465</v>
      </c>
      <c r="F2008" s="3">
        <v>122500</v>
      </c>
      <c r="G2008" s="57" t="str">
        <f t="shared" si="31"/>
        <v>-</v>
      </c>
      <c r="H2008" s="1"/>
    </row>
    <row r="2009" spans="1:8" x14ac:dyDescent="0.2">
      <c r="A2009" s="1" t="s">
        <v>4</v>
      </c>
      <c r="B2009" s="2" t="s">
        <v>210</v>
      </c>
      <c r="D2009" s="5" t="s">
        <v>464</v>
      </c>
      <c r="E2009" s="3" t="s">
        <v>465</v>
      </c>
      <c r="F2009" s="3">
        <v>137500</v>
      </c>
      <c r="G2009" s="57" t="str">
        <f t="shared" si="31"/>
        <v>-</v>
      </c>
      <c r="H2009" s="1"/>
    </row>
    <row r="2010" spans="1:8" x14ac:dyDescent="0.2">
      <c r="A2010" s="1" t="s">
        <v>4</v>
      </c>
      <c r="B2010" s="2" t="s">
        <v>210</v>
      </c>
      <c r="D2010" s="5" t="s">
        <v>464</v>
      </c>
      <c r="E2010" s="3">
        <v>137500</v>
      </c>
      <c r="F2010" s="3" t="s">
        <v>465</v>
      </c>
      <c r="G2010" s="57" t="str">
        <f t="shared" si="31"/>
        <v>-</v>
      </c>
      <c r="H2010" s="1"/>
    </row>
    <row r="2011" spans="1:8" x14ac:dyDescent="0.2">
      <c r="A2011" s="1" t="s">
        <v>4</v>
      </c>
      <c r="B2011" s="2" t="s">
        <v>210</v>
      </c>
      <c r="D2011" s="5" t="s">
        <v>464</v>
      </c>
      <c r="E2011" s="3" t="s">
        <v>465</v>
      </c>
      <c r="F2011" s="3">
        <v>142500</v>
      </c>
      <c r="G2011" s="57" t="str">
        <f t="shared" si="31"/>
        <v>-</v>
      </c>
      <c r="H2011" s="1"/>
    </row>
    <row r="2012" spans="1:8" x14ac:dyDescent="0.2">
      <c r="A2012" s="1" t="s">
        <v>4</v>
      </c>
      <c r="B2012" s="2" t="s">
        <v>210</v>
      </c>
      <c r="D2012" s="5" t="s">
        <v>464</v>
      </c>
      <c r="E2012" s="3" t="s">
        <v>465</v>
      </c>
      <c r="F2012" s="3">
        <v>152500</v>
      </c>
      <c r="G2012" s="57" t="str">
        <f t="shared" si="31"/>
        <v>-</v>
      </c>
      <c r="H2012" s="1"/>
    </row>
    <row r="2013" spans="1:8" x14ac:dyDescent="0.2">
      <c r="A2013" s="1" t="s">
        <v>4</v>
      </c>
      <c r="B2013" s="2" t="s">
        <v>210</v>
      </c>
      <c r="D2013" s="5" t="s">
        <v>464</v>
      </c>
      <c r="E2013" s="3" t="s">
        <v>465</v>
      </c>
      <c r="F2013" s="3">
        <v>162500</v>
      </c>
      <c r="G2013" s="57" t="str">
        <f t="shared" si="31"/>
        <v>-</v>
      </c>
      <c r="H2013" s="1"/>
    </row>
    <row r="2014" spans="1:8" x14ac:dyDescent="0.2">
      <c r="A2014" s="1" t="s">
        <v>4</v>
      </c>
      <c r="B2014" s="2" t="s">
        <v>210</v>
      </c>
      <c r="D2014" s="5" t="s">
        <v>464</v>
      </c>
      <c r="E2014" s="3" t="s">
        <v>465</v>
      </c>
      <c r="F2014" s="3">
        <v>172500</v>
      </c>
      <c r="G2014" s="57" t="str">
        <f t="shared" si="31"/>
        <v>-</v>
      </c>
      <c r="H2014" s="1"/>
    </row>
    <row r="2015" spans="1:8" x14ac:dyDescent="0.2">
      <c r="A2015" s="1" t="s">
        <v>4</v>
      </c>
      <c r="B2015" s="2" t="s">
        <v>210</v>
      </c>
      <c r="D2015" s="5" t="s">
        <v>464</v>
      </c>
      <c r="E2015" s="3" t="s">
        <v>465</v>
      </c>
      <c r="F2015" s="3">
        <v>172500</v>
      </c>
      <c r="G2015" s="57" t="str">
        <f t="shared" si="31"/>
        <v>-</v>
      </c>
      <c r="H2015" s="1"/>
    </row>
    <row r="2016" spans="1:8" x14ac:dyDescent="0.2">
      <c r="A2016" s="1" t="s">
        <v>4</v>
      </c>
      <c r="B2016" s="2" t="s">
        <v>210</v>
      </c>
      <c r="D2016" s="5" t="s">
        <v>464</v>
      </c>
      <c r="E2016" s="3">
        <v>182500</v>
      </c>
      <c r="F2016" s="3" t="s">
        <v>465</v>
      </c>
      <c r="G2016" s="57" t="str">
        <f t="shared" si="31"/>
        <v>-</v>
      </c>
      <c r="H2016" s="1"/>
    </row>
    <row r="2017" spans="1:8" x14ac:dyDescent="0.2">
      <c r="A2017" s="1" t="s">
        <v>4</v>
      </c>
      <c r="B2017" s="2" t="s">
        <v>210</v>
      </c>
      <c r="D2017" s="5" t="s">
        <v>464</v>
      </c>
      <c r="E2017" s="3">
        <v>187500</v>
      </c>
      <c r="F2017" s="3" t="s">
        <v>465</v>
      </c>
      <c r="G2017" s="57" t="str">
        <f t="shared" si="31"/>
        <v>-</v>
      </c>
      <c r="H2017" s="1"/>
    </row>
    <row r="2018" spans="1:8" x14ac:dyDescent="0.2">
      <c r="A2018" s="1" t="s">
        <v>4</v>
      </c>
      <c r="B2018" s="2" t="s">
        <v>210</v>
      </c>
      <c r="D2018" s="5" t="s">
        <v>464</v>
      </c>
      <c r="E2018" s="3" t="s">
        <v>465</v>
      </c>
      <c r="F2018" s="3">
        <v>187500</v>
      </c>
      <c r="G2018" s="57" t="str">
        <f t="shared" si="31"/>
        <v>-</v>
      </c>
      <c r="H2018" s="1"/>
    </row>
    <row r="2019" spans="1:8" x14ac:dyDescent="0.2">
      <c r="A2019" s="1" t="s">
        <v>4</v>
      </c>
      <c r="B2019" s="2" t="s">
        <v>210</v>
      </c>
      <c r="D2019" s="5" t="s">
        <v>464</v>
      </c>
      <c r="E2019" s="3" t="s">
        <v>465</v>
      </c>
      <c r="F2019" s="3">
        <v>187500</v>
      </c>
      <c r="G2019" s="57" t="str">
        <f t="shared" si="31"/>
        <v>-</v>
      </c>
    </row>
    <row r="2020" spans="1:8" x14ac:dyDescent="0.2">
      <c r="A2020" s="1" t="s">
        <v>4</v>
      </c>
      <c r="B2020" s="2" t="s">
        <v>210</v>
      </c>
      <c r="D2020" s="5" t="s">
        <v>464</v>
      </c>
      <c r="E2020" s="3" t="s">
        <v>465</v>
      </c>
      <c r="F2020" s="3">
        <v>207500</v>
      </c>
      <c r="G2020" s="57" t="str">
        <f t="shared" si="31"/>
        <v>-</v>
      </c>
    </row>
    <row r="2021" spans="1:8" x14ac:dyDescent="0.2">
      <c r="A2021" s="1" t="s">
        <v>4</v>
      </c>
      <c r="B2021" s="2" t="s">
        <v>210</v>
      </c>
      <c r="D2021" s="5" t="s">
        <v>464</v>
      </c>
      <c r="E2021" s="3" t="s">
        <v>465</v>
      </c>
      <c r="F2021" s="3">
        <v>212500</v>
      </c>
      <c r="G2021" s="57" t="str">
        <f t="shared" si="31"/>
        <v>-</v>
      </c>
    </row>
    <row r="2022" spans="1:8" ht="25.5" x14ac:dyDescent="0.2">
      <c r="A2022" s="1" t="s">
        <v>8</v>
      </c>
      <c r="B2022" s="2" t="s">
        <v>211</v>
      </c>
      <c r="C2022" s="5" t="s">
        <v>1337</v>
      </c>
      <c r="D2022" s="5" t="s">
        <v>450</v>
      </c>
      <c r="E2022" s="3">
        <v>186000</v>
      </c>
      <c r="F2022" s="3">
        <v>185000</v>
      </c>
      <c r="G2022" s="57">
        <f t="shared" si="31"/>
        <v>-5.3763440860215058E-3</v>
      </c>
      <c r="H2022" s="5" t="s">
        <v>3349</v>
      </c>
    </row>
    <row r="2023" spans="1:8" ht="25.5" x14ac:dyDescent="0.2">
      <c r="A2023" s="1" t="s">
        <v>8</v>
      </c>
      <c r="B2023" s="2" t="s">
        <v>211</v>
      </c>
      <c r="D2023" s="5" t="s">
        <v>455</v>
      </c>
      <c r="E2023" s="3" t="s">
        <v>465</v>
      </c>
      <c r="F2023" s="3">
        <v>114000</v>
      </c>
      <c r="G2023" s="57" t="str">
        <f t="shared" si="31"/>
        <v>-</v>
      </c>
      <c r="H2023" s="5" t="s">
        <v>3350</v>
      </c>
    </row>
    <row r="2024" spans="1:8" ht="25.5" x14ac:dyDescent="0.2">
      <c r="A2024" s="1" t="s">
        <v>8</v>
      </c>
      <c r="B2024" s="2" t="s">
        <v>211</v>
      </c>
      <c r="D2024" s="5" t="s">
        <v>455</v>
      </c>
      <c r="E2024" s="3" t="s">
        <v>465</v>
      </c>
      <c r="F2024" s="3">
        <v>112000</v>
      </c>
      <c r="G2024" s="57" t="str">
        <f t="shared" si="31"/>
        <v>-</v>
      </c>
      <c r="H2024" s="5" t="s">
        <v>3351</v>
      </c>
    </row>
    <row r="2025" spans="1:8" ht="25.5" x14ac:dyDescent="0.2">
      <c r="A2025" s="1" t="s">
        <v>8</v>
      </c>
      <c r="B2025" s="2" t="s">
        <v>211</v>
      </c>
      <c r="D2025" s="5" t="s">
        <v>455</v>
      </c>
      <c r="E2025" s="3" t="s">
        <v>465</v>
      </c>
      <c r="F2025" s="3">
        <v>107000</v>
      </c>
      <c r="G2025" s="57" t="str">
        <f t="shared" si="31"/>
        <v>-</v>
      </c>
      <c r="H2025" s="5" t="s">
        <v>3352</v>
      </c>
    </row>
    <row r="2026" spans="1:8" x14ac:dyDescent="0.2">
      <c r="A2026" s="1" t="s">
        <v>8</v>
      </c>
      <c r="B2026" s="2" t="s">
        <v>211</v>
      </c>
      <c r="D2026" s="5" t="s">
        <v>455</v>
      </c>
      <c r="E2026" s="3">
        <v>112000</v>
      </c>
      <c r="F2026" s="3" t="s">
        <v>465</v>
      </c>
      <c r="G2026" s="57" t="str">
        <f t="shared" si="31"/>
        <v>-</v>
      </c>
    </row>
    <row r="2027" spans="1:8" x14ac:dyDescent="0.2">
      <c r="A2027" s="1" t="s">
        <v>8</v>
      </c>
      <c r="B2027" s="2" t="s">
        <v>211</v>
      </c>
      <c r="D2027" s="5" t="s">
        <v>455</v>
      </c>
      <c r="E2027" s="3">
        <v>111000</v>
      </c>
      <c r="F2027" s="3" t="s">
        <v>465</v>
      </c>
      <c r="G2027" s="57" t="str">
        <f t="shared" si="31"/>
        <v>-</v>
      </c>
    </row>
    <row r="2028" spans="1:8" x14ac:dyDescent="0.2">
      <c r="A2028" s="1" t="s">
        <v>8</v>
      </c>
      <c r="B2028" s="2" t="s">
        <v>211</v>
      </c>
      <c r="D2028" s="5" t="s">
        <v>455</v>
      </c>
      <c r="E2028" s="3">
        <v>106000</v>
      </c>
      <c r="F2028" s="3" t="s">
        <v>465</v>
      </c>
      <c r="G2028" s="57" t="str">
        <f t="shared" si="31"/>
        <v>-</v>
      </c>
    </row>
    <row r="2029" spans="1:8" ht="25.5" x14ac:dyDescent="0.2">
      <c r="A2029" s="1" t="s">
        <v>20</v>
      </c>
      <c r="B2029" s="2" t="s">
        <v>212</v>
      </c>
      <c r="D2029" s="5" t="s">
        <v>450</v>
      </c>
      <c r="E2029" s="9">
        <v>144397</v>
      </c>
      <c r="F2029" s="9">
        <v>144206</v>
      </c>
      <c r="G2029" s="57">
        <f t="shared" si="31"/>
        <v>-1.3227421622332874E-3</v>
      </c>
      <c r="H2029" s="5" t="s">
        <v>3345</v>
      </c>
    </row>
    <row r="2030" spans="1:8" ht="25.5" x14ac:dyDescent="0.2">
      <c r="A2030" s="1" t="s">
        <v>20</v>
      </c>
      <c r="B2030" s="2" t="s">
        <v>212</v>
      </c>
      <c r="D2030" s="5" t="s">
        <v>1335</v>
      </c>
      <c r="E2030" s="9">
        <v>103285</v>
      </c>
      <c r="F2030" s="9">
        <v>105015</v>
      </c>
      <c r="G2030" s="57">
        <f t="shared" si="31"/>
        <v>1.6749770053734812E-2</v>
      </c>
      <c r="H2030" s="5" t="s">
        <v>3346</v>
      </c>
    </row>
    <row r="2031" spans="1:8" ht="38.25" x14ac:dyDescent="0.2">
      <c r="A2031" s="1" t="s">
        <v>20</v>
      </c>
      <c r="B2031" s="2" t="s">
        <v>212</v>
      </c>
      <c r="D2031" s="5" t="s">
        <v>1336</v>
      </c>
      <c r="E2031" s="9">
        <v>80472</v>
      </c>
      <c r="F2031" s="9">
        <v>187319</v>
      </c>
      <c r="G2031" s="57">
        <f t="shared" si="31"/>
        <v>1.3277537528581369</v>
      </c>
      <c r="H2031" s="5" t="s">
        <v>3347</v>
      </c>
    </row>
    <row r="2032" spans="1:8" ht="25.5" x14ac:dyDescent="0.2">
      <c r="A2032" s="1" t="s">
        <v>20</v>
      </c>
      <c r="B2032" s="2" t="s">
        <v>212</v>
      </c>
      <c r="D2032" s="5" t="s">
        <v>1140</v>
      </c>
      <c r="E2032" s="9">
        <v>78528</v>
      </c>
      <c r="F2032" s="9">
        <v>154377</v>
      </c>
      <c r="G2032" s="57">
        <f t="shared" si="31"/>
        <v>0.96588477995110023</v>
      </c>
      <c r="H2032" s="5" t="s">
        <v>3348</v>
      </c>
    </row>
    <row r="2033" spans="1:8" x14ac:dyDescent="0.2">
      <c r="A2033" s="1" t="s">
        <v>20</v>
      </c>
      <c r="B2033" s="2" t="s">
        <v>212</v>
      </c>
      <c r="D2033" s="5" t="s">
        <v>464</v>
      </c>
      <c r="G2033" s="57" t="str">
        <f t="shared" si="31"/>
        <v>-</v>
      </c>
      <c r="H2033" s="5" t="s">
        <v>2137</v>
      </c>
    </row>
    <row r="2034" spans="1:8" x14ac:dyDescent="0.2">
      <c r="A2034" s="1" t="s">
        <v>20</v>
      </c>
      <c r="B2034" s="2" t="s">
        <v>212</v>
      </c>
      <c r="D2034" s="5" t="s">
        <v>464</v>
      </c>
      <c r="E2034" s="3" t="s">
        <v>465</v>
      </c>
      <c r="F2034" s="3">
        <v>117500</v>
      </c>
      <c r="G2034" s="57" t="str">
        <f t="shared" si="31"/>
        <v>-</v>
      </c>
      <c r="H2034" s="5" t="s">
        <v>2137</v>
      </c>
    </row>
    <row r="2035" spans="1:8" ht="51" x14ac:dyDescent="0.2">
      <c r="A2035" s="1" t="s">
        <v>28</v>
      </c>
      <c r="B2035" s="2" t="s">
        <v>213</v>
      </c>
      <c r="C2035" s="5" t="s">
        <v>1325</v>
      </c>
      <c r="D2035" s="5" t="s">
        <v>450</v>
      </c>
      <c r="E2035" s="9">
        <v>112777</v>
      </c>
      <c r="F2035" s="9">
        <v>222760</v>
      </c>
      <c r="G2035" s="57">
        <f t="shared" si="31"/>
        <v>0.9752254449045461</v>
      </c>
      <c r="H2035" s="5" t="s">
        <v>4660</v>
      </c>
    </row>
    <row r="2036" spans="1:8" x14ac:dyDescent="0.2">
      <c r="A2036" s="1" t="s">
        <v>28</v>
      </c>
      <c r="B2036" s="2" t="s">
        <v>213</v>
      </c>
      <c r="C2036" s="5" t="s">
        <v>3320</v>
      </c>
      <c r="D2036" s="5" t="s">
        <v>450</v>
      </c>
      <c r="E2036" s="9">
        <v>133724</v>
      </c>
      <c r="F2036" s="9" t="s">
        <v>465</v>
      </c>
      <c r="G2036" s="57" t="str">
        <f t="shared" si="31"/>
        <v>-</v>
      </c>
      <c r="H2036" s="5" t="s">
        <v>3321</v>
      </c>
    </row>
    <row r="2037" spans="1:8" ht="51" x14ac:dyDescent="0.2">
      <c r="A2037" s="1" t="s">
        <v>28</v>
      </c>
      <c r="B2037" s="2" t="s">
        <v>213</v>
      </c>
      <c r="D2037" s="5" t="s">
        <v>1326</v>
      </c>
      <c r="E2037" s="9">
        <v>185045</v>
      </c>
      <c r="F2037" s="9">
        <v>162837</v>
      </c>
      <c r="G2037" s="57">
        <f t="shared" si="31"/>
        <v>-0.12001405063633171</v>
      </c>
      <c r="H2037" s="5" t="s">
        <v>4661</v>
      </c>
    </row>
    <row r="2038" spans="1:8" ht="51" x14ac:dyDescent="0.2">
      <c r="A2038" s="1" t="s">
        <v>28</v>
      </c>
      <c r="B2038" s="2" t="s">
        <v>213</v>
      </c>
      <c r="D2038" s="5" t="s">
        <v>3331</v>
      </c>
      <c r="E2038" s="9">
        <v>160138</v>
      </c>
      <c r="F2038" s="9">
        <v>80401</v>
      </c>
      <c r="G2038" s="57">
        <f t="shared" si="31"/>
        <v>-0.49792678814522473</v>
      </c>
      <c r="H2038" s="5" t="s">
        <v>3332</v>
      </c>
    </row>
    <row r="2039" spans="1:8" ht="38.25" x14ac:dyDescent="0.2">
      <c r="A2039" s="1" t="s">
        <v>28</v>
      </c>
      <c r="B2039" s="2" t="s">
        <v>213</v>
      </c>
      <c r="D2039" s="5" t="s">
        <v>1327</v>
      </c>
      <c r="E2039" s="9">
        <v>140035</v>
      </c>
      <c r="F2039" s="9">
        <v>135450</v>
      </c>
      <c r="G2039" s="57">
        <f t="shared" si="31"/>
        <v>-3.2741814546363407E-2</v>
      </c>
      <c r="H2039" s="5" t="s">
        <v>3322</v>
      </c>
    </row>
    <row r="2040" spans="1:8" x14ac:dyDescent="0.2">
      <c r="A2040" s="1" t="s">
        <v>28</v>
      </c>
      <c r="B2040" s="2" t="s">
        <v>213</v>
      </c>
      <c r="D2040" s="5" t="s">
        <v>3333</v>
      </c>
      <c r="E2040" s="9">
        <v>118243</v>
      </c>
      <c r="F2040" s="9" t="s">
        <v>465</v>
      </c>
      <c r="G2040" s="57" t="str">
        <f t="shared" si="31"/>
        <v>-</v>
      </c>
    </row>
    <row r="2041" spans="1:8" x14ac:dyDescent="0.2">
      <c r="A2041" s="1" t="s">
        <v>28</v>
      </c>
      <c r="B2041" s="2" t="s">
        <v>213</v>
      </c>
      <c r="D2041" s="5" t="s">
        <v>3334</v>
      </c>
      <c r="E2041" s="9">
        <v>110452</v>
      </c>
      <c r="F2041" s="9" t="s">
        <v>465</v>
      </c>
      <c r="G2041" s="57" t="str">
        <f t="shared" si="31"/>
        <v>-</v>
      </c>
    </row>
    <row r="2042" spans="1:8" ht="38.25" x14ac:dyDescent="0.2">
      <c r="A2042" s="1" t="s">
        <v>28</v>
      </c>
      <c r="B2042" s="2" t="s">
        <v>213</v>
      </c>
      <c r="D2042" s="5" t="s">
        <v>1328</v>
      </c>
      <c r="E2042" s="9" t="s">
        <v>465</v>
      </c>
      <c r="F2042" s="9">
        <v>122553</v>
      </c>
      <c r="G2042" s="57" t="str">
        <f t="shared" si="31"/>
        <v>-</v>
      </c>
      <c r="H2042" s="5" t="s">
        <v>3323</v>
      </c>
    </row>
    <row r="2043" spans="1:8" ht="38.25" x14ac:dyDescent="0.2">
      <c r="A2043" s="1" t="s">
        <v>28</v>
      </c>
      <c r="B2043" s="2" t="s">
        <v>213</v>
      </c>
      <c r="D2043" s="5" t="s">
        <v>1329</v>
      </c>
      <c r="E2043" s="9" t="s">
        <v>465</v>
      </c>
      <c r="F2043" s="9">
        <v>121281</v>
      </c>
      <c r="G2043" s="57" t="str">
        <f t="shared" si="31"/>
        <v>-</v>
      </c>
      <c r="H2043" s="5" t="s">
        <v>4662</v>
      </c>
    </row>
    <row r="2044" spans="1:8" ht="25.5" x14ac:dyDescent="0.2">
      <c r="A2044" s="1" t="s">
        <v>28</v>
      </c>
      <c r="B2044" s="2" t="s">
        <v>213</v>
      </c>
      <c r="D2044" s="5" t="s">
        <v>1330</v>
      </c>
      <c r="E2044" s="9" t="s">
        <v>465</v>
      </c>
      <c r="F2044" s="9">
        <v>112402</v>
      </c>
      <c r="G2044" s="57" t="str">
        <f t="shared" si="31"/>
        <v>-</v>
      </c>
      <c r="H2044" s="5" t="s">
        <v>3324</v>
      </c>
    </row>
    <row r="2045" spans="1:8" x14ac:dyDescent="0.2">
      <c r="A2045" s="1" t="s">
        <v>28</v>
      </c>
      <c r="B2045" s="2" t="s">
        <v>213</v>
      </c>
      <c r="D2045" s="5" t="s">
        <v>3340</v>
      </c>
      <c r="E2045" s="9">
        <v>101997</v>
      </c>
      <c r="F2045" s="9" t="s">
        <v>465</v>
      </c>
      <c r="G2045" s="57" t="str">
        <f t="shared" si="31"/>
        <v>-</v>
      </c>
    </row>
    <row r="2046" spans="1:8" x14ac:dyDescent="0.2">
      <c r="A2046" s="1" t="s">
        <v>28</v>
      </c>
      <c r="B2046" s="2" t="s">
        <v>213</v>
      </c>
      <c r="D2046" s="5" t="s">
        <v>3341</v>
      </c>
      <c r="E2046" s="9">
        <v>127522</v>
      </c>
      <c r="F2046" s="9" t="s">
        <v>465</v>
      </c>
      <c r="G2046" s="57" t="str">
        <f t="shared" si="31"/>
        <v>-</v>
      </c>
      <c r="H2046" s="5" t="s">
        <v>3342</v>
      </c>
    </row>
    <row r="2047" spans="1:8" x14ac:dyDescent="0.2">
      <c r="A2047" s="1" t="s">
        <v>28</v>
      </c>
      <c r="B2047" s="2" t="s">
        <v>213</v>
      </c>
      <c r="D2047" s="5" t="s">
        <v>3343</v>
      </c>
      <c r="E2047" s="9">
        <v>145380</v>
      </c>
      <c r="F2047" s="9" t="s">
        <v>465</v>
      </c>
      <c r="G2047" s="57" t="str">
        <f t="shared" si="31"/>
        <v>-</v>
      </c>
      <c r="H2047" s="5" t="s">
        <v>3344</v>
      </c>
    </row>
    <row r="2048" spans="1:8" ht="38.25" x14ac:dyDescent="0.2">
      <c r="A2048" s="1" t="s">
        <v>28</v>
      </c>
      <c r="B2048" s="2" t="s">
        <v>213</v>
      </c>
      <c r="D2048" s="5" t="s">
        <v>1331</v>
      </c>
      <c r="E2048" s="9">
        <v>102310</v>
      </c>
      <c r="F2048" s="9">
        <v>111207</v>
      </c>
      <c r="G2048" s="57">
        <f t="shared" si="31"/>
        <v>8.6961196363991786E-2</v>
      </c>
      <c r="H2048" s="5" t="s">
        <v>3325</v>
      </c>
    </row>
    <row r="2049" spans="1:8" x14ac:dyDescent="0.2">
      <c r="A2049" s="1" t="s">
        <v>28</v>
      </c>
      <c r="B2049" s="2" t="s">
        <v>213</v>
      </c>
      <c r="D2049" s="5" t="s">
        <v>3335</v>
      </c>
      <c r="E2049" s="9">
        <v>113689</v>
      </c>
      <c r="F2049" s="9" t="s">
        <v>465</v>
      </c>
      <c r="G2049" s="57" t="str">
        <f t="shared" si="31"/>
        <v>-</v>
      </c>
    </row>
    <row r="2050" spans="1:8" ht="38.25" x14ac:dyDescent="0.2">
      <c r="A2050" s="1" t="s">
        <v>28</v>
      </c>
      <c r="B2050" s="2" t="s">
        <v>213</v>
      </c>
      <c r="D2050" s="5" t="s">
        <v>3336</v>
      </c>
      <c r="E2050" s="9">
        <v>109623</v>
      </c>
      <c r="F2050" s="9">
        <v>88415</v>
      </c>
      <c r="G2050" s="57">
        <f t="shared" si="31"/>
        <v>-0.1934630506371838</v>
      </c>
      <c r="H2050" s="5" t="s">
        <v>3337</v>
      </c>
    </row>
    <row r="2051" spans="1:8" ht="25.5" x14ac:dyDescent="0.2">
      <c r="A2051" s="1" t="s">
        <v>28</v>
      </c>
      <c r="B2051" s="2" t="s">
        <v>213</v>
      </c>
      <c r="D2051" s="5" t="s">
        <v>1332</v>
      </c>
      <c r="E2051" s="9">
        <v>110352</v>
      </c>
      <c r="F2051" s="9">
        <v>111344</v>
      </c>
      <c r="G2051" s="57">
        <f t="shared" ref="G2051:G2114" si="32">IF(ISERROR((F2051-E2051)/E2051),"-",(F2051-E2051)/E2051)</f>
        <v>8.989415687980281E-3</v>
      </c>
      <c r="H2051" s="5" t="s">
        <v>3326</v>
      </c>
    </row>
    <row r="2052" spans="1:8" ht="25.5" x14ac:dyDescent="0.2">
      <c r="A2052" s="1" t="s">
        <v>28</v>
      </c>
      <c r="B2052" s="2" t="s">
        <v>213</v>
      </c>
      <c r="D2052" s="5" t="s">
        <v>1333</v>
      </c>
      <c r="E2052" s="9">
        <v>110165</v>
      </c>
      <c r="F2052" s="9">
        <v>111003</v>
      </c>
      <c r="G2052" s="57">
        <f t="shared" si="32"/>
        <v>7.6067716606907816E-3</v>
      </c>
      <c r="H2052" s="5" t="s">
        <v>3327</v>
      </c>
    </row>
    <row r="2053" spans="1:8" ht="38.25" x14ac:dyDescent="0.2">
      <c r="A2053" s="1" t="s">
        <v>28</v>
      </c>
      <c r="B2053" s="2" t="s">
        <v>213</v>
      </c>
      <c r="D2053" s="5" t="s">
        <v>3338</v>
      </c>
      <c r="E2053" s="9">
        <v>128694</v>
      </c>
      <c r="F2053" s="9">
        <v>67088</v>
      </c>
      <c r="G2053" s="57">
        <f t="shared" si="32"/>
        <v>-0.47870141576141856</v>
      </c>
      <c r="H2053" s="5" t="s">
        <v>3339</v>
      </c>
    </row>
    <row r="2054" spans="1:8" ht="25.5" x14ac:dyDescent="0.2">
      <c r="A2054" s="1" t="s">
        <v>28</v>
      </c>
      <c r="B2054" s="2" t="s">
        <v>213</v>
      </c>
      <c r="D2054" s="5" t="s">
        <v>740</v>
      </c>
      <c r="E2054" s="9">
        <v>103928</v>
      </c>
      <c r="F2054" s="9">
        <v>110844</v>
      </c>
      <c r="G2054" s="57">
        <f t="shared" si="32"/>
        <v>6.6546070356400588E-2</v>
      </c>
      <c r="H2054" s="5" t="s">
        <v>3330</v>
      </c>
    </row>
    <row r="2055" spans="1:8" ht="25.5" x14ac:dyDescent="0.2">
      <c r="A2055" s="1" t="s">
        <v>28</v>
      </c>
      <c r="B2055" s="2" t="s">
        <v>213</v>
      </c>
      <c r="D2055" s="5" t="s">
        <v>1334</v>
      </c>
      <c r="E2055" s="9">
        <v>97666</v>
      </c>
      <c r="F2055" s="9">
        <v>110934</v>
      </c>
      <c r="G2055" s="57">
        <f t="shared" si="32"/>
        <v>0.13585075666045501</v>
      </c>
      <c r="H2055" s="5" t="s">
        <v>3328</v>
      </c>
    </row>
    <row r="2056" spans="1:8" ht="25.5" x14ac:dyDescent="0.2">
      <c r="A2056" s="1" t="s">
        <v>28</v>
      </c>
      <c r="B2056" s="2" t="s">
        <v>213</v>
      </c>
      <c r="D2056" s="5" t="s">
        <v>860</v>
      </c>
      <c r="E2056" s="9">
        <v>108630</v>
      </c>
      <c r="F2056" s="9">
        <v>109746</v>
      </c>
      <c r="G2056" s="57">
        <f t="shared" si="32"/>
        <v>1.0273405136702569E-2</v>
      </c>
      <c r="H2056" s="5" t="s">
        <v>3329</v>
      </c>
    </row>
    <row r="2057" spans="1:8" ht="25.5" x14ac:dyDescent="0.2">
      <c r="A2057" s="1" t="s">
        <v>25</v>
      </c>
      <c r="B2057" s="2" t="s">
        <v>214</v>
      </c>
      <c r="C2057" s="5" t="s">
        <v>1320</v>
      </c>
      <c r="D2057" s="15" t="s">
        <v>450</v>
      </c>
      <c r="E2057" s="9">
        <v>222000</v>
      </c>
      <c r="F2057" s="9">
        <v>224000</v>
      </c>
      <c r="G2057" s="57">
        <f t="shared" si="32"/>
        <v>9.0090090090090089E-3</v>
      </c>
      <c r="H2057" s="5" t="s">
        <v>3315</v>
      </c>
    </row>
    <row r="2058" spans="1:8" ht="38.25" x14ac:dyDescent="0.2">
      <c r="A2058" s="1" t="s">
        <v>25</v>
      </c>
      <c r="B2058" s="2" t="s">
        <v>214</v>
      </c>
      <c r="D2058" s="15" t="s">
        <v>507</v>
      </c>
      <c r="E2058" s="9" t="s">
        <v>465</v>
      </c>
      <c r="F2058" s="9">
        <v>137000</v>
      </c>
      <c r="G2058" s="57" t="str">
        <f t="shared" si="32"/>
        <v>-</v>
      </c>
      <c r="H2058" s="5" t="s">
        <v>3316</v>
      </c>
    </row>
    <row r="2059" spans="1:8" ht="25.5" x14ac:dyDescent="0.2">
      <c r="A2059" s="1" t="s">
        <v>25</v>
      </c>
      <c r="B2059" s="2" t="s">
        <v>214</v>
      </c>
      <c r="D2059" s="15" t="s">
        <v>942</v>
      </c>
      <c r="E2059" s="9">
        <v>150000</v>
      </c>
      <c r="F2059" s="9">
        <v>153000</v>
      </c>
      <c r="G2059" s="57">
        <f t="shared" si="32"/>
        <v>0.02</v>
      </c>
      <c r="H2059" s="5" t="s">
        <v>3317</v>
      </c>
    </row>
    <row r="2060" spans="1:8" ht="25.5" x14ac:dyDescent="0.2">
      <c r="A2060" s="1" t="s">
        <v>25</v>
      </c>
      <c r="B2060" s="2" t="s">
        <v>214</v>
      </c>
      <c r="D2060" s="15" t="s">
        <v>1321</v>
      </c>
      <c r="E2060" s="9">
        <v>87000</v>
      </c>
      <c r="F2060" s="9">
        <v>155000</v>
      </c>
      <c r="G2060" s="57">
        <f t="shared" si="32"/>
        <v>0.7816091954022989</v>
      </c>
      <c r="H2060" s="5" t="s">
        <v>3318</v>
      </c>
    </row>
    <row r="2061" spans="1:8" ht="25.5" x14ac:dyDescent="0.2">
      <c r="A2061" s="1" t="s">
        <v>25</v>
      </c>
      <c r="B2061" s="2" t="s">
        <v>214</v>
      </c>
      <c r="D2061" s="15" t="s">
        <v>1322</v>
      </c>
      <c r="E2061" s="9">
        <v>150000</v>
      </c>
      <c r="F2061" s="9">
        <v>153000</v>
      </c>
      <c r="G2061" s="57">
        <f t="shared" si="32"/>
        <v>0.02</v>
      </c>
      <c r="H2061" s="5" t="s">
        <v>3317</v>
      </c>
    </row>
    <row r="2062" spans="1:8" ht="25.5" x14ac:dyDescent="0.2">
      <c r="A2062" s="1" t="s">
        <v>25</v>
      </c>
      <c r="B2062" s="2" t="s">
        <v>214</v>
      </c>
      <c r="D2062" s="15" t="s">
        <v>1323</v>
      </c>
      <c r="E2062" s="9">
        <v>108000</v>
      </c>
      <c r="F2062" s="9">
        <v>109000</v>
      </c>
      <c r="G2062" s="57">
        <f t="shared" si="32"/>
        <v>9.2592592592592587E-3</v>
      </c>
      <c r="H2062" s="5" t="s">
        <v>3319</v>
      </c>
    </row>
    <row r="2063" spans="1:8" ht="25.5" x14ac:dyDescent="0.2">
      <c r="A2063" s="1" t="s">
        <v>25</v>
      </c>
      <c r="B2063" s="2" t="s">
        <v>214</v>
      </c>
      <c r="D2063" s="15" t="s">
        <v>520</v>
      </c>
      <c r="E2063" s="9">
        <v>108000</v>
      </c>
      <c r="F2063" s="9">
        <v>109000</v>
      </c>
      <c r="G2063" s="57">
        <f t="shared" si="32"/>
        <v>9.2592592592592587E-3</v>
      </c>
      <c r="H2063" s="5" t="s">
        <v>3319</v>
      </c>
    </row>
    <row r="2064" spans="1:8" ht="25.5" x14ac:dyDescent="0.2">
      <c r="A2064" s="1" t="s">
        <v>25</v>
      </c>
      <c r="B2064" s="2" t="s">
        <v>214</v>
      </c>
      <c r="D2064" s="15" t="s">
        <v>1324</v>
      </c>
      <c r="E2064" s="9">
        <v>119000</v>
      </c>
      <c r="F2064" s="9">
        <v>120000</v>
      </c>
      <c r="G2064" s="57">
        <f t="shared" si="32"/>
        <v>8.4033613445378148E-3</v>
      </c>
      <c r="H2064" s="5" t="s">
        <v>2235</v>
      </c>
    </row>
    <row r="2065" spans="1:8" ht="51" x14ac:dyDescent="0.2">
      <c r="A2065" s="1" t="s">
        <v>28</v>
      </c>
      <c r="B2065" s="2" t="s">
        <v>215</v>
      </c>
      <c r="D2065" s="5" t="s">
        <v>4358</v>
      </c>
      <c r="E2065" s="3">
        <v>107570</v>
      </c>
      <c r="F2065" s="3">
        <f>116725+38743</f>
        <v>155468</v>
      </c>
      <c r="G2065" s="57">
        <f t="shared" si="32"/>
        <v>0.44527284558891883</v>
      </c>
      <c r="H2065" s="5" t="s">
        <v>3314</v>
      </c>
    </row>
    <row r="2066" spans="1:8" ht="89.25" x14ac:dyDescent="0.2">
      <c r="A2066" s="1" t="s">
        <v>28</v>
      </c>
      <c r="B2066" s="2" t="s">
        <v>215</v>
      </c>
      <c r="C2066" s="5" t="s">
        <v>2148</v>
      </c>
      <c r="D2066" s="5" t="s">
        <v>450</v>
      </c>
      <c r="E2066" s="3">
        <v>180689</v>
      </c>
      <c r="F2066" s="3">
        <v>36354</v>
      </c>
      <c r="G2066" s="57">
        <f t="shared" si="32"/>
        <v>-0.79880346894387599</v>
      </c>
      <c r="H2066" s="5" t="s">
        <v>3313</v>
      </c>
    </row>
    <row r="2067" spans="1:8" ht="25.5" x14ac:dyDescent="0.2">
      <c r="A2067" s="1" t="s">
        <v>28</v>
      </c>
      <c r="B2067" s="2" t="s">
        <v>215</v>
      </c>
      <c r="D2067" s="5" t="s">
        <v>1315</v>
      </c>
      <c r="E2067" s="3">
        <v>156587</v>
      </c>
      <c r="F2067" s="3">
        <v>155084</v>
      </c>
      <c r="G2067" s="57">
        <f t="shared" si="32"/>
        <v>-9.5984979596007332E-3</v>
      </c>
      <c r="H2067" s="5" t="s">
        <v>3307</v>
      </c>
    </row>
    <row r="2068" spans="1:8" ht="25.5" x14ac:dyDescent="0.2">
      <c r="A2068" s="1" t="s">
        <v>28</v>
      </c>
      <c r="B2068" s="2" t="s">
        <v>215</v>
      </c>
      <c r="D2068" s="5" t="s">
        <v>1316</v>
      </c>
      <c r="E2068" s="3">
        <v>123766</v>
      </c>
      <c r="F2068" s="3">
        <v>128622</v>
      </c>
      <c r="G2068" s="57">
        <f t="shared" si="32"/>
        <v>3.9235331189502773E-2</v>
      </c>
      <c r="H2068" s="5" t="s">
        <v>3308</v>
      </c>
    </row>
    <row r="2069" spans="1:8" ht="25.5" x14ac:dyDescent="0.2">
      <c r="A2069" s="1" t="s">
        <v>28</v>
      </c>
      <c r="B2069" s="2" t="s">
        <v>215</v>
      </c>
      <c r="D2069" s="5" t="s">
        <v>1317</v>
      </c>
      <c r="E2069" s="3">
        <v>135186</v>
      </c>
      <c r="F2069" s="3">
        <v>137047</v>
      </c>
      <c r="G2069" s="57">
        <f t="shared" si="32"/>
        <v>1.3766218395395973E-2</v>
      </c>
      <c r="H2069" s="5" t="s">
        <v>3309</v>
      </c>
    </row>
    <row r="2070" spans="1:8" ht="38.25" x14ac:dyDescent="0.2">
      <c r="A2070" s="1" t="s">
        <v>28</v>
      </c>
      <c r="B2070" s="2" t="s">
        <v>215</v>
      </c>
      <c r="D2070" s="5" t="s">
        <v>1318</v>
      </c>
      <c r="E2070" s="3">
        <v>117533</v>
      </c>
      <c r="F2070" s="3">
        <v>191003</v>
      </c>
      <c r="G2070" s="57">
        <f t="shared" si="32"/>
        <v>0.62510103545387252</v>
      </c>
      <c r="H2070" s="5" t="s">
        <v>3311</v>
      </c>
    </row>
    <row r="2071" spans="1:8" ht="38.25" x14ac:dyDescent="0.2">
      <c r="A2071" s="1" t="s">
        <v>28</v>
      </c>
      <c r="B2071" s="2" t="s">
        <v>215</v>
      </c>
      <c r="D2071" s="5" t="s">
        <v>1319</v>
      </c>
      <c r="E2071" s="3">
        <v>59760</v>
      </c>
      <c r="F2071" s="3">
        <v>146605</v>
      </c>
      <c r="G2071" s="57">
        <f t="shared" si="32"/>
        <v>1.4532295850066934</v>
      </c>
      <c r="H2071" s="5" t="s">
        <v>3310</v>
      </c>
    </row>
    <row r="2072" spans="1:8" ht="63.75" x14ac:dyDescent="0.2">
      <c r="A2072" s="1" t="s">
        <v>28</v>
      </c>
      <c r="B2072" s="2" t="s">
        <v>215</v>
      </c>
      <c r="D2072" s="5" t="s">
        <v>949</v>
      </c>
      <c r="E2072" s="3">
        <v>117533</v>
      </c>
      <c r="F2072" s="3">
        <v>41083</v>
      </c>
      <c r="G2072" s="57">
        <f t="shared" si="32"/>
        <v>-0.65045561672041041</v>
      </c>
      <c r="H2072" s="5" t="s">
        <v>3312</v>
      </c>
    </row>
    <row r="2073" spans="1:8" ht="25.5" x14ac:dyDescent="0.2">
      <c r="A2073" s="1" t="s">
        <v>6</v>
      </c>
      <c r="B2073" s="2" t="s">
        <v>216</v>
      </c>
      <c r="C2073" s="5" t="s">
        <v>1308</v>
      </c>
      <c r="D2073" s="5" t="s">
        <v>450</v>
      </c>
      <c r="E2073" s="3">
        <v>224772</v>
      </c>
      <c r="F2073" s="3">
        <v>224769</v>
      </c>
      <c r="G2073" s="57">
        <f t="shared" si="32"/>
        <v>-1.3346858149591586E-5</v>
      </c>
      <c r="H2073" s="5" t="s">
        <v>3297</v>
      </c>
    </row>
    <row r="2074" spans="1:8" ht="25.5" x14ac:dyDescent="0.2">
      <c r="A2074" s="1" t="s">
        <v>6</v>
      </c>
      <c r="B2074" s="2" t="s">
        <v>216</v>
      </c>
      <c r="D2074" s="5" t="s">
        <v>1309</v>
      </c>
      <c r="E2074" s="3">
        <v>183788</v>
      </c>
      <c r="F2074" s="3">
        <v>130114</v>
      </c>
      <c r="G2074" s="57">
        <f t="shared" si="32"/>
        <v>-0.29204300607221362</v>
      </c>
      <c r="H2074" s="5" t="s">
        <v>3298</v>
      </c>
    </row>
    <row r="2075" spans="1:8" ht="25.5" x14ac:dyDescent="0.2">
      <c r="A2075" s="1" t="s">
        <v>6</v>
      </c>
      <c r="B2075" s="2" t="s">
        <v>216</v>
      </c>
      <c r="D2075" s="5" t="s">
        <v>1310</v>
      </c>
      <c r="E2075" s="3">
        <v>152607</v>
      </c>
      <c r="F2075" s="3">
        <v>150321</v>
      </c>
      <c r="G2075" s="57">
        <f t="shared" si="32"/>
        <v>-1.4979653620082958E-2</v>
      </c>
      <c r="H2075" s="5" t="s">
        <v>3299</v>
      </c>
    </row>
    <row r="2076" spans="1:8" ht="25.5" x14ac:dyDescent="0.2">
      <c r="A2076" s="1" t="s">
        <v>6</v>
      </c>
      <c r="B2076" s="2" t="s">
        <v>216</v>
      </c>
      <c r="D2076" s="5" t="s">
        <v>1311</v>
      </c>
      <c r="E2076" s="3">
        <v>144753</v>
      </c>
      <c r="F2076" s="3">
        <v>145196</v>
      </c>
      <c r="G2076" s="57">
        <f t="shared" si="32"/>
        <v>3.0603856224050625E-3</v>
      </c>
      <c r="H2076" s="5" t="s">
        <v>3300</v>
      </c>
    </row>
    <row r="2077" spans="1:8" ht="25.5" x14ac:dyDescent="0.2">
      <c r="A2077" s="1" t="s">
        <v>6</v>
      </c>
      <c r="B2077" s="2" t="s">
        <v>216</v>
      </c>
      <c r="D2077" s="5" t="s">
        <v>1312</v>
      </c>
      <c r="E2077" s="3">
        <v>81994</v>
      </c>
      <c r="F2077" s="3">
        <v>136079</v>
      </c>
      <c r="G2077" s="57">
        <f t="shared" si="32"/>
        <v>0.65962143571480836</v>
      </c>
      <c r="H2077" s="5" t="s">
        <v>3301</v>
      </c>
    </row>
    <row r="2078" spans="1:8" ht="25.5" x14ac:dyDescent="0.2">
      <c r="A2078" s="1" t="s">
        <v>6</v>
      </c>
      <c r="B2078" s="2" t="s">
        <v>216</v>
      </c>
      <c r="D2078" s="5" t="s">
        <v>1313</v>
      </c>
      <c r="E2078" s="3">
        <v>122662</v>
      </c>
      <c r="F2078" s="3">
        <v>122916</v>
      </c>
      <c r="G2078" s="57">
        <f t="shared" si="32"/>
        <v>2.0707309517209896E-3</v>
      </c>
      <c r="H2078" s="5" t="s">
        <v>3302</v>
      </c>
    </row>
    <row r="2079" spans="1:8" ht="25.5" x14ac:dyDescent="0.2">
      <c r="A2079" s="1" t="s">
        <v>6</v>
      </c>
      <c r="B2079" s="2" t="s">
        <v>216</v>
      </c>
      <c r="D2079" s="5" t="s">
        <v>1314</v>
      </c>
      <c r="E2079" s="3">
        <v>133240</v>
      </c>
      <c r="F2079" s="3">
        <v>115754</v>
      </c>
      <c r="G2079" s="57">
        <f t="shared" si="32"/>
        <v>-0.13123686580606425</v>
      </c>
      <c r="H2079" s="5" t="s">
        <v>3303</v>
      </c>
    </row>
    <row r="2080" spans="1:8" ht="63.75" x14ac:dyDescent="0.2">
      <c r="A2080" s="1" t="s">
        <v>6</v>
      </c>
      <c r="B2080" s="2" t="s">
        <v>216</v>
      </c>
      <c r="D2080" s="5" t="s">
        <v>3304</v>
      </c>
      <c r="E2080" s="3">
        <v>153632</v>
      </c>
      <c r="F2080" s="3">
        <v>75461</v>
      </c>
      <c r="G2080" s="57">
        <f t="shared" si="32"/>
        <v>-0.50881977712976467</v>
      </c>
      <c r="H2080" s="5" t="s">
        <v>3305</v>
      </c>
    </row>
    <row r="2081" spans="1:8" x14ac:dyDescent="0.2">
      <c r="A2081" s="1" t="s">
        <v>6</v>
      </c>
      <c r="B2081" s="2" t="s">
        <v>216</v>
      </c>
      <c r="D2081" s="5" t="s">
        <v>464</v>
      </c>
      <c r="E2081" s="3" t="s">
        <v>465</v>
      </c>
      <c r="F2081" s="3">
        <v>102500</v>
      </c>
      <c r="G2081" s="57" t="str">
        <f t="shared" si="32"/>
        <v>-</v>
      </c>
      <c r="H2081" s="1"/>
    </row>
    <row r="2082" spans="1:8" x14ac:dyDescent="0.2">
      <c r="A2082" s="1" t="s">
        <v>6</v>
      </c>
      <c r="B2082" s="2" t="s">
        <v>216</v>
      </c>
      <c r="D2082" s="5" t="s">
        <v>464</v>
      </c>
      <c r="E2082" s="3" t="s">
        <v>465</v>
      </c>
      <c r="F2082" s="3">
        <v>102500</v>
      </c>
      <c r="G2082" s="57" t="str">
        <f t="shared" si="32"/>
        <v>-</v>
      </c>
      <c r="H2082" s="1"/>
    </row>
    <row r="2083" spans="1:8" x14ac:dyDescent="0.2">
      <c r="A2083" s="1" t="s">
        <v>6</v>
      </c>
      <c r="B2083" s="2" t="s">
        <v>216</v>
      </c>
      <c r="D2083" s="5" t="s">
        <v>464</v>
      </c>
      <c r="E2083" s="3" t="s">
        <v>465</v>
      </c>
      <c r="F2083" s="3">
        <v>102500</v>
      </c>
      <c r="G2083" s="57" t="str">
        <f t="shared" si="32"/>
        <v>-</v>
      </c>
      <c r="H2083" s="1"/>
    </row>
    <row r="2084" spans="1:8" x14ac:dyDescent="0.2">
      <c r="A2084" s="1" t="s">
        <v>6</v>
      </c>
      <c r="B2084" s="2" t="s">
        <v>216</v>
      </c>
      <c r="D2084" s="5" t="s">
        <v>464</v>
      </c>
      <c r="E2084" s="3" t="s">
        <v>465</v>
      </c>
      <c r="F2084" s="3">
        <v>107500</v>
      </c>
      <c r="G2084" s="57" t="str">
        <f t="shared" si="32"/>
        <v>-</v>
      </c>
      <c r="H2084" s="1"/>
    </row>
    <row r="2085" spans="1:8" x14ac:dyDescent="0.2">
      <c r="A2085" s="1" t="s">
        <v>6</v>
      </c>
      <c r="B2085" s="2" t="s">
        <v>216</v>
      </c>
      <c r="D2085" s="5" t="s">
        <v>464</v>
      </c>
      <c r="E2085" s="3" t="s">
        <v>465</v>
      </c>
      <c r="F2085" s="3">
        <v>107500</v>
      </c>
      <c r="G2085" s="57" t="str">
        <f t="shared" si="32"/>
        <v>-</v>
      </c>
      <c r="H2085" s="1"/>
    </row>
    <row r="2086" spans="1:8" x14ac:dyDescent="0.2">
      <c r="A2086" s="1" t="s">
        <v>6</v>
      </c>
      <c r="B2086" s="2" t="s">
        <v>216</v>
      </c>
      <c r="D2086" s="5" t="s">
        <v>464</v>
      </c>
      <c r="E2086" s="3">
        <v>107500</v>
      </c>
      <c r="F2086" s="3" t="s">
        <v>465</v>
      </c>
      <c r="G2086" s="57" t="str">
        <f t="shared" si="32"/>
        <v>-</v>
      </c>
      <c r="H2086" s="1"/>
    </row>
    <row r="2087" spans="1:8" x14ac:dyDescent="0.2">
      <c r="A2087" s="1" t="s">
        <v>6</v>
      </c>
      <c r="B2087" s="2" t="s">
        <v>216</v>
      </c>
      <c r="D2087" s="5" t="s">
        <v>464</v>
      </c>
      <c r="E2087" s="3" t="s">
        <v>465</v>
      </c>
      <c r="F2087" s="3">
        <v>112500</v>
      </c>
      <c r="G2087" s="57" t="str">
        <f t="shared" si="32"/>
        <v>-</v>
      </c>
      <c r="H2087" s="1"/>
    </row>
    <row r="2088" spans="1:8" x14ac:dyDescent="0.2">
      <c r="A2088" s="1" t="s">
        <v>6</v>
      </c>
      <c r="B2088" s="2" t="s">
        <v>216</v>
      </c>
      <c r="D2088" s="5" t="s">
        <v>464</v>
      </c>
      <c r="E2088" s="3">
        <v>117500</v>
      </c>
      <c r="F2088" s="3" t="s">
        <v>465</v>
      </c>
      <c r="G2088" s="57" t="str">
        <f t="shared" si="32"/>
        <v>-</v>
      </c>
      <c r="H2088" s="1"/>
    </row>
    <row r="2089" spans="1:8" x14ac:dyDescent="0.2">
      <c r="A2089" s="1" t="s">
        <v>6</v>
      </c>
      <c r="B2089" s="2" t="s">
        <v>216</v>
      </c>
      <c r="D2089" s="5" t="s">
        <v>464</v>
      </c>
      <c r="E2089" s="3">
        <v>117500</v>
      </c>
      <c r="F2089" s="3" t="s">
        <v>465</v>
      </c>
      <c r="G2089" s="57" t="str">
        <f t="shared" si="32"/>
        <v>-</v>
      </c>
      <c r="H2089" s="1"/>
    </row>
    <row r="2090" spans="1:8" x14ac:dyDescent="0.2">
      <c r="A2090" s="1" t="s">
        <v>6</v>
      </c>
      <c r="B2090" s="2" t="s">
        <v>216</v>
      </c>
      <c r="D2090" s="5" t="s">
        <v>464</v>
      </c>
      <c r="E2090" s="3" t="s">
        <v>465</v>
      </c>
      <c r="F2090" s="3">
        <v>127500</v>
      </c>
      <c r="G2090" s="57" t="str">
        <f t="shared" si="32"/>
        <v>-</v>
      </c>
      <c r="H2090" s="1"/>
    </row>
    <row r="2091" spans="1:8" x14ac:dyDescent="0.2">
      <c r="A2091" s="1" t="s">
        <v>6</v>
      </c>
      <c r="B2091" s="2" t="s">
        <v>216</v>
      </c>
      <c r="D2091" s="5" t="s">
        <v>464</v>
      </c>
      <c r="E2091" s="3" t="s">
        <v>465</v>
      </c>
      <c r="F2091" s="3">
        <v>162500</v>
      </c>
      <c r="G2091" s="57" t="str">
        <f t="shared" si="32"/>
        <v>-</v>
      </c>
    </row>
    <row r="2092" spans="1:8" x14ac:dyDescent="0.2">
      <c r="A2092" s="1" t="s">
        <v>6</v>
      </c>
      <c r="B2092" s="2" t="s">
        <v>216</v>
      </c>
      <c r="D2092" s="5" t="s">
        <v>464</v>
      </c>
      <c r="E2092" s="3" t="s">
        <v>465</v>
      </c>
      <c r="F2092" s="3">
        <v>172500</v>
      </c>
      <c r="G2092" s="57" t="str">
        <f t="shared" si="32"/>
        <v>-</v>
      </c>
    </row>
    <row r="2093" spans="1:8" x14ac:dyDescent="0.2">
      <c r="A2093" s="1" t="s">
        <v>6</v>
      </c>
      <c r="B2093" s="2" t="s">
        <v>216</v>
      </c>
      <c r="D2093" s="5" t="s">
        <v>464</v>
      </c>
      <c r="E2093" s="3" t="s">
        <v>465</v>
      </c>
      <c r="F2093" s="3">
        <v>197500</v>
      </c>
      <c r="G2093" s="57" t="str">
        <f t="shared" si="32"/>
        <v>-</v>
      </c>
    </row>
    <row r="2094" spans="1:8" ht="25.5" x14ac:dyDescent="0.2">
      <c r="A2094" s="1" t="s">
        <v>25</v>
      </c>
      <c r="B2094" s="2" t="s">
        <v>217</v>
      </c>
      <c r="C2094" s="5" t="s">
        <v>1300</v>
      </c>
      <c r="D2094" s="5" t="s">
        <v>450</v>
      </c>
      <c r="E2094" s="3">
        <v>269836</v>
      </c>
      <c r="F2094" s="3">
        <v>246939</v>
      </c>
      <c r="G2094" s="57">
        <f t="shared" si="32"/>
        <v>-8.4855245408322094E-2</v>
      </c>
      <c r="H2094" s="5" t="s">
        <v>3294</v>
      </c>
    </row>
    <row r="2095" spans="1:8" ht="25.5" x14ac:dyDescent="0.2">
      <c r="A2095" s="1" t="s">
        <v>25</v>
      </c>
      <c r="B2095" s="2" t="s">
        <v>217</v>
      </c>
      <c r="C2095" s="5" t="s">
        <v>1301</v>
      </c>
      <c r="D2095" s="5" t="s">
        <v>1302</v>
      </c>
      <c r="E2095" s="3">
        <v>176592</v>
      </c>
      <c r="F2095" s="3">
        <v>176592</v>
      </c>
      <c r="G2095" s="57">
        <f t="shared" si="32"/>
        <v>0</v>
      </c>
      <c r="H2095" s="5" t="s">
        <v>3295</v>
      </c>
    </row>
    <row r="2096" spans="1:8" ht="25.5" x14ac:dyDescent="0.2">
      <c r="A2096" s="1" t="s">
        <v>25</v>
      </c>
      <c r="B2096" s="2" t="s">
        <v>217</v>
      </c>
      <c r="C2096" s="5" t="s">
        <v>1303</v>
      </c>
      <c r="D2096" s="5" t="s">
        <v>1304</v>
      </c>
      <c r="E2096" s="3">
        <v>176592</v>
      </c>
      <c r="F2096" s="3">
        <v>100771</v>
      </c>
      <c r="G2096" s="57">
        <f t="shared" si="32"/>
        <v>-0.42935693576152939</v>
      </c>
      <c r="H2096" s="5" t="s">
        <v>3296</v>
      </c>
    </row>
    <row r="2097" spans="1:8" ht="25.5" x14ac:dyDescent="0.2">
      <c r="A2097" s="1" t="s">
        <v>25</v>
      </c>
      <c r="B2097" s="2" t="s">
        <v>217</v>
      </c>
      <c r="C2097" s="5" t="s">
        <v>1305</v>
      </c>
      <c r="D2097" s="5" t="s">
        <v>1304</v>
      </c>
      <c r="E2097" s="3" t="s">
        <v>465</v>
      </c>
      <c r="F2097" s="3">
        <v>113930</v>
      </c>
      <c r="G2097" s="57" t="str">
        <f t="shared" si="32"/>
        <v>-</v>
      </c>
      <c r="H2097" s="5" t="s">
        <v>4440</v>
      </c>
    </row>
    <row r="2098" spans="1:8" ht="25.5" x14ac:dyDescent="0.2">
      <c r="A2098" s="1" t="s">
        <v>25</v>
      </c>
      <c r="B2098" s="2" t="s">
        <v>217</v>
      </c>
      <c r="C2098" s="5" t="s">
        <v>1306</v>
      </c>
      <c r="D2098" s="5" t="s">
        <v>1307</v>
      </c>
      <c r="E2098" s="3">
        <v>176592</v>
      </c>
      <c r="F2098" s="3">
        <v>176592</v>
      </c>
      <c r="G2098" s="57">
        <f t="shared" si="32"/>
        <v>0</v>
      </c>
      <c r="H2098" s="5" t="s">
        <v>3295</v>
      </c>
    </row>
    <row r="2099" spans="1:8" x14ac:dyDescent="0.2">
      <c r="A2099" s="1" t="s">
        <v>25</v>
      </c>
      <c r="B2099" s="2" t="s">
        <v>217</v>
      </c>
      <c r="D2099" s="5" t="s">
        <v>464</v>
      </c>
      <c r="E2099" s="3" t="s">
        <v>465</v>
      </c>
      <c r="F2099" s="3">
        <v>102500</v>
      </c>
      <c r="G2099" s="57" t="str">
        <f t="shared" si="32"/>
        <v>-</v>
      </c>
      <c r="H2099" s="5" t="s">
        <v>2908</v>
      </c>
    </row>
    <row r="2100" spans="1:8" x14ac:dyDescent="0.2">
      <c r="A2100" s="1" t="s">
        <v>25</v>
      </c>
      <c r="B2100" s="2" t="s">
        <v>217</v>
      </c>
      <c r="D2100" s="5" t="s">
        <v>464</v>
      </c>
      <c r="E2100" s="3" t="s">
        <v>465</v>
      </c>
      <c r="F2100" s="3">
        <v>102500</v>
      </c>
      <c r="G2100" s="57" t="str">
        <f t="shared" si="32"/>
        <v>-</v>
      </c>
      <c r="H2100" s="1"/>
    </row>
    <row r="2101" spans="1:8" x14ac:dyDescent="0.2">
      <c r="A2101" s="1" t="s">
        <v>25</v>
      </c>
      <c r="B2101" s="2" t="s">
        <v>217</v>
      </c>
      <c r="D2101" s="5" t="s">
        <v>464</v>
      </c>
      <c r="E2101" s="3" t="s">
        <v>465</v>
      </c>
      <c r="F2101" s="3">
        <v>102500</v>
      </c>
      <c r="G2101" s="57" t="str">
        <f t="shared" si="32"/>
        <v>-</v>
      </c>
      <c r="H2101" s="1"/>
    </row>
    <row r="2102" spans="1:8" x14ac:dyDescent="0.2">
      <c r="A2102" s="1" t="s">
        <v>25</v>
      </c>
      <c r="B2102" s="2" t="s">
        <v>217</v>
      </c>
      <c r="D2102" s="5" t="s">
        <v>464</v>
      </c>
      <c r="E2102" s="3" t="s">
        <v>465</v>
      </c>
      <c r="F2102" s="3">
        <v>102500</v>
      </c>
      <c r="G2102" s="57" t="str">
        <f t="shared" si="32"/>
        <v>-</v>
      </c>
      <c r="H2102" s="1"/>
    </row>
    <row r="2103" spans="1:8" x14ac:dyDescent="0.2">
      <c r="A2103" s="1" t="s">
        <v>25</v>
      </c>
      <c r="B2103" s="2" t="s">
        <v>217</v>
      </c>
      <c r="D2103" s="5" t="s">
        <v>464</v>
      </c>
      <c r="E2103" s="3">
        <v>102500</v>
      </c>
      <c r="F2103" s="3" t="s">
        <v>465</v>
      </c>
      <c r="G2103" s="57" t="str">
        <f t="shared" si="32"/>
        <v>-</v>
      </c>
      <c r="H2103" s="1"/>
    </row>
    <row r="2104" spans="1:8" x14ac:dyDescent="0.2">
      <c r="A2104" s="1" t="s">
        <v>25</v>
      </c>
      <c r="B2104" s="2" t="s">
        <v>217</v>
      </c>
      <c r="D2104" s="5" t="s">
        <v>464</v>
      </c>
      <c r="E2104" s="3">
        <v>102500</v>
      </c>
      <c r="F2104" s="3" t="s">
        <v>465</v>
      </c>
      <c r="G2104" s="57" t="str">
        <f t="shared" si="32"/>
        <v>-</v>
      </c>
      <c r="H2104" s="1"/>
    </row>
    <row r="2105" spans="1:8" x14ac:dyDescent="0.2">
      <c r="A2105" s="1" t="s">
        <v>25</v>
      </c>
      <c r="B2105" s="2" t="s">
        <v>217</v>
      </c>
      <c r="D2105" s="5" t="s">
        <v>464</v>
      </c>
      <c r="E2105" s="3">
        <v>102500</v>
      </c>
      <c r="F2105" s="3" t="s">
        <v>465</v>
      </c>
      <c r="G2105" s="57" t="str">
        <f t="shared" si="32"/>
        <v>-</v>
      </c>
      <c r="H2105" s="1"/>
    </row>
    <row r="2106" spans="1:8" x14ac:dyDescent="0.2">
      <c r="A2106" s="1" t="s">
        <v>25</v>
      </c>
      <c r="B2106" s="2" t="s">
        <v>217</v>
      </c>
      <c r="D2106" s="5" t="s">
        <v>464</v>
      </c>
      <c r="E2106" s="3">
        <v>102500</v>
      </c>
      <c r="F2106" s="3" t="s">
        <v>465</v>
      </c>
      <c r="G2106" s="57" t="str">
        <f t="shared" si="32"/>
        <v>-</v>
      </c>
      <c r="H2106" s="1"/>
    </row>
    <row r="2107" spans="1:8" x14ac:dyDescent="0.2">
      <c r="A2107" s="1" t="s">
        <v>25</v>
      </c>
      <c r="B2107" s="2" t="s">
        <v>217</v>
      </c>
      <c r="D2107" s="5" t="s">
        <v>464</v>
      </c>
      <c r="E2107" s="3">
        <v>102500</v>
      </c>
      <c r="F2107" s="3" t="s">
        <v>465</v>
      </c>
      <c r="G2107" s="57" t="str">
        <f t="shared" si="32"/>
        <v>-</v>
      </c>
      <c r="H2107" s="1"/>
    </row>
    <row r="2108" spans="1:8" x14ac:dyDescent="0.2">
      <c r="A2108" s="1" t="s">
        <v>25</v>
      </c>
      <c r="B2108" s="2" t="s">
        <v>217</v>
      </c>
      <c r="D2108" s="5" t="s">
        <v>464</v>
      </c>
      <c r="E2108" s="3">
        <v>102500</v>
      </c>
      <c r="F2108" s="3" t="s">
        <v>465</v>
      </c>
      <c r="G2108" s="57" t="str">
        <f t="shared" si="32"/>
        <v>-</v>
      </c>
      <c r="H2108" s="1"/>
    </row>
    <row r="2109" spans="1:8" x14ac:dyDescent="0.2">
      <c r="A2109" s="1" t="s">
        <v>25</v>
      </c>
      <c r="B2109" s="2" t="s">
        <v>217</v>
      </c>
      <c r="D2109" s="5" t="s">
        <v>464</v>
      </c>
      <c r="E2109" s="3">
        <v>102500</v>
      </c>
      <c r="F2109" s="3" t="s">
        <v>465</v>
      </c>
      <c r="G2109" s="57" t="str">
        <f t="shared" si="32"/>
        <v>-</v>
      </c>
      <c r="H2109" s="1"/>
    </row>
    <row r="2110" spans="1:8" x14ac:dyDescent="0.2">
      <c r="A2110" s="1" t="s">
        <v>25</v>
      </c>
      <c r="B2110" s="2" t="s">
        <v>217</v>
      </c>
      <c r="D2110" s="5" t="s">
        <v>464</v>
      </c>
      <c r="E2110" s="3">
        <v>102500</v>
      </c>
      <c r="F2110" s="3" t="s">
        <v>465</v>
      </c>
      <c r="G2110" s="57" t="str">
        <f t="shared" si="32"/>
        <v>-</v>
      </c>
      <c r="H2110" s="1"/>
    </row>
    <row r="2111" spans="1:8" x14ac:dyDescent="0.2">
      <c r="A2111" s="1" t="s">
        <v>25</v>
      </c>
      <c r="B2111" s="2" t="s">
        <v>217</v>
      </c>
      <c r="D2111" s="5" t="s">
        <v>464</v>
      </c>
      <c r="E2111" s="3" t="s">
        <v>465</v>
      </c>
      <c r="F2111" s="3">
        <v>107500</v>
      </c>
      <c r="G2111" s="57" t="str">
        <f t="shared" si="32"/>
        <v>-</v>
      </c>
      <c r="H2111" s="1"/>
    </row>
    <row r="2112" spans="1:8" x14ac:dyDescent="0.2">
      <c r="A2112" s="1" t="s">
        <v>25</v>
      </c>
      <c r="B2112" s="2" t="s">
        <v>217</v>
      </c>
      <c r="D2112" s="5" t="s">
        <v>464</v>
      </c>
      <c r="E2112" s="3" t="s">
        <v>465</v>
      </c>
      <c r="F2112" s="3">
        <v>107500</v>
      </c>
      <c r="G2112" s="57" t="str">
        <f t="shared" si="32"/>
        <v>-</v>
      </c>
      <c r="H2112" s="1"/>
    </row>
    <row r="2113" spans="1:8" x14ac:dyDescent="0.2">
      <c r="A2113" s="1" t="s">
        <v>25</v>
      </c>
      <c r="B2113" s="2" t="s">
        <v>217</v>
      </c>
      <c r="D2113" s="5" t="s">
        <v>464</v>
      </c>
      <c r="E2113" s="6" t="s">
        <v>465</v>
      </c>
      <c r="F2113" s="3">
        <v>107500</v>
      </c>
      <c r="G2113" s="57" t="str">
        <f t="shared" si="32"/>
        <v>-</v>
      </c>
      <c r="H2113" s="1"/>
    </row>
    <row r="2114" spans="1:8" x14ac:dyDescent="0.2">
      <c r="A2114" s="1" t="s">
        <v>25</v>
      </c>
      <c r="B2114" s="2" t="s">
        <v>217</v>
      </c>
      <c r="D2114" s="5" t="s">
        <v>464</v>
      </c>
      <c r="E2114" s="3" t="s">
        <v>465</v>
      </c>
      <c r="F2114" s="3">
        <v>107500</v>
      </c>
      <c r="G2114" s="57" t="str">
        <f t="shared" si="32"/>
        <v>-</v>
      </c>
      <c r="H2114" s="1"/>
    </row>
    <row r="2115" spans="1:8" x14ac:dyDescent="0.2">
      <c r="A2115" s="1" t="s">
        <v>25</v>
      </c>
      <c r="B2115" s="2" t="s">
        <v>217</v>
      </c>
      <c r="D2115" s="5" t="s">
        <v>464</v>
      </c>
      <c r="E2115" s="3" t="s">
        <v>465</v>
      </c>
      <c r="F2115" s="3">
        <v>107500</v>
      </c>
      <c r="G2115" s="57" t="str">
        <f t="shared" ref="G2115:G2178" si="33">IF(ISERROR((F2115-E2115)/E2115),"-",(F2115-E2115)/E2115)</f>
        <v>-</v>
      </c>
      <c r="H2115" s="1"/>
    </row>
    <row r="2116" spans="1:8" x14ac:dyDescent="0.2">
      <c r="A2116" s="1" t="s">
        <v>25</v>
      </c>
      <c r="B2116" s="2" t="s">
        <v>217</v>
      </c>
      <c r="D2116" s="5" t="s">
        <v>464</v>
      </c>
      <c r="E2116" s="3" t="s">
        <v>465</v>
      </c>
      <c r="F2116" s="3">
        <v>107500</v>
      </c>
      <c r="G2116" s="57" t="str">
        <f t="shared" si="33"/>
        <v>-</v>
      </c>
      <c r="H2116" s="1"/>
    </row>
    <row r="2117" spans="1:8" x14ac:dyDescent="0.2">
      <c r="A2117" s="1" t="s">
        <v>25</v>
      </c>
      <c r="B2117" s="2" t="s">
        <v>217</v>
      </c>
      <c r="D2117" s="5" t="s">
        <v>464</v>
      </c>
      <c r="E2117" s="3" t="s">
        <v>465</v>
      </c>
      <c r="F2117" s="3">
        <v>107500</v>
      </c>
      <c r="G2117" s="57" t="str">
        <f t="shared" si="33"/>
        <v>-</v>
      </c>
      <c r="H2117" s="1"/>
    </row>
    <row r="2118" spans="1:8" x14ac:dyDescent="0.2">
      <c r="A2118" s="1" t="s">
        <v>25</v>
      </c>
      <c r="B2118" s="2" t="s">
        <v>217</v>
      </c>
      <c r="D2118" s="5" t="s">
        <v>464</v>
      </c>
      <c r="E2118" s="3" t="s">
        <v>465</v>
      </c>
      <c r="F2118" s="3">
        <v>112500</v>
      </c>
      <c r="G2118" s="57" t="str">
        <f t="shared" si="33"/>
        <v>-</v>
      </c>
      <c r="H2118" s="1"/>
    </row>
    <row r="2119" spans="1:8" x14ac:dyDescent="0.2">
      <c r="A2119" s="1" t="s">
        <v>25</v>
      </c>
      <c r="B2119" s="2" t="s">
        <v>217</v>
      </c>
      <c r="D2119" s="5" t="s">
        <v>464</v>
      </c>
      <c r="E2119" s="3" t="s">
        <v>465</v>
      </c>
      <c r="F2119" s="3">
        <v>112500</v>
      </c>
      <c r="G2119" s="57" t="str">
        <f t="shared" si="33"/>
        <v>-</v>
      </c>
      <c r="H2119" s="1"/>
    </row>
    <row r="2120" spans="1:8" x14ac:dyDescent="0.2">
      <c r="A2120" s="1" t="s">
        <v>25</v>
      </c>
      <c r="B2120" s="2" t="s">
        <v>217</v>
      </c>
      <c r="D2120" s="5" t="s">
        <v>464</v>
      </c>
      <c r="E2120" s="3" t="s">
        <v>465</v>
      </c>
      <c r="F2120" s="3">
        <v>112500</v>
      </c>
      <c r="G2120" s="57" t="str">
        <f t="shared" si="33"/>
        <v>-</v>
      </c>
      <c r="H2120" s="1"/>
    </row>
    <row r="2121" spans="1:8" x14ac:dyDescent="0.2">
      <c r="A2121" s="1" t="s">
        <v>25</v>
      </c>
      <c r="B2121" s="2" t="s">
        <v>217</v>
      </c>
      <c r="D2121" s="5" t="s">
        <v>464</v>
      </c>
      <c r="E2121" s="3" t="s">
        <v>465</v>
      </c>
      <c r="F2121" s="3">
        <v>112500</v>
      </c>
      <c r="G2121" s="57" t="str">
        <f t="shared" si="33"/>
        <v>-</v>
      </c>
      <c r="H2121" s="1"/>
    </row>
    <row r="2122" spans="1:8" x14ac:dyDescent="0.2">
      <c r="A2122" s="1" t="s">
        <v>25</v>
      </c>
      <c r="B2122" s="2" t="s">
        <v>217</v>
      </c>
      <c r="D2122" s="5" t="s">
        <v>464</v>
      </c>
      <c r="E2122" s="3" t="s">
        <v>465</v>
      </c>
      <c r="F2122" s="3">
        <v>112500</v>
      </c>
      <c r="G2122" s="57" t="str">
        <f t="shared" si="33"/>
        <v>-</v>
      </c>
      <c r="H2122" s="1"/>
    </row>
    <row r="2123" spans="1:8" x14ac:dyDescent="0.2">
      <c r="A2123" s="1" t="s">
        <v>25</v>
      </c>
      <c r="B2123" s="2" t="s">
        <v>217</v>
      </c>
      <c r="D2123" s="5" t="s">
        <v>464</v>
      </c>
      <c r="E2123" s="3" t="s">
        <v>465</v>
      </c>
      <c r="F2123" s="3">
        <v>112500</v>
      </c>
      <c r="G2123" s="57" t="str">
        <f t="shared" si="33"/>
        <v>-</v>
      </c>
      <c r="H2123" s="1"/>
    </row>
    <row r="2124" spans="1:8" x14ac:dyDescent="0.2">
      <c r="A2124" s="1" t="s">
        <v>25</v>
      </c>
      <c r="B2124" s="2" t="s">
        <v>217</v>
      </c>
      <c r="D2124" s="5" t="s">
        <v>464</v>
      </c>
      <c r="E2124" s="3">
        <v>112500</v>
      </c>
      <c r="F2124" s="3" t="s">
        <v>465</v>
      </c>
      <c r="G2124" s="57" t="str">
        <f t="shared" si="33"/>
        <v>-</v>
      </c>
      <c r="H2124" s="1"/>
    </row>
    <row r="2125" spans="1:8" x14ac:dyDescent="0.2">
      <c r="A2125" s="1" t="s">
        <v>25</v>
      </c>
      <c r="B2125" s="2" t="s">
        <v>217</v>
      </c>
      <c r="D2125" s="5" t="s">
        <v>464</v>
      </c>
      <c r="E2125" s="3">
        <v>112500</v>
      </c>
      <c r="F2125" s="3" t="s">
        <v>465</v>
      </c>
      <c r="G2125" s="57" t="str">
        <f t="shared" si="33"/>
        <v>-</v>
      </c>
      <c r="H2125" s="1"/>
    </row>
    <row r="2126" spans="1:8" x14ac:dyDescent="0.2">
      <c r="A2126" s="1" t="s">
        <v>25</v>
      </c>
      <c r="B2126" s="2" t="s">
        <v>217</v>
      </c>
      <c r="D2126" s="5" t="s">
        <v>464</v>
      </c>
      <c r="E2126" s="3">
        <v>112500</v>
      </c>
      <c r="F2126" s="3" t="s">
        <v>465</v>
      </c>
      <c r="G2126" s="57" t="str">
        <f t="shared" si="33"/>
        <v>-</v>
      </c>
      <c r="H2126" s="1"/>
    </row>
    <row r="2127" spans="1:8" x14ac:dyDescent="0.2">
      <c r="A2127" s="1" t="s">
        <v>25</v>
      </c>
      <c r="B2127" s="2" t="s">
        <v>217</v>
      </c>
      <c r="D2127" s="5" t="s">
        <v>464</v>
      </c>
      <c r="E2127" s="3">
        <v>112500</v>
      </c>
      <c r="F2127" s="3" t="s">
        <v>465</v>
      </c>
      <c r="G2127" s="57" t="str">
        <f t="shared" si="33"/>
        <v>-</v>
      </c>
      <c r="H2127" s="1"/>
    </row>
    <row r="2128" spans="1:8" x14ac:dyDescent="0.2">
      <c r="A2128" s="1" t="s">
        <v>25</v>
      </c>
      <c r="B2128" s="2" t="s">
        <v>217</v>
      </c>
      <c r="D2128" s="5" t="s">
        <v>464</v>
      </c>
      <c r="E2128" s="3">
        <v>112500</v>
      </c>
      <c r="F2128" s="3" t="s">
        <v>465</v>
      </c>
      <c r="G2128" s="57" t="str">
        <f t="shared" si="33"/>
        <v>-</v>
      </c>
      <c r="H2128" s="1"/>
    </row>
    <row r="2129" spans="1:8" x14ac:dyDescent="0.2">
      <c r="A2129" s="1" t="s">
        <v>25</v>
      </c>
      <c r="B2129" s="2" t="s">
        <v>217</v>
      </c>
      <c r="D2129" s="5" t="s">
        <v>464</v>
      </c>
      <c r="E2129" s="3">
        <v>112500</v>
      </c>
      <c r="F2129" s="3" t="s">
        <v>465</v>
      </c>
      <c r="G2129" s="57" t="str">
        <f t="shared" si="33"/>
        <v>-</v>
      </c>
      <c r="H2129" s="1"/>
    </row>
    <row r="2130" spans="1:8" x14ac:dyDescent="0.2">
      <c r="A2130" s="1" t="s">
        <v>25</v>
      </c>
      <c r="B2130" s="2" t="s">
        <v>217</v>
      </c>
      <c r="D2130" s="5" t="s">
        <v>464</v>
      </c>
      <c r="E2130" s="3" t="s">
        <v>465</v>
      </c>
      <c r="F2130" s="3">
        <v>117500</v>
      </c>
      <c r="G2130" s="57" t="str">
        <f t="shared" si="33"/>
        <v>-</v>
      </c>
      <c r="H2130" s="1"/>
    </row>
    <row r="2131" spans="1:8" x14ac:dyDescent="0.2">
      <c r="A2131" s="1" t="s">
        <v>25</v>
      </c>
      <c r="B2131" s="2" t="s">
        <v>217</v>
      </c>
      <c r="D2131" s="5" t="s">
        <v>464</v>
      </c>
      <c r="E2131" s="3">
        <v>117500</v>
      </c>
      <c r="F2131" s="3" t="s">
        <v>465</v>
      </c>
      <c r="G2131" s="57" t="str">
        <f t="shared" si="33"/>
        <v>-</v>
      </c>
      <c r="H2131" s="1"/>
    </row>
    <row r="2132" spans="1:8" x14ac:dyDescent="0.2">
      <c r="A2132" s="1" t="s">
        <v>25</v>
      </c>
      <c r="B2132" s="2" t="s">
        <v>217</v>
      </c>
      <c r="D2132" s="5" t="s">
        <v>464</v>
      </c>
      <c r="E2132" s="3" t="s">
        <v>465</v>
      </c>
      <c r="F2132" s="3">
        <v>122500</v>
      </c>
      <c r="G2132" s="57" t="str">
        <f t="shared" si="33"/>
        <v>-</v>
      </c>
    </row>
    <row r="2133" spans="1:8" x14ac:dyDescent="0.2">
      <c r="A2133" s="1" t="s">
        <v>25</v>
      </c>
      <c r="B2133" s="2" t="s">
        <v>217</v>
      </c>
      <c r="D2133" s="5" t="s">
        <v>464</v>
      </c>
      <c r="E2133" s="3" t="s">
        <v>465</v>
      </c>
      <c r="F2133" s="3">
        <v>122500</v>
      </c>
      <c r="G2133" s="57" t="str">
        <f t="shared" si="33"/>
        <v>-</v>
      </c>
    </row>
    <row r="2134" spans="1:8" x14ac:dyDescent="0.2">
      <c r="A2134" s="1" t="s">
        <v>25</v>
      </c>
      <c r="B2134" s="2" t="s">
        <v>217</v>
      </c>
      <c r="D2134" s="5" t="s">
        <v>464</v>
      </c>
      <c r="E2134" s="3">
        <v>122500</v>
      </c>
      <c r="F2134" s="3" t="s">
        <v>465</v>
      </c>
      <c r="G2134" s="57" t="str">
        <f t="shared" si="33"/>
        <v>-</v>
      </c>
    </row>
    <row r="2135" spans="1:8" x14ac:dyDescent="0.2">
      <c r="A2135" s="1" t="s">
        <v>25</v>
      </c>
      <c r="B2135" s="2" t="s">
        <v>217</v>
      </c>
      <c r="D2135" s="5" t="s">
        <v>464</v>
      </c>
      <c r="E2135" s="3" t="s">
        <v>465</v>
      </c>
      <c r="F2135" s="3">
        <v>127500</v>
      </c>
      <c r="G2135" s="57" t="str">
        <f t="shared" si="33"/>
        <v>-</v>
      </c>
    </row>
    <row r="2136" spans="1:8" x14ac:dyDescent="0.2">
      <c r="A2136" s="1" t="s">
        <v>25</v>
      </c>
      <c r="B2136" s="2" t="s">
        <v>217</v>
      </c>
      <c r="D2136" s="5" t="s">
        <v>464</v>
      </c>
      <c r="E2136" s="3" t="s">
        <v>465</v>
      </c>
      <c r="F2136" s="3">
        <v>132500</v>
      </c>
      <c r="G2136" s="57" t="str">
        <f t="shared" si="33"/>
        <v>-</v>
      </c>
    </row>
    <row r="2137" spans="1:8" ht="38.25" x14ac:dyDescent="0.2">
      <c r="A2137" s="1" t="s">
        <v>6</v>
      </c>
      <c r="B2137" s="2" t="s">
        <v>218</v>
      </c>
      <c r="C2137" s="5" t="s">
        <v>1294</v>
      </c>
      <c r="D2137" s="5" t="s">
        <v>450</v>
      </c>
      <c r="E2137" s="9">
        <v>266675</v>
      </c>
      <c r="F2137" s="9">
        <v>205048</v>
      </c>
      <c r="G2137" s="57">
        <f t="shared" si="33"/>
        <v>-0.23109402831161527</v>
      </c>
      <c r="H2137" s="5" t="s">
        <v>3286</v>
      </c>
    </row>
    <row r="2138" spans="1:8" ht="38.25" x14ac:dyDescent="0.2">
      <c r="A2138" s="1" t="s">
        <v>6</v>
      </c>
      <c r="B2138" s="2" t="s">
        <v>218</v>
      </c>
      <c r="D2138" s="5" t="s">
        <v>1295</v>
      </c>
      <c r="E2138" s="9">
        <v>158582</v>
      </c>
      <c r="F2138" s="9">
        <v>160962</v>
      </c>
      <c r="G2138" s="57">
        <f t="shared" si="33"/>
        <v>1.5008008475110668E-2</v>
      </c>
      <c r="H2138" s="5" t="s">
        <v>3287</v>
      </c>
    </row>
    <row r="2139" spans="1:8" ht="38.25" x14ac:dyDescent="0.2">
      <c r="A2139" s="1" t="s">
        <v>6</v>
      </c>
      <c r="B2139" s="2" t="s">
        <v>218</v>
      </c>
      <c r="D2139" s="5" t="s">
        <v>1296</v>
      </c>
      <c r="E2139" s="9">
        <v>157265</v>
      </c>
      <c r="F2139" s="9">
        <v>158324</v>
      </c>
      <c r="G2139" s="57">
        <f t="shared" si="33"/>
        <v>6.7338568657997651E-3</v>
      </c>
      <c r="H2139" s="5" t="s">
        <v>3288</v>
      </c>
    </row>
    <row r="2140" spans="1:8" ht="38.25" x14ac:dyDescent="0.2">
      <c r="A2140" s="1" t="s">
        <v>6</v>
      </c>
      <c r="B2140" s="2" t="s">
        <v>218</v>
      </c>
      <c r="D2140" s="5" t="s">
        <v>1297</v>
      </c>
      <c r="E2140" s="9">
        <v>154387</v>
      </c>
      <c r="F2140" s="9">
        <v>158043</v>
      </c>
      <c r="G2140" s="57">
        <f t="shared" si="33"/>
        <v>2.3680750322242157E-2</v>
      </c>
      <c r="H2140" s="5" t="s">
        <v>3289</v>
      </c>
    </row>
    <row r="2141" spans="1:8" ht="38.25" x14ac:dyDescent="0.2">
      <c r="A2141" s="1" t="s">
        <v>6</v>
      </c>
      <c r="B2141" s="2" t="s">
        <v>218</v>
      </c>
      <c r="D2141" s="5" t="s">
        <v>1298</v>
      </c>
      <c r="E2141" s="9">
        <v>146607</v>
      </c>
      <c r="F2141" s="9">
        <v>151432</v>
      </c>
      <c r="G2141" s="57">
        <f t="shared" si="33"/>
        <v>3.2911116113146031E-2</v>
      </c>
      <c r="H2141" s="5" t="s">
        <v>3290</v>
      </c>
    </row>
    <row r="2142" spans="1:8" ht="38.25" x14ac:dyDescent="0.2">
      <c r="A2142" s="1" t="s">
        <v>6</v>
      </c>
      <c r="B2142" s="2" t="s">
        <v>218</v>
      </c>
      <c r="D2142" s="5" t="s">
        <v>886</v>
      </c>
      <c r="E2142" s="9">
        <v>133472</v>
      </c>
      <c r="F2142" s="9">
        <v>130963</v>
      </c>
      <c r="G2142" s="57">
        <f t="shared" si="33"/>
        <v>-1.8797950131862862E-2</v>
      </c>
      <c r="H2142" s="5" t="s">
        <v>3291</v>
      </c>
    </row>
    <row r="2143" spans="1:8" ht="51" x14ac:dyDescent="0.2">
      <c r="A2143" s="1" t="s">
        <v>6</v>
      </c>
      <c r="B2143" s="2" t="s">
        <v>218</v>
      </c>
      <c r="D2143" s="5" t="s">
        <v>1299</v>
      </c>
      <c r="E2143" s="9">
        <v>153817</v>
      </c>
      <c r="F2143" s="9">
        <v>157881</v>
      </c>
      <c r="G2143" s="57">
        <f t="shared" si="33"/>
        <v>2.6421006780784958E-2</v>
      </c>
      <c r="H2143" s="5" t="s">
        <v>3292</v>
      </c>
    </row>
    <row r="2144" spans="1:8" ht="38.25" x14ac:dyDescent="0.2">
      <c r="A2144" s="1" t="s">
        <v>6</v>
      </c>
      <c r="B2144" s="2" t="s">
        <v>218</v>
      </c>
      <c r="D2144" s="5" t="s">
        <v>3293</v>
      </c>
      <c r="E2144" s="9">
        <v>118386</v>
      </c>
      <c r="F2144" s="9">
        <v>98576</v>
      </c>
      <c r="G2144" s="57">
        <f t="shared" si="33"/>
        <v>-0.16733397530113359</v>
      </c>
      <c r="H2144" s="5" t="s">
        <v>4359</v>
      </c>
    </row>
    <row r="2145" spans="1:8" x14ac:dyDescent="0.2">
      <c r="A2145" s="1" t="s">
        <v>6</v>
      </c>
      <c r="B2145" s="2" t="s">
        <v>218</v>
      </c>
      <c r="D2145" s="5" t="s">
        <v>464</v>
      </c>
      <c r="E2145" s="3" t="s">
        <v>465</v>
      </c>
      <c r="F2145" s="3">
        <v>102500</v>
      </c>
      <c r="G2145" s="57" t="str">
        <f t="shared" si="33"/>
        <v>-</v>
      </c>
    </row>
    <row r="2146" spans="1:8" x14ac:dyDescent="0.2">
      <c r="A2146" s="1" t="s">
        <v>6</v>
      </c>
      <c r="B2146" s="2" t="s">
        <v>218</v>
      </c>
      <c r="D2146" s="5" t="s">
        <v>464</v>
      </c>
      <c r="E2146" s="3" t="s">
        <v>465</v>
      </c>
      <c r="F2146" s="3">
        <v>102500</v>
      </c>
      <c r="G2146" s="57" t="str">
        <f t="shared" si="33"/>
        <v>-</v>
      </c>
    </row>
    <row r="2147" spans="1:8" x14ac:dyDescent="0.2">
      <c r="A2147" s="1" t="s">
        <v>6</v>
      </c>
      <c r="B2147" s="2" t="s">
        <v>218</v>
      </c>
      <c r="D2147" s="5" t="s">
        <v>464</v>
      </c>
      <c r="E2147" s="3" t="s">
        <v>465</v>
      </c>
      <c r="F2147" s="3">
        <v>107500</v>
      </c>
      <c r="G2147" s="57" t="str">
        <f t="shared" si="33"/>
        <v>-</v>
      </c>
    </row>
    <row r="2148" spans="1:8" x14ac:dyDescent="0.2">
      <c r="A2148" s="1" t="s">
        <v>6</v>
      </c>
      <c r="B2148" s="2" t="s">
        <v>218</v>
      </c>
      <c r="D2148" s="5" t="s">
        <v>464</v>
      </c>
      <c r="E2148" s="3" t="s">
        <v>465</v>
      </c>
      <c r="F2148" s="3">
        <v>117500</v>
      </c>
      <c r="G2148" s="57" t="str">
        <f t="shared" si="33"/>
        <v>-</v>
      </c>
    </row>
    <row r="2149" spans="1:8" x14ac:dyDescent="0.2">
      <c r="A2149" s="1" t="s">
        <v>6</v>
      </c>
      <c r="B2149" s="2" t="s">
        <v>218</v>
      </c>
      <c r="D2149" s="5" t="s">
        <v>464</v>
      </c>
      <c r="E2149" s="3" t="s">
        <v>465</v>
      </c>
      <c r="F2149" s="3">
        <v>127500</v>
      </c>
      <c r="G2149" s="57" t="str">
        <f t="shared" si="33"/>
        <v>-</v>
      </c>
      <c r="H2149" s="5" t="s">
        <v>1241</v>
      </c>
    </row>
    <row r="2150" spans="1:8" x14ac:dyDescent="0.2">
      <c r="A2150" s="1" t="s">
        <v>6</v>
      </c>
      <c r="B2150" s="2" t="s">
        <v>218</v>
      </c>
      <c r="D2150" s="5" t="s">
        <v>464</v>
      </c>
      <c r="E2150" s="3">
        <v>102500</v>
      </c>
      <c r="F2150" s="3" t="s">
        <v>465</v>
      </c>
      <c r="G2150" s="57" t="str">
        <f t="shared" si="33"/>
        <v>-</v>
      </c>
      <c r="H2150" s="1"/>
    </row>
    <row r="2151" spans="1:8" x14ac:dyDescent="0.2">
      <c r="A2151" s="1" t="s">
        <v>6</v>
      </c>
      <c r="B2151" s="2" t="s">
        <v>218</v>
      </c>
      <c r="D2151" s="5" t="s">
        <v>464</v>
      </c>
      <c r="E2151" s="3">
        <v>102500</v>
      </c>
      <c r="F2151" s="3" t="s">
        <v>465</v>
      </c>
      <c r="G2151" s="57" t="str">
        <f t="shared" si="33"/>
        <v>-</v>
      </c>
    </row>
    <row r="2152" spans="1:8" x14ac:dyDescent="0.2">
      <c r="A2152" s="1" t="s">
        <v>6</v>
      </c>
      <c r="B2152" s="2" t="s">
        <v>218</v>
      </c>
      <c r="D2152" s="5" t="s">
        <v>464</v>
      </c>
      <c r="E2152" s="3">
        <v>102500</v>
      </c>
      <c r="F2152" s="3" t="s">
        <v>465</v>
      </c>
      <c r="G2152" s="57" t="str">
        <f t="shared" si="33"/>
        <v>-</v>
      </c>
    </row>
    <row r="2153" spans="1:8" x14ac:dyDescent="0.2">
      <c r="A2153" s="1" t="s">
        <v>6</v>
      </c>
      <c r="B2153" s="2" t="s">
        <v>218</v>
      </c>
      <c r="D2153" s="5" t="s">
        <v>464</v>
      </c>
      <c r="E2153" s="3">
        <v>102500</v>
      </c>
      <c r="F2153" s="3" t="s">
        <v>465</v>
      </c>
      <c r="G2153" s="57" t="str">
        <f t="shared" si="33"/>
        <v>-</v>
      </c>
    </row>
    <row r="2154" spans="1:8" x14ac:dyDescent="0.2">
      <c r="A2154" s="1" t="s">
        <v>6</v>
      </c>
      <c r="B2154" s="2" t="s">
        <v>218</v>
      </c>
      <c r="D2154" s="5" t="s">
        <v>464</v>
      </c>
      <c r="E2154" s="3">
        <v>107500</v>
      </c>
      <c r="F2154" s="3" t="s">
        <v>465</v>
      </c>
      <c r="G2154" s="57" t="str">
        <f t="shared" si="33"/>
        <v>-</v>
      </c>
    </row>
    <row r="2155" spans="1:8" x14ac:dyDescent="0.2">
      <c r="A2155" s="1" t="s">
        <v>6</v>
      </c>
      <c r="B2155" s="2" t="s">
        <v>218</v>
      </c>
      <c r="D2155" s="5" t="s">
        <v>464</v>
      </c>
      <c r="E2155" s="3">
        <v>107500</v>
      </c>
      <c r="F2155" s="3" t="s">
        <v>465</v>
      </c>
      <c r="G2155" s="57" t="str">
        <f t="shared" si="33"/>
        <v>-</v>
      </c>
    </row>
    <row r="2156" spans="1:8" x14ac:dyDescent="0.2">
      <c r="A2156" s="1" t="s">
        <v>6</v>
      </c>
      <c r="B2156" s="2" t="s">
        <v>218</v>
      </c>
      <c r="D2156" s="5" t="s">
        <v>464</v>
      </c>
      <c r="E2156" s="3">
        <v>117500</v>
      </c>
      <c r="F2156" s="3" t="s">
        <v>465</v>
      </c>
      <c r="G2156" s="57" t="str">
        <f t="shared" si="33"/>
        <v>-</v>
      </c>
    </row>
    <row r="2157" spans="1:8" x14ac:dyDescent="0.2">
      <c r="A2157" s="1" t="s">
        <v>6</v>
      </c>
      <c r="B2157" s="2" t="s">
        <v>218</v>
      </c>
      <c r="D2157" s="5" t="s">
        <v>464</v>
      </c>
      <c r="E2157" s="3">
        <v>152500</v>
      </c>
      <c r="F2157" s="3" t="s">
        <v>465</v>
      </c>
      <c r="G2157" s="57" t="str">
        <f t="shared" si="33"/>
        <v>-</v>
      </c>
    </row>
    <row r="2158" spans="1:8" ht="25.5" x14ac:dyDescent="0.2">
      <c r="A2158" s="1" t="s">
        <v>6</v>
      </c>
      <c r="B2158" s="2" t="s">
        <v>219</v>
      </c>
      <c r="C2158" s="5" t="s">
        <v>1285</v>
      </c>
      <c r="D2158" s="5" t="s">
        <v>450</v>
      </c>
      <c r="E2158" s="3">
        <v>128000</v>
      </c>
      <c r="F2158" s="3">
        <v>129000</v>
      </c>
      <c r="G2158" s="57">
        <f t="shared" si="33"/>
        <v>7.8125E-3</v>
      </c>
      <c r="H2158" s="5" t="s">
        <v>3277</v>
      </c>
    </row>
    <row r="2159" spans="1:8" ht="51" x14ac:dyDescent="0.2">
      <c r="A2159" s="1" t="s">
        <v>6</v>
      </c>
      <c r="B2159" s="2" t="s">
        <v>219</v>
      </c>
      <c r="C2159" s="5" t="s">
        <v>1286</v>
      </c>
      <c r="D2159" s="5" t="s">
        <v>1287</v>
      </c>
      <c r="E2159" s="3">
        <v>67000</v>
      </c>
      <c r="F2159" s="3">
        <v>135000</v>
      </c>
      <c r="G2159" s="57">
        <f t="shared" si="33"/>
        <v>1.0149253731343284</v>
      </c>
      <c r="H2159" s="5" t="s">
        <v>4663</v>
      </c>
    </row>
    <row r="2160" spans="1:8" ht="51" x14ac:dyDescent="0.2">
      <c r="A2160" s="1" t="s">
        <v>6</v>
      </c>
      <c r="B2160" s="2" t="s">
        <v>219</v>
      </c>
      <c r="C2160" s="5" t="s">
        <v>1288</v>
      </c>
      <c r="D2160" s="5" t="s">
        <v>1289</v>
      </c>
      <c r="E2160" s="3">
        <v>68000</v>
      </c>
      <c r="F2160" s="3">
        <v>125000</v>
      </c>
      <c r="G2160" s="57">
        <f t="shared" si="33"/>
        <v>0.83823529411764708</v>
      </c>
      <c r="H2160" s="5" t="s">
        <v>3278</v>
      </c>
    </row>
    <row r="2161" spans="1:8" ht="51" x14ac:dyDescent="0.2">
      <c r="A2161" s="1" t="s">
        <v>6</v>
      </c>
      <c r="B2161" s="2" t="s">
        <v>219</v>
      </c>
      <c r="C2161" s="5" t="s">
        <v>1290</v>
      </c>
      <c r="D2161" s="5" t="s">
        <v>1291</v>
      </c>
      <c r="E2161" s="3">
        <v>93000</v>
      </c>
      <c r="F2161" s="3">
        <v>136000</v>
      </c>
      <c r="G2161" s="57">
        <f t="shared" si="33"/>
        <v>0.46236559139784944</v>
      </c>
      <c r="H2161" s="5" t="s">
        <v>3279</v>
      </c>
    </row>
    <row r="2162" spans="1:8" ht="51" x14ac:dyDescent="0.2">
      <c r="A2162" s="1" t="s">
        <v>6</v>
      </c>
      <c r="B2162" s="2" t="s">
        <v>219</v>
      </c>
      <c r="C2162" s="5" t="s">
        <v>1292</v>
      </c>
      <c r="D2162" s="5" t="s">
        <v>1293</v>
      </c>
      <c r="E2162" s="3">
        <v>93000</v>
      </c>
      <c r="F2162" s="3">
        <v>141000</v>
      </c>
      <c r="G2162" s="57">
        <f t="shared" si="33"/>
        <v>0.5161290322580645</v>
      </c>
      <c r="H2162" s="5" t="s">
        <v>3280</v>
      </c>
    </row>
    <row r="2163" spans="1:8" x14ac:dyDescent="0.2">
      <c r="A2163" s="1" t="s">
        <v>6</v>
      </c>
      <c r="B2163" s="2" t="s">
        <v>219</v>
      </c>
      <c r="C2163" s="5" t="s">
        <v>3282</v>
      </c>
      <c r="D2163" s="5" t="s">
        <v>3026</v>
      </c>
      <c r="E2163" s="3">
        <v>129000</v>
      </c>
      <c r="F2163" s="3" t="s">
        <v>465</v>
      </c>
      <c r="G2163" s="57" t="str">
        <f t="shared" si="33"/>
        <v>-</v>
      </c>
      <c r="H2163" s="5" t="s">
        <v>3285</v>
      </c>
    </row>
    <row r="2164" spans="1:8" x14ac:dyDescent="0.2">
      <c r="A2164" s="1" t="s">
        <v>6</v>
      </c>
      <c r="B2164" s="2" t="s">
        <v>219</v>
      </c>
      <c r="C2164" s="5" t="s">
        <v>3283</v>
      </c>
      <c r="D2164" s="5" t="s">
        <v>3281</v>
      </c>
      <c r="E2164" s="3">
        <v>131000</v>
      </c>
      <c r="F2164" s="3" t="s">
        <v>465</v>
      </c>
      <c r="G2164" s="57" t="str">
        <f t="shared" si="33"/>
        <v>-</v>
      </c>
      <c r="H2164" s="5" t="s">
        <v>3285</v>
      </c>
    </row>
    <row r="2165" spans="1:8" x14ac:dyDescent="0.2">
      <c r="A2165" s="1" t="s">
        <v>6</v>
      </c>
      <c r="B2165" s="2" t="s">
        <v>219</v>
      </c>
      <c r="C2165" s="5" t="s">
        <v>3284</v>
      </c>
      <c r="D2165" s="5" t="s">
        <v>4664</v>
      </c>
      <c r="E2165" s="3">
        <v>128000</v>
      </c>
      <c r="F2165" s="3" t="s">
        <v>465</v>
      </c>
      <c r="G2165" s="57" t="str">
        <f t="shared" si="33"/>
        <v>-</v>
      </c>
      <c r="H2165" s="5" t="s">
        <v>3285</v>
      </c>
    </row>
    <row r="2166" spans="1:8" ht="25.5" x14ac:dyDescent="0.2">
      <c r="A2166" s="1" t="s">
        <v>11</v>
      </c>
      <c r="B2166" s="2" t="s">
        <v>220</v>
      </c>
      <c r="C2166" s="29" t="s">
        <v>2697</v>
      </c>
      <c r="G2166" s="57" t="str">
        <f t="shared" si="33"/>
        <v>-</v>
      </c>
    </row>
    <row r="2167" spans="1:8" ht="25.5" x14ac:dyDescent="0.2">
      <c r="A2167" s="1" t="s">
        <v>28</v>
      </c>
      <c r="B2167" s="2" t="s">
        <v>221</v>
      </c>
      <c r="C2167" s="5" t="s">
        <v>1277</v>
      </c>
      <c r="D2167" s="5" t="s">
        <v>450</v>
      </c>
      <c r="E2167" s="9" t="s">
        <v>465</v>
      </c>
      <c r="F2167" s="9">
        <v>130173</v>
      </c>
      <c r="G2167" s="57" t="str">
        <f t="shared" si="33"/>
        <v>-</v>
      </c>
      <c r="H2167" s="5" t="s">
        <v>3266</v>
      </c>
    </row>
    <row r="2168" spans="1:8" ht="25.5" x14ac:dyDescent="0.2">
      <c r="A2168" s="1" t="s">
        <v>28</v>
      </c>
      <c r="B2168" s="2" t="s">
        <v>221</v>
      </c>
      <c r="C2168" s="5" t="s">
        <v>3264</v>
      </c>
      <c r="D2168" s="5" t="s">
        <v>450</v>
      </c>
      <c r="E2168" s="9">
        <v>222122</v>
      </c>
      <c r="F2168" s="9">
        <v>87316</v>
      </c>
      <c r="G2168" s="57">
        <f t="shared" si="33"/>
        <v>-0.60690071222121178</v>
      </c>
      <c r="H2168" s="5" t="s">
        <v>3265</v>
      </c>
    </row>
    <row r="2169" spans="1:8" ht="25.5" x14ac:dyDescent="0.2">
      <c r="A2169" s="1" t="s">
        <v>28</v>
      </c>
      <c r="B2169" s="2" t="s">
        <v>221</v>
      </c>
      <c r="C2169" s="5" t="s">
        <v>1278</v>
      </c>
      <c r="D2169" s="5" t="s">
        <v>1279</v>
      </c>
      <c r="E2169" s="9">
        <v>44137</v>
      </c>
      <c r="F2169" s="9">
        <v>184686</v>
      </c>
      <c r="G2169" s="57">
        <f t="shared" si="33"/>
        <v>3.1843804517751546</v>
      </c>
      <c r="H2169" s="5" t="s">
        <v>3273</v>
      </c>
    </row>
    <row r="2170" spans="1:8" x14ac:dyDescent="0.2">
      <c r="A2170" s="1" t="s">
        <v>28</v>
      </c>
      <c r="B2170" s="2" t="s">
        <v>221</v>
      </c>
      <c r="C2170" s="5" t="s">
        <v>3271</v>
      </c>
      <c r="D2170" s="5" t="s">
        <v>455</v>
      </c>
      <c r="E2170" s="9">
        <v>136175</v>
      </c>
      <c r="F2170" s="9" t="s">
        <v>465</v>
      </c>
      <c r="G2170" s="57" t="str">
        <f t="shared" si="33"/>
        <v>-</v>
      </c>
      <c r="H2170" s="5" t="s">
        <v>3272</v>
      </c>
    </row>
    <row r="2171" spans="1:8" x14ac:dyDescent="0.2">
      <c r="A2171" s="1" t="s">
        <v>28</v>
      </c>
      <c r="B2171" s="2" t="s">
        <v>221</v>
      </c>
      <c r="D2171" s="5" t="s">
        <v>463</v>
      </c>
      <c r="E2171" s="9">
        <v>121424</v>
      </c>
      <c r="F2171" s="9" t="s">
        <v>465</v>
      </c>
      <c r="G2171" s="57" t="str">
        <f t="shared" si="33"/>
        <v>-</v>
      </c>
      <c r="H2171" s="5" t="s">
        <v>3272</v>
      </c>
    </row>
    <row r="2172" spans="1:8" ht="25.5" x14ac:dyDescent="0.2">
      <c r="A2172" s="1" t="s">
        <v>28</v>
      </c>
      <c r="B2172" s="2" t="s">
        <v>221</v>
      </c>
      <c r="D2172" s="5" t="s">
        <v>1280</v>
      </c>
      <c r="E2172" s="9">
        <v>134930</v>
      </c>
      <c r="F2172" s="9">
        <v>138835</v>
      </c>
      <c r="G2172" s="57">
        <f t="shared" si="33"/>
        <v>2.8940932335284962E-2</v>
      </c>
      <c r="H2172" s="5" t="s">
        <v>3267</v>
      </c>
    </row>
    <row r="2173" spans="1:8" ht="25.5" x14ac:dyDescent="0.2">
      <c r="A2173" s="1" t="s">
        <v>28</v>
      </c>
      <c r="B2173" s="2" t="s">
        <v>221</v>
      </c>
      <c r="D2173" s="5" t="s">
        <v>1281</v>
      </c>
      <c r="E2173" s="9">
        <v>140584</v>
      </c>
      <c r="F2173" s="9">
        <v>325592</v>
      </c>
      <c r="G2173" s="57">
        <f t="shared" si="33"/>
        <v>1.3159961304273602</v>
      </c>
      <c r="H2173" s="5" t="s">
        <v>3268</v>
      </c>
    </row>
    <row r="2174" spans="1:8" ht="25.5" x14ac:dyDescent="0.2">
      <c r="A2174" s="1" t="s">
        <v>28</v>
      </c>
      <c r="B2174" s="2" t="s">
        <v>221</v>
      </c>
      <c r="D2174" s="5" t="s">
        <v>1282</v>
      </c>
      <c r="E2174" s="9">
        <v>162194</v>
      </c>
      <c r="F2174" s="9">
        <v>166865</v>
      </c>
      <c r="G2174" s="57">
        <f t="shared" si="33"/>
        <v>2.879884582660271E-2</v>
      </c>
      <c r="H2174" s="5" t="s">
        <v>3269</v>
      </c>
    </row>
    <row r="2175" spans="1:8" ht="25.5" x14ac:dyDescent="0.2">
      <c r="A2175" s="1" t="s">
        <v>28</v>
      </c>
      <c r="B2175" s="2" t="s">
        <v>221</v>
      </c>
      <c r="C2175" s="5" t="s">
        <v>1283</v>
      </c>
      <c r="D2175" s="5" t="s">
        <v>1284</v>
      </c>
      <c r="E2175" s="9">
        <v>162203</v>
      </c>
      <c r="F2175" s="9">
        <v>172243</v>
      </c>
      <c r="G2175" s="57">
        <f t="shared" si="33"/>
        <v>6.1897745417778954E-2</v>
      </c>
      <c r="H2175" s="5" t="s">
        <v>3270</v>
      </c>
    </row>
    <row r="2176" spans="1:8" ht="25.5" x14ac:dyDescent="0.2">
      <c r="A2176" s="1" t="s">
        <v>28</v>
      </c>
      <c r="B2176" s="2" t="s">
        <v>221</v>
      </c>
      <c r="D2176" s="5" t="s">
        <v>3274</v>
      </c>
      <c r="E2176" s="9">
        <v>163866</v>
      </c>
      <c r="F2176" s="9">
        <v>60878</v>
      </c>
      <c r="G2176" s="57">
        <f t="shared" si="33"/>
        <v>-0.6284891313634311</v>
      </c>
      <c r="H2176" s="5" t="s">
        <v>3275</v>
      </c>
    </row>
    <row r="2177" spans="1:8" x14ac:dyDescent="0.2">
      <c r="A2177" s="1" t="s">
        <v>28</v>
      </c>
      <c r="B2177" s="2" t="s">
        <v>221</v>
      </c>
      <c r="D2177" s="5" t="s">
        <v>562</v>
      </c>
      <c r="E2177" s="9">
        <v>169874</v>
      </c>
      <c r="F2177" s="9" t="s">
        <v>465</v>
      </c>
      <c r="G2177" s="57" t="str">
        <f t="shared" si="33"/>
        <v>-</v>
      </c>
      <c r="H2177" s="5" t="s">
        <v>3272</v>
      </c>
    </row>
    <row r="2178" spans="1:8" ht="38.25" x14ac:dyDescent="0.2">
      <c r="A2178" s="1" t="s">
        <v>28</v>
      </c>
      <c r="B2178" s="2" t="s">
        <v>221</v>
      </c>
      <c r="D2178" s="5" t="s">
        <v>464</v>
      </c>
      <c r="E2178" s="3">
        <v>102500</v>
      </c>
      <c r="F2178" s="3" t="s">
        <v>465</v>
      </c>
      <c r="G2178" s="57" t="str">
        <f t="shared" si="33"/>
        <v>-</v>
      </c>
      <c r="H2178" s="5" t="s">
        <v>3276</v>
      </c>
    </row>
    <row r="2179" spans="1:8" x14ac:dyDescent="0.2">
      <c r="A2179" s="1" t="s">
        <v>28</v>
      </c>
      <c r="B2179" s="2" t="s">
        <v>221</v>
      </c>
      <c r="D2179" s="5" t="s">
        <v>464</v>
      </c>
      <c r="E2179" s="3" t="s">
        <v>465</v>
      </c>
      <c r="F2179" s="3">
        <v>102500</v>
      </c>
      <c r="G2179" s="57" t="str">
        <f t="shared" ref="G2179:G2242" si="34">IF(ISERROR((F2179-E2179)/E2179),"-",(F2179-E2179)/E2179)</f>
        <v>-</v>
      </c>
    </row>
    <row r="2180" spans="1:8" x14ac:dyDescent="0.2">
      <c r="A2180" s="1" t="s">
        <v>28</v>
      </c>
      <c r="B2180" s="2" t="s">
        <v>221</v>
      </c>
      <c r="D2180" s="5" t="s">
        <v>464</v>
      </c>
      <c r="E2180" s="3" t="s">
        <v>465</v>
      </c>
      <c r="F2180" s="3">
        <v>102500</v>
      </c>
      <c r="G2180" s="57" t="str">
        <f t="shared" si="34"/>
        <v>-</v>
      </c>
    </row>
    <row r="2181" spans="1:8" x14ac:dyDescent="0.2">
      <c r="A2181" s="1" t="s">
        <v>28</v>
      </c>
      <c r="B2181" s="2" t="s">
        <v>221</v>
      </c>
      <c r="D2181" s="5" t="s">
        <v>464</v>
      </c>
      <c r="E2181" s="3">
        <v>107500</v>
      </c>
      <c r="F2181" s="3" t="s">
        <v>465</v>
      </c>
      <c r="G2181" s="57" t="str">
        <f t="shared" si="34"/>
        <v>-</v>
      </c>
    </row>
    <row r="2182" spans="1:8" x14ac:dyDescent="0.2">
      <c r="A2182" s="1" t="s">
        <v>28</v>
      </c>
      <c r="B2182" s="2" t="s">
        <v>221</v>
      </c>
      <c r="D2182" s="5" t="s">
        <v>464</v>
      </c>
      <c r="E2182" s="3">
        <v>107500</v>
      </c>
      <c r="F2182" s="3" t="s">
        <v>465</v>
      </c>
      <c r="G2182" s="57" t="str">
        <f t="shared" si="34"/>
        <v>-</v>
      </c>
    </row>
    <row r="2183" spans="1:8" x14ac:dyDescent="0.2">
      <c r="A2183" s="1" t="s">
        <v>28</v>
      </c>
      <c r="B2183" s="2" t="s">
        <v>221</v>
      </c>
      <c r="D2183" s="5" t="s">
        <v>464</v>
      </c>
      <c r="E2183" s="3" t="s">
        <v>465</v>
      </c>
      <c r="F2183" s="3">
        <v>107500</v>
      </c>
      <c r="G2183" s="57" t="str">
        <f t="shared" si="34"/>
        <v>-</v>
      </c>
    </row>
    <row r="2184" spans="1:8" x14ac:dyDescent="0.2">
      <c r="A2184" s="1" t="s">
        <v>28</v>
      </c>
      <c r="B2184" s="2" t="s">
        <v>221</v>
      </c>
      <c r="D2184" s="5" t="s">
        <v>464</v>
      </c>
      <c r="E2184" s="3" t="s">
        <v>465</v>
      </c>
      <c r="F2184" s="3">
        <v>107500</v>
      </c>
      <c r="G2184" s="57" t="str">
        <f t="shared" si="34"/>
        <v>-</v>
      </c>
    </row>
    <row r="2185" spans="1:8" x14ac:dyDescent="0.2">
      <c r="A2185" s="1" t="s">
        <v>28</v>
      </c>
      <c r="B2185" s="2" t="s">
        <v>221</v>
      </c>
      <c r="D2185" s="5" t="s">
        <v>464</v>
      </c>
      <c r="E2185" s="3" t="s">
        <v>465</v>
      </c>
      <c r="F2185" s="3">
        <v>107500</v>
      </c>
      <c r="G2185" s="57" t="str">
        <f t="shared" si="34"/>
        <v>-</v>
      </c>
    </row>
    <row r="2186" spans="1:8" x14ac:dyDescent="0.2">
      <c r="A2186" s="1" t="s">
        <v>28</v>
      </c>
      <c r="B2186" s="2" t="s">
        <v>221</v>
      </c>
      <c r="D2186" s="5" t="s">
        <v>464</v>
      </c>
      <c r="E2186" s="3" t="s">
        <v>465</v>
      </c>
      <c r="F2186" s="3">
        <v>122500</v>
      </c>
      <c r="G2186" s="57" t="str">
        <f t="shared" si="34"/>
        <v>-</v>
      </c>
    </row>
    <row r="2187" spans="1:8" x14ac:dyDescent="0.2">
      <c r="A2187" s="1" t="s">
        <v>28</v>
      </c>
      <c r="B2187" s="2" t="s">
        <v>221</v>
      </c>
      <c r="D2187" s="5" t="s">
        <v>464</v>
      </c>
      <c r="E2187" s="3">
        <v>137500</v>
      </c>
      <c r="F2187" s="3" t="s">
        <v>465</v>
      </c>
      <c r="G2187" s="57" t="str">
        <f t="shared" si="34"/>
        <v>-</v>
      </c>
    </row>
    <row r="2188" spans="1:8" x14ac:dyDescent="0.2">
      <c r="A2188" s="1" t="s">
        <v>28</v>
      </c>
      <c r="B2188" s="2" t="s">
        <v>221</v>
      </c>
      <c r="D2188" s="5" t="s">
        <v>464</v>
      </c>
      <c r="E2188" s="3" t="s">
        <v>465</v>
      </c>
      <c r="F2188" s="3">
        <v>137500</v>
      </c>
      <c r="G2188" s="57" t="str">
        <f t="shared" si="34"/>
        <v>-</v>
      </c>
    </row>
    <row r="2189" spans="1:8" x14ac:dyDescent="0.2">
      <c r="A2189" s="1" t="s">
        <v>28</v>
      </c>
      <c r="B2189" s="2" t="s">
        <v>221</v>
      </c>
      <c r="D2189" s="5" t="s">
        <v>464</v>
      </c>
      <c r="E2189" s="3" t="s">
        <v>465</v>
      </c>
      <c r="F2189" s="3">
        <v>157500</v>
      </c>
      <c r="G2189" s="57" t="str">
        <f t="shared" si="34"/>
        <v>-</v>
      </c>
    </row>
    <row r="2190" spans="1:8" ht="38.25" x14ac:dyDescent="0.2">
      <c r="A2190" s="1" t="s">
        <v>8</v>
      </c>
      <c r="B2190" s="2" t="s">
        <v>222</v>
      </c>
      <c r="D2190" s="5" t="s">
        <v>1271</v>
      </c>
      <c r="E2190" s="3">
        <v>26325</v>
      </c>
      <c r="F2190" s="3">
        <v>116696</v>
      </c>
      <c r="G2190" s="57">
        <f t="shared" si="34"/>
        <v>3.4328964862298195</v>
      </c>
      <c r="H2190" s="5" t="s">
        <v>4361</v>
      </c>
    </row>
    <row r="2191" spans="1:8" ht="25.5" x14ac:dyDescent="0.2">
      <c r="A2191" s="1" t="s">
        <v>8</v>
      </c>
      <c r="B2191" s="2" t="s">
        <v>222</v>
      </c>
      <c r="D2191" s="5" t="s">
        <v>949</v>
      </c>
      <c r="E2191" s="3">
        <v>98350</v>
      </c>
      <c r="F2191" s="3">
        <v>102262</v>
      </c>
      <c r="G2191" s="57">
        <f t="shared" si="34"/>
        <v>3.9776309100152514E-2</v>
      </c>
      <c r="H2191" s="5" t="s">
        <v>3259</v>
      </c>
    </row>
    <row r="2192" spans="1:8" ht="25.5" x14ac:dyDescent="0.2">
      <c r="A2192" s="1" t="s">
        <v>8</v>
      </c>
      <c r="B2192" s="2" t="s">
        <v>222</v>
      </c>
      <c r="D2192" s="5" t="s">
        <v>1272</v>
      </c>
      <c r="E2192" s="3">
        <v>105625</v>
      </c>
      <c r="F2192" s="3">
        <v>114655</v>
      </c>
      <c r="G2192" s="57">
        <f t="shared" si="34"/>
        <v>8.5491124260355031E-2</v>
      </c>
      <c r="H2192" s="5" t="s">
        <v>3258</v>
      </c>
    </row>
    <row r="2193" spans="1:8" ht="38.25" x14ac:dyDescent="0.2">
      <c r="A2193" s="1" t="s">
        <v>8</v>
      </c>
      <c r="B2193" s="2" t="s">
        <v>222</v>
      </c>
      <c r="D2193" s="5" t="s">
        <v>1273</v>
      </c>
      <c r="E2193" s="3">
        <v>111717</v>
      </c>
      <c r="F2193" s="3">
        <v>142185</v>
      </c>
      <c r="G2193" s="57">
        <f t="shared" si="34"/>
        <v>0.27272483149386395</v>
      </c>
      <c r="H2193" s="5" t="s">
        <v>4360</v>
      </c>
    </row>
    <row r="2194" spans="1:8" ht="25.5" x14ac:dyDescent="0.2">
      <c r="A2194" s="1" t="s">
        <v>8</v>
      </c>
      <c r="B2194" s="2" t="s">
        <v>222</v>
      </c>
      <c r="D2194" s="5" t="s">
        <v>611</v>
      </c>
      <c r="E2194" s="3">
        <v>112968</v>
      </c>
      <c r="F2194" s="3">
        <v>118484</v>
      </c>
      <c r="G2194" s="57">
        <f t="shared" si="34"/>
        <v>4.8827986686495288E-2</v>
      </c>
      <c r="H2194" s="5" t="s">
        <v>3260</v>
      </c>
    </row>
    <row r="2195" spans="1:8" ht="25.5" x14ac:dyDescent="0.2">
      <c r="A2195" s="1" t="s">
        <v>8</v>
      </c>
      <c r="B2195" s="2" t="s">
        <v>222</v>
      </c>
      <c r="D2195" s="5" t="s">
        <v>1274</v>
      </c>
      <c r="E2195" s="3">
        <v>128194</v>
      </c>
      <c r="F2195" s="3">
        <v>137466</v>
      </c>
      <c r="G2195" s="57">
        <f t="shared" si="34"/>
        <v>7.2327878059815595E-2</v>
      </c>
      <c r="H2195" s="5" t="s">
        <v>3261</v>
      </c>
    </row>
    <row r="2196" spans="1:8" ht="25.5" x14ac:dyDescent="0.2">
      <c r="A2196" s="1" t="s">
        <v>8</v>
      </c>
      <c r="B2196" s="2" t="s">
        <v>222</v>
      </c>
      <c r="D2196" s="5" t="s">
        <v>4665</v>
      </c>
      <c r="E2196" s="3">
        <v>140209</v>
      </c>
      <c r="F2196" s="3">
        <v>147261</v>
      </c>
      <c r="G2196" s="57">
        <f t="shared" si="34"/>
        <v>5.029634331604961E-2</v>
      </c>
      <c r="H2196" s="5" t="s">
        <v>3262</v>
      </c>
    </row>
    <row r="2197" spans="1:8" ht="25.5" x14ac:dyDescent="0.2">
      <c r="A2197" s="1" t="s">
        <v>8</v>
      </c>
      <c r="B2197" s="2" t="s">
        <v>222</v>
      </c>
      <c r="D2197" s="5" t="s">
        <v>1275</v>
      </c>
      <c r="E2197" s="3">
        <v>161022</v>
      </c>
      <c r="F2197" s="3">
        <v>159977</v>
      </c>
      <c r="G2197" s="57">
        <f t="shared" si="34"/>
        <v>-6.4897964253331844E-3</v>
      </c>
      <c r="H2197" s="5" t="s">
        <v>3263</v>
      </c>
    </row>
    <row r="2198" spans="1:8" ht="25.5" x14ac:dyDescent="0.2">
      <c r="A2198" s="1" t="s">
        <v>8</v>
      </c>
      <c r="B2198" s="2" t="s">
        <v>222</v>
      </c>
      <c r="C2198" s="5" t="s">
        <v>1276</v>
      </c>
      <c r="D2198" s="5" t="s">
        <v>450</v>
      </c>
      <c r="E2198" s="3">
        <v>208127</v>
      </c>
      <c r="F2198" s="3">
        <v>208322</v>
      </c>
      <c r="G2198" s="57">
        <f t="shared" si="34"/>
        <v>9.3692793342526443E-4</v>
      </c>
      <c r="H2198" s="5" t="s">
        <v>4666</v>
      </c>
    </row>
    <row r="2199" spans="1:8" x14ac:dyDescent="0.2">
      <c r="A2199" s="1" t="s">
        <v>8</v>
      </c>
      <c r="B2199" s="2" t="s">
        <v>222</v>
      </c>
      <c r="D2199" s="5" t="s">
        <v>464</v>
      </c>
      <c r="E2199" s="3">
        <v>102500</v>
      </c>
      <c r="F2199" s="3" t="s">
        <v>465</v>
      </c>
      <c r="G2199" s="57" t="str">
        <f t="shared" si="34"/>
        <v>-</v>
      </c>
      <c r="H2199" s="1"/>
    </row>
    <row r="2200" spans="1:8" x14ac:dyDescent="0.2">
      <c r="A2200" s="1" t="s">
        <v>8</v>
      </c>
      <c r="B2200" s="2" t="s">
        <v>222</v>
      </c>
      <c r="D2200" s="5" t="s">
        <v>464</v>
      </c>
      <c r="E2200" s="3">
        <v>102500</v>
      </c>
      <c r="F2200" s="3" t="s">
        <v>465</v>
      </c>
      <c r="G2200" s="57" t="str">
        <f t="shared" si="34"/>
        <v>-</v>
      </c>
      <c r="H2200" s="1"/>
    </row>
    <row r="2201" spans="1:8" x14ac:dyDescent="0.2">
      <c r="A2201" s="1" t="s">
        <v>8</v>
      </c>
      <c r="B2201" s="2" t="s">
        <v>222</v>
      </c>
      <c r="D2201" s="5" t="s">
        <v>464</v>
      </c>
      <c r="E2201" s="3" t="s">
        <v>465</v>
      </c>
      <c r="F2201" s="3">
        <v>102500</v>
      </c>
      <c r="G2201" s="57" t="str">
        <f t="shared" si="34"/>
        <v>-</v>
      </c>
      <c r="H2201" s="1"/>
    </row>
    <row r="2202" spans="1:8" x14ac:dyDescent="0.2">
      <c r="A2202" s="1" t="s">
        <v>8</v>
      </c>
      <c r="B2202" s="2" t="s">
        <v>222</v>
      </c>
      <c r="D2202" s="5" t="s">
        <v>464</v>
      </c>
      <c r="E2202" s="3" t="s">
        <v>465</v>
      </c>
      <c r="F2202" s="3">
        <v>102500</v>
      </c>
      <c r="G2202" s="57" t="str">
        <f t="shared" si="34"/>
        <v>-</v>
      </c>
      <c r="H2202" s="1"/>
    </row>
    <row r="2203" spans="1:8" x14ac:dyDescent="0.2">
      <c r="A2203" s="1" t="s">
        <v>8</v>
      </c>
      <c r="B2203" s="2" t="s">
        <v>222</v>
      </c>
      <c r="D2203" s="5" t="s">
        <v>464</v>
      </c>
      <c r="E2203" s="3" t="s">
        <v>465</v>
      </c>
      <c r="F2203" s="3">
        <v>102500</v>
      </c>
      <c r="G2203" s="57" t="str">
        <f t="shared" si="34"/>
        <v>-</v>
      </c>
      <c r="H2203" s="1"/>
    </row>
    <row r="2204" spans="1:8" x14ac:dyDescent="0.2">
      <c r="A2204" s="1" t="s">
        <v>8</v>
      </c>
      <c r="B2204" s="2" t="s">
        <v>222</v>
      </c>
      <c r="D2204" s="5" t="s">
        <v>464</v>
      </c>
      <c r="E2204" s="3" t="s">
        <v>465</v>
      </c>
      <c r="F2204" s="3">
        <v>102500</v>
      </c>
      <c r="G2204" s="57" t="str">
        <f t="shared" si="34"/>
        <v>-</v>
      </c>
      <c r="H2204" s="1"/>
    </row>
    <row r="2205" spans="1:8" x14ac:dyDescent="0.2">
      <c r="A2205" s="1" t="s">
        <v>8</v>
      </c>
      <c r="B2205" s="2" t="s">
        <v>222</v>
      </c>
      <c r="D2205" s="5" t="s">
        <v>464</v>
      </c>
      <c r="E2205" s="3">
        <v>107500</v>
      </c>
      <c r="F2205" s="3" t="s">
        <v>465</v>
      </c>
      <c r="G2205" s="57" t="str">
        <f t="shared" si="34"/>
        <v>-</v>
      </c>
      <c r="H2205" s="1"/>
    </row>
    <row r="2206" spans="1:8" x14ac:dyDescent="0.2">
      <c r="A2206" s="1" t="s">
        <v>8</v>
      </c>
      <c r="B2206" s="2" t="s">
        <v>222</v>
      </c>
      <c r="D2206" s="5" t="s">
        <v>464</v>
      </c>
      <c r="E2206" s="3">
        <v>107500</v>
      </c>
      <c r="F2206" s="3" t="s">
        <v>465</v>
      </c>
      <c r="G2206" s="57" t="str">
        <f t="shared" si="34"/>
        <v>-</v>
      </c>
      <c r="H2206" s="1"/>
    </row>
    <row r="2207" spans="1:8" x14ac:dyDescent="0.2">
      <c r="A2207" s="1" t="s">
        <v>8</v>
      </c>
      <c r="B2207" s="2" t="s">
        <v>222</v>
      </c>
      <c r="D2207" s="5" t="s">
        <v>464</v>
      </c>
      <c r="E2207" s="3">
        <v>112500</v>
      </c>
      <c r="F2207" s="3" t="s">
        <v>465</v>
      </c>
      <c r="G2207" s="57" t="str">
        <f t="shared" si="34"/>
        <v>-</v>
      </c>
      <c r="H2207" s="1"/>
    </row>
    <row r="2208" spans="1:8" x14ac:dyDescent="0.2">
      <c r="A2208" s="1" t="s">
        <v>8</v>
      </c>
      <c r="B2208" s="2" t="s">
        <v>222</v>
      </c>
      <c r="D2208" s="5" t="s">
        <v>464</v>
      </c>
      <c r="E2208" s="3">
        <v>112500</v>
      </c>
      <c r="F2208" s="3" t="s">
        <v>465</v>
      </c>
      <c r="G2208" s="57" t="str">
        <f t="shared" si="34"/>
        <v>-</v>
      </c>
      <c r="H2208" s="1"/>
    </row>
    <row r="2209" spans="1:8" x14ac:dyDescent="0.2">
      <c r="A2209" s="1" t="s">
        <v>8</v>
      </c>
      <c r="B2209" s="2" t="s">
        <v>222</v>
      </c>
      <c r="D2209" s="5" t="s">
        <v>464</v>
      </c>
      <c r="E2209" s="3">
        <v>117500</v>
      </c>
      <c r="F2209" s="3" t="s">
        <v>465</v>
      </c>
      <c r="G2209" s="57" t="str">
        <f t="shared" si="34"/>
        <v>-</v>
      </c>
      <c r="H2209" s="1"/>
    </row>
    <row r="2210" spans="1:8" x14ac:dyDescent="0.2">
      <c r="A2210" s="1" t="s">
        <v>8</v>
      </c>
      <c r="B2210" s="2" t="s">
        <v>222</v>
      </c>
      <c r="D2210" s="5" t="s">
        <v>464</v>
      </c>
      <c r="E2210" s="3" t="s">
        <v>465</v>
      </c>
      <c r="F2210" s="3">
        <v>117500</v>
      </c>
      <c r="G2210" s="57" t="str">
        <f t="shared" si="34"/>
        <v>-</v>
      </c>
      <c r="H2210" s="1"/>
    </row>
    <row r="2211" spans="1:8" x14ac:dyDescent="0.2">
      <c r="A2211" s="1" t="s">
        <v>8</v>
      </c>
      <c r="B2211" s="2" t="s">
        <v>222</v>
      </c>
      <c r="D2211" s="5" t="s">
        <v>464</v>
      </c>
      <c r="E2211" s="3" t="s">
        <v>465</v>
      </c>
      <c r="F2211" s="3">
        <v>117500</v>
      </c>
      <c r="G2211" s="57" t="str">
        <f t="shared" si="34"/>
        <v>-</v>
      </c>
      <c r="H2211" s="1"/>
    </row>
    <row r="2212" spans="1:8" x14ac:dyDescent="0.2">
      <c r="A2212" s="1" t="s">
        <v>8</v>
      </c>
      <c r="B2212" s="2" t="s">
        <v>222</v>
      </c>
      <c r="D2212" s="5" t="s">
        <v>464</v>
      </c>
      <c r="E2212" s="3" t="s">
        <v>465</v>
      </c>
      <c r="F2212" s="3">
        <v>122500</v>
      </c>
      <c r="G2212" s="57" t="str">
        <f t="shared" si="34"/>
        <v>-</v>
      </c>
      <c r="H2212" s="1"/>
    </row>
    <row r="2213" spans="1:8" x14ac:dyDescent="0.2">
      <c r="A2213" s="1" t="s">
        <v>8</v>
      </c>
      <c r="B2213" s="2" t="s">
        <v>222</v>
      </c>
      <c r="D2213" s="5" t="s">
        <v>464</v>
      </c>
      <c r="E2213" s="3">
        <v>127500</v>
      </c>
      <c r="F2213" s="3" t="s">
        <v>465</v>
      </c>
      <c r="G2213" s="57" t="str">
        <f t="shared" si="34"/>
        <v>-</v>
      </c>
      <c r="H2213" s="1"/>
    </row>
    <row r="2214" spans="1:8" x14ac:dyDescent="0.2">
      <c r="A2214" s="1" t="s">
        <v>8</v>
      </c>
      <c r="B2214" s="2" t="s">
        <v>222</v>
      </c>
      <c r="D2214" s="5" t="s">
        <v>464</v>
      </c>
      <c r="E2214" s="3">
        <v>132500</v>
      </c>
      <c r="F2214" s="3" t="s">
        <v>465</v>
      </c>
      <c r="G2214" s="57" t="str">
        <f t="shared" si="34"/>
        <v>-</v>
      </c>
      <c r="H2214" s="1"/>
    </row>
    <row r="2215" spans="1:8" x14ac:dyDescent="0.2">
      <c r="A2215" s="1" t="s">
        <v>8</v>
      </c>
      <c r="B2215" s="2" t="s">
        <v>222</v>
      </c>
      <c r="D2215" s="5" t="s">
        <v>464</v>
      </c>
      <c r="E2215" s="3" t="s">
        <v>465</v>
      </c>
      <c r="F2215" s="3">
        <v>132500</v>
      </c>
      <c r="G2215" s="57" t="str">
        <f t="shared" si="34"/>
        <v>-</v>
      </c>
      <c r="H2215" s="1"/>
    </row>
    <row r="2216" spans="1:8" x14ac:dyDescent="0.2">
      <c r="A2216" s="1" t="s">
        <v>8</v>
      </c>
      <c r="B2216" s="2" t="s">
        <v>222</v>
      </c>
      <c r="D2216" s="5" t="s">
        <v>464</v>
      </c>
      <c r="E2216" s="3" t="s">
        <v>465</v>
      </c>
      <c r="F2216" s="3">
        <v>137500</v>
      </c>
      <c r="G2216" s="57" t="str">
        <f t="shared" si="34"/>
        <v>-</v>
      </c>
      <c r="H2216" s="1"/>
    </row>
    <row r="2217" spans="1:8" x14ac:dyDescent="0.2">
      <c r="A2217" s="1" t="s">
        <v>8</v>
      </c>
      <c r="B2217" s="2" t="s">
        <v>222</v>
      </c>
      <c r="D2217" s="5" t="s">
        <v>464</v>
      </c>
      <c r="E2217" s="3">
        <v>142500</v>
      </c>
      <c r="F2217" s="3" t="s">
        <v>465</v>
      </c>
      <c r="G2217" s="57" t="str">
        <f t="shared" si="34"/>
        <v>-</v>
      </c>
      <c r="H2217" s="1"/>
    </row>
    <row r="2218" spans="1:8" ht="25.5" x14ac:dyDescent="0.2">
      <c r="A2218" s="1" t="s">
        <v>8</v>
      </c>
      <c r="B2218" s="2" t="s">
        <v>223</v>
      </c>
      <c r="C2218" s="5" t="s">
        <v>1265</v>
      </c>
      <c r="D2218" s="5" t="s">
        <v>450</v>
      </c>
      <c r="E2218" s="3">
        <v>231000</v>
      </c>
      <c r="F2218" s="3">
        <v>230000</v>
      </c>
      <c r="G2218" s="57">
        <f t="shared" si="34"/>
        <v>-4.329004329004329E-3</v>
      </c>
      <c r="H2218" s="5" t="s">
        <v>3248</v>
      </c>
    </row>
    <row r="2219" spans="1:8" ht="25.5" x14ac:dyDescent="0.2">
      <c r="A2219" s="1" t="s">
        <v>8</v>
      </c>
      <c r="B2219" s="2" t="s">
        <v>223</v>
      </c>
      <c r="D2219" s="5" t="s">
        <v>854</v>
      </c>
      <c r="E2219" s="3">
        <v>176000</v>
      </c>
      <c r="F2219" s="3">
        <v>176000</v>
      </c>
      <c r="G2219" s="57">
        <f t="shared" si="34"/>
        <v>0</v>
      </c>
      <c r="H2219" s="5" t="s">
        <v>3249</v>
      </c>
    </row>
    <row r="2220" spans="1:8" ht="25.5" x14ac:dyDescent="0.2">
      <c r="A2220" s="1" t="s">
        <v>8</v>
      </c>
      <c r="B2220" s="2" t="s">
        <v>223</v>
      </c>
      <c r="C2220" s="5" t="s">
        <v>1270</v>
      </c>
      <c r="D2220" s="5" t="s">
        <v>1266</v>
      </c>
      <c r="E2220" s="3">
        <v>198000</v>
      </c>
      <c r="F2220" s="3">
        <v>157000</v>
      </c>
      <c r="G2220" s="57">
        <f t="shared" si="34"/>
        <v>-0.20707070707070707</v>
      </c>
      <c r="H2220" s="5" t="s">
        <v>3250</v>
      </c>
    </row>
    <row r="2221" spans="1:8" ht="25.5" x14ac:dyDescent="0.2">
      <c r="A2221" s="1" t="s">
        <v>8</v>
      </c>
      <c r="B2221" s="2" t="s">
        <v>223</v>
      </c>
      <c r="D2221" s="5" t="s">
        <v>1267</v>
      </c>
      <c r="E2221" s="3">
        <v>157000</v>
      </c>
      <c r="F2221" s="3">
        <v>158000</v>
      </c>
      <c r="G2221" s="57">
        <f t="shared" si="34"/>
        <v>6.369426751592357E-3</v>
      </c>
      <c r="H2221" s="5" t="s">
        <v>3251</v>
      </c>
    </row>
    <row r="2222" spans="1:8" ht="25.5" x14ac:dyDescent="0.2">
      <c r="A2222" s="1" t="s">
        <v>8</v>
      </c>
      <c r="B2222" s="2" t="s">
        <v>223</v>
      </c>
      <c r="D2222" s="5" t="s">
        <v>1268</v>
      </c>
      <c r="E2222" s="3">
        <v>157000</v>
      </c>
      <c r="F2222" s="3">
        <v>156000</v>
      </c>
      <c r="G2222" s="57">
        <f t="shared" si="34"/>
        <v>-6.369426751592357E-3</v>
      </c>
      <c r="H2222" s="5" t="s">
        <v>3252</v>
      </c>
    </row>
    <row r="2223" spans="1:8" x14ac:dyDescent="0.2">
      <c r="A2223" s="1" t="s">
        <v>8</v>
      </c>
      <c r="B2223" s="2" t="s">
        <v>223</v>
      </c>
      <c r="D2223" s="5" t="s">
        <v>855</v>
      </c>
      <c r="E2223" s="3">
        <v>244000</v>
      </c>
      <c r="F2223" s="3" t="s">
        <v>465</v>
      </c>
      <c r="G2223" s="57" t="str">
        <f t="shared" si="34"/>
        <v>-</v>
      </c>
      <c r="H2223" s="5" t="s">
        <v>3257</v>
      </c>
    </row>
    <row r="2224" spans="1:8" ht="25.5" x14ac:dyDescent="0.2">
      <c r="A2224" s="1" t="s">
        <v>8</v>
      </c>
      <c r="B2224" s="2" t="s">
        <v>223</v>
      </c>
      <c r="D2224" s="5" t="s">
        <v>1269</v>
      </c>
      <c r="E2224" s="3">
        <v>139000</v>
      </c>
      <c r="F2224" s="3">
        <v>140000</v>
      </c>
      <c r="G2224" s="57">
        <f t="shared" si="34"/>
        <v>7.1942446043165471E-3</v>
      </c>
      <c r="H2224" s="5" t="s">
        <v>3253</v>
      </c>
    </row>
    <row r="2225" spans="1:8" ht="25.5" x14ac:dyDescent="0.2">
      <c r="A2225" s="1" t="s">
        <v>8</v>
      </c>
      <c r="B2225" s="2" t="s">
        <v>223</v>
      </c>
      <c r="D2225" s="5" t="s">
        <v>451</v>
      </c>
      <c r="E2225" s="3">
        <v>115000</v>
      </c>
      <c r="F2225" s="3">
        <v>116000</v>
      </c>
      <c r="G2225" s="57">
        <f t="shared" si="34"/>
        <v>8.6956521739130436E-3</v>
      </c>
      <c r="H2225" s="5" t="s">
        <v>3255</v>
      </c>
    </row>
    <row r="2226" spans="1:8" ht="25.5" x14ac:dyDescent="0.2">
      <c r="A2226" s="1" t="s">
        <v>8</v>
      </c>
      <c r="B2226" s="2" t="s">
        <v>223</v>
      </c>
      <c r="D2226" s="5" t="s">
        <v>3256</v>
      </c>
      <c r="E2226" s="3">
        <v>109000</v>
      </c>
      <c r="F2226" s="3">
        <v>109000</v>
      </c>
      <c r="G2226" s="57">
        <f t="shared" si="34"/>
        <v>0</v>
      </c>
      <c r="H2226" s="5" t="s">
        <v>3254</v>
      </c>
    </row>
    <row r="2227" spans="1:8" x14ac:dyDescent="0.2">
      <c r="A2227" s="1" t="s">
        <v>8</v>
      </c>
      <c r="B2227" s="2" t="s">
        <v>223</v>
      </c>
      <c r="D2227" s="5" t="s">
        <v>464</v>
      </c>
      <c r="E2227" s="3">
        <v>102500</v>
      </c>
      <c r="F2227" s="3" t="s">
        <v>465</v>
      </c>
      <c r="G2227" s="57" t="str">
        <f t="shared" si="34"/>
        <v>-</v>
      </c>
      <c r="H2227" s="1"/>
    </row>
    <row r="2228" spans="1:8" x14ac:dyDescent="0.2">
      <c r="A2228" s="1" t="s">
        <v>8</v>
      </c>
      <c r="B2228" s="2" t="s">
        <v>223</v>
      </c>
      <c r="D2228" s="5" t="s">
        <v>464</v>
      </c>
      <c r="E2228" s="3">
        <v>102500</v>
      </c>
      <c r="F2228" s="3" t="s">
        <v>465</v>
      </c>
      <c r="G2228" s="57" t="str">
        <f t="shared" si="34"/>
        <v>-</v>
      </c>
      <c r="H2228" s="1"/>
    </row>
    <row r="2229" spans="1:8" x14ac:dyDescent="0.2">
      <c r="A2229" s="1" t="s">
        <v>8</v>
      </c>
      <c r="B2229" s="2" t="s">
        <v>223</v>
      </c>
      <c r="D2229" s="5" t="s">
        <v>464</v>
      </c>
      <c r="E2229" s="3">
        <v>102500</v>
      </c>
      <c r="F2229" s="3" t="s">
        <v>465</v>
      </c>
      <c r="G2229" s="57" t="str">
        <f t="shared" si="34"/>
        <v>-</v>
      </c>
      <c r="H2229" s="1"/>
    </row>
    <row r="2230" spans="1:8" x14ac:dyDescent="0.2">
      <c r="A2230" s="1" t="s">
        <v>8</v>
      </c>
      <c r="B2230" s="2" t="s">
        <v>223</v>
      </c>
      <c r="D2230" s="5" t="s">
        <v>464</v>
      </c>
      <c r="E2230" s="3" t="s">
        <v>465</v>
      </c>
      <c r="F2230" s="3">
        <v>102500</v>
      </c>
      <c r="G2230" s="57" t="str">
        <f t="shared" si="34"/>
        <v>-</v>
      </c>
      <c r="H2230" s="1"/>
    </row>
    <row r="2231" spans="1:8" x14ac:dyDescent="0.2">
      <c r="A2231" s="1" t="s">
        <v>8</v>
      </c>
      <c r="B2231" s="2" t="s">
        <v>223</v>
      </c>
      <c r="D2231" s="5" t="s">
        <v>464</v>
      </c>
      <c r="E2231" s="3" t="s">
        <v>465</v>
      </c>
      <c r="F2231" s="3">
        <v>102500</v>
      </c>
      <c r="G2231" s="57" t="str">
        <f t="shared" si="34"/>
        <v>-</v>
      </c>
      <c r="H2231" s="1"/>
    </row>
    <row r="2232" spans="1:8" x14ac:dyDescent="0.2">
      <c r="A2232" s="1" t="s">
        <v>8</v>
      </c>
      <c r="B2232" s="2" t="s">
        <v>223</v>
      </c>
      <c r="D2232" s="5" t="s">
        <v>464</v>
      </c>
      <c r="E2232" s="3">
        <v>107500</v>
      </c>
      <c r="F2232" s="3" t="s">
        <v>465</v>
      </c>
      <c r="G2232" s="57" t="str">
        <f t="shared" si="34"/>
        <v>-</v>
      </c>
      <c r="H2232" s="1"/>
    </row>
    <row r="2233" spans="1:8" x14ac:dyDescent="0.2">
      <c r="A2233" s="1" t="s">
        <v>8</v>
      </c>
      <c r="B2233" s="2" t="s">
        <v>223</v>
      </c>
      <c r="D2233" s="5" t="s">
        <v>464</v>
      </c>
      <c r="E2233" s="3">
        <v>107500</v>
      </c>
      <c r="F2233" s="3" t="s">
        <v>465</v>
      </c>
      <c r="G2233" s="57" t="str">
        <f t="shared" si="34"/>
        <v>-</v>
      </c>
      <c r="H2233" s="1"/>
    </row>
    <row r="2234" spans="1:8" x14ac:dyDescent="0.2">
      <c r="A2234" s="1" t="s">
        <v>8</v>
      </c>
      <c r="B2234" s="2" t="s">
        <v>223</v>
      </c>
      <c r="D2234" s="5" t="s">
        <v>464</v>
      </c>
      <c r="E2234" s="3" t="s">
        <v>465</v>
      </c>
      <c r="F2234" s="3">
        <v>107500</v>
      </c>
      <c r="G2234" s="57" t="str">
        <f t="shared" si="34"/>
        <v>-</v>
      </c>
      <c r="H2234" s="1"/>
    </row>
    <row r="2235" spans="1:8" x14ac:dyDescent="0.2">
      <c r="A2235" s="1" t="s">
        <v>8</v>
      </c>
      <c r="B2235" s="2" t="s">
        <v>223</v>
      </c>
      <c r="D2235" s="5" t="s">
        <v>464</v>
      </c>
      <c r="E2235" s="3" t="s">
        <v>465</v>
      </c>
      <c r="F2235" s="3">
        <v>107500</v>
      </c>
      <c r="G2235" s="57" t="str">
        <f t="shared" si="34"/>
        <v>-</v>
      </c>
      <c r="H2235" s="1"/>
    </row>
    <row r="2236" spans="1:8" x14ac:dyDescent="0.2">
      <c r="A2236" s="1" t="s">
        <v>8</v>
      </c>
      <c r="B2236" s="2" t="s">
        <v>223</v>
      </c>
      <c r="D2236" s="5" t="s">
        <v>464</v>
      </c>
      <c r="E2236" s="3">
        <v>112500</v>
      </c>
      <c r="F2236" s="3" t="s">
        <v>465</v>
      </c>
      <c r="G2236" s="57" t="str">
        <f t="shared" si="34"/>
        <v>-</v>
      </c>
      <c r="H2236" s="1"/>
    </row>
    <row r="2237" spans="1:8" x14ac:dyDescent="0.2">
      <c r="A2237" s="1" t="s">
        <v>8</v>
      </c>
      <c r="B2237" s="2" t="s">
        <v>223</v>
      </c>
      <c r="D2237" s="5" t="s">
        <v>464</v>
      </c>
      <c r="E2237" s="3" t="s">
        <v>465</v>
      </c>
      <c r="F2237" s="3">
        <v>112500</v>
      </c>
      <c r="G2237" s="57" t="str">
        <f t="shared" si="34"/>
        <v>-</v>
      </c>
      <c r="H2237" s="1"/>
    </row>
    <row r="2238" spans="1:8" x14ac:dyDescent="0.2">
      <c r="A2238" s="1" t="s">
        <v>8</v>
      </c>
      <c r="B2238" s="2" t="s">
        <v>223</v>
      </c>
      <c r="D2238" s="5" t="s">
        <v>464</v>
      </c>
      <c r="E2238" s="3" t="s">
        <v>465</v>
      </c>
      <c r="F2238" s="3">
        <v>112500</v>
      </c>
      <c r="G2238" s="57" t="str">
        <f t="shared" si="34"/>
        <v>-</v>
      </c>
      <c r="H2238" s="1"/>
    </row>
    <row r="2239" spans="1:8" x14ac:dyDescent="0.2">
      <c r="A2239" s="1" t="s">
        <v>8</v>
      </c>
      <c r="B2239" s="2" t="s">
        <v>223</v>
      </c>
      <c r="D2239" s="5" t="s">
        <v>464</v>
      </c>
      <c r="E2239" s="3" t="s">
        <v>465</v>
      </c>
      <c r="F2239" s="3">
        <v>112500</v>
      </c>
      <c r="G2239" s="57" t="str">
        <f t="shared" si="34"/>
        <v>-</v>
      </c>
      <c r="H2239" s="1"/>
    </row>
    <row r="2240" spans="1:8" x14ac:dyDescent="0.2">
      <c r="A2240" s="1" t="s">
        <v>8</v>
      </c>
      <c r="B2240" s="2" t="s">
        <v>223</v>
      </c>
      <c r="D2240" s="5" t="s">
        <v>464</v>
      </c>
      <c r="E2240" s="3">
        <v>117500</v>
      </c>
      <c r="F2240" s="3" t="s">
        <v>465</v>
      </c>
      <c r="G2240" s="57" t="str">
        <f t="shared" si="34"/>
        <v>-</v>
      </c>
      <c r="H2240" s="1"/>
    </row>
    <row r="2241" spans="1:8" x14ac:dyDescent="0.2">
      <c r="A2241" s="1" t="s">
        <v>8</v>
      </c>
      <c r="B2241" s="2" t="s">
        <v>223</v>
      </c>
      <c r="D2241" s="5" t="s">
        <v>464</v>
      </c>
      <c r="E2241" s="3">
        <v>117500</v>
      </c>
      <c r="F2241" s="3" t="s">
        <v>465</v>
      </c>
      <c r="G2241" s="57" t="str">
        <f t="shared" si="34"/>
        <v>-</v>
      </c>
      <c r="H2241" s="1"/>
    </row>
    <row r="2242" spans="1:8" x14ac:dyDescent="0.2">
      <c r="A2242" s="1" t="s">
        <v>8</v>
      </c>
      <c r="B2242" s="2" t="s">
        <v>223</v>
      </c>
      <c r="D2242" s="5" t="s">
        <v>464</v>
      </c>
      <c r="E2242" s="3">
        <v>122500</v>
      </c>
      <c r="F2242" s="3" t="s">
        <v>465</v>
      </c>
      <c r="G2242" s="57" t="str">
        <f t="shared" si="34"/>
        <v>-</v>
      </c>
      <c r="H2242" s="1"/>
    </row>
    <row r="2243" spans="1:8" x14ac:dyDescent="0.2">
      <c r="A2243" s="1" t="s">
        <v>8</v>
      </c>
      <c r="B2243" s="2" t="s">
        <v>223</v>
      </c>
      <c r="D2243" s="5" t="s">
        <v>464</v>
      </c>
      <c r="E2243" s="3" t="s">
        <v>465</v>
      </c>
      <c r="F2243" s="3">
        <v>122500</v>
      </c>
      <c r="G2243" s="57" t="str">
        <f t="shared" ref="G2243:G2306" si="35">IF(ISERROR((F2243-E2243)/E2243),"-",(F2243-E2243)/E2243)</f>
        <v>-</v>
      </c>
      <c r="H2243" s="1"/>
    </row>
    <row r="2244" spans="1:8" x14ac:dyDescent="0.2">
      <c r="A2244" s="1" t="s">
        <v>8</v>
      </c>
      <c r="B2244" s="2" t="s">
        <v>223</v>
      </c>
      <c r="D2244" s="5" t="s">
        <v>464</v>
      </c>
      <c r="E2244" s="3" t="s">
        <v>465</v>
      </c>
      <c r="F2244" s="3">
        <v>132500</v>
      </c>
      <c r="G2244" s="57" t="str">
        <f t="shared" si="35"/>
        <v>-</v>
      </c>
      <c r="H2244" s="1"/>
    </row>
    <row r="2245" spans="1:8" x14ac:dyDescent="0.2">
      <c r="A2245" s="1" t="s">
        <v>8</v>
      </c>
      <c r="B2245" s="2" t="s">
        <v>223</v>
      </c>
      <c r="D2245" s="5" t="s">
        <v>464</v>
      </c>
      <c r="E2245" s="3" t="s">
        <v>465</v>
      </c>
      <c r="F2245" s="3">
        <v>142500</v>
      </c>
      <c r="G2245" s="57" t="str">
        <f t="shared" si="35"/>
        <v>-</v>
      </c>
      <c r="H2245" s="1"/>
    </row>
    <row r="2246" spans="1:8" x14ac:dyDescent="0.2">
      <c r="A2246" s="1" t="s">
        <v>8</v>
      </c>
      <c r="B2246" s="2" t="s">
        <v>223</v>
      </c>
      <c r="D2246" s="5" t="s">
        <v>464</v>
      </c>
      <c r="E2246" s="3" t="s">
        <v>465</v>
      </c>
      <c r="F2246" s="3">
        <v>172500</v>
      </c>
      <c r="G2246" s="57" t="str">
        <f t="shared" si="35"/>
        <v>-</v>
      </c>
      <c r="H2246" s="1"/>
    </row>
    <row r="2247" spans="1:8" ht="25.5" x14ac:dyDescent="0.2">
      <c r="A2247" s="1" t="s">
        <v>4</v>
      </c>
      <c r="B2247" s="2" t="s">
        <v>224</v>
      </c>
      <c r="D2247" s="5" t="s">
        <v>450</v>
      </c>
      <c r="E2247" s="3">
        <v>130266</v>
      </c>
      <c r="F2247" s="3">
        <v>36892</v>
      </c>
      <c r="G2247" s="57">
        <f t="shared" si="35"/>
        <v>-0.71679486588979469</v>
      </c>
      <c r="H2247" s="5" t="s">
        <v>3246</v>
      </c>
    </row>
    <row r="2248" spans="1:8" ht="25.5" x14ac:dyDescent="0.2">
      <c r="A2248" s="1" t="s">
        <v>4</v>
      </c>
      <c r="B2248" s="2" t="s">
        <v>224</v>
      </c>
      <c r="D2248" s="5" t="s">
        <v>1263</v>
      </c>
      <c r="E2248" s="3">
        <v>109571</v>
      </c>
      <c r="F2248" s="3">
        <v>107820</v>
      </c>
      <c r="G2248" s="57">
        <f t="shared" si="35"/>
        <v>-1.5980505790765806E-2</v>
      </c>
      <c r="H2248" s="5" t="s">
        <v>3245</v>
      </c>
    </row>
    <row r="2249" spans="1:8" ht="25.5" x14ac:dyDescent="0.2">
      <c r="A2249" s="1" t="s">
        <v>4</v>
      </c>
      <c r="B2249" s="2" t="s">
        <v>224</v>
      </c>
      <c r="D2249" s="5" t="s">
        <v>1264</v>
      </c>
      <c r="E2249" s="3">
        <v>110061</v>
      </c>
      <c r="F2249" s="3">
        <v>107585</v>
      </c>
      <c r="G2249" s="57">
        <f t="shared" si="35"/>
        <v>-2.2496615513215398E-2</v>
      </c>
      <c r="H2249" s="5" t="s">
        <v>3247</v>
      </c>
    </row>
    <row r="2250" spans="1:8" x14ac:dyDescent="0.2">
      <c r="A2250" s="1" t="s">
        <v>4</v>
      </c>
      <c r="B2250" s="2" t="s">
        <v>224</v>
      </c>
      <c r="D2250" s="5" t="s">
        <v>464</v>
      </c>
      <c r="E2250" s="3" t="s">
        <v>465</v>
      </c>
      <c r="F2250" s="3">
        <v>102500</v>
      </c>
      <c r="G2250" s="57" t="str">
        <f t="shared" si="35"/>
        <v>-</v>
      </c>
    </row>
    <row r="2251" spans="1:8" ht="25.5" x14ac:dyDescent="0.2">
      <c r="A2251" s="1" t="s">
        <v>25</v>
      </c>
      <c r="B2251" s="2" t="s">
        <v>225</v>
      </c>
      <c r="C2251" s="5" t="s">
        <v>1255</v>
      </c>
      <c r="D2251" s="5" t="s">
        <v>450</v>
      </c>
      <c r="E2251" s="3">
        <v>229902</v>
      </c>
      <c r="F2251" s="3">
        <v>230864</v>
      </c>
      <c r="G2251" s="57">
        <f t="shared" si="35"/>
        <v>4.1843916103383181E-3</v>
      </c>
      <c r="H2251" s="5" t="s">
        <v>3239</v>
      </c>
    </row>
    <row r="2252" spans="1:8" ht="25.5" x14ac:dyDescent="0.2">
      <c r="A2252" s="1" t="s">
        <v>25</v>
      </c>
      <c r="B2252" s="2" t="s">
        <v>225</v>
      </c>
      <c r="D2252" s="5" t="s">
        <v>1257</v>
      </c>
      <c r="E2252" s="3">
        <v>168642</v>
      </c>
      <c r="F2252" s="3">
        <v>169348</v>
      </c>
      <c r="G2252" s="57">
        <f t="shared" si="35"/>
        <v>4.1863829888165466E-3</v>
      </c>
      <c r="H2252" s="5" t="s">
        <v>3240</v>
      </c>
    </row>
    <row r="2253" spans="1:8" ht="25.5" x14ac:dyDescent="0.2">
      <c r="A2253" s="1" t="s">
        <v>25</v>
      </c>
      <c r="B2253" s="2" t="s">
        <v>225</v>
      </c>
      <c r="D2253" s="5" t="s">
        <v>1256</v>
      </c>
      <c r="E2253" s="3">
        <v>168642</v>
      </c>
      <c r="F2253" s="3">
        <v>169348</v>
      </c>
      <c r="G2253" s="57">
        <f t="shared" si="35"/>
        <v>4.1863829888165466E-3</v>
      </c>
      <c r="H2253" s="5" t="s">
        <v>3240</v>
      </c>
    </row>
    <row r="2254" spans="1:8" ht="25.5" x14ac:dyDescent="0.2">
      <c r="A2254" s="1" t="s">
        <v>25</v>
      </c>
      <c r="B2254" s="2" t="s">
        <v>225</v>
      </c>
      <c r="D2254" s="5" t="s">
        <v>1258</v>
      </c>
      <c r="E2254" s="3">
        <v>165502</v>
      </c>
      <c r="F2254" s="3">
        <v>169348</v>
      </c>
      <c r="G2254" s="57">
        <f t="shared" si="35"/>
        <v>2.3238389868400381E-2</v>
      </c>
      <c r="H2254" s="5" t="s">
        <v>3240</v>
      </c>
    </row>
    <row r="2255" spans="1:8" ht="25.5" x14ac:dyDescent="0.2">
      <c r="A2255" s="1" t="s">
        <v>25</v>
      </c>
      <c r="B2255" s="2" t="s">
        <v>225</v>
      </c>
      <c r="D2255" s="5" t="s">
        <v>1259</v>
      </c>
      <c r="E2255" s="3">
        <v>162361</v>
      </c>
      <c r="F2255" s="3">
        <v>166194</v>
      </c>
      <c r="G2255" s="57">
        <f t="shared" si="35"/>
        <v>2.3607886130289909E-2</v>
      </c>
      <c r="H2255" s="5" t="s">
        <v>3241</v>
      </c>
    </row>
    <row r="2256" spans="1:8" ht="25.5" x14ac:dyDescent="0.2">
      <c r="A2256" s="1" t="s">
        <v>25</v>
      </c>
      <c r="B2256" s="2" t="s">
        <v>225</v>
      </c>
      <c r="D2256" s="5" t="s">
        <v>1260</v>
      </c>
      <c r="E2256" s="3">
        <v>130898</v>
      </c>
      <c r="F2256" s="3">
        <v>131446</v>
      </c>
      <c r="G2256" s="57">
        <f t="shared" si="35"/>
        <v>4.1864657977967578E-3</v>
      </c>
      <c r="H2256" s="5" t="s">
        <v>3242</v>
      </c>
    </row>
    <row r="2257" spans="1:8" ht="25.5" x14ac:dyDescent="0.2">
      <c r="A2257" s="1" t="s">
        <v>25</v>
      </c>
      <c r="B2257" s="2" t="s">
        <v>225</v>
      </c>
      <c r="D2257" s="5" t="s">
        <v>1261</v>
      </c>
      <c r="E2257" s="3">
        <v>128508</v>
      </c>
      <c r="F2257" s="3">
        <v>129046</v>
      </c>
      <c r="G2257" s="57">
        <f t="shared" si="35"/>
        <v>4.1865097892738196E-3</v>
      </c>
      <c r="H2257" s="5" t="s">
        <v>3243</v>
      </c>
    </row>
    <row r="2258" spans="1:8" ht="25.5" x14ac:dyDescent="0.2">
      <c r="A2258" s="1" t="s">
        <v>25</v>
      </c>
      <c r="B2258" s="2" t="s">
        <v>225</v>
      </c>
      <c r="D2258" s="5" t="s">
        <v>1262</v>
      </c>
      <c r="E2258" s="3">
        <v>130898</v>
      </c>
      <c r="F2258" s="3">
        <v>113084</v>
      </c>
      <c r="G2258" s="57">
        <f t="shared" si="35"/>
        <v>-0.1360906965729041</v>
      </c>
      <c r="H2258" s="5" t="s">
        <v>3244</v>
      </c>
    </row>
    <row r="2259" spans="1:8" x14ac:dyDescent="0.2">
      <c r="A2259" s="1" t="s">
        <v>25</v>
      </c>
      <c r="B2259" s="2" t="s">
        <v>225</v>
      </c>
      <c r="D2259" s="5" t="s">
        <v>464</v>
      </c>
      <c r="E2259" s="3" t="s">
        <v>465</v>
      </c>
      <c r="F2259" s="3">
        <v>102500</v>
      </c>
      <c r="G2259" s="57" t="str">
        <f t="shared" si="35"/>
        <v>-</v>
      </c>
      <c r="H2259" s="1"/>
    </row>
    <row r="2260" spans="1:8" x14ac:dyDescent="0.2">
      <c r="A2260" s="1" t="s">
        <v>25</v>
      </c>
      <c r="B2260" s="2" t="s">
        <v>225</v>
      </c>
      <c r="D2260" s="5" t="s">
        <v>464</v>
      </c>
      <c r="E2260" s="3" t="s">
        <v>465</v>
      </c>
      <c r="F2260" s="3">
        <v>102500</v>
      </c>
      <c r="G2260" s="57" t="str">
        <f t="shared" si="35"/>
        <v>-</v>
      </c>
      <c r="H2260" s="1"/>
    </row>
    <row r="2261" spans="1:8" x14ac:dyDescent="0.2">
      <c r="A2261" s="1" t="s">
        <v>25</v>
      </c>
      <c r="B2261" s="2" t="s">
        <v>225</v>
      </c>
      <c r="D2261" s="5" t="s">
        <v>464</v>
      </c>
      <c r="E2261" s="3" t="s">
        <v>465</v>
      </c>
      <c r="F2261" s="3">
        <v>102500</v>
      </c>
      <c r="G2261" s="57" t="str">
        <f t="shared" si="35"/>
        <v>-</v>
      </c>
      <c r="H2261" s="1"/>
    </row>
    <row r="2262" spans="1:8" x14ac:dyDescent="0.2">
      <c r="A2262" s="1" t="s">
        <v>25</v>
      </c>
      <c r="B2262" s="2" t="s">
        <v>225</v>
      </c>
      <c r="D2262" s="5" t="s">
        <v>464</v>
      </c>
      <c r="E2262" s="3" t="s">
        <v>465</v>
      </c>
      <c r="F2262" s="3">
        <v>102500</v>
      </c>
      <c r="G2262" s="57" t="str">
        <f t="shared" si="35"/>
        <v>-</v>
      </c>
    </row>
    <row r="2263" spans="1:8" x14ac:dyDescent="0.2">
      <c r="A2263" s="1" t="s">
        <v>25</v>
      </c>
      <c r="B2263" s="2" t="s">
        <v>225</v>
      </c>
      <c r="D2263" s="5" t="s">
        <v>464</v>
      </c>
      <c r="E2263" s="3">
        <v>102500</v>
      </c>
      <c r="F2263" s="3" t="s">
        <v>465</v>
      </c>
      <c r="G2263" s="57" t="str">
        <f t="shared" si="35"/>
        <v>-</v>
      </c>
    </row>
    <row r="2264" spans="1:8" x14ac:dyDescent="0.2">
      <c r="A2264" s="1" t="s">
        <v>25</v>
      </c>
      <c r="B2264" s="2" t="s">
        <v>225</v>
      </c>
      <c r="D2264" s="5" t="s">
        <v>464</v>
      </c>
      <c r="E2264" s="3">
        <v>102500</v>
      </c>
      <c r="F2264" s="3" t="s">
        <v>465</v>
      </c>
      <c r="G2264" s="57" t="str">
        <f t="shared" si="35"/>
        <v>-</v>
      </c>
    </row>
    <row r="2265" spans="1:8" ht="25.5" x14ac:dyDescent="0.2">
      <c r="A2265" s="1" t="s">
        <v>39</v>
      </c>
      <c r="B2265" s="2" t="s">
        <v>226</v>
      </c>
      <c r="D2265" s="5" t="s">
        <v>450</v>
      </c>
      <c r="E2265" s="3">
        <v>126476</v>
      </c>
      <c r="F2265" s="3">
        <v>126708</v>
      </c>
      <c r="G2265" s="57">
        <f t="shared" si="35"/>
        <v>1.834340111958E-3</v>
      </c>
      <c r="H2265" s="5" t="s">
        <v>3238</v>
      </c>
    </row>
    <row r="2266" spans="1:8" x14ac:dyDescent="0.2">
      <c r="A2266" s="1" t="s">
        <v>11</v>
      </c>
      <c r="B2266" s="2" t="s">
        <v>227</v>
      </c>
      <c r="D2266" s="5" t="s">
        <v>464</v>
      </c>
      <c r="E2266" s="3" t="s">
        <v>465</v>
      </c>
      <c r="F2266" s="3">
        <v>95000</v>
      </c>
      <c r="G2266" s="57" t="str">
        <f t="shared" si="35"/>
        <v>-</v>
      </c>
    </row>
    <row r="2267" spans="1:8" ht="25.5" x14ac:dyDescent="0.2">
      <c r="A2267" s="1" t="s">
        <v>8</v>
      </c>
      <c r="B2267" s="2" t="s">
        <v>228</v>
      </c>
      <c r="D2267" s="5" t="s">
        <v>450</v>
      </c>
      <c r="E2267" s="3">
        <v>146153</v>
      </c>
      <c r="F2267" s="3">
        <v>149445</v>
      </c>
      <c r="G2267" s="57">
        <f t="shared" si="35"/>
        <v>2.2524340930394859E-2</v>
      </c>
      <c r="H2267" s="5" t="s">
        <v>3234</v>
      </c>
    </row>
    <row r="2268" spans="1:8" ht="25.5" x14ac:dyDescent="0.2">
      <c r="A2268" s="1" t="s">
        <v>8</v>
      </c>
      <c r="B2268" s="2" t="s">
        <v>228</v>
      </c>
      <c r="D2268" s="5" t="s">
        <v>1253</v>
      </c>
      <c r="E2268" s="3">
        <v>108616</v>
      </c>
      <c r="F2268" s="3">
        <v>108169</v>
      </c>
      <c r="G2268" s="57">
        <f t="shared" si="35"/>
        <v>-4.1154157766811516E-3</v>
      </c>
      <c r="H2268" s="5" t="s">
        <v>3235</v>
      </c>
    </row>
    <row r="2269" spans="1:8" ht="25.5" x14ac:dyDescent="0.2">
      <c r="A2269" s="1" t="s">
        <v>8</v>
      </c>
      <c r="B2269" s="2" t="s">
        <v>228</v>
      </c>
      <c r="D2269" s="5" t="s">
        <v>1254</v>
      </c>
      <c r="E2269" s="3">
        <v>108466</v>
      </c>
      <c r="F2269" s="3">
        <v>108313</v>
      </c>
      <c r="G2269" s="57">
        <f t="shared" si="35"/>
        <v>-1.4105802740029133E-3</v>
      </c>
      <c r="H2269" s="5" t="s">
        <v>3236</v>
      </c>
    </row>
    <row r="2270" spans="1:8" ht="25.5" x14ac:dyDescent="0.2">
      <c r="A2270" s="1" t="s">
        <v>8</v>
      </c>
      <c r="B2270" s="2" t="s">
        <v>228</v>
      </c>
      <c r="D2270" s="5" t="s">
        <v>463</v>
      </c>
      <c r="E2270" s="3">
        <v>107670</v>
      </c>
      <c r="F2270" s="3">
        <v>108934</v>
      </c>
      <c r="G2270" s="57">
        <f t="shared" si="35"/>
        <v>1.1739574626172564E-2</v>
      </c>
      <c r="H2270" s="5" t="s">
        <v>3237</v>
      </c>
    </row>
    <row r="2271" spans="1:8" x14ac:dyDescent="0.2">
      <c r="A2271" s="1" t="s">
        <v>8</v>
      </c>
      <c r="B2271" s="2" t="s">
        <v>228</v>
      </c>
      <c r="D2271" s="5" t="s">
        <v>464</v>
      </c>
      <c r="E2271" s="3" t="s">
        <v>465</v>
      </c>
      <c r="F2271" s="3">
        <v>102500</v>
      </c>
      <c r="G2271" s="57" t="str">
        <f t="shared" si="35"/>
        <v>-</v>
      </c>
    </row>
    <row r="2272" spans="1:8" ht="25.5" x14ac:dyDescent="0.2">
      <c r="A2272" s="1" t="s">
        <v>8</v>
      </c>
      <c r="B2272" s="2" t="s">
        <v>229</v>
      </c>
      <c r="C2272" s="5" t="s">
        <v>1248</v>
      </c>
      <c r="D2272" s="5" t="s">
        <v>450</v>
      </c>
      <c r="E2272" s="3">
        <v>206059</v>
      </c>
      <c r="F2272" s="3">
        <v>207113</v>
      </c>
      <c r="G2272" s="57">
        <f t="shared" si="35"/>
        <v>5.1150398672224944E-3</v>
      </c>
      <c r="H2272" s="5" t="s">
        <v>3225</v>
      </c>
    </row>
    <row r="2273" spans="1:8" ht="25.5" x14ac:dyDescent="0.2">
      <c r="A2273" s="1" t="s">
        <v>8</v>
      </c>
      <c r="B2273" s="2" t="s">
        <v>229</v>
      </c>
      <c r="D2273" s="5" t="s">
        <v>3226</v>
      </c>
      <c r="E2273" s="3">
        <v>150948</v>
      </c>
      <c r="F2273" s="3">
        <v>57118</v>
      </c>
      <c r="G2273" s="57">
        <f t="shared" si="35"/>
        <v>-0.6216047910538729</v>
      </c>
      <c r="H2273" s="5" t="s">
        <v>3227</v>
      </c>
    </row>
    <row r="2274" spans="1:8" ht="25.5" x14ac:dyDescent="0.2">
      <c r="A2274" s="1" t="s">
        <v>8</v>
      </c>
      <c r="B2274" s="2" t="s">
        <v>229</v>
      </c>
      <c r="D2274" s="5" t="s">
        <v>1249</v>
      </c>
      <c r="E2274" s="3">
        <v>150975</v>
      </c>
      <c r="F2274" s="3">
        <v>156938</v>
      </c>
      <c r="G2274" s="57">
        <f t="shared" si="35"/>
        <v>3.949660539824474E-2</v>
      </c>
      <c r="H2274" s="5" t="s">
        <v>3228</v>
      </c>
    </row>
    <row r="2275" spans="1:8" ht="25.5" x14ac:dyDescent="0.2">
      <c r="A2275" s="1" t="s">
        <v>8</v>
      </c>
      <c r="B2275" s="2" t="s">
        <v>229</v>
      </c>
      <c r="D2275" s="5" t="s">
        <v>1250</v>
      </c>
      <c r="E2275" s="3">
        <v>150567</v>
      </c>
      <c r="F2275" s="3">
        <v>150535</v>
      </c>
      <c r="G2275" s="57">
        <f t="shared" si="35"/>
        <v>-2.1252997004655736E-4</v>
      </c>
      <c r="H2275" s="5" t="s">
        <v>3229</v>
      </c>
    </row>
    <row r="2276" spans="1:8" ht="25.5" x14ac:dyDescent="0.2">
      <c r="A2276" s="1" t="s">
        <v>8</v>
      </c>
      <c r="B2276" s="2" t="s">
        <v>229</v>
      </c>
      <c r="D2276" s="5" t="s">
        <v>1251</v>
      </c>
      <c r="E2276" s="3">
        <v>150954</v>
      </c>
      <c r="F2276" s="3">
        <v>150895</v>
      </c>
      <c r="G2276" s="57">
        <f t="shared" si="35"/>
        <v>-3.9084754296010704E-4</v>
      </c>
      <c r="H2276" s="5" t="s">
        <v>3232</v>
      </c>
    </row>
    <row r="2277" spans="1:8" ht="25.5" x14ac:dyDescent="0.2">
      <c r="A2277" s="1" t="s">
        <v>8</v>
      </c>
      <c r="B2277" s="2" t="s">
        <v>229</v>
      </c>
      <c r="D2277" s="5" t="s">
        <v>451</v>
      </c>
      <c r="E2277" s="3">
        <v>136129</v>
      </c>
      <c r="F2277" s="3">
        <v>141039</v>
      </c>
      <c r="G2277" s="57">
        <f t="shared" si="35"/>
        <v>3.606872892623908E-2</v>
      </c>
      <c r="H2277" s="5" t="s">
        <v>3230</v>
      </c>
    </row>
    <row r="2278" spans="1:8" ht="25.5" x14ac:dyDescent="0.2">
      <c r="A2278" s="1" t="s">
        <v>8</v>
      </c>
      <c r="B2278" s="2" t="s">
        <v>229</v>
      </c>
      <c r="D2278" s="5" t="s">
        <v>1252</v>
      </c>
      <c r="E2278" s="3">
        <v>130378</v>
      </c>
      <c r="F2278" s="3">
        <v>150802</v>
      </c>
      <c r="G2278" s="57">
        <f t="shared" si="35"/>
        <v>0.15665219592262497</v>
      </c>
      <c r="H2278" s="5" t="s">
        <v>3231</v>
      </c>
    </row>
    <row r="2279" spans="1:8" ht="25.5" x14ac:dyDescent="0.2">
      <c r="A2279" s="1" t="s">
        <v>8</v>
      </c>
      <c r="B2279" s="2" t="s">
        <v>229</v>
      </c>
      <c r="D2279" s="5" t="s">
        <v>604</v>
      </c>
      <c r="E2279" s="3">
        <v>135824</v>
      </c>
      <c r="F2279" s="3">
        <v>106908</v>
      </c>
      <c r="G2279" s="57">
        <f t="shared" si="35"/>
        <v>-0.21289315584874544</v>
      </c>
      <c r="H2279" s="5" t="s">
        <v>3233</v>
      </c>
    </row>
    <row r="2280" spans="1:8" x14ac:dyDescent="0.2">
      <c r="A2280" s="1" t="s">
        <v>8</v>
      </c>
      <c r="B2280" s="2" t="s">
        <v>229</v>
      </c>
      <c r="D2280" s="5" t="s">
        <v>464</v>
      </c>
      <c r="E2280" s="3" t="s">
        <v>465</v>
      </c>
      <c r="F2280" s="3">
        <v>112500</v>
      </c>
      <c r="G2280" s="57" t="str">
        <f t="shared" si="35"/>
        <v>-</v>
      </c>
      <c r="H2280" s="5" t="s">
        <v>539</v>
      </c>
    </row>
    <row r="2281" spans="1:8" x14ac:dyDescent="0.2">
      <c r="A2281" s="1" t="s">
        <v>8</v>
      </c>
      <c r="B2281" s="2" t="s">
        <v>229</v>
      </c>
      <c r="D2281" s="5" t="s">
        <v>464</v>
      </c>
      <c r="E2281" s="3" t="s">
        <v>465</v>
      </c>
      <c r="F2281" s="3">
        <v>117500</v>
      </c>
      <c r="G2281" s="57" t="str">
        <f t="shared" si="35"/>
        <v>-</v>
      </c>
      <c r="H2281" s="5" t="s">
        <v>539</v>
      </c>
    </row>
    <row r="2282" spans="1:8" x14ac:dyDescent="0.2">
      <c r="A2282" s="1" t="s">
        <v>8</v>
      </c>
      <c r="B2282" s="2" t="s">
        <v>229</v>
      </c>
      <c r="D2282" s="5" t="s">
        <v>464</v>
      </c>
      <c r="E2282" s="3" t="s">
        <v>465</v>
      </c>
      <c r="F2282" s="3">
        <v>137500</v>
      </c>
      <c r="G2282" s="57" t="str">
        <f t="shared" si="35"/>
        <v>-</v>
      </c>
      <c r="H2282" s="5" t="s">
        <v>539</v>
      </c>
    </row>
    <row r="2283" spans="1:8" x14ac:dyDescent="0.2">
      <c r="A2283" s="1" t="s">
        <v>8</v>
      </c>
      <c r="B2283" s="2" t="s">
        <v>229</v>
      </c>
      <c r="D2283" s="5" t="s">
        <v>464</v>
      </c>
      <c r="E2283" s="3" t="s">
        <v>465</v>
      </c>
      <c r="F2283" s="3">
        <v>142500</v>
      </c>
      <c r="G2283" s="57" t="str">
        <f t="shared" si="35"/>
        <v>-</v>
      </c>
      <c r="H2283" s="5" t="s">
        <v>539</v>
      </c>
    </row>
    <row r="2284" spans="1:8" x14ac:dyDescent="0.2">
      <c r="A2284" s="1" t="s">
        <v>8</v>
      </c>
      <c r="B2284" s="2" t="s">
        <v>229</v>
      </c>
      <c r="D2284" s="5" t="s">
        <v>464</v>
      </c>
      <c r="E2284" s="3" t="s">
        <v>465</v>
      </c>
      <c r="F2284" s="3">
        <v>142500</v>
      </c>
      <c r="G2284" s="57" t="str">
        <f t="shared" si="35"/>
        <v>-</v>
      </c>
      <c r="H2284" s="5" t="s">
        <v>539</v>
      </c>
    </row>
    <row r="2285" spans="1:8" x14ac:dyDescent="0.2">
      <c r="A2285" s="1" t="s">
        <v>8</v>
      </c>
      <c r="B2285" s="2" t="s">
        <v>229</v>
      </c>
      <c r="D2285" s="5" t="s">
        <v>464</v>
      </c>
      <c r="E2285" s="3" t="s">
        <v>465</v>
      </c>
      <c r="F2285" s="3">
        <v>142500</v>
      </c>
      <c r="G2285" s="57" t="str">
        <f t="shared" si="35"/>
        <v>-</v>
      </c>
      <c r="H2285" s="5" t="s">
        <v>539</v>
      </c>
    </row>
    <row r="2286" spans="1:8" x14ac:dyDescent="0.2">
      <c r="A2286" s="1" t="s">
        <v>8</v>
      </c>
      <c r="B2286" s="2" t="s">
        <v>229</v>
      </c>
      <c r="D2286" s="5" t="s">
        <v>464</v>
      </c>
      <c r="E2286" s="3" t="s">
        <v>465</v>
      </c>
      <c r="F2286" s="3">
        <v>147500</v>
      </c>
      <c r="G2286" s="57" t="str">
        <f t="shared" si="35"/>
        <v>-</v>
      </c>
      <c r="H2286" s="5" t="s">
        <v>539</v>
      </c>
    </row>
    <row r="2287" spans="1:8" x14ac:dyDescent="0.2">
      <c r="A2287" s="1" t="s">
        <v>8</v>
      </c>
      <c r="B2287" s="2" t="s">
        <v>229</v>
      </c>
      <c r="D2287" s="5" t="s">
        <v>464</v>
      </c>
      <c r="E2287" s="3" t="s">
        <v>465</v>
      </c>
      <c r="F2287" s="3">
        <v>147500</v>
      </c>
      <c r="G2287" s="57" t="str">
        <f t="shared" si="35"/>
        <v>-</v>
      </c>
      <c r="H2287" s="5" t="s">
        <v>539</v>
      </c>
    </row>
    <row r="2288" spans="1:8" x14ac:dyDescent="0.2">
      <c r="A2288" s="1" t="s">
        <v>8</v>
      </c>
      <c r="B2288" s="2" t="s">
        <v>229</v>
      </c>
      <c r="D2288" s="5" t="s">
        <v>464</v>
      </c>
      <c r="E2288" s="3" t="s">
        <v>465</v>
      </c>
      <c r="F2288" s="3">
        <v>172500</v>
      </c>
      <c r="G2288" s="57" t="str">
        <f t="shared" si="35"/>
        <v>-</v>
      </c>
      <c r="H2288" s="5" t="s">
        <v>539</v>
      </c>
    </row>
    <row r="2289" spans="1:8" x14ac:dyDescent="0.2">
      <c r="A2289" s="1" t="s">
        <v>11</v>
      </c>
      <c r="B2289" s="2" t="s">
        <v>230</v>
      </c>
      <c r="D2289" s="5" t="s">
        <v>464</v>
      </c>
      <c r="E2289" s="3" t="s">
        <v>465</v>
      </c>
      <c r="F2289" s="3">
        <v>95000</v>
      </c>
      <c r="G2289" s="57" t="str">
        <f t="shared" si="35"/>
        <v>-</v>
      </c>
    </row>
    <row r="2290" spans="1:8" ht="25.5" x14ac:dyDescent="0.2">
      <c r="A2290" s="1" t="s">
        <v>6</v>
      </c>
      <c r="B2290" s="12" t="s">
        <v>231</v>
      </c>
      <c r="C2290" s="5" t="s">
        <v>1242</v>
      </c>
      <c r="D2290" s="5" t="s">
        <v>505</v>
      </c>
      <c r="E2290" s="9" t="s">
        <v>465</v>
      </c>
      <c r="F2290" s="9">
        <f>102679+22076</f>
        <v>124755</v>
      </c>
      <c r="G2290" s="57" t="str">
        <f t="shared" si="35"/>
        <v>-</v>
      </c>
      <c r="H2290" s="5" t="s">
        <v>3217</v>
      </c>
    </row>
    <row r="2291" spans="1:8" ht="38.25" x14ac:dyDescent="0.2">
      <c r="A2291" s="1" t="s">
        <v>6</v>
      </c>
      <c r="B2291" s="12" t="s">
        <v>231</v>
      </c>
      <c r="C2291" s="5" t="s">
        <v>1243</v>
      </c>
      <c r="D2291" s="5" t="s">
        <v>450</v>
      </c>
      <c r="E2291" s="9">
        <f>229555+49159</f>
        <v>278714</v>
      </c>
      <c r="F2291" s="9">
        <f>169768+12959</f>
        <v>182727</v>
      </c>
      <c r="G2291" s="57">
        <f t="shared" si="35"/>
        <v>-0.34439245965398224</v>
      </c>
      <c r="H2291" s="5" t="s">
        <v>3216</v>
      </c>
    </row>
    <row r="2292" spans="1:8" ht="38.25" x14ac:dyDescent="0.2">
      <c r="A2292" s="1" t="s">
        <v>6</v>
      </c>
      <c r="B2292" s="12" t="s">
        <v>231</v>
      </c>
      <c r="C2292" s="5" t="s">
        <v>1244</v>
      </c>
      <c r="D2292" s="5" t="s">
        <v>529</v>
      </c>
      <c r="E2292" s="9">
        <f>201795+41191</f>
        <v>242986</v>
      </c>
      <c r="F2292" s="9">
        <f>349581+34516</f>
        <v>384097</v>
      </c>
      <c r="G2292" s="57">
        <f t="shared" si="35"/>
        <v>0.58073716181179158</v>
      </c>
      <c r="H2292" s="5" t="s">
        <v>3218</v>
      </c>
    </row>
    <row r="2293" spans="1:8" ht="38.25" x14ac:dyDescent="0.2">
      <c r="A2293" s="1" t="s">
        <v>6</v>
      </c>
      <c r="B2293" s="12" t="s">
        <v>231</v>
      </c>
      <c r="C2293" s="5" t="s">
        <v>1245</v>
      </c>
      <c r="D2293" s="5" t="s">
        <v>529</v>
      </c>
      <c r="E2293" s="9">
        <f>201828+43198</f>
        <v>245026</v>
      </c>
      <c r="F2293" s="9">
        <f>208929+14278</f>
        <v>223207</v>
      </c>
      <c r="G2293" s="57">
        <f t="shared" si="35"/>
        <v>-8.9047692897896547E-2</v>
      </c>
      <c r="H2293" s="5" t="s">
        <v>3219</v>
      </c>
    </row>
    <row r="2294" spans="1:8" ht="38.25" x14ac:dyDescent="0.2">
      <c r="A2294" s="1" t="s">
        <v>6</v>
      </c>
      <c r="B2294" s="12" t="s">
        <v>231</v>
      </c>
      <c r="C2294" s="5" t="s">
        <v>1246</v>
      </c>
      <c r="D2294" s="5" t="s">
        <v>529</v>
      </c>
      <c r="E2294" s="9">
        <f>175043+37634</f>
        <v>212677</v>
      </c>
      <c r="F2294" s="9">
        <f>216484+21669</f>
        <v>238153</v>
      </c>
      <c r="G2294" s="57">
        <f t="shared" si="35"/>
        <v>0.11978728306304866</v>
      </c>
      <c r="H2294" s="5" t="s">
        <v>3220</v>
      </c>
    </row>
    <row r="2295" spans="1:8" x14ac:dyDescent="0.2">
      <c r="A2295" s="1" t="s">
        <v>6</v>
      </c>
      <c r="B2295" s="12" t="s">
        <v>231</v>
      </c>
      <c r="D2295" s="5" t="s">
        <v>1247</v>
      </c>
      <c r="E2295" s="9">
        <f>126106+27113</f>
        <v>153219</v>
      </c>
      <c r="F2295" s="9">
        <f>117816+25330</f>
        <v>143146</v>
      </c>
      <c r="G2295" s="57">
        <f t="shared" si="35"/>
        <v>-6.5742499298389892E-2</v>
      </c>
      <c r="H2295" s="5" t="s">
        <v>3221</v>
      </c>
    </row>
    <row r="2296" spans="1:8" ht="38.25" x14ac:dyDescent="0.2">
      <c r="A2296" s="1" t="s">
        <v>6</v>
      </c>
      <c r="B2296" s="12" t="s">
        <v>231</v>
      </c>
      <c r="D2296" s="5" t="s">
        <v>451</v>
      </c>
      <c r="E2296" s="9">
        <f>145424+31266</f>
        <v>176690</v>
      </c>
      <c r="F2296" s="9">
        <f>156321+8459</f>
        <v>164780</v>
      </c>
      <c r="G2296" s="57">
        <f t="shared" si="35"/>
        <v>-6.7406191635067073E-2</v>
      </c>
      <c r="H2296" s="5" t="s">
        <v>3222</v>
      </c>
    </row>
    <row r="2297" spans="1:8" ht="25.5" x14ac:dyDescent="0.2">
      <c r="A2297" s="1" t="s">
        <v>6</v>
      </c>
      <c r="B2297" s="12" t="s">
        <v>231</v>
      </c>
      <c r="D2297" s="5" t="s">
        <v>3223</v>
      </c>
      <c r="E2297" s="9">
        <f>145424+31266</f>
        <v>176690</v>
      </c>
      <c r="F2297" s="9">
        <f>73986+8459</f>
        <v>82445</v>
      </c>
      <c r="G2297" s="57">
        <f t="shared" si="35"/>
        <v>-0.53339181617522213</v>
      </c>
      <c r="H2297" s="5" t="s">
        <v>3224</v>
      </c>
    </row>
    <row r="2298" spans="1:8" x14ac:dyDescent="0.2">
      <c r="A2298" s="1" t="s">
        <v>6</v>
      </c>
      <c r="B2298" s="12" t="s">
        <v>231</v>
      </c>
      <c r="D2298" s="5" t="s">
        <v>464</v>
      </c>
      <c r="E2298" s="3">
        <v>102500</v>
      </c>
      <c r="F2298" s="3" t="s">
        <v>465</v>
      </c>
      <c r="G2298" s="57" t="str">
        <f t="shared" si="35"/>
        <v>-</v>
      </c>
      <c r="H2298" s="1"/>
    </row>
    <row r="2299" spans="1:8" x14ac:dyDescent="0.2">
      <c r="A2299" s="1" t="s">
        <v>6</v>
      </c>
      <c r="B2299" s="12" t="s">
        <v>231</v>
      </c>
      <c r="D2299" s="5" t="s">
        <v>464</v>
      </c>
      <c r="E2299" s="3" t="s">
        <v>465</v>
      </c>
      <c r="F2299" s="3">
        <v>102500</v>
      </c>
      <c r="G2299" s="57" t="str">
        <f t="shared" si="35"/>
        <v>-</v>
      </c>
      <c r="H2299" s="1"/>
    </row>
    <row r="2300" spans="1:8" x14ac:dyDescent="0.2">
      <c r="A2300" s="1" t="s">
        <v>6</v>
      </c>
      <c r="B2300" s="12" t="s">
        <v>231</v>
      </c>
      <c r="D2300" s="5" t="s">
        <v>464</v>
      </c>
      <c r="E2300" s="3" t="s">
        <v>465</v>
      </c>
      <c r="F2300" s="3">
        <v>102500</v>
      </c>
      <c r="G2300" s="57" t="str">
        <f t="shared" si="35"/>
        <v>-</v>
      </c>
      <c r="H2300" s="1"/>
    </row>
    <row r="2301" spans="1:8" x14ac:dyDescent="0.2">
      <c r="A2301" s="1" t="s">
        <v>6</v>
      </c>
      <c r="B2301" s="12" t="s">
        <v>231</v>
      </c>
      <c r="D2301" s="5" t="s">
        <v>464</v>
      </c>
      <c r="E2301" s="3" t="s">
        <v>465</v>
      </c>
      <c r="F2301" s="3">
        <v>102500</v>
      </c>
      <c r="G2301" s="57" t="str">
        <f t="shared" si="35"/>
        <v>-</v>
      </c>
      <c r="H2301" s="1"/>
    </row>
    <row r="2302" spans="1:8" x14ac:dyDescent="0.2">
      <c r="A2302" s="1" t="s">
        <v>6</v>
      </c>
      <c r="B2302" s="12" t="s">
        <v>231</v>
      </c>
      <c r="D2302" s="5" t="s">
        <v>464</v>
      </c>
      <c r="E2302" s="3" t="s">
        <v>465</v>
      </c>
      <c r="F2302" s="3">
        <v>102500</v>
      </c>
      <c r="G2302" s="57" t="str">
        <f t="shared" si="35"/>
        <v>-</v>
      </c>
      <c r="H2302" s="1"/>
    </row>
    <row r="2303" spans="1:8" x14ac:dyDescent="0.2">
      <c r="A2303" s="1" t="s">
        <v>6</v>
      </c>
      <c r="B2303" s="12" t="s">
        <v>231</v>
      </c>
      <c r="D2303" s="5" t="s">
        <v>464</v>
      </c>
      <c r="E2303" s="3" t="s">
        <v>465</v>
      </c>
      <c r="F2303" s="3">
        <v>102500</v>
      </c>
      <c r="G2303" s="57" t="str">
        <f t="shared" si="35"/>
        <v>-</v>
      </c>
      <c r="H2303" s="1"/>
    </row>
    <row r="2304" spans="1:8" x14ac:dyDescent="0.2">
      <c r="A2304" s="1" t="s">
        <v>6</v>
      </c>
      <c r="B2304" s="12" t="s">
        <v>231</v>
      </c>
      <c r="D2304" s="5" t="s">
        <v>464</v>
      </c>
      <c r="E2304" s="3" t="s">
        <v>465</v>
      </c>
      <c r="F2304" s="3">
        <v>102500</v>
      </c>
      <c r="G2304" s="57" t="str">
        <f t="shared" si="35"/>
        <v>-</v>
      </c>
      <c r="H2304" s="1"/>
    </row>
    <row r="2305" spans="1:8" x14ac:dyDescent="0.2">
      <c r="A2305" s="1" t="s">
        <v>6</v>
      </c>
      <c r="B2305" s="12" t="s">
        <v>231</v>
      </c>
      <c r="D2305" s="5" t="s">
        <v>464</v>
      </c>
      <c r="E2305" s="3" t="s">
        <v>465</v>
      </c>
      <c r="F2305" s="3">
        <v>102500</v>
      </c>
      <c r="G2305" s="57" t="str">
        <f t="shared" si="35"/>
        <v>-</v>
      </c>
      <c r="H2305" s="1"/>
    </row>
    <row r="2306" spans="1:8" x14ac:dyDescent="0.2">
      <c r="A2306" s="1" t="s">
        <v>6</v>
      </c>
      <c r="B2306" s="12" t="s">
        <v>231</v>
      </c>
      <c r="D2306" s="5" t="s">
        <v>464</v>
      </c>
      <c r="E2306" s="3" t="s">
        <v>465</v>
      </c>
      <c r="F2306" s="3">
        <v>102500</v>
      </c>
      <c r="G2306" s="57" t="str">
        <f t="shared" si="35"/>
        <v>-</v>
      </c>
      <c r="H2306" s="1"/>
    </row>
    <row r="2307" spans="1:8" x14ac:dyDescent="0.2">
      <c r="A2307" s="1" t="s">
        <v>6</v>
      </c>
      <c r="B2307" s="12" t="s">
        <v>231</v>
      </c>
      <c r="D2307" s="5" t="s">
        <v>464</v>
      </c>
      <c r="E2307" s="3" t="s">
        <v>465</v>
      </c>
      <c r="F2307" s="3">
        <v>102500</v>
      </c>
      <c r="G2307" s="57" t="str">
        <f t="shared" ref="G2307:G2341" si="36">IF(ISERROR((F2307-E2307)/E2307),"-",(F2307-E2307)/E2307)</f>
        <v>-</v>
      </c>
      <c r="H2307" s="1"/>
    </row>
    <row r="2308" spans="1:8" x14ac:dyDescent="0.2">
      <c r="A2308" s="1" t="s">
        <v>6</v>
      </c>
      <c r="B2308" s="12" t="s">
        <v>231</v>
      </c>
      <c r="D2308" s="5" t="s">
        <v>464</v>
      </c>
      <c r="E2308" s="3" t="s">
        <v>465</v>
      </c>
      <c r="F2308" s="3">
        <v>107500</v>
      </c>
      <c r="G2308" s="57" t="str">
        <f t="shared" si="36"/>
        <v>-</v>
      </c>
      <c r="H2308" s="1"/>
    </row>
    <row r="2309" spans="1:8" x14ac:dyDescent="0.2">
      <c r="A2309" s="1" t="s">
        <v>6</v>
      </c>
      <c r="B2309" s="12" t="s">
        <v>231</v>
      </c>
      <c r="D2309" s="5" t="s">
        <v>464</v>
      </c>
      <c r="E2309" s="3" t="s">
        <v>465</v>
      </c>
      <c r="F2309" s="3">
        <v>107500</v>
      </c>
      <c r="G2309" s="57" t="str">
        <f t="shared" si="36"/>
        <v>-</v>
      </c>
      <c r="H2309" s="1"/>
    </row>
    <row r="2310" spans="1:8" x14ac:dyDescent="0.2">
      <c r="A2310" s="1" t="s">
        <v>6</v>
      </c>
      <c r="B2310" s="12" t="s">
        <v>231</v>
      </c>
      <c r="D2310" s="5" t="s">
        <v>464</v>
      </c>
      <c r="E2310" s="3" t="s">
        <v>465</v>
      </c>
      <c r="F2310" s="3">
        <v>107500</v>
      </c>
      <c r="G2310" s="57" t="str">
        <f t="shared" si="36"/>
        <v>-</v>
      </c>
      <c r="H2310" s="1"/>
    </row>
    <row r="2311" spans="1:8" x14ac:dyDescent="0.2">
      <c r="A2311" s="1" t="s">
        <v>6</v>
      </c>
      <c r="B2311" s="12" t="s">
        <v>231</v>
      </c>
      <c r="D2311" s="5" t="s">
        <v>464</v>
      </c>
      <c r="E2311" s="3" t="s">
        <v>465</v>
      </c>
      <c r="F2311" s="3">
        <v>107500</v>
      </c>
      <c r="G2311" s="57" t="str">
        <f t="shared" si="36"/>
        <v>-</v>
      </c>
      <c r="H2311" s="1"/>
    </row>
    <row r="2312" spans="1:8" x14ac:dyDescent="0.2">
      <c r="A2312" s="1" t="s">
        <v>6</v>
      </c>
      <c r="B2312" s="12" t="s">
        <v>231</v>
      </c>
      <c r="D2312" s="5" t="s">
        <v>464</v>
      </c>
      <c r="E2312" s="3" t="s">
        <v>465</v>
      </c>
      <c r="F2312" s="3">
        <v>112500</v>
      </c>
      <c r="G2312" s="57" t="str">
        <f t="shared" si="36"/>
        <v>-</v>
      </c>
      <c r="H2312" s="1"/>
    </row>
    <row r="2313" spans="1:8" x14ac:dyDescent="0.2">
      <c r="A2313" s="1" t="s">
        <v>6</v>
      </c>
      <c r="B2313" s="12" t="s">
        <v>231</v>
      </c>
      <c r="D2313" s="5" t="s">
        <v>464</v>
      </c>
      <c r="E2313" s="3">
        <v>117500</v>
      </c>
      <c r="F2313" s="3" t="s">
        <v>465</v>
      </c>
      <c r="G2313" s="57" t="str">
        <f t="shared" si="36"/>
        <v>-</v>
      </c>
      <c r="H2313" s="1"/>
    </row>
    <row r="2314" spans="1:8" x14ac:dyDescent="0.2">
      <c r="A2314" s="1" t="s">
        <v>6</v>
      </c>
      <c r="B2314" s="12" t="s">
        <v>231</v>
      </c>
      <c r="D2314" s="5" t="s">
        <v>464</v>
      </c>
      <c r="E2314" s="3">
        <v>117500</v>
      </c>
      <c r="F2314" s="3" t="s">
        <v>465</v>
      </c>
      <c r="G2314" s="57" t="str">
        <f t="shared" si="36"/>
        <v>-</v>
      </c>
      <c r="H2314" s="1"/>
    </row>
    <row r="2315" spans="1:8" x14ac:dyDescent="0.2">
      <c r="A2315" s="1" t="s">
        <v>6</v>
      </c>
      <c r="B2315" s="12" t="s">
        <v>231</v>
      </c>
      <c r="D2315" s="5" t="s">
        <v>464</v>
      </c>
      <c r="E2315" s="3">
        <v>117500</v>
      </c>
      <c r="F2315" s="3" t="s">
        <v>465</v>
      </c>
      <c r="G2315" s="57" t="str">
        <f t="shared" si="36"/>
        <v>-</v>
      </c>
      <c r="H2315" s="1"/>
    </row>
    <row r="2316" spans="1:8" x14ac:dyDescent="0.2">
      <c r="A2316" s="1" t="s">
        <v>6</v>
      </c>
      <c r="B2316" s="12" t="s">
        <v>231</v>
      </c>
      <c r="D2316" s="5" t="s">
        <v>464</v>
      </c>
      <c r="E2316" s="3">
        <v>117500</v>
      </c>
      <c r="F2316" s="3" t="s">
        <v>465</v>
      </c>
      <c r="G2316" s="57" t="str">
        <f t="shared" si="36"/>
        <v>-</v>
      </c>
      <c r="H2316" s="1"/>
    </row>
    <row r="2317" spans="1:8" x14ac:dyDescent="0.2">
      <c r="A2317" s="1" t="s">
        <v>6</v>
      </c>
      <c r="B2317" s="12" t="s">
        <v>231</v>
      </c>
      <c r="D2317" s="5" t="s">
        <v>464</v>
      </c>
      <c r="E2317" s="3">
        <v>117500</v>
      </c>
      <c r="F2317" s="3" t="s">
        <v>465</v>
      </c>
      <c r="G2317" s="57" t="str">
        <f t="shared" si="36"/>
        <v>-</v>
      </c>
      <c r="H2317" s="1"/>
    </row>
    <row r="2318" spans="1:8" x14ac:dyDescent="0.2">
      <c r="A2318" s="1" t="s">
        <v>6</v>
      </c>
      <c r="B2318" s="12" t="s">
        <v>231</v>
      </c>
      <c r="D2318" s="5" t="s">
        <v>464</v>
      </c>
      <c r="E2318" s="3">
        <v>117500</v>
      </c>
      <c r="F2318" s="3" t="s">
        <v>465</v>
      </c>
      <c r="G2318" s="57" t="str">
        <f t="shared" si="36"/>
        <v>-</v>
      </c>
      <c r="H2318" s="1"/>
    </row>
    <row r="2319" spans="1:8" x14ac:dyDescent="0.2">
      <c r="A2319" s="1" t="s">
        <v>6</v>
      </c>
      <c r="B2319" s="12" t="s">
        <v>231</v>
      </c>
      <c r="D2319" s="5" t="s">
        <v>464</v>
      </c>
      <c r="E2319" s="3">
        <v>117500</v>
      </c>
      <c r="F2319" s="3" t="s">
        <v>465</v>
      </c>
      <c r="G2319" s="57" t="str">
        <f t="shared" si="36"/>
        <v>-</v>
      </c>
      <c r="H2319" s="1"/>
    </row>
    <row r="2320" spans="1:8" x14ac:dyDescent="0.2">
      <c r="A2320" s="1" t="s">
        <v>6</v>
      </c>
      <c r="B2320" s="12" t="s">
        <v>231</v>
      </c>
      <c r="D2320" s="5" t="s">
        <v>464</v>
      </c>
      <c r="E2320" s="3" t="s">
        <v>465</v>
      </c>
      <c r="F2320" s="3">
        <v>117500</v>
      </c>
      <c r="G2320" s="57" t="str">
        <f t="shared" si="36"/>
        <v>-</v>
      </c>
      <c r="H2320" s="1"/>
    </row>
    <row r="2321" spans="1:8" x14ac:dyDescent="0.2">
      <c r="A2321" s="1" t="s">
        <v>6</v>
      </c>
      <c r="B2321" s="12" t="s">
        <v>231</v>
      </c>
      <c r="D2321" s="5" t="s">
        <v>464</v>
      </c>
      <c r="E2321" s="3" t="s">
        <v>465</v>
      </c>
      <c r="F2321" s="3">
        <v>117500</v>
      </c>
      <c r="G2321" s="57" t="str">
        <f t="shared" si="36"/>
        <v>-</v>
      </c>
      <c r="H2321" s="1"/>
    </row>
    <row r="2322" spans="1:8" x14ac:dyDescent="0.2">
      <c r="A2322" s="1" t="s">
        <v>6</v>
      </c>
      <c r="B2322" s="12" t="s">
        <v>231</v>
      </c>
      <c r="D2322" s="5" t="s">
        <v>464</v>
      </c>
      <c r="E2322" s="3">
        <v>122500</v>
      </c>
      <c r="F2322" s="3" t="s">
        <v>465</v>
      </c>
      <c r="G2322" s="57" t="str">
        <f t="shared" si="36"/>
        <v>-</v>
      </c>
      <c r="H2322" s="1"/>
    </row>
    <row r="2323" spans="1:8" x14ac:dyDescent="0.2">
      <c r="A2323" s="1" t="s">
        <v>6</v>
      </c>
      <c r="B2323" s="12" t="s">
        <v>231</v>
      </c>
      <c r="D2323" s="5" t="s">
        <v>464</v>
      </c>
      <c r="E2323" s="3">
        <v>122500</v>
      </c>
      <c r="F2323" s="3" t="s">
        <v>465</v>
      </c>
      <c r="G2323" s="57" t="str">
        <f t="shared" si="36"/>
        <v>-</v>
      </c>
      <c r="H2323" s="1"/>
    </row>
    <row r="2324" spans="1:8" x14ac:dyDescent="0.2">
      <c r="A2324" s="1" t="s">
        <v>6</v>
      </c>
      <c r="B2324" s="12" t="s">
        <v>231</v>
      </c>
      <c r="D2324" s="5" t="s">
        <v>464</v>
      </c>
      <c r="E2324" s="3">
        <v>122500</v>
      </c>
      <c r="F2324" s="3" t="s">
        <v>465</v>
      </c>
      <c r="G2324" s="57" t="str">
        <f t="shared" si="36"/>
        <v>-</v>
      </c>
      <c r="H2324" s="1"/>
    </row>
    <row r="2325" spans="1:8" x14ac:dyDescent="0.2">
      <c r="A2325" s="1" t="s">
        <v>6</v>
      </c>
      <c r="B2325" s="12" t="s">
        <v>231</v>
      </c>
      <c r="D2325" s="5" t="s">
        <v>464</v>
      </c>
      <c r="E2325" s="3">
        <v>122500</v>
      </c>
      <c r="F2325" s="3" t="s">
        <v>465</v>
      </c>
      <c r="G2325" s="57" t="str">
        <f t="shared" si="36"/>
        <v>-</v>
      </c>
      <c r="H2325" s="1"/>
    </row>
    <row r="2326" spans="1:8" x14ac:dyDescent="0.2">
      <c r="A2326" s="1" t="s">
        <v>6</v>
      </c>
      <c r="B2326" s="12" t="s">
        <v>231</v>
      </c>
      <c r="D2326" s="5" t="s">
        <v>464</v>
      </c>
      <c r="E2326" s="3">
        <v>122500</v>
      </c>
      <c r="F2326" s="3" t="s">
        <v>465</v>
      </c>
      <c r="G2326" s="57" t="str">
        <f t="shared" si="36"/>
        <v>-</v>
      </c>
      <c r="H2326" s="1"/>
    </row>
    <row r="2327" spans="1:8" x14ac:dyDescent="0.2">
      <c r="A2327" s="1" t="s">
        <v>6</v>
      </c>
      <c r="B2327" s="12" t="s">
        <v>231</v>
      </c>
      <c r="D2327" s="5" t="s">
        <v>464</v>
      </c>
      <c r="E2327" s="3">
        <v>122500</v>
      </c>
      <c r="F2327" s="3" t="s">
        <v>465</v>
      </c>
      <c r="G2327" s="57" t="str">
        <f t="shared" si="36"/>
        <v>-</v>
      </c>
      <c r="H2327" s="1"/>
    </row>
    <row r="2328" spans="1:8" x14ac:dyDescent="0.2">
      <c r="A2328" s="1" t="s">
        <v>6</v>
      </c>
      <c r="B2328" s="12" t="s">
        <v>231</v>
      </c>
      <c r="D2328" s="5" t="s">
        <v>464</v>
      </c>
      <c r="E2328" s="3">
        <v>122500</v>
      </c>
      <c r="F2328" s="3" t="s">
        <v>465</v>
      </c>
      <c r="G2328" s="57" t="str">
        <f t="shared" si="36"/>
        <v>-</v>
      </c>
      <c r="H2328" s="1"/>
    </row>
    <row r="2329" spans="1:8" x14ac:dyDescent="0.2">
      <c r="A2329" s="1" t="s">
        <v>6</v>
      </c>
      <c r="B2329" s="12" t="s">
        <v>231</v>
      </c>
      <c r="D2329" s="5" t="s">
        <v>464</v>
      </c>
      <c r="E2329" s="3" t="s">
        <v>465</v>
      </c>
      <c r="F2329" s="3">
        <v>122500</v>
      </c>
      <c r="G2329" s="57" t="str">
        <f t="shared" si="36"/>
        <v>-</v>
      </c>
      <c r="H2329" s="1"/>
    </row>
    <row r="2330" spans="1:8" x14ac:dyDescent="0.2">
      <c r="A2330" s="1" t="s">
        <v>6</v>
      </c>
      <c r="B2330" s="12" t="s">
        <v>231</v>
      </c>
      <c r="D2330" s="5" t="s">
        <v>464</v>
      </c>
      <c r="E2330" s="3" t="s">
        <v>465</v>
      </c>
      <c r="F2330" s="3">
        <v>122500</v>
      </c>
      <c r="G2330" s="57" t="str">
        <f t="shared" si="36"/>
        <v>-</v>
      </c>
      <c r="H2330" s="1"/>
    </row>
    <row r="2331" spans="1:8" x14ac:dyDescent="0.2">
      <c r="A2331" s="1" t="s">
        <v>6</v>
      </c>
      <c r="B2331" s="12" t="s">
        <v>231</v>
      </c>
      <c r="D2331" s="5" t="s">
        <v>464</v>
      </c>
      <c r="E2331" s="3" t="s">
        <v>465</v>
      </c>
      <c r="F2331" s="3">
        <v>132500</v>
      </c>
      <c r="G2331" s="57" t="str">
        <f t="shared" si="36"/>
        <v>-</v>
      </c>
      <c r="H2331" s="1"/>
    </row>
    <row r="2332" spans="1:8" x14ac:dyDescent="0.2">
      <c r="A2332" s="1" t="s">
        <v>6</v>
      </c>
      <c r="B2332" s="12" t="s">
        <v>231</v>
      </c>
      <c r="D2332" s="5" t="s">
        <v>464</v>
      </c>
      <c r="E2332" s="3" t="s">
        <v>465</v>
      </c>
      <c r="F2332" s="3">
        <v>137500</v>
      </c>
      <c r="G2332" s="57" t="str">
        <f t="shared" si="36"/>
        <v>-</v>
      </c>
    </row>
    <row r="2333" spans="1:8" x14ac:dyDescent="0.2">
      <c r="A2333" s="1" t="s">
        <v>6</v>
      </c>
      <c r="B2333" s="12" t="s">
        <v>231</v>
      </c>
      <c r="D2333" s="5" t="s">
        <v>464</v>
      </c>
      <c r="E2333" s="3" t="s">
        <v>465</v>
      </c>
      <c r="F2333" s="3">
        <v>207500</v>
      </c>
      <c r="G2333" s="57" t="str">
        <f t="shared" si="36"/>
        <v>-</v>
      </c>
    </row>
    <row r="2334" spans="1:8" ht="25.5" x14ac:dyDescent="0.2">
      <c r="A2334" s="1" t="s">
        <v>20</v>
      </c>
      <c r="B2334" s="2" t="s">
        <v>232</v>
      </c>
      <c r="C2334" s="5" t="s">
        <v>1236</v>
      </c>
      <c r="D2334" s="5" t="s">
        <v>450</v>
      </c>
      <c r="E2334" s="3" t="s">
        <v>465</v>
      </c>
      <c r="F2334" s="3">
        <v>144630</v>
      </c>
      <c r="G2334" s="57" t="str">
        <f t="shared" si="36"/>
        <v>-</v>
      </c>
      <c r="H2334" s="5" t="s">
        <v>3206</v>
      </c>
    </row>
    <row r="2335" spans="1:8" x14ac:dyDescent="0.2">
      <c r="A2335" s="1" t="s">
        <v>20</v>
      </c>
      <c r="B2335" s="2" t="s">
        <v>232</v>
      </c>
      <c r="C2335" s="5" t="s">
        <v>3214</v>
      </c>
      <c r="D2335" s="5" t="s">
        <v>450</v>
      </c>
      <c r="E2335" s="3">
        <v>164158</v>
      </c>
      <c r="F2335" s="3" t="s">
        <v>465</v>
      </c>
      <c r="G2335" s="57" t="str">
        <f t="shared" si="36"/>
        <v>-</v>
      </c>
      <c r="H2335" s="5" t="s">
        <v>3215</v>
      </c>
    </row>
    <row r="2336" spans="1:8" ht="25.5" x14ac:dyDescent="0.2">
      <c r="A2336" s="1" t="s">
        <v>20</v>
      </c>
      <c r="B2336" s="2" t="s">
        <v>232</v>
      </c>
      <c r="D2336" s="15" t="s">
        <v>1237</v>
      </c>
      <c r="E2336" s="9" t="s">
        <v>465</v>
      </c>
      <c r="F2336" s="9">
        <v>121342</v>
      </c>
      <c r="G2336" s="57" t="str">
        <f t="shared" si="36"/>
        <v>-</v>
      </c>
      <c r="H2336" s="5" t="s">
        <v>3207</v>
      </c>
    </row>
    <row r="2337" spans="1:8" ht="25.5" x14ac:dyDescent="0.2">
      <c r="A2337" s="1" t="s">
        <v>20</v>
      </c>
      <c r="B2337" s="2" t="s">
        <v>232</v>
      </c>
      <c r="D2337" s="15" t="s">
        <v>3209</v>
      </c>
      <c r="E2337" s="9">
        <v>142570</v>
      </c>
      <c r="F2337" s="9">
        <v>15330</v>
      </c>
      <c r="G2337" s="57">
        <f t="shared" si="36"/>
        <v>-0.89247387248369225</v>
      </c>
      <c r="H2337" s="5" t="s">
        <v>3210</v>
      </c>
    </row>
    <row r="2338" spans="1:8" ht="38.25" x14ac:dyDescent="0.2">
      <c r="A2338" s="1" t="s">
        <v>20</v>
      </c>
      <c r="B2338" s="2" t="s">
        <v>232</v>
      </c>
      <c r="D2338" s="15" t="s">
        <v>1238</v>
      </c>
      <c r="E2338" s="9">
        <v>142570</v>
      </c>
      <c r="F2338" s="9">
        <v>142680</v>
      </c>
      <c r="G2338" s="57">
        <f t="shared" si="36"/>
        <v>7.7155081714245632E-4</v>
      </c>
      <c r="H2338" s="5" t="s">
        <v>3213</v>
      </c>
    </row>
    <row r="2339" spans="1:8" ht="25.5" x14ac:dyDescent="0.2">
      <c r="A2339" s="1" t="s">
        <v>20</v>
      </c>
      <c r="B2339" s="2" t="s">
        <v>232</v>
      </c>
      <c r="D2339" s="15" t="s">
        <v>3211</v>
      </c>
      <c r="E2339" s="9">
        <v>142570</v>
      </c>
      <c r="F2339" s="9">
        <v>50590</v>
      </c>
      <c r="G2339" s="57">
        <f t="shared" si="36"/>
        <v>-0.6451567650978467</v>
      </c>
      <c r="H2339" s="5" t="s">
        <v>3212</v>
      </c>
    </row>
    <row r="2340" spans="1:8" ht="38.25" x14ac:dyDescent="0.2">
      <c r="A2340" s="1" t="s">
        <v>20</v>
      </c>
      <c r="B2340" s="2" t="s">
        <v>232</v>
      </c>
      <c r="D2340" s="15" t="s">
        <v>1239</v>
      </c>
      <c r="E2340" s="9">
        <v>142544</v>
      </c>
      <c r="F2340" s="9">
        <v>142680</v>
      </c>
      <c r="G2340" s="57">
        <f t="shared" si="36"/>
        <v>9.540913682792682E-4</v>
      </c>
      <c r="H2340" s="5" t="s">
        <v>3213</v>
      </c>
    </row>
    <row r="2341" spans="1:8" ht="25.5" x14ac:dyDescent="0.2">
      <c r="A2341" s="1" t="s">
        <v>20</v>
      </c>
      <c r="B2341" s="2" t="s">
        <v>232</v>
      </c>
      <c r="D2341" s="15" t="s">
        <v>1240</v>
      </c>
      <c r="E2341" s="9" t="s">
        <v>465</v>
      </c>
      <c r="F2341" s="9">
        <v>117136</v>
      </c>
      <c r="G2341" s="57" t="str">
        <f t="shared" si="36"/>
        <v>-</v>
      </c>
      <c r="H2341" s="5" t="s">
        <v>3208</v>
      </c>
    </row>
    <row r="2342" spans="1:8" s="13" customFormat="1" x14ac:dyDescent="0.2">
      <c r="A2342" s="1" t="s">
        <v>20</v>
      </c>
      <c r="B2342" s="12" t="s">
        <v>232</v>
      </c>
      <c r="C2342" s="7"/>
      <c r="D2342" s="7" t="s">
        <v>464</v>
      </c>
      <c r="E2342" s="21">
        <v>102500</v>
      </c>
      <c r="F2342" s="6"/>
      <c r="G2342" s="57" t="str">
        <f>IF(ISERROR((F2342-#REF!)/#REF!),"-",(F2342-#REF!)/#REF!)</f>
        <v>-</v>
      </c>
      <c r="H2342" s="7"/>
    </row>
    <row r="2343" spans="1:8" ht="25.5" x14ac:dyDescent="0.2">
      <c r="A2343" s="1" t="s">
        <v>11</v>
      </c>
      <c r="B2343" s="2" t="s">
        <v>233</v>
      </c>
      <c r="C2343" s="29" t="s">
        <v>2697</v>
      </c>
      <c r="G2343" s="57" t="str">
        <f t="shared" ref="G2343:G2406" si="37">IF(ISERROR((F2343-E2343)/E2343),"-",(F2343-E2343)/E2343)</f>
        <v>-</v>
      </c>
    </row>
    <row r="2344" spans="1:8" ht="25.5" x14ac:dyDescent="0.2">
      <c r="A2344" s="1" t="s">
        <v>4</v>
      </c>
      <c r="B2344" s="2" t="s">
        <v>234</v>
      </c>
      <c r="D2344" s="5" t="s">
        <v>450</v>
      </c>
      <c r="E2344" s="3" t="s">
        <v>465</v>
      </c>
      <c r="F2344" s="3">
        <v>136000</v>
      </c>
      <c r="G2344" s="57" t="str">
        <f t="shared" si="37"/>
        <v>-</v>
      </c>
      <c r="H2344" s="5" t="s">
        <v>3200</v>
      </c>
    </row>
    <row r="2345" spans="1:8" x14ac:dyDescent="0.2">
      <c r="A2345" s="1" t="s">
        <v>4</v>
      </c>
      <c r="B2345" s="2" t="s">
        <v>234</v>
      </c>
      <c r="D2345" s="5" t="s">
        <v>450</v>
      </c>
      <c r="E2345" s="3">
        <v>168000</v>
      </c>
      <c r="F2345" s="3" t="s">
        <v>465</v>
      </c>
      <c r="G2345" s="57" t="str">
        <f t="shared" si="37"/>
        <v>-</v>
      </c>
    </row>
    <row r="2346" spans="1:8" x14ac:dyDescent="0.2">
      <c r="A2346" s="1" t="s">
        <v>4</v>
      </c>
      <c r="B2346" s="2" t="s">
        <v>234</v>
      </c>
      <c r="D2346" s="5" t="s">
        <v>3203</v>
      </c>
      <c r="E2346" s="3">
        <v>125000</v>
      </c>
      <c r="F2346" s="3" t="s">
        <v>465</v>
      </c>
      <c r="G2346" s="57" t="str">
        <f t="shared" si="37"/>
        <v>-</v>
      </c>
    </row>
    <row r="2347" spans="1:8" ht="25.5" x14ac:dyDescent="0.2">
      <c r="A2347" s="1" t="s">
        <v>4</v>
      </c>
      <c r="B2347" s="2" t="s">
        <v>234</v>
      </c>
      <c r="D2347" s="5" t="s">
        <v>1234</v>
      </c>
      <c r="E2347" s="3" t="s">
        <v>465</v>
      </c>
      <c r="F2347" s="3">
        <v>126000</v>
      </c>
      <c r="G2347" s="57" t="str">
        <f t="shared" si="37"/>
        <v>-</v>
      </c>
      <c r="H2347" s="5" t="s">
        <v>3201</v>
      </c>
    </row>
    <row r="2348" spans="1:8" ht="25.5" x14ac:dyDescent="0.2">
      <c r="A2348" s="1" t="s">
        <v>4</v>
      </c>
      <c r="B2348" s="2" t="s">
        <v>234</v>
      </c>
      <c r="D2348" s="5" t="s">
        <v>1235</v>
      </c>
      <c r="E2348" s="3" t="s">
        <v>465</v>
      </c>
      <c r="F2348" s="3">
        <v>123000</v>
      </c>
      <c r="G2348" s="57" t="str">
        <f t="shared" si="37"/>
        <v>-</v>
      </c>
      <c r="H2348" s="5" t="s">
        <v>3202</v>
      </c>
    </row>
    <row r="2349" spans="1:8" x14ac:dyDescent="0.2">
      <c r="A2349" s="1" t="s">
        <v>4</v>
      </c>
      <c r="B2349" s="2" t="s">
        <v>234</v>
      </c>
      <c r="D2349" s="5" t="s">
        <v>3205</v>
      </c>
      <c r="E2349" s="3">
        <v>117000</v>
      </c>
      <c r="F2349" s="3" t="s">
        <v>465</v>
      </c>
      <c r="G2349" s="57" t="str">
        <f t="shared" si="37"/>
        <v>-</v>
      </c>
    </row>
    <row r="2350" spans="1:8" x14ac:dyDescent="0.2">
      <c r="A2350" s="1" t="s">
        <v>4</v>
      </c>
      <c r="B2350" s="2" t="s">
        <v>234</v>
      </c>
      <c r="D2350" s="5" t="s">
        <v>3204</v>
      </c>
      <c r="E2350" s="3">
        <v>125000</v>
      </c>
      <c r="F2350" s="3" t="s">
        <v>465</v>
      </c>
      <c r="G2350" s="57" t="str">
        <f t="shared" si="37"/>
        <v>-</v>
      </c>
    </row>
    <row r="2351" spans="1:8" ht="25.5" x14ac:dyDescent="0.2">
      <c r="A2351" s="1" t="s">
        <v>20</v>
      </c>
      <c r="B2351" s="2" t="s">
        <v>235</v>
      </c>
      <c r="D2351" s="5" t="s">
        <v>450</v>
      </c>
      <c r="E2351" s="6">
        <v>47000</v>
      </c>
      <c r="F2351" s="3">
        <v>104000</v>
      </c>
      <c r="G2351" s="57">
        <f t="shared" si="37"/>
        <v>1.2127659574468086</v>
      </c>
      <c r="H2351" s="5" t="s">
        <v>3199</v>
      </c>
    </row>
    <row r="2352" spans="1:8" x14ac:dyDescent="0.2">
      <c r="A2352" s="1" t="s">
        <v>39</v>
      </c>
      <c r="B2352" s="12" t="s">
        <v>236</v>
      </c>
      <c r="D2352" s="5" t="s">
        <v>450</v>
      </c>
      <c r="E2352" s="3">
        <v>122939</v>
      </c>
      <c r="F2352" s="3">
        <v>130725</v>
      </c>
      <c r="G2352" s="57">
        <f t="shared" si="37"/>
        <v>6.3332221670909961E-2</v>
      </c>
      <c r="H2352" s="5" t="s">
        <v>3198</v>
      </c>
    </row>
    <row r="2353" spans="1:8" ht="38.25" x14ac:dyDescent="0.2">
      <c r="A2353" s="1" t="s">
        <v>6</v>
      </c>
      <c r="B2353" s="2" t="s">
        <v>237</v>
      </c>
      <c r="C2353" s="5" t="s">
        <v>1224</v>
      </c>
      <c r="D2353" s="14" t="s">
        <v>1225</v>
      </c>
      <c r="E2353" s="10">
        <f>203934+657+27735</f>
        <v>232326</v>
      </c>
      <c r="F2353" s="10">
        <f>203934+741+27735</f>
        <v>232410</v>
      </c>
      <c r="G2353" s="57">
        <f t="shared" si="37"/>
        <v>3.6156091010046231E-4</v>
      </c>
      <c r="H2353" s="5" t="s">
        <v>3186</v>
      </c>
    </row>
    <row r="2354" spans="1:8" ht="38.25" x14ac:dyDescent="0.2">
      <c r="A2354" s="1" t="s">
        <v>6</v>
      </c>
      <c r="B2354" s="2" t="s">
        <v>237</v>
      </c>
      <c r="C2354" s="5" t="s">
        <v>1226</v>
      </c>
      <c r="D2354" s="14" t="s">
        <v>1227</v>
      </c>
      <c r="E2354" s="10">
        <f>154914+1400+21068</f>
        <v>177382</v>
      </c>
      <c r="F2354" s="10">
        <f>154914+1416+21068</f>
        <v>177398</v>
      </c>
      <c r="G2354" s="57">
        <f t="shared" si="37"/>
        <v>9.0200809552265729E-5</v>
      </c>
      <c r="H2354" s="5" t="s">
        <v>3187</v>
      </c>
    </row>
    <row r="2355" spans="1:8" ht="25.5" x14ac:dyDescent="0.2">
      <c r="A2355" s="1" t="s">
        <v>6</v>
      </c>
      <c r="B2355" s="2" t="s">
        <v>237</v>
      </c>
      <c r="D2355" s="14" t="s">
        <v>562</v>
      </c>
      <c r="E2355" s="10">
        <f>138066+151+18777</f>
        <v>156994</v>
      </c>
      <c r="F2355" s="10">
        <f>138066+18777+99295</f>
        <v>256138</v>
      </c>
      <c r="G2355" s="57">
        <f t="shared" si="37"/>
        <v>0.63151458017503859</v>
      </c>
      <c r="H2355" s="5" t="s">
        <v>3188</v>
      </c>
    </row>
    <row r="2356" spans="1:8" ht="38.25" x14ac:dyDescent="0.2">
      <c r="A2356" s="1" t="s">
        <v>6</v>
      </c>
      <c r="B2356" s="2" t="s">
        <v>237</v>
      </c>
      <c r="D2356" s="14" t="s">
        <v>1228</v>
      </c>
      <c r="E2356" s="10">
        <f>138233+1170+18777</f>
        <v>158180</v>
      </c>
      <c r="F2356" s="10">
        <f>138066+1239+18777+95238+95510</f>
        <v>348830</v>
      </c>
      <c r="G2356" s="57">
        <f t="shared" si="37"/>
        <v>1.2052724743962575</v>
      </c>
      <c r="H2356" s="5" t="s">
        <v>3189</v>
      </c>
    </row>
    <row r="2357" spans="1:8" x14ac:dyDescent="0.2">
      <c r="A2357" s="1" t="s">
        <v>6</v>
      </c>
      <c r="B2357" s="2" t="s">
        <v>237</v>
      </c>
      <c r="D2357" s="14" t="s">
        <v>1229</v>
      </c>
      <c r="E2357" s="10">
        <f>130002+18109</f>
        <v>148111</v>
      </c>
      <c r="F2357" s="10">
        <f>130002+17680</f>
        <v>147682</v>
      </c>
      <c r="G2357" s="57">
        <f t="shared" si="37"/>
        <v>-2.8964762914300761E-3</v>
      </c>
      <c r="H2357" s="5" t="s">
        <v>3190</v>
      </c>
    </row>
    <row r="2358" spans="1:8" x14ac:dyDescent="0.2">
      <c r="A2358" s="1" t="s">
        <v>6</v>
      </c>
      <c r="B2358" s="2" t="s">
        <v>237</v>
      </c>
      <c r="D2358" s="14" t="s">
        <v>1230</v>
      </c>
      <c r="E2358" s="10">
        <f>120894+906+16442</f>
        <v>138242</v>
      </c>
      <c r="F2358" s="10">
        <f>120894+963+16442</f>
        <v>138299</v>
      </c>
      <c r="G2358" s="57">
        <f t="shared" si="37"/>
        <v>4.1232042360498256E-4</v>
      </c>
      <c r="H2358" s="5" t="s">
        <v>3191</v>
      </c>
    </row>
    <row r="2359" spans="1:8" ht="25.5" x14ac:dyDescent="0.2">
      <c r="A2359" s="1" t="s">
        <v>6</v>
      </c>
      <c r="B2359" s="2" t="s">
        <v>237</v>
      </c>
      <c r="D2359" s="14" t="s">
        <v>1231</v>
      </c>
      <c r="E2359" s="10">
        <f>29032+3520+3948</f>
        <v>36500</v>
      </c>
      <c r="F2359" s="10">
        <f>120000+3365+16320</f>
        <v>139685</v>
      </c>
      <c r="G2359" s="57">
        <f t="shared" si="37"/>
        <v>2.8269863013698631</v>
      </c>
      <c r="H2359" s="5" t="s">
        <v>3192</v>
      </c>
    </row>
    <row r="2360" spans="1:8" x14ac:dyDescent="0.2">
      <c r="A2360" s="1" t="s">
        <v>6</v>
      </c>
      <c r="B2360" s="2" t="s">
        <v>237</v>
      </c>
      <c r="D2360" s="14" t="s">
        <v>3196</v>
      </c>
      <c r="E2360" s="10">
        <f>106013+4516</f>
        <v>110529</v>
      </c>
      <c r="F2360" s="10" t="s">
        <v>465</v>
      </c>
      <c r="G2360" s="57" t="str">
        <f t="shared" si="37"/>
        <v>-</v>
      </c>
      <c r="H2360" s="5" t="s">
        <v>3197</v>
      </c>
    </row>
    <row r="2361" spans="1:8" x14ac:dyDescent="0.2">
      <c r="A2361" s="1" t="s">
        <v>6</v>
      </c>
      <c r="B2361" s="2" t="s">
        <v>237</v>
      </c>
      <c r="D2361" s="14" t="s">
        <v>1232</v>
      </c>
      <c r="E2361" s="10">
        <f>120660+16467</f>
        <v>137127</v>
      </c>
      <c r="F2361" s="10">
        <f>120000+16320</f>
        <v>136320</v>
      </c>
      <c r="G2361" s="57">
        <f t="shared" si="37"/>
        <v>-5.8850554595375089E-3</v>
      </c>
      <c r="H2361" s="5" t="s">
        <v>3193</v>
      </c>
    </row>
    <row r="2362" spans="1:8" ht="38.25" x14ac:dyDescent="0.2">
      <c r="A2362" s="1" t="s">
        <v>6</v>
      </c>
      <c r="B2362" s="2" t="s">
        <v>237</v>
      </c>
      <c r="D2362" s="14" t="s">
        <v>1233</v>
      </c>
      <c r="E2362" s="10">
        <f>112488+15298</f>
        <v>127786</v>
      </c>
      <c r="F2362" s="10">
        <f>116238+15808</f>
        <v>132046</v>
      </c>
      <c r="G2362" s="57">
        <f t="shared" si="37"/>
        <v>3.3336985272252047E-2</v>
      </c>
      <c r="H2362" s="5" t="s">
        <v>3194</v>
      </c>
    </row>
    <row r="2363" spans="1:8" ht="25.5" x14ac:dyDescent="0.2">
      <c r="A2363" s="1" t="s">
        <v>6</v>
      </c>
      <c r="B2363" s="2" t="s">
        <v>237</v>
      </c>
      <c r="D2363" s="14" t="s">
        <v>454</v>
      </c>
      <c r="E2363" s="10">
        <f>119312+986+15883</f>
        <v>136181</v>
      </c>
      <c r="F2363" s="10">
        <f>120000+1045+16320</f>
        <v>137365</v>
      </c>
      <c r="G2363" s="57">
        <f t="shared" si="37"/>
        <v>8.6943112475308601E-3</v>
      </c>
      <c r="H2363" s="5" t="s">
        <v>3195</v>
      </c>
    </row>
    <row r="2364" spans="1:8" x14ac:dyDescent="0.2">
      <c r="A2364" s="1" t="s">
        <v>6</v>
      </c>
      <c r="B2364" s="2" t="s">
        <v>237</v>
      </c>
      <c r="D2364" s="7" t="s">
        <v>464</v>
      </c>
      <c r="E2364" s="6">
        <v>102500</v>
      </c>
      <c r="F2364" s="6" t="s">
        <v>465</v>
      </c>
      <c r="G2364" s="57" t="str">
        <f t="shared" si="37"/>
        <v>-</v>
      </c>
      <c r="H2364" s="7"/>
    </row>
    <row r="2365" spans="1:8" x14ac:dyDescent="0.2">
      <c r="A2365" s="1" t="s">
        <v>6</v>
      </c>
      <c r="B2365" s="2" t="s">
        <v>237</v>
      </c>
      <c r="D2365" s="7" t="s">
        <v>464</v>
      </c>
      <c r="E2365" s="6">
        <v>102500</v>
      </c>
      <c r="F2365" s="6" t="s">
        <v>465</v>
      </c>
      <c r="G2365" s="57" t="str">
        <f t="shared" si="37"/>
        <v>-</v>
      </c>
      <c r="H2365" s="7"/>
    </row>
    <row r="2366" spans="1:8" x14ac:dyDescent="0.2">
      <c r="A2366" s="1" t="s">
        <v>6</v>
      </c>
      <c r="B2366" s="2" t="s">
        <v>237</v>
      </c>
      <c r="D2366" s="7" t="s">
        <v>464</v>
      </c>
      <c r="E2366" s="6">
        <v>102500</v>
      </c>
      <c r="F2366" s="6" t="s">
        <v>465</v>
      </c>
      <c r="G2366" s="57" t="str">
        <f t="shared" si="37"/>
        <v>-</v>
      </c>
      <c r="H2366" s="7"/>
    </row>
    <row r="2367" spans="1:8" x14ac:dyDescent="0.2">
      <c r="A2367" s="1" t="s">
        <v>6</v>
      </c>
      <c r="B2367" s="2" t="s">
        <v>237</v>
      </c>
      <c r="D2367" s="7" t="s">
        <v>464</v>
      </c>
      <c r="E2367" s="6">
        <v>107500</v>
      </c>
      <c r="F2367" s="6" t="s">
        <v>465</v>
      </c>
      <c r="G2367" s="57" t="str">
        <f t="shared" si="37"/>
        <v>-</v>
      </c>
      <c r="H2367" s="7"/>
    </row>
    <row r="2368" spans="1:8" x14ac:dyDescent="0.2">
      <c r="A2368" s="1" t="s">
        <v>6</v>
      </c>
      <c r="B2368" s="2" t="s">
        <v>237</v>
      </c>
      <c r="D2368" s="7" t="s">
        <v>464</v>
      </c>
      <c r="E2368" s="6">
        <v>112500</v>
      </c>
      <c r="F2368" s="6" t="s">
        <v>465</v>
      </c>
      <c r="G2368" s="57" t="str">
        <f t="shared" si="37"/>
        <v>-</v>
      </c>
      <c r="H2368" s="7"/>
    </row>
    <row r="2369" spans="1:8" x14ac:dyDescent="0.2">
      <c r="A2369" s="1" t="s">
        <v>6</v>
      </c>
      <c r="B2369" s="2" t="s">
        <v>237</v>
      </c>
      <c r="D2369" s="7" t="s">
        <v>464</v>
      </c>
      <c r="E2369" s="6">
        <v>117500</v>
      </c>
      <c r="F2369" s="6" t="s">
        <v>465</v>
      </c>
      <c r="G2369" s="57" t="str">
        <f t="shared" si="37"/>
        <v>-</v>
      </c>
      <c r="H2369" s="7"/>
    </row>
    <row r="2370" spans="1:8" x14ac:dyDescent="0.2">
      <c r="A2370" s="1" t="s">
        <v>6</v>
      </c>
      <c r="B2370" s="2" t="s">
        <v>237</v>
      </c>
      <c r="D2370" s="7" t="s">
        <v>464</v>
      </c>
      <c r="E2370" s="6">
        <v>102500</v>
      </c>
      <c r="F2370" s="6" t="s">
        <v>465</v>
      </c>
      <c r="G2370" s="57" t="str">
        <f t="shared" si="37"/>
        <v>-</v>
      </c>
      <c r="H2370" s="7" t="s">
        <v>539</v>
      </c>
    </row>
    <row r="2371" spans="1:8" x14ac:dyDescent="0.2">
      <c r="A2371" s="1" t="s">
        <v>6</v>
      </c>
      <c r="B2371" s="2" t="s">
        <v>237</v>
      </c>
      <c r="D2371" s="7" t="s">
        <v>464</v>
      </c>
      <c r="E2371" s="6">
        <v>112500</v>
      </c>
      <c r="F2371" s="6" t="s">
        <v>465</v>
      </c>
      <c r="G2371" s="57" t="str">
        <f t="shared" si="37"/>
        <v>-</v>
      </c>
      <c r="H2371" s="7" t="s">
        <v>539</v>
      </c>
    </row>
    <row r="2372" spans="1:8" x14ac:dyDescent="0.2">
      <c r="A2372" s="1" t="s">
        <v>6</v>
      </c>
      <c r="B2372" s="2" t="s">
        <v>237</v>
      </c>
      <c r="D2372" s="7" t="s">
        <v>464</v>
      </c>
      <c r="E2372" s="6" t="s">
        <v>465</v>
      </c>
      <c r="F2372" s="6">
        <v>107500</v>
      </c>
      <c r="G2372" s="57" t="str">
        <f t="shared" si="37"/>
        <v>-</v>
      </c>
      <c r="H2372" s="7"/>
    </row>
    <row r="2373" spans="1:8" x14ac:dyDescent="0.2">
      <c r="A2373" s="1" t="s">
        <v>6</v>
      </c>
      <c r="B2373" s="2" t="s">
        <v>237</v>
      </c>
      <c r="D2373" s="7" t="s">
        <v>464</v>
      </c>
      <c r="E2373" s="6" t="s">
        <v>465</v>
      </c>
      <c r="F2373" s="6">
        <v>107500</v>
      </c>
      <c r="G2373" s="57" t="str">
        <f t="shared" si="37"/>
        <v>-</v>
      </c>
      <c r="H2373" s="7"/>
    </row>
    <row r="2374" spans="1:8" x14ac:dyDescent="0.2">
      <c r="A2374" s="1" t="s">
        <v>6</v>
      </c>
      <c r="B2374" s="2" t="s">
        <v>237</v>
      </c>
      <c r="D2374" s="7" t="s">
        <v>464</v>
      </c>
      <c r="E2374" s="6" t="s">
        <v>465</v>
      </c>
      <c r="F2374" s="6">
        <v>102500</v>
      </c>
      <c r="G2374" s="57" t="str">
        <f t="shared" si="37"/>
        <v>-</v>
      </c>
      <c r="H2374" s="7" t="s">
        <v>539</v>
      </c>
    </row>
    <row r="2375" spans="1:8" x14ac:dyDescent="0.2">
      <c r="A2375" s="1" t="s">
        <v>6</v>
      </c>
      <c r="B2375" s="2" t="s">
        <v>237</v>
      </c>
      <c r="D2375" s="7" t="s">
        <v>464</v>
      </c>
      <c r="E2375" s="6" t="s">
        <v>465</v>
      </c>
      <c r="F2375" s="6">
        <v>102500</v>
      </c>
      <c r="G2375" s="57" t="str">
        <f t="shared" si="37"/>
        <v>-</v>
      </c>
      <c r="H2375" s="7" t="s">
        <v>539</v>
      </c>
    </row>
    <row r="2376" spans="1:8" x14ac:dyDescent="0.2">
      <c r="A2376" s="1" t="s">
        <v>6</v>
      </c>
      <c r="B2376" s="2" t="s">
        <v>237</v>
      </c>
      <c r="D2376" s="7" t="s">
        <v>464</v>
      </c>
      <c r="E2376" s="6" t="s">
        <v>465</v>
      </c>
      <c r="F2376" s="6">
        <v>102500</v>
      </c>
      <c r="G2376" s="57" t="str">
        <f t="shared" si="37"/>
        <v>-</v>
      </c>
      <c r="H2376" s="7" t="s">
        <v>539</v>
      </c>
    </row>
    <row r="2377" spans="1:8" x14ac:dyDescent="0.2">
      <c r="A2377" s="1" t="s">
        <v>6</v>
      </c>
      <c r="B2377" s="2" t="s">
        <v>237</v>
      </c>
      <c r="D2377" s="7" t="s">
        <v>464</v>
      </c>
      <c r="E2377" s="6" t="s">
        <v>465</v>
      </c>
      <c r="F2377" s="6">
        <v>102500</v>
      </c>
      <c r="G2377" s="57" t="str">
        <f t="shared" si="37"/>
        <v>-</v>
      </c>
      <c r="H2377" s="7" t="s">
        <v>539</v>
      </c>
    </row>
    <row r="2378" spans="1:8" x14ac:dyDescent="0.2">
      <c r="A2378" s="1" t="s">
        <v>6</v>
      </c>
      <c r="B2378" s="2" t="s">
        <v>237</v>
      </c>
      <c r="D2378" s="7" t="s">
        <v>464</v>
      </c>
      <c r="E2378" s="6" t="s">
        <v>465</v>
      </c>
      <c r="F2378" s="6">
        <v>102500</v>
      </c>
      <c r="G2378" s="57" t="str">
        <f t="shared" si="37"/>
        <v>-</v>
      </c>
      <c r="H2378" s="7" t="s">
        <v>539</v>
      </c>
    </row>
    <row r="2379" spans="1:8" x14ac:dyDescent="0.2">
      <c r="A2379" s="1" t="s">
        <v>6</v>
      </c>
      <c r="B2379" s="2" t="s">
        <v>237</v>
      </c>
      <c r="D2379" s="7" t="s">
        <v>464</v>
      </c>
      <c r="E2379" s="6" t="s">
        <v>465</v>
      </c>
      <c r="F2379" s="6">
        <v>102500</v>
      </c>
      <c r="G2379" s="57" t="str">
        <f t="shared" si="37"/>
        <v>-</v>
      </c>
      <c r="H2379" s="7" t="s">
        <v>539</v>
      </c>
    </row>
    <row r="2380" spans="1:8" x14ac:dyDescent="0.2">
      <c r="A2380" s="1" t="s">
        <v>6</v>
      </c>
      <c r="B2380" s="2" t="s">
        <v>237</v>
      </c>
      <c r="D2380" s="7" t="s">
        <v>464</v>
      </c>
      <c r="E2380" s="6" t="s">
        <v>465</v>
      </c>
      <c r="F2380" s="6">
        <v>107500</v>
      </c>
      <c r="G2380" s="57" t="str">
        <f t="shared" si="37"/>
        <v>-</v>
      </c>
      <c r="H2380" s="7" t="s">
        <v>539</v>
      </c>
    </row>
    <row r="2381" spans="1:8" x14ac:dyDescent="0.2">
      <c r="A2381" s="1" t="s">
        <v>6</v>
      </c>
      <c r="B2381" s="2" t="s">
        <v>237</v>
      </c>
      <c r="D2381" s="7" t="s">
        <v>464</v>
      </c>
      <c r="E2381" s="6" t="s">
        <v>465</v>
      </c>
      <c r="F2381" s="6">
        <v>107500</v>
      </c>
      <c r="G2381" s="57" t="str">
        <f t="shared" si="37"/>
        <v>-</v>
      </c>
      <c r="H2381" s="7" t="s">
        <v>539</v>
      </c>
    </row>
    <row r="2382" spans="1:8" x14ac:dyDescent="0.2">
      <c r="A2382" s="1" t="s">
        <v>6</v>
      </c>
      <c r="B2382" s="2" t="s">
        <v>237</v>
      </c>
      <c r="D2382" s="7" t="s">
        <v>464</v>
      </c>
      <c r="E2382" s="6" t="s">
        <v>465</v>
      </c>
      <c r="F2382" s="6">
        <v>107500</v>
      </c>
      <c r="G2382" s="57" t="str">
        <f t="shared" si="37"/>
        <v>-</v>
      </c>
      <c r="H2382" s="7" t="s">
        <v>539</v>
      </c>
    </row>
    <row r="2383" spans="1:8" x14ac:dyDescent="0.2">
      <c r="A2383" s="1" t="s">
        <v>6</v>
      </c>
      <c r="B2383" s="2" t="s">
        <v>237</v>
      </c>
      <c r="D2383" s="7" t="s">
        <v>464</v>
      </c>
      <c r="E2383" s="6" t="s">
        <v>465</v>
      </c>
      <c r="F2383" s="6">
        <v>107500</v>
      </c>
      <c r="G2383" s="57" t="str">
        <f t="shared" si="37"/>
        <v>-</v>
      </c>
      <c r="H2383" s="7" t="s">
        <v>539</v>
      </c>
    </row>
    <row r="2384" spans="1:8" x14ac:dyDescent="0.2">
      <c r="A2384" s="1" t="s">
        <v>6</v>
      </c>
      <c r="B2384" s="2" t="s">
        <v>237</v>
      </c>
      <c r="D2384" s="7" t="s">
        <v>464</v>
      </c>
      <c r="E2384" s="6" t="s">
        <v>465</v>
      </c>
      <c r="F2384" s="6">
        <v>112500</v>
      </c>
      <c r="G2384" s="57" t="str">
        <f t="shared" si="37"/>
        <v>-</v>
      </c>
      <c r="H2384" s="7" t="s">
        <v>539</v>
      </c>
    </row>
    <row r="2385" spans="1:8" x14ac:dyDescent="0.2">
      <c r="A2385" s="1" t="s">
        <v>6</v>
      </c>
      <c r="B2385" s="2" t="s">
        <v>237</v>
      </c>
      <c r="D2385" s="7" t="s">
        <v>464</v>
      </c>
      <c r="E2385" s="6" t="s">
        <v>465</v>
      </c>
      <c r="F2385" s="6">
        <v>112500</v>
      </c>
      <c r="G2385" s="57" t="str">
        <f t="shared" si="37"/>
        <v>-</v>
      </c>
      <c r="H2385" s="7" t="s">
        <v>539</v>
      </c>
    </row>
    <row r="2386" spans="1:8" x14ac:dyDescent="0.2">
      <c r="A2386" s="1" t="s">
        <v>6</v>
      </c>
      <c r="B2386" s="2" t="s">
        <v>237</v>
      </c>
      <c r="D2386" s="7" t="s">
        <v>464</v>
      </c>
      <c r="E2386" s="6" t="s">
        <v>465</v>
      </c>
      <c r="F2386" s="6">
        <v>112500</v>
      </c>
      <c r="G2386" s="57" t="str">
        <f t="shared" si="37"/>
        <v>-</v>
      </c>
      <c r="H2386" s="7" t="s">
        <v>539</v>
      </c>
    </row>
    <row r="2387" spans="1:8" x14ac:dyDescent="0.2">
      <c r="A2387" s="1" t="s">
        <v>6</v>
      </c>
      <c r="B2387" s="2" t="s">
        <v>237</v>
      </c>
      <c r="D2387" s="7" t="s">
        <v>464</v>
      </c>
      <c r="E2387" s="6" t="s">
        <v>465</v>
      </c>
      <c r="F2387" s="6">
        <v>127500</v>
      </c>
      <c r="G2387" s="57" t="str">
        <f t="shared" si="37"/>
        <v>-</v>
      </c>
      <c r="H2387" s="7" t="s">
        <v>539</v>
      </c>
    </row>
    <row r="2388" spans="1:8" x14ac:dyDescent="0.2">
      <c r="A2388" s="1" t="s">
        <v>6</v>
      </c>
      <c r="B2388" s="2" t="s">
        <v>237</v>
      </c>
      <c r="D2388" s="7" t="s">
        <v>464</v>
      </c>
      <c r="E2388" s="6" t="s">
        <v>465</v>
      </c>
      <c r="F2388" s="6">
        <v>132500</v>
      </c>
      <c r="G2388" s="57" t="str">
        <f t="shared" si="37"/>
        <v>-</v>
      </c>
      <c r="H2388" s="7" t="s">
        <v>539</v>
      </c>
    </row>
    <row r="2389" spans="1:8" x14ac:dyDescent="0.2">
      <c r="A2389" s="1" t="s">
        <v>6</v>
      </c>
      <c r="B2389" s="2" t="s">
        <v>237</v>
      </c>
      <c r="D2389" s="7" t="s">
        <v>464</v>
      </c>
      <c r="E2389" s="6" t="s">
        <v>465</v>
      </c>
      <c r="F2389" s="6">
        <v>147500</v>
      </c>
      <c r="G2389" s="57" t="str">
        <f t="shared" si="37"/>
        <v>-</v>
      </c>
      <c r="H2389" s="7" t="s">
        <v>539</v>
      </c>
    </row>
    <row r="2390" spans="1:8" ht="25.5" x14ac:dyDescent="0.2">
      <c r="A2390" s="1" t="s">
        <v>8</v>
      </c>
      <c r="B2390" s="2" t="s">
        <v>238</v>
      </c>
      <c r="D2390" s="5" t="s">
        <v>470</v>
      </c>
      <c r="E2390" s="3">
        <v>132000</v>
      </c>
      <c r="F2390" s="3">
        <v>131000</v>
      </c>
      <c r="G2390" s="57">
        <f t="shared" si="37"/>
        <v>-7.575757575757576E-3</v>
      </c>
      <c r="H2390" s="5" t="s">
        <v>3185</v>
      </c>
    </row>
    <row r="2391" spans="1:8" ht="25.5" x14ac:dyDescent="0.2">
      <c r="A2391" s="1" t="s">
        <v>4</v>
      </c>
      <c r="B2391" s="2" t="s">
        <v>239</v>
      </c>
      <c r="D2391" s="5" t="s">
        <v>450</v>
      </c>
      <c r="E2391" s="3">
        <v>185146</v>
      </c>
      <c r="F2391" s="3">
        <v>186587</v>
      </c>
      <c r="G2391" s="57">
        <f t="shared" si="37"/>
        <v>7.7830468927225002E-3</v>
      </c>
      <c r="H2391" s="5" t="s">
        <v>3172</v>
      </c>
    </row>
    <row r="2392" spans="1:8" ht="25.5" x14ac:dyDescent="0.2">
      <c r="A2392" s="1" t="s">
        <v>4</v>
      </c>
      <c r="B2392" s="2" t="s">
        <v>239</v>
      </c>
      <c r="D2392" s="5" t="s">
        <v>562</v>
      </c>
      <c r="E2392" s="3">
        <v>153005</v>
      </c>
      <c r="F2392" s="3">
        <v>158097</v>
      </c>
      <c r="G2392" s="57">
        <f t="shared" si="37"/>
        <v>3.3279958171301589E-2</v>
      </c>
      <c r="H2392" s="5" t="s">
        <v>3173</v>
      </c>
    </row>
    <row r="2393" spans="1:8" ht="25.5" x14ac:dyDescent="0.2">
      <c r="A2393" s="1" t="s">
        <v>4</v>
      </c>
      <c r="B2393" s="2" t="s">
        <v>239</v>
      </c>
      <c r="D2393" s="5" t="s">
        <v>1214</v>
      </c>
      <c r="E2393" s="3">
        <v>147219</v>
      </c>
      <c r="F2393" s="3">
        <v>153708</v>
      </c>
      <c r="G2393" s="57">
        <f t="shared" si="37"/>
        <v>4.4077191123428359E-2</v>
      </c>
      <c r="H2393" s="5" t="s">
        <v>3174</v>
      </c>
    </row>
    <row r="2394" spans="1:8" ht="25.5" x14ac:dyDescent="0.2">
      <c r="A2394" s="1" t="s">
        <v>4</v>
      </c>
      <c r="B2394" s="2" t="s">
        <v>239</v>
      </c>
      <c r="D2394" s="5" t="s">
        <v>1215</v>
      </c>
      <c r="E2394" s="3">
        <v>114453</v>
      </c>
      <c r="F2394" s="3">
        <v>114826</v>
      </c>
      <c r="G2394" s="57">
        <f t="shared" si="37"/>
        <v>3.2589796685102181E-3</v>
      </c>
      <c r="H2394" s="5" t="s">
        <v>3175</v>
      </c>
    </row>
    <row r="2395" spans="1:8" ht="25.5" x14ac:dyDescent="0.2">
      <c r="A2395" s="1" t="s">
        <v>4</v>
      </c>
      <c r="B2395" s="2" t="s">
        <v>239</v>
      </c>
      <c r="D2395" s="5" t="s">
        <v>1216</v>
      </c>
      <c r="E2395" s="3">
        <v>119458</v>
      </c>
      <c r="F2395" s="3">
        <v>106267</v>
      </c>
      <c r="G2395" s="57">
        <f t="shared" si="37"/>
        <v>-0.11042374725845067</v>
      </c>
      <c r="H2395" s="5" t="s">
        <v>3176</v>
      </c>
    </row>
    <row r="2396" spans="1:8" ht="25.5" x14ac:dyDescent="0.2">
      <c r="A2396" s="1" t="s">
        <v>4</v>
      </c>
      <c r="B2396" s="2" t="s">
        <v>239</v>
      </c>
      <c r="D2396" s="5" t="s">
        <v>1217</v>
      </c>
      <c r="E2396" s="3">
        <v>106421</v>
      </c>
      <c r="F2396" s="3">
        <v>108494</v>
      </c>
      <c r="G2396" s="57">
        <f t="shared" si="37"/>
        <v>1.9479238120295807E-2</v>
      </c>
      <c r="H2396" s="5" t="s">
        <v>3177</v>
      </c>
    </row>
    <row r="2397" spans="1:8" ht="25.5" x14ac:dyDescent="0.2">
      <c r="A2397" s="1" t="s">
        <v>4</v>
      </c>
      <c r="B2397" s="2" t="s">
        <v>239</v>
      </c>
      <c r="D2397" s="5" t="s">
        <v>1218</v>
      </c>
      <c r="E2397" s="3">
        <v>106247</v>
      </c>
      <c r="F2397" s="3">
        <v>108438</v>
      </c>
      <c r="G2397" s="57">
        <f t="shared" si="37"/>
        <v>2.0621758732011258E-2</v>
      </c>
      <c r="H2397" s="5" t="s">
        <v>3178</v>
      </c>
    </row>
    <row r="2398" spans="1:8" ht="25.5" x14ac:dyDescent="0.2">
      <c r="A2398" s="1" t="s">
        <v>4</v>
      </c>
      <c r="B2398" s="2" t="s">
        <v>239</v>
      </c>
      <c r="D2398" s="5" t="s">
        <v>1219</v>
      </c>
      <c r="E2398" s="3">
        <v>108561</v>
      </c>
      <c r="F2398" s="3">
        <v>112308</v>
      </c>
      <c r="G2398" s="57">
        <f t="shared" si="37"/>
        <v>3.4515157376958573E-2</v>
      </c>
      <c r="H2398" s="5" t="s">
        <v>3179</v>
      </c>
    </row>
    <row r="2399" spans="1:8" ht="25.5" x14ac:dyDescent="0.2">
      <c r="A2399" s="1" t="s">
        <v>4</v>
      </c>
      <c r="B2399" s="2" t="s">
        <v>239</v>
      </c>
      <c r="D2399" s="5" t="s">
        <v>1220</v>
      </c>
      <c r="E2399" s="3">
        <v>118737</v>
      </c>
      <c r="F2399" s="3">
        <v>124053</v>
      </c>
      <c r="G2399" s="57">
        <f t="shared" si="37"/>
        <v>4.4771217059551782E-2</v>
      </c>
      <c r="H2399" s="5" t="s">
        <v>3180</v>
      </c>
    </row>
    <row r="2400" spans="1:8" ht="25.5" x14ac:dyDescent="0.2">
      <c r="A2400" s="1" t="s">
        <v>4</v>
      </c>
      <c r="B2400" s="2" t="s">
        <v>239</v>
      </c>
      <c r="D2400" s="5" t="s">
        <v>611</v>
      </c>
      <c r="E2400" s="3">
        <v>119819</v>
      </c>
      <c r="F2400" s="3">
        <v>122773</v>
      </c>
      <c r="G2400" s="57">
        <f t="shared" si="37"/>
        <v>2.4653852894782963E-2</v>
      </c>
      <c r="H2400" s="5" t="s">
        <v>3181</v>
      </c>
    </row>
    <row r="2401" spans="1:8" ht="25.5" x14ac:dyDescent="0.2">
      <c r="A2401" s="1" t="s">
        <v>4</v>
      </c>
      <c r="B2401" s="2" t="s">
        <v>239</v>
      </c>
      <c r="D2401" s="5" t="s">
        <v>1221</v>
      </c>
      <c r="E2401" s="3">
        <v>118686</v>
      </c>
      <c r="F2401" s="3">
        <v>121936</v>
      </c>
      <c r="G2401" s="57">
        <f t="shared" si="37"/>
        <v>2.7383179144970762E-2</v>
      </c>
      <c r="H2401" s="5" t="s">
        <v>3182</v>
      </c>
    </row>
    <row r="2402" spans="1:8" ht="25.5" x14ac:dyDescent="0.2">
      <c r="A2402" s="1" t="s">
        <v>4</v>
      </c>
      <c r="B2402" s="2" t="s">
        <v>239</v>
      </c>
      <c r="D2402" s="5" t="s">
        <v>1222</v>
      </c>
      <c r="E2402" s="3">
        <v>105957</v>
      </c>
      <c r="F2402" s="3">
        <v>109459</v>
      </c>
      <c r="G2402" s="57">
        <f t="shared" si="37"/>
        <v>3.3051143388355651E-2</v>
      </c>
      <c r="H2402" s="5" t="s">
        <v>3183</v>
      </c>
    </row>
    <row r="2403" spans="1:8" ht="25.5" x14ac:dyDescent="0.2">
      <c r="A2403" s="1" t="s">
        <v>4</v>
      </c>
      <c r="B2403" s="2" t="s">
        <v>239</v>
      </c>
      <c r="D2403" s="5" t="s">
        <v>1223</v>
      </c>
      <c r="E2403" s="3">
        <v>99458</v>
      </c>
      <c r="F2403" s="3">
        <v>101024</v>
      </c>
      <c r="G2403" s="57">
        <f t="shared" si="37"/>
        <v>1.5745339741398381E-2</v>
      </c>
      <c r="H2403" s="5" t="s">
        <v>3184</v>
      </c>
    </row>
    <row r="2404" spans="1:8" ht="25.5" x14ac:dyDescent="0.2">
      <c r="A2404" s="1" t="s">
        <v>8</v>
      </c>
      <c r="B2404" s="2" t="s">
        <v>240</v>
      </c>
      <c r="D2404" s="5" t="s">
        <v>450</v>
      </c>
      <c r="E2404" s="3">
        <v>101813.51</v>
      </c>
      <c r="F2404" s="3">
        <v>101383.74</v>
      </c>
      <c r="G2404" s="57">
        <f t="shared" si="37"/>
        <v>-4.2211490400437968E-3</v>
      </c>
      <c r="H2404" s="5" t="s">
        <v>3171</v>
      </c>
    </row>
    <row r="2405" spans="1:8" s="13" customFormat="1" x14ac:dyDescent="0.2">
      <c r="A2405" s="1" t="s">
        <v>34</v>
      </c>
      <c r="B2405" s="12" t="s">
        <v>241</v>
      </c>
      <c r="C2405" s="7"/>
      <c r="D2405" s="7" t="s">
        <v>450</v>
      </c>
      <c r="E2405" s="6">
        <v>381122</v>
      </c>
      <c r="F2405" s="6" t="s">
        <v>465</v>
      </c>
      <c r="G2405" s="57" t="str">
        <f t="shared" si="37"/>
        <v>-</v>
      </c>
      <c r="H2405" s="7" t="s">
        <v>3167</v>
      </c>
    </row>
    <row r="2406" spans="1:8" s="13" customFormat="1" x14ac:dyDescent="0.2">
      <c r="A2406" s="1" t="s">
        <v>34</v>
      </c>
      <c r="B2406" s="12" t="s">
        <v>241</v>
      </c>
      <c r="C2406" s="7"/>
      <c r="D2406" s="7" t="s">
        <v>3168</v>
      </c>
      <c r="E2406" s="6">
        <v>100946</v>
      </c>
      <c r="F2406" s="6" t="s">
        <v>465</v>
      </c>
      <c r="G2406" s="57" t="str">
        <f t="shared" si="37"/>
        <v>-</v>
      </c>
      <c r="H2406" s="7" t="s">
        <v>4362</v>
      </c>
    </row>
    <row r="2407" spans="1:8" s="13" customFormat="1" x14ac:dyDescent="0.2">
      <c r="A2407" s="1" t="s">
        <v>34</v>
      </c>
      <c r="B2407" s="12" t="s">
        <v>241</v>
      </c>
      <c r="C2407" s="7"/>
      <c r="D2407" s="7" t="s">
        <v>3169</v>
      </c>
      <c r="E2407" s="6">
        <v>117956</v>
      </c>
      <c r="F2407" s="6" t="s">
        <v>465</v>
      </c>
      <c r="G2407" s="57" t="str">
        <f t="shared" ref="G2407:G2470" si="38">IF(ISERROR((F2407-E2407)/E2407),"-",(F2407-E2407)/E2407)</f>
        <v>-</v>
      </c>
      <c r="H2407" s="7" t="s">
        <v>3170</v>
      </c>
    </row>
    <row r="2408" spans="1:8" ht="25.5" x14ac:dyDescent="0.2">
      <c r="A2408" s="1" t="s">
        <v>34</v>
      </c>
      <c r="B2408" s="2" t="s">
        <v>241</v>
      </c>
      <c r="D2408" s="5" t="s">
        <v>450</v>
      </c>
      <c r="E2408" s="3" t="s">
        <v>465</v>
      </c>
      <c r="F2408" s="3">
        <v>112292</v>
      </c>
      <c r="G2408" s="57" t="str">
        <f t="shared" si="38"/>
        <v>-</v>
      </c>
      <c r="H2408" s="5" t="s">
        <v>4667</v>
      </c>
    </row>
    <row r="2409" spans="1:8" ht="38.25" x14ac:dyDescent="0.2">
      <c r="A2409" s="1" t="s">
        <v>34</v>
      </c>
      <c r="B2409" s="2" t="s">
        <v>241</v>
      </c>
      <c r="D2409" s="5" t="s">
        <v>1212</v>
      </c>
      <c r="E2409" s="3">
        <v>90708</v>
      </c>
      <c r="F2409" s="3">
        <v>145404</v>
      </c>
      <c r="G2409" s="57">
        <f t="shared" si="38"/>
        <v>0.60298981346738989</v>
      </c>
      <c r="H2409" s="5" t="s">
        <v>4363</v>
      </c>
    </row>
    <row r="2410" spans="1:8" ht="25.5" x14ac:dyDescent="0.2">
      <c r="A2410" s="1" t="s">
        <v>34</v>
      </c>
      <c r="B2410" s="2" t="s">
        <v>241</v>
      </c>
      <c r="D2410" s="5" t="s">
        <v>1213</v>
      </c>
      <c r="E2410" s="3">
        <v>63878</v>
      </c>
      <c r="F2410" s="3">
        <v>137016</v>
      </c>
      <c r="G2410" s="57">
        <f t="shared" si="38"/>
        <v>1.1449638373148814</v>
      </c>
      <c r="H2410" s="5" t="s">
        <v>3166</v>
      </c>
    </row>
    <row r="2411" spans="1:8" ht="25.5" x14ac:dyDescent="0.2">
      <c r="A2411" s="1" t="s">
        <v>44</v>
      </c>
      <c r="B2411" s="2" t="s">
        <v>242</v>
      </c>
      <c r="D2411" s="5" t="s">
        <v>450</v>
      </c>
      <c r="E2411" s="3">
        <v>158394</v>
      </c>
      <c r="F2411" s="3">
        <v>125437</v>
      </c>
      <c r="G2411" s="57">
        <f t="shared" si="38"/>
        <v>-0.20806975011679735</v>
      </c>
      <c r="H2411" s="5" t="s">
        <v>3162</v>
      </c>
    </row>
    <row r="2412" spans="1:8" ht="25.5" x14ac:dyDescent="0.2">
      <c r="A2412" s="1" t="s">
        <v>44</v>
      </c>
      <c r="B2412" s="2" t="s">
        <v>242</v>
      </c>
      <c r="D2412" s="5" t="s">
        <v>1210</v>
      </c>
      <c r="E2412" s="6">
        <v>97376</v>
      </c>
      <c r="F2412" s="3">
        <v>100174</v>
      </c>
      <c r="G2412" s="57">
        <f t="shared" si="38"/>
        <v>2.87339796253697E-2</v>
      </c>
      <c r="H2412" s="5" t="s">
        <v>3163</v>
      </c>
    </row>
    <row r="2413" spans="1:8" ht="25.5" x14ac:dyDescent="0.2">
      <c r="A2413" s="1" t="s">
        <v>44</v>
      </c>
      <c r="B2413" s="2" t="s">
        <v>242</v>
      </c>
      <c r="D2413" s="5" t="s">
        <v>1211</v>
      </c>
      <c r="E2413" s="3">
        <v>92389</v>
      </c>
      <c r="F2413" s="3">
        <v>101421</v>
      </c>
      <c r="G2413" s="57">
        <f t="shared" si="38"/>
        <v>9.7760555910335639E-2</v>
      </c>
      <c r="H2413" s="5" t="s">
        <v>3164</v>
      </c>
    </row>
    <row r="2414" spans="1:8" s="13" customFormat="1" x14ac:dyDescent="0.2">
      <c r="A2414" s="1" t="s">
        <v>44</v>
      </c>
      <c r="B2414" s="12" t="s">
        <v>242</v>
      </c>
      <c r="C2414" s="7"/>
      <c r="D2414" s="7" t="s">
        <v>3165</v>
      </c>
      <c r="E2414" s="6">
        <v>104590</v>
      </c>
      <c r="F2414" s="6" t="s">
        <v>465</v>
      </c>
      <c r="G2414" s="57" t="str">
        <f t="shared" si="38"/>
        <v>-</v>
      </c>
      <c r="H2414" s="7" t="s">
        <v>4364</v>
      </c>
    </row>
    <row r="2415" spans="1:8" x14ac:dyDescent="0.2">
      <c r="A2415" s="1" t="s">
        <v>25</v>
      </c>
      <c r="B2415" s="2" t="s">
        <v>243</v>
      </c>
      <c r="C2415" s="5" t="s">
        <v>1201</v>
      </c>
      <c r="D2415" s="5" t="s">
        <v>450</v>
      </c>
      <c r="E2415" s="3">
        <v>207689</v>
      </c>
      <c r="F2415" s="3">
        <v>212325</v>
      </c>
      <c r="G2415" s="57">
        <f t="shared" si="38"/>
        <v>2.2321836977403715E-2</v>
      </c>
      <c r="H2415" s="5" t="s">
        <v>3156</v>
      </c>
    </row>
    <row r="2416" spans="1:8" x14ac:dyDescent="0.2">
      <c r="A2416" s="1" t="s">
        <v>25</v>
      </c>
      <c r="B2416" s="2" t="s">
        <v>243</v>
      </c>
      <c r="C2416" s="5" t="s">
        <v>1202</v>
      </c>
      <c r="D2416" s="5" t="s">
        <v>452</v>
      </c>
      <c r="E2416" s="3">
        <v>157560</v>
      </c>
      <c r="F2416" s="3">
        <v>153900</v>
      </c>
      <c r="G2416" s="57">
        <f t="shared" si="38"/>
        <v>-2.3229246001523228E-2</v>
      </c>
      <c r="H2416" s="5" t="s">
        <v>3157</v>
      </c>
    </row>
    <row r="2417" spans="1:8" x14ac:dyDescent="0.2">
      <c r="A2417" s="1" t="s">
        <v>25</v>
      </c>
      <c r="B2417" s="2" t="s">
        <v>243</v>
      </c>
      <c r="C2417" s="5" t="s">
        <v>1203</v>
      </c>
      <c r="D2417" s="5" t="s">
        <v>1204</v>
      </c>
      <c r="E2417" s="3">
        <v>155489</v>
      </c>
      <c r="F2417" s="3">
        <v>155149</v>
      </c>
      <c r="G2417" s="57">
        <f t="shared" si="38"/>
        <v>-2.1866498594755898E-3</v>
      </c>
      <c r="H2417" s="5" t="s">
        <v>3158</v>
      </c>
    </row>
    <row r="2418" spans="1:8" x14ac:dyDescent="0.2">
      <c r="A2418" s="1" t="s">
        <v>25</v>
      </c>
      <c r="B2418" s="2" t="s">
        <v>243</v>
      </c>
      <c r="C2418" s="5" t="s">
        <v>1205</v>
      </c>
      <c r="D2418" s="5" t="s">
        <v>1206</v>
      </c>
      <c r="E2418" s="3">
        <v>142976</v>
      </c>
      <c r="F2418" s="3">
        <v>142894</v>
      </c>
      <c r="G2418" s="57">
        <f t="shared" si="38"/>
        <v>-5.7352282900626677E-4</v>
      </c>
      <c r="H2418" s="5" t="s">
        <v>3159</v>
      </c>
    </row>
    <row r="2419" spans="1:8" ht="25.5" x14ac:dyDescent="0.2">
      <c r="A2419" s="1" t="s">
        <v>25</v>
      </c>
      <c r="B2419" s="2" t="s">
        <v>243</v>
      </c>
      <c r="C2419" s="5" t="s">
        <v>1207</v>
      </c>
      <c r="D2419" s="5" t="s">
        <v>1208</v>
      </c>
      <c r="E2419" s="3">
        <v>107202</v>
      </c>
      <c r="F2419" s="3">
        <v>153393</v>
      </c>
      <c r="G2419" s="57">
        <f t="shared" si="38"/>
        <v>0.43087815525829742</v>
      </c>
      <c r="H2419" s="5" t="s">
        <v>3160</v>
      </c>
    </row>
    <row r="2420" spans="1:8" ht="25.5" x14ac:dyDescent="0.2">
      <c r="A2420" s="1" t="s">
        <v>25</v>
      </c>
      <c r="B2420" s="2" t="s">
        <v>243</v>
      </c>
      <c r="C2420" s="5" t="s">
        <v>1209</v>
      </c>
      <c r="D2420" s="5" t="s">
        <v>501</v>
      </c>
      <c r="E2420" s="3">
        <v>56095</v>
      </c>
      <c r="F2420" s="3">
        <v>128725</v>
      </c>
      <c r="G2420" s="57">
        <f t="shared" si="38"/>
        <v>1.2947678046171673</v>
      </c>
      <c r="H2420" s="5" t="s">
        <v>3161</v>
      </c>
    </row>
    <row r="2421" spans="1:8" x14ac:dyDescent="0.2">
      <c r="A2421" s="1" t="s">
        <v>25</v>
      </c>
      <c r="B2421" s="2" t="s">
        <v>243</v>
      </c>
      <c r="D2421" s="7" t="s">
        <v>464</v>
      </c>
      <c r="E2421" s="6">
        <v>102500</v>
      </c>
      <c r="F2421" s="6" t="s">
        <v>465</v>
      </c>
      <c r="G2421" s="57" t="str">
        <f t="shared" si="38"/>
        <v>-</v>
      </c>
      <c r="H2421" s="7" t="s">
        <v>539</v>
      </c>
    </row>
    <row r="2422" spans="1:8" x14ac:dyDescent="0.2">
      <c r="A2422" s="1" t="s">
        <v>25</v>
      </c>
      <c r="B2422" s="2" t="s">
        <v>243</v>
      </c>
      <c r="D2422" s="7" t="s">
        <v>464</v>
      </c>
      <c r="E2422" s="6">
        <v>102500</v>
      </c>
      <c r="F2422" s="6" t="s">
        <v>465</v>
      </c>
      <c r="G2422" s="57" t="str">
        <f t="shared" si="38"/>
        <v>-</v>
      </c>
      <c r="H2422" s="7" t="s">
        <v>539</v>
      </c>
    </row>
    <row r="2423" spans="1:8" x14ac:dyDescent="0.2">
      <c r="A2423" s="1" t="s">
        <v>25</v>
      </c>
      <c r="B2423" s="2" t="s">
        <v>243</v>
      </c>
      <c r="D2423" s="7" t="s">
        <v>464</v>
      </c>
      <c r="E2423" s="6">
        <v>102500</v>
      </c>
      <c r="F2423" s="6" t="s">
        <v>465</v>
      </c>
      <c r="G2423" s="57" t="str">
        <f t="shared" si="38"/>
        <v>-</v>
      </c>
      <c r="H2423" s="7" t="s">
        <v>539</v>
      </c>
    </row>
    <row r="2424" spans="1:8" x14ac:dyDescent="0.2">
      <c r="A2424" s="1" t="s">
        <v>25</v>
      </c>
      <c r="B2424" s="2" t="s">
        <v>243</v>
      </c>
      <c r="D2424" s="7" t="s">
        <v>464</v>
      </c>
      <c r="E2424" s="6">
        <v>102500</v>
      </c>
      <c r="F2424" s="6" t="s">
        <v>465</v>
      </c>
      <c r="G2424" s="57" t="str">
        <f t="shared" si="38"/>
        <v>-</v>
      </c>
      <c r="H2424" s="7"/>
    </row>
    <row r="2425" spans="1:8" x14ac:dyDescent="0.2">
      <c r="A2425" s="1" t="s">
        <v>25</v>
      </c>
      <c r="B2425" s="2" t="s">
        <v>243</v>
      </c>
      <c r="D2425" s="7" t="s">
        <v>464</v>
      </c>
      <c r="E2425" s="6" t="s">
        <v>465</v>
      </c>
      <c r="F2425" s="6">
        <v>102500</v>
      </c>
      <c r="G2425" s="57" t="str">
        <f t="shared" si="38"/>
        <v>-</v>
      </c>
      <c r="H2425" s="7" t="s">
        <v>539</v>
      </c>
    </row>
    <row r="2426" spans="1:8" x14ac:dyDescent="0.2">
      <c r="A2426" s="1" t="s">
        <v>25</v>
      </c>
      <c r="B2426" s="2" t="s">
        <v>243</v>
      </c>
      <c r="D2426" s="7" t="s">
        <v>464</v>
      </c>
      <c r="E2426" s="6" t="s">
        <v>465</v>
      </c>
      <c r="F2426" s="6">
        <v>102500</v>
      </c>
      <c r="G2426" s="57" t="str">
        <f t="shared" si="38"/>
        <v>-</v>
      </c>
      <c r="H2426" s="7" t="s">
        <v>539</v>
      </c>
    </row>
    <row r="2427" spans="1:8" x14ac:dyDescent="0.2">
      <c r="A2427" s="1" t="s">
        <v>25</v>
      </c>
      <c r="B2427" s="2" t="s">
        <v>243</v>
      </c>
      <c r="D2427" s="7" t="s">
        <v>464</v>
      </c>
      <c r="E2427" s="6" t="s">
        <v>465</v>
      </c>
      <c r="F2427" s="6">
        <v>107500</v>
      </c>
      <c r="G2427" s="57" t="str">
        <f t="shared" si="38"/>
        <v>-</v>
      </c>
      <c r="H2427" s="7" t="s">
        <v>539</v>
      </c>
    </row>
    <row r="2428" spans="1:8" x14ac:dyDescent="0.2">
      <c r="A2428" s="1" t="s">
        <v>25</v>
      </c>
      <c r="B2428" s="2" t="s">
        <v>243</v>
      </c>
      <c r="D2428" s="7" t="s">
        <v>464</v>
      </c>
      <c r="E2428" s="6" t="s">
        <v>465</v>
      </c>
      <c r="F2428" s="6">
        <v>107500</v>
      </c>
      <c r="G2428" s="57" t="str">
        <f t="shared" si="38"/>
        <v>-</v>
      </c>
      <c r="H2428" s="7" t="s">
        <v>539</v>
      </c>
    </row>
    <row r="2429" spans="1:8" x14ac:dyDescent="0.2">
      <c r="A2429" s="1" t="s">
        <v>25</v>
      </c>
      <c r="B2429" s="2" t="s">
        <v>243</v>
      </c>
      <c r="D2429" s="7" t="s">
        <v>464</v>
      </c>
      <c r="E2429" s="6">
        <v>112500</v>
      </c>
      <c r="F2429" s="6" t="s">
        <v>465</v>
      </c>
      <c r="G2429" s="57" t="str">
        <f t="shared" si="38"/>
        <v>-</v>
      </c>
      <c r="H2429" s="7" t="s">
        <v>539</v>
      </c>
    </row>
    <row r="2430" spans="1:8" x14ac:dyDescent="0.2">
      <c r="A2430" s="1" t="s">
        <v>25</v>
      </c>
      <c r="B2430" s="2" t="s">
        <v>243</v>
      </c>
      <c r="D2430" s="7" t="s">
        <v>464</v>
      </c>
      <c r="E2430" s="6" t="s">
        <v>465</v>
      </c>
      <c r="F2430" s="6">
        <v>112500</v>
      </c>
      <c r="G2430" s="57" t="str">
        <f t="shared" si="38"/>
        <v>-</v>
      </c>
      <c r="H2430" s="7" t="s">
        <v>539</v>
      </c>
    </row>
    <row r="2431" spans="1:8" x14ac:dyDescent="0.2">
      <c r="A2431" s="1" t="s">
        <v>25</v>
      </c>
      <c r="B2431" s="2" t="s">
        <v>243</v>
      </c>
      <c r="D2431" s="7" t="s">
        <v>464</v>
      </c>
      <c r="E2431" s="6" t="s">
        <v>465</v>
      </c>
      <c r="F2431" s="6">
        <v>112500</v>
      </c>
      <c r="G2431" s="57" t="str">
        <f t="shared" si="38"/>
        <v>-</v>
      </c>
      <c r="H2431" s="7" t="s">
        <v>539</v>
      </c>
    </row>
    <row r="2432" spans="1:8" x14ac:dyDescent="0.2">
      <c r="A2432" s="1" t="s">
        <v>25</v>
      </c>
      <c r="B2432" s="2" t="s">
        <v>243</v>
      </c>
      <c r="D2432" s="7" t="s">
        <v>464</v>
      </c>
      <c r="E2432" s="6" t="s">
        <v>465</v>
      </c>
      <c r="F2432" s="6">
        <v>112500</v>
      </c>
      <c r="G2432" s="57" t="str">
        <f t="shared" si="38"/>
        <v>-</v>
      </c>
      <c r="H2432" s="7"/>
    </row>
    <row r="2433" spans="1:8" x14ac:dyDescent="0.2">
      <c r="A2433" s="1" t="s">
        <v>25</v>
      </c>
      <c r="B2433" s="2" t="s">
        <v>243</v>
      </c>
      <c r="D2433" s="7" t="s">
        <v>464</v>
      </c>
      <c r="E2433" s="6" t="s">
        <v>465</v>
      </c>
      <c r="F2433" s="6">
        <v>112500</v>
      </c>
      <c r="G2433" s="57" t="str">
        <f t="shared" si="38"/>
        <v>-</v>
      </c>
      <c r="H2433" s="7"/>
    </row>
    <row r="2434" spans="1:8" x14ac:dyDescent="0.2">
      <c r="A2434" s="1" t="s">
        <v>25</v>
      </c>
      <c r="B2434" s="2" t="s">
        <v>243</v>
      </c>
      <c r="D2434" s="7" t="s">
        <v>464</v>
      </c>
      <c r="E2434" s="6" t="s">
        <v>465</v>
      </c>
      <c r="F2434" s="6">
        <v>117500</v>
      </c>
      <c r="G2434" s="57" t="str">
        <f t="shared" si="38"/>
        <v>-</v>
      </c>
      <c r="H2434" s="7" t="s">
        <v>539</v>
      </c>
    </row>
    <row r="2435" spans="1:8" x14ac:dyDescent="0.2">
      <c r="A2435" s="1" t="s">
        <v>25</v>
      </c>
      <c r="B2435" s="2" t="s">
        <v>243</v>
      </c>
      <c r="D2435" s="7" t="s">
        <v>464</v>
      </c>
      <c r="E2435" s="6">
        <v>127500</v>
      </c>
      <c r="F2435" s="6" t="s">
        <v>465</v>
      </c>
      <c r="G2435" s="57" t="str">
        <f t="shared" si="38"/>
        <v>-</v>
      </c>
      <c r="H2435" s="7" t="s">
        <v>539</v>
      </c>
    </row>
    <row r="2436" spans="1:8" x14ac:dyDescent="0.2">
      <c r="A2436" s="1" t="s">
        <v>25</v>
      </c>
      <c r="B2436" s="2" t="s">
        <v>243</v>
      </c>
      <c r="D2436" s="7" t="s">
        <v>464</v>
      </c>
      <c r="E2436" s="6">
        <v>127500</v>
      </c>
      <c r="F2436" s="6" t="s">
        <v>465</v>
      </c>
      <c r="G2436" s="57" t="str">
        <f t="shared" si="38"/>
        <v>-</v>
      </c>
      <c r="H2436" s="7"/>
    </row>
    <row r="2437" spans="1:8" x14ac:dyDescent="0.2">
      <c r="A2437" s="1" t="s">
        <v>25</v>
      </c>
      <c r="B2437" s="2" t="s">
        <v>243</v>
      </c>
      <c r="D2437" s="7" t="s">
        <v>464</v>
      </c>
      <c r="E2437" s="6" t="s">
        <v>465</v>
      </c>
      <c r="F2437" s="6">
        <v>127500</v>
      </c>
      <c r="G2437" s="57" t="str">
        <f t="shared" si="38"/>
        <v>-</v>
      </c>
      <c r="H2437" s="7" t="s">
        <v>539</v>
      </c>
    </row>
    <row r="2438" spans="1:8" x14ac:dyDescent="0.2">
      <c r="A2438" s="1" t="s">
        <v>25</v>
      </c>
      <c r="B2438" s="2" t="s">
        <v>243</v>
      </c>
      <c r="D2438" s="7" t="s">
        <v>464</v>
      </c>
      <c r="E2438" s="6" t="s">
        <v>465</v>
      </c>
      <c r="F2438" s="6">
        <v>127500</v>
      </c>
      <c r="G2438" s="57" t="str">
        <f t="shared" si="38"/>
        <v>-</v>
      </c>
      <c r="H2438" s="7" t="s">
        <v>539</v>
      </c>
    </row>
    <row r="2439" spans="1:8" x14ac:dyDescent="0.2">
      <c r="A2439" s="1" t="s">
        <v>25</v>
      </c>
      <c r="B2439" s="2" t="s">
        <v>243</v>
      </c>
      <c r="D2439" s="7" t="s">
        <v>464</v>
      </c>
      <c r="E2439" s="6" t="s">
        <v>465</v>
      </c>
      <c r="F2439" s="6">
        <v>127500</v>
      </c>
      <c r="G2439" s="57" t="str">
        <f t="shared" si="38"/>
        <v>-</v>
      </c>
      <c r="H2439" s="7"/>
    </row>
    <row r="2440" spans="1:8" x14ac:dyDescent="0.2">
      <c r="A2440" s="1" t="s">
        <v>25</v>
      </c>
      <c r="B2440" s="2" t="s">
        <v>243</v>
      </c>
      <c r="D2440" s="7" t="s">
        <v>464</v>
      </c>
      <c r="E2440" s="6" t="s">
        <v>465</v>
      </c>
      <c r="F2440" s="6">
        <v>132500</v>
      </c>
      <c r="G2440" s="57" t="str">
        <f t="shared" si="38"/>
        <v>-</v>
      </c>
      <c r="H2440" s="7" t="s">
        <v>539</v>
      </c>
    </row>
    <row r="2441" spans="1:8" x14ac:dyDescent="0.2">
      <c r="A2441" s="1" t="s">
        <v>25</v>
      </c>
      <c r="B2441" s="2" t="s">
        <v>243</v>
      </c>
      <c r="D2441" s="7" t="s">
        <v>464</v>
      </c>
      <c r="E2441" s="6" t="s">
        <v>465</v>
      </c>
      <c r="F2441" s="6">
        <v>132500</v>
      </c>
      <c r="G2441" s="57" t="str">
        <f t="shared" si="38"/>
        <v>-</v>
      </c>
      <c r="H2441" s="7"/>
    </row>
    <row r="2442" spans="1:8" x14ac:dyDescent="0.2">
      <c r="A2442" s="1" t="s">
        <v>25</v>
      </c>
      <c r="B2442" s="2" t="s">
        <v>243</v>
      </c>
      <c r="D2442" s="7" t="s">
        <v>464</v>
      </c>
      <c r="E2442" s="6">
        <v>137500</v>
      </c>
      <c r="F2442" s="6" t="s">
        <v>465</v>
      </c>
      <c r="G2442" s="57" t="str">
        <f t="shared" si="38"/>
        <v>-</v>
      </c>
      <c r="H2442" s="7" t="s">
        <v>539</v>
      </c>
    </row>
    <row r="2443" spans="1:8" x14ac:dyDescent="0.2">
      <c r="A2443" s="1" t="s">
        <v>25</v>
      </c>
      <c r="B2443" s="2" t="s">
        <v>243</v>
      </c>
      <c r="D2443" s="7" t="s">
        <v>464</v>
      </c>
      <c r="E2443" s="6">
        <v>137500</v>
      </c>
      <c r="F2443" s="6" t="s">
        <v>465</v>
      </c>
      <c r="G2443" s="57" t="str">
        <f t="shared" si="38"/>
        <v>-</v>
      </c>
      <c r="H2443" s="7" t="s">
        <v>539</v>
      </c>
    </row>
    <row r="2444" spans="1:8" x14ac:dyDescent="0.2">
      <c r="A2444" s="1" t="s">
        <v>25</v>
      </c>
      <c r="B2444" s="2" t="s">
        <v>243</v>
      </c>
      <c r="D2444" s="7" t="s">
        <v>464</v>
      </c>
      <c r="E2444" s="6">
        <v>137500</v>
      </c>
      <c r="F2444" s="6" t="s">
        <v>465</v>
      </c>
      <c r="G2444" s="57" t="str">
        <f t="shared" si="38"/>
        <v>-</v>
      </c>
      <c r="H2444" s="7"/>
    </row>
    <row r="2445" spans="1:8" x14ac:dyDescent="0.2">
      <c r="A2445" s="1" t="s">
        <v>25</v>
      </c>
      <c r="B2445" s="2" t="s">
        <v>243</v>
      </c>
      <c r="D2445" s="7" t="s">
        <v>464</v>
      </c>
      <c r="E2445" s="6">
        <v>137500</v>
      </c>
      <c r="F2445" s="6" t="s">
        <v>465</v>
      </c>
      <c r="G2445" s="57" t="str">
        <f t="shared" si="38"/>
        <v>-</v>
      </c>
      <c r="H2445" s="7"/>
    </row>
    <row r="2446" spans="1:8" x14ac:dyDescent="0.2">
      <c r="A2446" s="1" t="s">
        <v>25</v>
      </c>
      <c r="B2446" s="2" t="s">
        <v>243</v>
      </c>
      <c r="D2446" s="7" t="s">
        <v>464</v>
      </c>
      <c r="E2446" s="6" t="s">
        <v>465</v>
      </c>
      <c r="F2446" s="6">
        <v>137500</v>
      </c>
      <c r="G2446" s="57" t="str">
        <f t="shared" si="38"/>
        <v>-</v>
      </c>
      <c r="H2446" s="7" t="s">
        <v>539</v>
      </c>
    </row>
    <row r="2447" spans="1:8" x14ac:dyDescent="0.2">
      <c r="A2447" s="1" t="s">
        <v>25</v>
      </c>
      <c r="B2447" s="2" t="s">
        <v>243</v>
      </c>
      <c r="D2447" s="7" t="s">
        <v>464</v>
      </c>
      <c r="E2447" s="6" t="s">
        <v>465</v>
      </c>
      <c r="F2447" s="6">
        <v>137500</v>
      </c>
      <c r="G2447" s="57" t="str">
        <f t="shared" si="38"/>
        <v>-</v>
      </c>
      <c r="H2447" s="7" t="s">
        <v>539</v>
      </c>
    </row>
    <row r="2448" spans="1:8" x14ac:dyDescent="0.2">
      <c r="A2448" s="1" t="s">
        <v>25</v>
      </c>
      <c r="B2448" s="2" t="s">
        <v>243</v>
      </c>
      <c r="D2448" s="7" t="s">
        <v>464</v>
      </c>
      <c r="E2448" s="6" t="s">
        <v>465</v>
      </c>
      <c r="F2448" s="6">
        <v>137500</v>
      </c>
      <c r="G2448" s="57" t="str">
        <f t="shared" si="38"/>
        <v>-</v>
      </c>
      <c r="H2448" s="7"/>
    </row>
    <row r="2449" spans="1:8" x14ac:dyDescent="0.2">
      <c r="A2449" s="1" t="s">
        <v>25</v>
      </c>
      <c r="B2449" s="2" t="s">
        <v>243</v>
      </c>
      <c r="D2449" s="7" t="s">
        <v>464</v>
      </c>
      <c r="E2449" s="6" t="s">
        <v>465</v>
      </c>
      <c r="F2449" s="6">
        <v>137500</v>
      </c>
      <c r="G2449" s="57" t="str">
        <f t="shared" si="38"/>
        <v>-</v>
      </c>
      <c r="H2449" s="7"/>
    </row>
    <row r="2450" spans="1:8" x14ac:dyDescent="0.2">
      <c r="A2450" s="1" t="s">
        <v>25</v>
      </c>
      <c r="B2450" s="2" t="s">
        <v>243</v>
      </c>
      <c r="D2450" s="7" t="s">
        <v>464</v>
      </c>
      <c r="E2450" s="6">
        <v>142500</v>
      </c>
      <c r="F2450" s="6" t="s">
        <v>465</v>
      </c>
      <c r="G2450" s="57" t="str">
        <f t="shared" si="38"/>
        <v>-</v>
      </c>
      <c r="H2450" s="7" t="s">
        <v>539</v>
      </c>
    </row>
    <row r="2451" spans="1:8" x14ac:dyDescent="0.2">
      <c r="A2451" s="1" t="s">
        <v>25</v>
      </c>
      <c r="B2451" s="2" t="s">
        <v>243</v>
      </c>
      <c r="D2451" s="7" t="s">
        <v>464</v>
      </c>
      <c r="E2451" s="6">
        <v>182500</v>
      </c>
      <c r="F2451" s="6" t="s">
        <v>465</v>
      </c>
      <c r="G2451" s="57" t="str">
        <f t="shared" si="38"/>
        <v>-</v>
      </c>
      <c r="H2451" s="7" t="s">
        <v>539</v>
      </c>
    </row>
    <row r="2452" spans="1:8" x14ac:dyDescent="0.2">
      <c r="A2452" s="1" t="s">
        <v>25</v>
      </c>
      <c r="B2452" s="2" t="s">
        <v>243</v>
      </c>
      <c r="D2452" s="7" t="s">
        <v>464</v>
      </c>
      <c r="E2452" s="6">
        <v>182500</v>
      </c>
      <c r="F2452" s="6" t="s">
        <v>465</v>
      </c>
      <c r="G2452" s="57" t="str">
        <f t="shared" si="38"/>
        <v>-</v>
      </c>
      <c r="H2452" s="7"/>
    </row>
    <row r="2453" spans="1:8" x14ac:dyDescent="0.2">
      <c r="A2453" s="1" t="s">
        <v>25</v>
      </c>
      <c r="B2453" s="2" t="s">
        <v>243</v>
      </c>
      <c r="D2453" s="7" t="s">
        <v>464</v>
      </c>
      <c r="E2453" s="6" t="s">
        <v>465</v>
      </c>
      <c r="F2453" s="6">
        <v>187500</v>
      </c>
      <c r="G2453" s="57" t="str">
        <f t="shared" si="38"/>
        <v>-</v>
      </c>
      <c r="H2453" s="7"/>
    </row>
    <row r="2454" spans="1:8" x14ac:dyDescent="0.2">
      <c r="A2454" s="1" t="s">
        <v>25</v>
      </c>
      <c r="B2454" s="2" t="s">
        <v>243</v>
      </c>
      <c r="D2454" s="7" t="s">
        <v>464</v>
      </c>
      <c r="E2454" s="6" t="s">
        <v>465</v>
      </c>
      <c r="F2454" s="6">
        <v>187500</v>
      </c>
      <c r="G2454" s="57" t="str">
        <f t="shared" si="38"/>
        <v>-</v>
      </c>
      <c r="H2454" s="7" t="s">
        <v>539</v>
      </c>
    </row>
    <row r="2455" spans="1:8" ht="25.5" x14ac:dyDescent="0.2">
      <c r="A2455" s="1" t="s">
        <v>34</v>
      </c>
      <c r="B2455" s="2" t="s">
        <v>244</v>
      </c>
      <c r="D2455" s="5" t="s">
        <v>450</v>
      </c>
      <c r="E2455" s="3">
        <v>113988</v>
      </c>
      <c r="F2455" s="3">
        <v>114833</v>
      </c>
      <c r="G2455" s="57">
        <f t="shared" si="38"/>
        <v>7.4130610239674351E-3</v>
      </c>
      <c r="H2455" s="5" t="s">
        <v>3155</v>
      </c>
    </row>
    <row r="2456" spans="1:8" ht="25.5" x14ac:dyDescent="0.2">
      <c r="A2456" s="1" t="s">
        <v>20</v>
      </c>
      <c r="B2456" s="2" t="s">
        <v>245</v>
      </c>
      <c r="D2456" s="5" t="s">
        <v>450</v>
      </c>
      <c r="E2456" s="3">
        <v>140946</v>
      </c>
      <c r="F2456" s="3">
        <v>395091</v>
      </c>
      <c r="G2456" s="57">
        <f t="shared" si="38"/>
        <v>1.8031373717593973</v>
      </c>
      <c r="H2456" s="5" t="s">
        <v>3154</v>
      </c>
    </row>
    <row r="2457" spans="1:8" s="13" customFormat="1" x14ac:dyDescent="0.2">
      <c r="A2457" s="1" t="s">
        <v>20</v>
      </c>
      <c r="B2457" s="12" t="s">
        <v>245</v>
      </c>
      <c r="C2457" s="7"/>
      <c r="D2457" s="7" t="s">
        <v>464</v>
      </c>
      <c r="E2457" s="6" t="s">
        <v>465</v>
      </c>
      <c r="F2457" s="6">
        <v>117500</v>
      </c>
      <c r="G2457" s="57" t="str">
        <f t="shared" si="38"/>
        <v>-</v>
      </c>
      <c r="H2457" s="7"/>
    </row>
    <row r="2458" spans="1:8" s="13" customFormat="1" ht="51" x14ac:dyDescent="0.2">
      <c r="A2458" s="13" t="s">
        <v>4</v>
      </c>
      <c r="B2458" s="12" t="s">
        <v>246</v>
      </c>
      <c r="C2458" s="7"/>
      <c r="D2458" s="7" t="s">
        <v>4365</v>
      </c>
      <c r="E2458" s="6">
        <v>116162</v>
      </c>
      <c r="F2458" s="6">
        <f>67802+59299</f>
        <v>127101</v>
      </c>
      <c r="G2458" s="57">
        <f t="shared" si="38"/>
        <v>9.417021056799986E-2</v>
      </c>
      <c r="H2458" s="7" t="s">
        <v>4366</v>
      </c>
    </row>
    <row r="2459" spans="1:8" s="13" customFormat="1" ht="25.5" x14ac:dyDescent="0.2">
      <c r="A2459" s="13" t="s">
        <v>4</v>
      </c>
      <c r="B2459" s="2" t="s">
        <v>246</v>
      </c>
      <c r="C2459" s="7" t="s">
        <v>4367</v>
      </c>
      <c r="D2459" s="7" t="s">
        <v>450</v>
      </c>
      <c r="E2459" s="6">
        <v>195759</v>
      </c>
      <c r="F2459" s="6">
        <v>43312</v>
      </c>
      <c r="G2459" s="57">
        <f t="shared" si="38"/>
        <v>-0.77874835895156802</v>
      </c>
      <c r="H2459" s="7" t="s">
        <v>4368</v>
      </c>
    </row>
    <row r="2460" spans="1:8" s="13" customFormat="1" x14ac:dyDescent="0.2">
      <c r="A2460" s="13" t="s">
        <v>111</v>
      </c>
      <c r="B2460" s="12" t="s">
        <v>247</v>
      </c>
      <c r="C2460" s="7"/>
      <c r="D2460" s="7" t="s">
        <v>450</v>
      </c>
      <c r="E2460" s="6">
        <v>155644</v>
      </c>
      <c r="F2460" s="6">
        <v>167471</v>
      </c>
      <c r="G2460" s="57">
        <f t="shared" si="38"/>
        <v>7.5987509958623523E-2</v>
      </c>
      <c r="H2460" s="7" t="s">
        <v>3147</v>
      </c>
    </row>
    <row r="2461" spans="1:8" ht="25.5" x14ac:dyDescent="0.2">
      <c r="A2461" s="13" t="s">
        <v>111</v>
      </c>
      <c r="B2461" s="2" t="s">
        <v>247</v>
      </c>
      <c r="D2461" s="5" t="s">
        <v>1198</v>
      </c>
      <c r="E2461" s="3">
        <v>134863</v>
      </c>
      <c r="F2461" s="3">
        <v>212672</v>
      </c>
      <c r="G2461" s="57">
        <f t="shared" si="38"/>
        <v>0.57694845880634427</v>
      </c>
      <c r="H2461" s="5" t="s">
        <v>3148</v>
      </c>
    </row>
    <row r="2462" spans="1:8" ht="25.5" x14ac:dyDescent="0.2">
      <c r="A2462" s="13" t="s">
        <v>111</v>
      </c>
      <c r="B2462" s="2" t="s">
        <v>247</v>
      </c>
      <c r="D2462" s="5" t="s">
        <v>1199</v>
      </c>
      <c r="E2462" s="3">
        <v>130837</v>
      </c>
      <c r="F2462" s="3">
        <v>134016</v>
      </c>
      <c r="G2462" s="57">
        <f t="shared" si="38"/>
        <v>2.429740822550196E-2</v>
      </c>
      <c r="H2462" s="5" t="s">
        <v>3149</v>
      </c>
    </row>
    <row r="2463" spans="1:8" x14ac:dyDescent="0.2">
      <c r="A2463" s="13" t="s">
        <v>111</v>
      </c>
      <c r="B2463" s="2" t="s">
        <v>247</v>
      </c>
      <c r="D2463" s="5" t="s">
        <v>942</v>
      </c>
      <c r="E2463" s="3">
        <v>129139</v>
      </c>
      <c r="F2463" s="3">
        <v>133160</v>
      </c>
      <c r="G2463" s="57">
        <f t="shared" si="38"/>
        <v>3.1136991923431341E-2</v>
      </c>
      <c r="H2463" s="5" t="s">
        <v>3150</v>
      </c>
    </row>
    <row r="2464" spans="1:8" ht="25.5" x14ac:dyDescent="0.2">
      <c r="A2464" s="13" t="s">
        <v>111</v>
      </c>
      <c r="B2464" s="2" t="s">
        <v>247</v>
      </c>
      <c r="D2464" s="5" t="s">
        <v>1200</v>
      </c>
      <c r="E2464" s="3">
        <v>120135</v>
      </c>
      <c r="F2464" s="3">
        <v>125715</v>
      </c>
      <c r="G2464" s="57">
        <f t="shared" si="38"/>
        <v>4.6447746285428894E-2</v>
      </c>
      <c r="H2464" s="5" t="s">
        <v>3151</v>
      </c>
    </row>
    <row r="2465" spans="1:8" x14ac:dyDescent="0.2">
      <c r="A2465" s="13" t="s">
        <v>111</v>
      </c>
      <c r="B2465" s="2" t="s">
        <v>247</v>
      </c>
      <c r="D2465" s="5" t="s">
        <v>463</v>
      </c>
      <c r="E2465" s="3">
        <v>106349</v>
      </c>
      <c r="F2465" s="3">
        <v>105660</v>
      </c>
      <c r="G2465" s="57">
        <f t="shared" si="38"/>
        <v>-6.4786692869702586E-3</v>
      </c>
      <c r="H2465" s="5" t="s">
        <v>3152</v>
      </c>
    </row>
    <row r="2466" spans="1:8" x14ac:dyDescent="0.2">
      <c r="A2466" s="13" t="s">
        <v>111</v>
      </c>
      <c r="B2466" s="2" t="s">
        <v>247</v>
      </c>
      <c r="D2466" s="5" t="s">
        <v>949</v>
      </c>
      <c r="E2466" s="3">
        <v>100479</v>
      </c>
      <c r="F2466" s="3">
        <v>230101</v>
      </c>
      <c r="G2466" s="57">
        <f t="shared" si="38"/>
        <v>1.2900407050229401</v>
      </c>
      <c r="H2466" s="5" t="s">
        <v>3153</v>
      </c>
    </row>
    <row r="2467" spans="1:8" s="13" customFormat="1" x14ac:dyDescent="0.2">
      <c r="A2467" s="13" t="s">
        <v>111</v>
      </c>
      <c r="B2467" s="12" t="s">
        <v>247</v>
      </c>
      <c r="C2467" s="7"/>
      <c r="D2467" s="7" t="s">
        <v>464</v>
      </c>
      <c r="E2467" s="6">
        <v>102500</v>
      </c>
      <c r="F2467" s="6" t="s">
        <v>465</v>
      </c>
      <c r="G2467" s="57" t="str">
        <f t="shared" si="38"/>
        <v>-</v>
      </c>
      <c r="H2467" s="7"/>
    </row>
    <row r="2468" spans="1:8" s="13" customFormat="1" x14ac:dyDescent="0.2">
      <c r="A2468" s="13" t="s">
        <v>111</v>
      </c>
      <c r="B2468" s="12" t="s">
        <v>247</v>
      </c>
      <c r="C2468" s="7"/>
      <c r="D2468" s="7" t="s">
        <v>464</v>
      </c>
      <c r="E2468" s="6" t="s">
        <v>465</v>
      </c>
      <c r="F2468" s="6">
        <v>107500</v>
      </c>
      <c r="G2468" s="57" t="str">
        <f t="shared" si="38"/>
        <v>-</v>
      </c>
      <c r="H2468" s="7"/>
    </row>
    <row r="2469" spans="1:8" s="13" customFormat="1" x14ac:dyDescent="0.2">
      <c r="A2469" s="13" t="s">
        <v>111</v>
      </c>
      <c r="B2469" s="12" t="s">
        <v>247</v>
      </c>
      <c r="C2469" s="7"/>
      <c r="D2469" s="7" t="s">
        <v>464</v>
      </c>
      <c r="E2469" s="6" t="s">
        <v>465</v>
      </c>
      <c r="F2469" s="6">
        <v>107500</v>
      </c>
      <c r="G2469" s="57" t="str">
        <f t="shared" si="38"/>
        <v>-</v>
      </c>
      <c r="H2469" s="7"/>
    </row>
    <row r="2470" spans="1:8" s="13" customFormat="1" x14ac:dyDescent="0.2">
      <c r="A2470" s="13" t="s">
        <v>111</v>
      </c>
      <c r="B2470" s="12" t="s">
        <v>247</v>
      </c>
      <c r="C2470" s="7"/>
      <c r="D2470" s="7" t="s">
        <v>464</v>
      </c>
      <c r="E2470" s="6">
        <v>112500</v>
      </c>
      <c r="F2470" s="6" t="s">
        <v>465</v>
      </c>
      <c r="G2470" s="57" t="str">
        <f t="shared" si="38"/>
        <v>-</v>
      </c>
      <c r="H2470" s="7"/>
    </row>
    <row r="2471" spans="1:8" s="13" customFormat="1" x14ac:dyDescent="0.2">
      <c r="A2471" s="13" t="s">
        <v>111</v>
      </c>
      <c r="B2471" s="12" t="s">
        <v>247</v>
      </c>
      <c r="C2471" s="7"/>
      <c r="D2471" s="7" t="s">
        <v>464</v>
      </c>
      <c r="E2471" s="6" t="s">
        <v>465</v>
      </c>
      <c r="F2471" s="6">
        <v>112500</v>
      </c>
      <c r="G2471" s="57" t="str">
        <f t="shared" ref="G2471:G2534" si="39">IF(ISERROR((F2471-E2471)/E2471),"-",(F2471-E2471)/E2471)</f>
        <v>-</v>
      </c>
      <c r="H2471" s="7"/>
    </row>
    <row r="2472" spans="1:8" s="13" customFormat="1" x14ac:dyDescent="0.2">
      <c r="A2472" s="13" t="s">
        <v>111</v>
      </c>
      <c r="B2472" s="12" t="s">
        <v>247</v>
      </c>
      <c r="C2472" s="7"/>
      <c r="D2472" s="7" t="s">
        <v>464</v>
      </c>
      <c r="E2472" s="6" t="s">
        <v>465</v>
      </c>
      <c r="F2472" s="6">
        <v>112500</v>
      </c>
      <c r="G2472" s="57" t="str">
        <f t="shared" si="39"/>
        <v>-</v>
      </c>
      <c r="H2472" s="7"/>
    </row>
    <row r="2473" spans="1:8" s="13" customFormat="1" x14ac:dyDescent="0.2">
      <c r="A2473" s="13" t="s">
        <v>111</v>
      </c>
      <c r="B2473" s="12" t="s">
        <v>247</v>
      </c>
      <c r="C2473" s="7"/>
      <c r="D2473" s="7" t="s">
        <v>464</v>
      </c>
      <c r="E2473" s="6">
        <v>117500</v>
      </c>
      <c r="F2473" s="6" t="s">
        <v>465</v>
      </c>
      <c r="G2473" s="57" t="str">
        <f t="shared" si="39"/>
        <v>-</v>
      </c>
      <c r="H2473" s="7"/>
    </row>
    <row r="2474" spans="1:8" s="13" customFormat="1" x14ac:dyDescent="0.2">
      <c r="A2474" s="13" t="s">
        <v>111</v>
      </c>
      <c r="B2474" s="12" t="s">
        <v>247</v>
      </c>
      <c r="C2474" s="7"/>
      <c r="D2474" s="7" t="s">
        <v>464</v>
      </c>
      <c r="E2474" s="6">
        <v>132500</v>
      </c>
      <c r="F2474" s="6" t="s">
        <v>465</v>
      </c>
      <c r="G2474" s="57" t="str">
        <f t="shared" si="39"/>
        <v>-</v>
      </c>
      <c r="H2474" s="7"/>
    </row>
    <row r="2475" spans="1:8" s="13" customFormat="1" x14ac:dyDescent="0.2">
      <c r="A2475" s="13" t="s">
        <v>111</v>
      </c>
      <c r="B2475" s="12" t="s">
        <v>247</v>
      </c>
      <c r="C2475" s="7"/>
      <c r="D2475" s="7" t="s">
        <v>464</v>
      </c>
      <c r="E2475" s="6" t="s">
        <v>465</v>
      </c>
      <c r="F2475" s="6">
        <v>142500</v>
      </c>
      <c r="G2475" s="57" t="str">
        <f t="shared" si="39"/>
        <v>-</v>
      </c>
      <c r="H2475" s="7"/>
    </row>
    <row r="2476" spans="1:8" ht="38.25" x14ac:dyDescent="0.2">
      <c r="A2476" s="1" t="s">
        <v>1</v>
      </c>
      <c r="B2476" s="2" t="s">
        <v>248</v>
      </c>
      <c r="C2476" s="5" t="s">
        <v>1191</v>
      </c>
      <c r="D2476" s="5" t="s">
        <v>450</v>
      </c>
      <c r="E2476" s="3">
        <f>60908+20657</f>
        <v>81565</v>
      </c>
      <c r="F2476" s="3">
        <f>109198+2948+21286+598</f>
        <v>134030</v>
      </c>
      <c r="G2476" s="57">
        <f t="shared" si="39"/>
        <v>0.64322932630417462</v>
      </c>
      <c r="H2476" s="5" t="s">
        <v>3138</v>
      </c>
    </row>
    <row r="2477" spans="1:8" ht="25.5" x14ac:dyDescent="0.2">
      <c r="A2477" s="1" t="s">
        <v>1</v>
      </c>
      <c r="B2477" s="2" t="s">
        <v>248</v>
      </c>
      <c r="C2477" s="5" t="s">
        <v>1192</v>
      </c>
      <c r="D2477" s="5" t="s">
        <v>1193</v>
      </c>
      <c r="E2477" s="3">
        <f>99222+17494</f>
        <v>116716</v>
      </c>
      <c r="F2477" s="3">
        <f>91022+7983+18477</f>
        <v>117482</v>
      </c>
      <c r="G2477" s="57">
        <f t="shared" si="39"/>
        <v>6.562939100037698E-3</v>
      </c>
      <c r="H2477" s="5" t="s">
        <v>3135</v>
      </c>
    </row>
    <row r="2478" spans="1:8" s="13" customFormat="1" ht="25.5" x14ac:dyDescent="0.2">
      <c r="A2478" s="1" t="s">
        <v>1</v>
      </c>
      <c r="B2478" s="12" t="s">
        <v>248</v>
      </c>
      <c r="C2478" s="7" t="s">
        <v>1194</v>
      </c>
      <c r="D2478" s="7" t="s">
        <v>1195</v>
      </c>
      <c r="E2478" s="6">
        <f>94747+17494</f>
        <v>112241</v>
      </c>
      <c r="F2478" s="6">
        <f>91022+4551+18477</f>
        <v>114050</v>
      </c>
      <c r="G2478" s="57">
        <f t="shared" si="39"/>
        <v>1.6117105157651839E-2</v>
      </c>
      <c r="H2478" s="7" t="s">
        <v>3136</v>
      </c>
    </row>
    <row r="2479" spans="1:8" s="13" customFormat="1" ht="25.5" x14ac:dyDescent="0.2">
      <c r="A2479" s="1" t="s">
        <v>1</v>
      </c>
      <c r="B2479" s="12" t="s">
        <v>248</v>
      </c>
      <c r="C2479" s="7" t="s">
        <v>1196</v>
      </c>
      <c r="D2479" s="7" t="s">
        <v>1197</v>
      </c>
      <c r="E2479" s="6">
        <f>93360+17494</f>
        <v>110854</v>
      </c>
      <c r="F2479" s="6">
        <f>91022+4237+18477</f>
        <v>113736</v>
      </c>
      <c r="G2479" s="57">
        <f t="shared" si="39"/>
        <v>2.5998159741642161E-2</v>
      </c>
      <c r="H2479" s="7" t="s">
        <v>3137</v>
      </c>
    </row>
    <row r="2480" spans="1:8" s="13" customFormat="1" ht="25.5" x14ac:dyDescent="0.2">
      <c r="A2480" s="1" t="s">
        <v>1</v>
      </c>
      <c r="B2480" s="12" t="s">
        <v>248</v>
      </c>
      <c r="C2480" s="7" t="s">
        <v>3140</v>
      </c>
      <c r="D2480" s="7" t="s">
        <v>3139</v>
      </c>
      <c r="E2480" s="6">
        <f>71169+13269</f>
        <v>84438</v>
      </c>
      <c r="F2480" s="6">
        <f>29155+111665</f>
        <v>140820</v>
      </c>
      <c r="G2480" s="57">
        <f t="shared" si="39"/>
        <v>0.66773253748312367</v>
      </c>
      <c r="H2480" s="7" t="s">
        <v>3146</v>
      </c>
    </row>
    <row r="2481" spans="1:8" s="13" customFormat="1" ht="25.5" x14ac:dyDescent="0.2">
      <c r="A2481" s="1" t="s">
        <v>1</v>
      </c>
      <c r="B2481" s="12" t="s">
        <v>248</v>
      </c>
      <c r="C2481" s="7" t="s">
        <v>3141</v>
      </c>
      <c r="D2481" s="7" t="s">
        <v>3142</v>
      </c>
      <c r="E2481" s="6">
        <f>93936+17494</f>
        <v>111430</v>
      </c>
      <c r="F2481" s="6">
        <f>35613+8568</f>
        <v>44181</v>
      </c>
      <c r="G2481" s="57">
        <f t="shared" si="39"/>
        <v>-0.6035089293727004</v>
      </c>
      <c r="H2481" s="7" t="s">
        <v>3144</v>
      </c>
    </row>
    <row r="2482" spans="1:8" s="13" customFormat="1" ht="25.5" x14ac:dyDescent="0.2">
      <c r="A2482" s="1" t="s">
        <v>1</v>
      </c>
      <c r="B2482" s="12" t="s">
        <v>248</v>
      </c>
      <c r="C2482" s="7" t="s">
        <v>3143</v>
      </c>
      <c r="D2482" s="7" t="s">
        <v>452</v>
      </c>
      <c r="E2482" s="6">
        <f>98274+18137</f>
        <v>116411</v>
      </c>
      <c r="F2482" s="6">
        <f>39563+177906</f>
        <v>217469</v>
      </c>
      <c r="G2482" s="57">
        <f t="shared" si="39"/>
        <v>0.8681138380393606</v>
      </c>
      <c r="H2482" s="7" t="s">
        <v>3145</v>
      </c>
    </row>
    <row r="2483" spans="1:8" ht="25.5" x14ac:dyDescent="0.2">
      <c r="A2483" s="1" t="s">
        <v>4</v>
      </c>
      <c r="B2483" s="2" t="s">
        <v>249</v>
      </c>
      <c r="D2483" s="5" t="s">
        <v>1187</v>
      </c>
      <c r="E2483" s="3">
        <v>149017</v>
      </c>
      <c r="F2483" s="3">
        <v>161017</v>
      </c>
      <c r="G2483" s="57">
        <f t="shared" si="39"/>
        <v>8.0527725024661614E-2</v>
      </c>
      <c r="H2483" s="5" t="s">
        <v>3123</v>
      </c>
    </row>
    <row r="2484" spans="1:8" x14ac:dyDescent="0.2">
      <c r="A2484" s="1" t="s">
        <v>4</v>
      </c>
      <c r="B2484" s="2" t="s">
        <v>249</v>
      </c>
      <c r="D2484" s="5" t="s">
        <v>1188</v>
      </c>
      <c r="E2484" s="3">
        <v>134809</v>
      </c>
      <c r="F2484" s="3">
        <v>147657</v>
      </c>
      <c r="G2484" s="57">
        <f t="shared" si="39"/>
        <v>9.5305209592831341E-2</v>
      </c>
      <c r="H2484" s="5" t="s">
        <v>3124</v>
      </c>
    </row>
    <row r="2485" spans="1:8" ht="25.5" x14ac:dyDescent="0.2">
      <c r="A2485" s="1" t="s">
        <v>4</v>
      </c>
      <c r="B2485" s="2" t="s">
        <v>249</v>
      </c>
      <c r="D2485" s="5" t="s">
        <v>3134</v>
      </c>
      <c r="E2485" s="3">
        <v>124273</v>
      </c>
      <c r="F2485" s="3">
        <v>137895</v>
      </c>
      <c r="G2485" s="57">
        <f t="shared" si="39"/>
        <v>0.10961351218687888</v>
      </c>
      <c r="H2485" s="5" t="s">
        <v>3129</v>
      </c>
    </row>
    <row r="2486" spans="1:8" ht="25.5" x14ac:dyDescent="0.2">
      <c r="A2486" s="1" t="s">
        <v>4</v>
      </c>
      <c r="B2486" s="2" t="s">
        <v>249</v>
      </c>
      <c r="D2486" s="5" t="s">
        <v>1189</v>
      </c>
      <c r="E2486" s="3">
        <v>122426</v>
      </c>
      <c r="F2486" s="3">
        <v>136337</v>
      </c>
      <c r="G2486" s="57">
        <f t="shared" si="39"/>
        <v>0.11362782415499975</v>
      </c>
      <c r="H2486" s="5" t="s">
        <v>3130</v>
      </c>
    </row>
    <row r="2487" spans="1:8" ht="25.5" x14ac:dyDescent="0.2">
      <c r="A2487" s="1" t="s">
        <v>4</v>
      </c>
      <c r="B2487" s="2" t="s">
        <v>249</v>
      </c>
      <c r="D2487" s="5" t="s">
        <v>3133</v>
      </c>
      <c r="E2487" s="3">
        <v>110684</v>
      </c>
      <c r="F2487" s="3">
        <v>155473</v>
      </c>
      <c r="G2487" s="57">
        <f t="shared" si="39"/>
        <v>0.40465649958440242</v>
      </c>
      <c r="H2487" s="5" t="s">
        <v>3131</v>
      </c>
    </row>
    <row r="2488" spans="1:8" ht="25.5" x14ac:dyDescent="0.2">
      <c r="A2488" s="1" t="s">
        <v>4</v>
      </c>
      <c r="B2488" s="2" t="s">
        <v>249</v>
      </c>
      <c r="C2488" s="5" t="s">
        <v>1190</v>
      </c>
      <c r="D2488" s="7" t="s">
        <v>450</v>
      </c>
      <c r="E2488" s="3">
        <v>128725</v>
      </c>
      <c r="F2488" s="3">
        <v>184201</v>
      </c>
      <c r="G2488" s="57">
        <f t="shared" si="39"/>
        <v>0.43096523596814917</v>
      </c>
      <c r="H2488" s="5" t="s">
        <v>3132</v>
      </c>
    </row>
    <row r="2489" spans="1:8" x14ac:dyDescent="0.2">
      <c r="A2489" s="1" t="s">
        <v>4</v>
      </c>
      <c r="B2489" s="12" t="s">
        <v>249</v>
      </c>
      <c r="D2489" s="7" t="s">
        <v>464</v>
      </c>
      <c r="E2489" s="3">
        <v>102500</v>
      </c>
      <c r="F2489" s="3" t="s">
        <v>465</v>
      </c>
      <c r="G2489" s="57" t="str">
        <f t="shared" si="39"/>
        <v>-</v>
      </c>
    </row>
    <row r="2490" spans="1:8" x14ac:dyDescent="0.2">
      <c r="A2490" s="1" t="s">
        <v>4</v>
      </c>
      <c r="B2490" s="12" t="s">
        <v>249</v>
      </c>
      <c r="D2490" s="7" t="s">
        <v>464</v>
      </c>
      <c r="E2490" s="3">
        <v>102500</v>
      </c>
      <c r="F2490" s="3" t="s">
        <v>465</v>
      </c>
      <c r="G2490" s="57" t="str">
        <f t="shared" si="39"/>
        <v>-</v>
      </c>
    </row>
    <row r="2491" spans="1:8" x14ac:dyDescent="0.2">
      <c r="A2491" s="1" t="s">
        <v>4</v>
      </c>
      <c r="B2491" s="12" t="s">
        <v>249</v>
      </c>
      <c r="D2491" s="7" t="s">
        <v>464</v>
      </c>
      <c r="E2491" s="3" t="s">
        <v>465</v>
      </c>
      <c r="F2491" s="3">
        <v>102500</v>
      </c>
      <c r="G2491" s="57" t="str">
        <f t="shared" si="39"/>
        <v>-</v>
      </c>
    </row>
    <row r="2492" spans="1:8" x14ac:dyDescent="0.2">
      <c r="A2492" s="1" t="s">
        <v>4</v>
      </c>
      <c r="B2492" s="12" t="s">
        <v>249</v>
      </c>
      <c r="D2492" s="7" t="s">
        <v>464</v>
      </c>
      <c r="E2492" s="3" t="s">
        <v>465</v>
      </c>
      <c r="F2492" s="3">
        <v>102500</v>
      </c>
      <c r="G2492" s="57" t="str">
        <f t="shared" si="39"/>
        <v>-</v>
      </c>
    </row>
    <row r="2493" spans="1:8" x14ac:dyDescent="0.2">
      <c r="A2493" s="1" t="s">
        <v>4</v>
      </c>
      <c r="B2493" s="12" t="s">
        <v>249</v>
      </c>
      <c r="D2493" s="7" t="s">
        <v>464</v>
      </c>
      <c r="E2493" s="3" t="s">
        <v>465</v>
      </c>
      <c r="F2493" s="3">
        <v>102500</v>
      </c>
      <c r="G2493" s="57" t="str">
        <f t="shared" si="39"/>
        <v>-</v>
      </c>
    </row>
    <row r="2494" spans="1:8" x14ac:dyDescent="0.2">
      <c r="A2494" s="1" t="s">
        <v>4</v>
      </c>
      <c r="B2494" s="12" t="s">
        <v>249</v>
      </c>
      <c r="D2494" s="7" t="s">
        <v>464</v>
      </c>
      <c r="E2494" s="3">
        <v>107500</v>
      </c>
      <c r="F2494" s="3" t="s">
        <v>465</v>
      </c>
      <c r="G2494" s="57" t="str">
        <f t="shared" si="39"/>
        <v>-</v>
      </c>
    </row>
    <row r="2495" spans="1:8" x14ac:dyDescent="0.2">
      <c r="A2495" s="1" t="s">
        <v>4</v>
      </c>
      <c r="B2495" s="12" t="s">
        <v>249</v>
      </c>
      <c r="D2495" s="7" t="s">
        <v>464</v>
      </c>
      <c r="E2495" s="3" t="s">
        <v>465</v>
      </c>
      <c r="F2495" s="3">
        <v>107500</v>
      </c>
      <c r="G2495" s="57" t="str">
        <f t="shared" si="39"/>
        <v>-</v>
      </c>
    </row>
    <row r="2496" spans="1:8" x14ac:dyDescent="0.2">
      <c r="A2496" s="1" t="s">
        <v>4</v>
      </c>
      <c r="B2496" s="12" t="s">
        <v>249</v>
      </c>
      <c r="D2496" s="7" t="s">
        <v>464</v>
      </c>
      <c r="E2496" s="3" t="s">
        <v>465</v>
      </c>
      <c r="F2496" s="3">
        <v>107500</v>
      </c>
      <c r="G2496" s="57" t="str">
        <f t="shared" si="39"/>
        <v>-</v>
      </c>
    </row>
    <row r="2497" spans="1:8" x14ac:dyDescent="0.2">
      <c r="A2497" s="1" t="s">
        <v>4</v>
      </c>
      <c r="B2497" s="12" t="s">
        <v>249</v>
      </c>
      <c r="D2497" s="7" t="s">
        <v>464</v>
      </c>
      <c r="E2497" s="3" t="s">
        <v>465</v>
      </c>
      <c r="F2497" s="3">
        <v>107500</v>
      </c>
      <c r="G2497" s="57" t="str">
        <f t="shared" si="39"/>
        <v>-</v>
      </c>
    </row>
    <row r="2498" spans="1:8" x14ac:dyDescent="0.2">
      <c r="A2498" s="1" t="s">
        <v>4</v>
      </c>
      <c r="B2498" s="12" t="s">
        <v>249</v>
      </c>
      <c r="D2498" s="7" t="s">
        <v>464</v>
      </c>
      <c r="E2498" s="3" t="s">
        <v>465</v>
      </c>
      <c r="F2498" s="3">
        <v>107500</v>
      </c>
      <c r="G2498" s="57" t="str">
        <f t="shared" si="39"/>
        <v>-</v>
      </c>
    </row>
    <row r="2499" spans="1:8" x14ac:dyDescent="0.2">
      <c r="A2499" s="1" t="s">
        <v>4</v>
      </c>
      <c r="B2499" s="12" t="s">
        <v>249</v>
      </c>
      <c r="D2499" s="7" t="s">
        <v>464</v>
      </c>
      <c r="E2499" s="3">
        <v>112500</v>
      </c>
      <c r="F2499" s="3" t="s">
        <v>465</v>
      </c>
      <c r="G2499" s="57" t="str">
        <f t="shared" si="39"/>
        <v>-</v>
      </c>
    </row>
    <row r="2500" spans="1:8" x14ac:dyDescent="0.2">
      <c r="A2500" s="1" t="s">
        <v>4</v>
      </c>
      <c r="B2500" s="12" t="s">
        <v>249</v>
      </c>
      <c r="D2500" s="7" t="s">
        <v>464</v>
      </c>
      <c r="E2500" s="3">
        <v>122500</v>
      </c>
      <c r="F2500" s="3" t="s">
        <v>465</v>
      </c>
      <c r="G2500" s="57" t="str">
        <f t="shared" si="39"/>
        <v>-</v>
      </c>
    </row>
    <row r="2501" spans="1:8" x14ac:dyDescent="0.2">
      <c r="A2501" s="1" t="s">
        <v>4</v>
      </c>
      <c r="B2501" s="12" t="s">
        <v>249</v>
      </c>
      <c r="D2501" s="7" t="s">
        <v>464</v>
      </c>
      <c r="E2501" s="3" t="s">
        <v>465</v>
      </c>
      <c r="F2501" s="3">
        <v>127500</v>
      </c>
      <c r="G2501" s="57" t="str">
        <f t="shared" si="39"/>
        <v>-</v>
      </c>
    </row>
    <row r="2502" spans="1:8" s="13" customFormat="1" ht="25.5" x14ac:dyDescent="0.2">
      <c r="A2502" s="13" t="s">
        <v>4</v>
      </c>
      <c r="B2502" s="12" t="s">
        <v>250</v>
      </c>
      <c r="C2502" s="7"/>
      <c r="D2502" s="7" t="s">
        <v>450</v>
      </c>
      <c r="E2502" s="6">
        <v>129763</v>
      </c>
      <c r="F2502" s="6">
        <v>130919</v>
      </c>
      <c r="G2502" s="57">
        <f t="shared" si="39"/>
        <v>8.908548661791112E-3</v>
      </c>
      <c r="H2502" s="7" t="s">
        <v>3125</v>
      </c>
    </row>
    <row r="2503" spans="1:8" ht="25.5" x14ac:dyDescent="0.2">
      <c r="A2503" s="13" t="s">
        <v>4</v>
      </c>
      <c r="B2503" s="2" t="s">
        <v>250</v>
      </c>
      <c r="D2503" s="5" t="s">
        <v>504</v>
      </c>
      <c r="E2503" s="3">
        <v>101078</v>
      </c>
      <c r="F2503" s="3">
        <v>104164</v>
      </c>
      <c r="G2503" s="57">
        <f t="shared" si="39"/>
        <v>3.0530877144383545E-2</v>
      </c>
      <c r="H2503" s="5" t="s">
        <v>3119</v>
      </c>
    </row>
    <row r="2504" spans="1:8" ht="25.5" x14ac:dyDescent="0.2">
      <c r="A2504" s="13" t="s">
        <v>4</v>
      </c>
      <c r="B2504" s="2" t="s">
        <v>250</v>
      </c>
      <c r="D2504" s="5" t="s">
        <v>504</v>
      </c>
      <c r="E2504" s="3">
        <v>98741</v>
      </c>
      <c r="F2504" s="3">
        <v>104069</v>
      </c>
      <c r="G2504" s="57">
        <f t="shared" si="39"/>
        <v>5.3959348193759429E-2</v>
      </c>
      <c r="H2504" s="5" t="s">
        <v>3126</v>
      </c>
    </row>
    <row r="2505" spans="1:8" ht="25.5" x14ac:dyDescent="0.2">
      <c r="A2505" s="13" t="s">
        <v>4</v>
      </c>
      <c r="B2505" s="2" t="s">
        <v>250</v>
      </c>
      <c r="D2505" s="5" t="s">
        <v>520</v>
      </c>
      <c r="E2505" s="3">
        <v>74158</v>
      </c>
      <c r="F2505" s="3">
        <v>154903</v>
      </c>
      <c r="G2505" s="57">
        <f t="shared" si="39"/>
        <v>1.0888238625637152</v>
      </c>
      <c r="H2505" s="5" t="s">
        <v>3120</v>
      </c>
    </row>
    <row r="2506" spans="1:8" x14ac:dyDescent="0.2">
      <c r="A2506" s="13" t="s">
        <v>4</v>
      </c>
      <c r="B2506" s="2" t="s">
        <v>250</v>
      </c>
      <c r="D2506" s="5" t="s">
        <v>3127</v>
      </c>
      <c r="E2506" s="3">
        <v>170430</v>
      </c>
      <c r="F2506" s="3" t="s">
        <v>465</v>
      </c>
      <c r="G2506" s="57" t="str">
        <f t="shared" si="39"/>
        <v>-</v>
      </c>
      <c r="H2506" s="5" t="s">
        <v>3128</v>
      </c>
    </row>
    <row r="2507" spans="1:8" s="13" customFormat="1" x14ac:dyDescent="0.2">
      <c r="A2507" s="13" t="s">
        <v>4</v>
      </c>
      <c r="B2507" s="12" t="s">
        <v>250</v>
      </c>
      <c r="C2507" s="7"/>
      <c r="D2507" s="7" t="s">
        <v>464</v>
      </c>
      <c r="E2507" s="6">
        <v>107500</v>
      </c>
      <c r="F2507" s="6" t="s">
        <v>465</v>
      </c>
      <c r="G2507" s="57" t="str">
        <f t="shared" si="39"/>
        <v>-</v>
      </c>
      <c r="H2507" s="7"/>
    </row>
    <row r="2508" spans="1:8" s="13" customFormat="1" x14ac:dyDescent="0.2">
      <c r="A2508" s="13" t="s">
        <v>4</v>
      </c>
      <c r="B2508" s="12" t="s">
        <v>250</v>
      </c>
      <c r="C2508" s="7"/>
      <c r="D2508" s="7" t="s">
        <v>464</v>
      </c>
      <c r="E2508" s="6" t="s">
        <v>465</v>
      </c>
      <c r="F2508" s="6">
        <v>112500</v>
      </c>
      <c r="G2508" s="57" t="str">
        <f t="shared" si="39"/>
        <v>-</v>
      </c>
      <c r="H2508" s="7"/>
    </row>
    <row r="2509" spans="1:8" ht="25.5" x14ac:dyDescent="0.2">
      <c r="A2509" s="1" t="s">
        <v>44</v>
      </c>
      <c r="B2509" s="2" t="s">
        <v>251</v>
      </c>
      <c r="D2509" s="5" t="s">
        <v>450</v>
      </c>
      <c r="E2509" s="6">
        <v>119703</v>
      </c>
      <c r="F2509" s="3">
        <v>135439</v>
      </c>
      <c r="G2509" s="57">
        <f t="shared" si="39"/>
        <v>0.13145869359999332</v>
      </c>
      <c r="H2509" s="5" t="s">
        <v>3114</v>
      </c>
    </row>
    <row r="2510" spans="1:8" ht="25.5" x14ac:dyDescent="0.2">
      <c r="A2510" s="1" t="s">
        <v>44</v>
      </c>
      <c r="B2510" s="2" t="s">
        <v>251</v>
      </c>
      <c r="D2510" s="5" t="s">
        <v>1185</v>
      </c>
      <c r="E2510" s="6" t="s">
        <v>465</v>
      </c>
      <c r="F2510" s="3">
        <v>113265</v>
      </c>
      <c r="G2510" s="57" t="str">
        <f t="shared" si="39"/>
        <v>-</v>
      </c>
      <c r="H2510" s="5" t="s">
        <v>3115</v>
      </c>
    </row>
    <row r="2511" spans="1:8" ht="25.5" x14ac:dyDescent="0.2">
      <c r="A2511" s="1" t="s">
        <v>44</v>
      </c>
      <c r="B2511" s="2" t="s">
        <v>251</v>
      </c>
      <c r="D2511" s="5" t="s">
        <v>455</v>
      </c>
      <c r="E2511" s="6" t="s">
        <v>465</v>
      </c>
      <c r="F2511" s="3">
        <v>109553</v>
      </c>
      <c r="G2511" s="57" t="str">
        <f t="shared" si="39"/>
        <v>-</v>
      </c>
      <c r="H2511" s="5" t="s">
        <v>3116</v>
      </c>
    </row>
    <row r="2512" spans="1:8" ht="25.5" x14ac:dyDescent="0.2">
      <c r="A2512" s="1" t="s">
        <v>44</v>
      </c>
      <c r="B2512" s="2" t="s">
        <v>251</v>
      </c>
      <c r="D2512" s="5" t="s">
        <v>1186</v>
      </c>
      <c r="E2512" s="6" t="s">
        <v>465</v>
      </c>
      <c r="F2512" s="3">
        <v>106867</v>
      </c>
      <c r="G2512" s="57" t="str">
        <f t="shared" si="39"/>
        <v>-</v>
      </c>
      <c r="H2512" s="5" t="s">
        <v>3117</v>
      </c>
    </row>
    <row r="2513" spans="1:8" ht="25.5" x14ac:dyDescent="0.2">
      <c r="A2513" s="1" t="s">
        <v>44</v>
      </c>
      <c r="B2513" s="2" t="s">
        <v>251</v>
      </c>
      <c r="D2513" s="5" t="s">
        <v>852</v>
      </c>
      <c r="E2513" s="6" t="s">
        <v>465</v>
      </c>
      <c r="F2513" s="3">
        <v>100187</v>
      </c>
      <c r="G2513" s="57" t="str">
        <f t="shared" si="39"/>
        <v>-</v>
      </c>
      <c r="H2513" s="5" t="s">
        <v>3118</v>
      </c>
    </row>
    <row r="2514" spans="1:8" ht="25.5" x14ac:dyDescent="0.2">
      <c r="A2514" s="1" t="s">
        <v>44</v>
      </c>
      <c r="B2514" s="2" t="s">
        <v>251</v>
      </c>
      <c r="D2514" s="5" t="s">
        <v>3121</v>
      </c>
      <c r="E2514" s="6">
        <v>116704</v>
      </c>
      <c r="F2514" s="3" t="s">
        <v>465</v>
      </c>
      <c r="G2514" s="57" t="str">
        <f t="shared" si="39"/>
        <v>-</v>
      </c>
    </row>
    <row r="2515" spans="1:8" x14ac:dyDescent="0.2">
      <c r="A2515" s="1" t="s">
        <v>44</v>
      </c>
      <c r="B2515" s="2" t="s">
        <v>251</v>
      </c>
      <c r="D2515" s="5" t="s">
        <v>3122</v>
      </c>
      <c r="E2515" s="6">
        <v>106925</v>
      </c>
      <c r="F2515" s="3" t="s">
        <v>465</v>
      </c>
      <c r="G2515" s="57" t="str">
        <f t="shared" si="39"/>
        <v>-</v>
      </c>
    </row>
    <row r="2516" spans="1:8" x14ac:dyDescent="0.2">
      <c r="A2516" s="1" t="s">
        <v>1</v>
      </c>
      <c r="B2516" s="12" t="s">
        <v>252</v>
      </c>
      <c r="D2516" s="5" t="s">
        <v>464</v>
      </c>
      <c r="E2516" s="3">
        <v>102500</v>
      </c>
      <c r="F2516" s="3" t="s">
        <v>465</v>
      </c>
      <c r="G2516" s="57" t="str">
        <f t="shared" si="39"/>
        <v>-</v>
      </c>
    </row>
    <row r="2517" spans="1:8" x14ac:dyDescent="0.2">
      <c r="A2517" s="1" t="s">
        <v>1</v>
      </c>
      <c r="B2517" s="12" t="s">
        <v>252</v>
      </c>
      <c r="D2517" s="5" t="s">
        <v>464</v>
      </c>
      <c r="E2517" s="3" t="s">
        <v>465</v>
      </c>
      <c r="F2517" s="3">
        <v>102500</v>
      </c>
      <c r="G2517" s="57" t="str">
        <f t="shared" si="39"/>
        <v>-</v>
      </c>
    </row>
    <row r="2518" spans="1:8" x14ac:dyDescent="0.2">
      <c r="A2518" s="1" t="s">
        <v>1</v>
      </c>
      <c r="B2518" s="12" t="s">
        <v>252</v>
      </c>
      <c r="D2518" s="5" t="s">
        <v>464</v>
      </c>
      <c r="E2518" s="3" t="s">
        <v>465</v>
      </c>
      <c r="F2518" s="3">
        <v>102500</v>
      </c>
      <c r="G2518" s="57" t="str">
        <f t="shared" si="39"/>
        <v>-</v>
      </c>
    </row>
    <row r="2519" spans="1:8" ht="25.5" x14ac:dyDescent="0.2">
      <c r="A2519" s="1" t="s">
        <v>11</v>
      </c>
      <c r="B2519" s="12" t="s">
        <v>253</v>
      </c>
      <c r="C2519" s="29" t="s">
        <v>2697</v>
      </c>
      <c r="G2519" s="57" t="str">
        <f t="shared" si="39"/>
        <v>-</v>
      </c>
    </row>
    <row r="2520" spans="1:8" ht="25.5" x14ac:dyDescent="0.2">
      <c r="A2520" s="1" t="s">
        <v>44</v>
      </c>
      <c r="B2520" s="2" t="s">
        <v>254</v>
      </c>
      <c r="C2520" s="5" t="s">
        <v>1182</v>
      </c>
      <c r="D2520" s="5" t="s">
        <v>450</v>
      </c>
      <c r="E2520" s="3">
        <v>75601</v>
      </c>
      <c r="F2520" s="3">
        <v>154525</v>
      </c>
      <c r="G2520" s="57">
        <f t="shared" si="39"/>
        <v>1.0439544450470233</v>
      </c>
      <c r="H2520" s="5" t="s">
        <v>3109</v>
      </c>
    </row>
    <row r="2521" spans="1:8" ht="25.5" x14ac:dyDescent="0.2">
      <c r="A2521" s="1" t="s">
        <v>44</v>
      </c>
      <c r="B2521" s="2" t="s">
        <v>254</v>
      </c>
      <c r="D2521" s="5" t="s">
        <v>942</v>
      </c>
      <c r="E2521" s="3" t="s">
        <v>465</v>
      </c>
      <c r="F2521" s="3">
        <v>115418</v>
      </c>
      <c r="G2521" s="57" t="str">
        <f t="shared" si="39"/>
        <v>-</v>
      </c>
      <c r="H2521" s="5" t="s">
        <v>3110</v>
      </c>
    </row>
    <row r="2522" spans="1:8" s="13" customFormat="1" x14ac:dyDescent="0.2">
      <c r="A2522" s="1" t="s">
        <v>44</v>
      </c>
      <c r="B2522" s="12" t="s">
        <v>254</v>
      </c>
      <c r="C2522" s="7"/>
      <c r="D2522" s="7" t="s">
        <v>3107</v>
      </c>
      <c r="E2522" s="6">
        <v>124503</v>
      </c>
      <c r="F2522" s="6" t="s">
        <v>465</v>
      </c>
      <c r="G2522" s="57" t="str">
        <f t="shared" si="39"/>
        <v>-</v>
      </c>
      <c r="H2522" s="7" t="s">
        <v>3108</v>
      </c>
    </row>
    <row r="2523" spans="1:8" ht="25.5" x14ac:dyDescent="0.2">
      <c r="A2523" s="1" t="s">
        <v>44</v>
      </c>
      <c r="B2523" s="2" t="s">
        <v>254</v>
      </c>
      <c r="D2523" s="5" t="s">
        <v>1183</v>
      </c>
      <c r="E2523" s="3">
        <v>101322</v>
      </c>
      <c r="F2523" s="3">
        <v>116497</v>
      </c>
      <c r="G2523" s="57">
        <f t="shared" si="39"/>
        <v>0.149770040070271</v>
      </c>
      <c r="H2523" s="5" t="s">
        <v>3111</v>
      </c>
    </row>
    <row r="2524" spans="1:8" ht="25.5" x14ac:dyDescent="0.2">
      <c r="A2524" s="1" t="s">
        <v>44</v>
      </c>
      <c r="B2524" s="2" t="s">
        <v>254</v>
      </c>
      <c r="D2524" s="5" t="s">
        <v>1184</v>
      </c>
      <c r="E2524" s="3">
        <v>126520</v>
      </c>
      <c r="F2524" s="3">
        <v>126047</v>
      </c>
      <c r="G2524" s="57">
        <f t="shared" si="39"/>
        <v>-3.7385393613657918E-3</v>
      </c>
      <c r="H2524" s="5" t="s">
        <v>3112</v>
      </c>
    </row>
    <row r="2525" spans="1:8" ht="25.5" x14ac:dyDescent="0.2">
      <c r="A2525" s="1" t="s">
        <v>44</v>
      </c>
      <c r="B2525" s="2" t="s">
        <v>254</v>
      </c>
      <c r="D2525" s="5" t="s">
        <v>938</v>
      </c>
      <c r="E2525" s="3">
        <v>125515</v>
      </c>
      <c r="F2525" s="3">
        <v>125515</v>
      </c>
      <c r="G2525" s="57">
        <f t="shared" si="39"/>
        <v>0</v>
      </c>
      <c r="H2525" s="5" t="s">
        <v>3113</v>
      </c>
    </row>
    <row r="2526" spans="1:8" ht="25.5" x14ac:dyDescent="0.2">
      <c r="A2526" s="1" t="s">
        <v>4</v>
      </c>
      <c r="B2526" s="2" t="s">
        <v>255</v>
      </c>
      <c r="D2526" s="5" t="s">
        <v>450</v>
      </c>
      <c r="E2526" s="3">
        <v>165412</v>
      </c>
      <c r="F2526" s="3">
        <v>148734</v>
      </c>
      <c r="G2526" s="57">
        <f t="shared" si="39"/>
        <v>-0.10082702585060334</v>
      </c>
      <c r="H2526" s="5" t="s">
        <v>3104</v>
      </c>
    </row>
    <row r="2527" spans="1:8" ht="25.5" x14ac:dyDescent="0.2">
      <c r="A2527" s="1" t="s">
        <v>4</v>
      </c>
      <c r="B2527" s="2" t="s">
        <v>255</v>
      </c>
      <c r="D2527" s="5" t="s">
        <v>529</v>
      </c>
      <c r="E2527" s="3" t="s">
        <v>465</v>
      </c>
      <c r="F2527" s="3">
        <v>110197</v>
      </c>
      <c r="G2527" s="57" t="str">
        <f t="shared" si="39"/>
        <v>-</v>
      </c>
      <c r="H2527" s="5" t="s">
        <v>3105</v>
      </c>
    </row>
    <row r="2528" spans="1:8" ht="25.5" x14ac:dyDescent="0.2">
      <c r="A2528" s="1" t="s">
        <v>4</v>
      </c>
      <c r="B2528" s="2" t="s">
        <v>255</v>
      </c>
      <c r="D2528" s="5" t="s">
        <v>529</v>
      </c>
      <c r="E2528" s="3" t="s">
        <v>465</v>
      </c>
      <c r="F2528" s="3">
        <v>108513</v>
      </c>
      <c r="G2528" s="57" t="str">
        <f t="shared" si="39"/>
        <v>-</v>
      </c>
      <c r="H2528" s="5" t="s">
        <v>3106</v>
      </c>
    </row>
    <row r="2529" spans="1:8" x14ac:dyDescent="0.2">
      <c r="A2529" s="1" t="s">
        <v>4</v>
      </c>
      <c r="B2529" s="2" t="s">
        <v>255</v>
      </c>
      <c r="D2529" s="5" t="s">
        <v>529</v>
      </c>
      <c r="E2529" s="3">
        <v>109874</v>
      </c>
      <c r="F2529" s="3" t="s">
        <v>465</v>
      </c>
      <c r="G2529" s="57" t="str">
        <f t="shared" si="39"/>
        <v>-</v>
      </c>
    </row>
    <row r="2530" spans="1:8" x14ac:dyDescent="0.2">
      <c r="A2530" s="1" t="s">
        <v>4</v>
      </c>
      <c r="B2530" s="2" t="s">
        <v>255</v>
      </c>
      <c r="D2530" s="5" t="s">
        <v>529</v>
      </c>
      <c r="E2530" s="3">
        <v>108074</v>
      </c>
      <c r="F2530" s="3" t="s">
        <v>465</v>
      </c>
      <c r="G2530" s="57" t="str">
        <f t="shared" si="39"/>
        <v>-</v>
      </c>
    </row>
    <row r="2531" spans="1:8" ht="25.5" x14ac:dyDescent="0.2">
      <c r="A2531" s="1" t="s">
        <v>8</v>
      </c>
      <c r="B2531" s="2" t="s">
        <v>256</v>
      </c>
      <c r="D2531" s="5" t="s">
        <v>450</v>
      </c>
      <c r="E2531" s="3">
        <f>113490+2914.85+23832.96</f>
        <v>140237.81</v>
      </c>
      <c r="F2531" s="3">
        <f>113490+2329.45+24854.28</f>
        <v>140673.72999999998</v>
      </c>
      <c r="G2531" s="57">
        <f t="shared" si="39"/>
        <v>3.1084341662208194E-3</v>
      </c>
      <c r="H2531" s="5" t="s">
        <v>3101</v>
      </c>
    </row>
    <row r="2532" spans="1:8" ht="25.5" x14ac:dyDescent="0.2">
      <c r="A2532" s="1" t="s">
        <v>8</v>
      </c>
      <c r="B2532" s="2" t="s">
        <v>256</v>
      </c>
      <c r="D2532" s="5" t="s">
        <v>1181</v>
      </c>
      <c r="E2532" s="3">
        <f>91707.96+2217.62+19258.68</f>
        <v>113184.26000000001</v>
      </c>
      <c r="F2532" s="3">
        <f>91271.15+1494.5+19988.37</f>
        <v>112754.01999999999</v>
      </c>
      <c r="G2532" s="57">
        <f t="shared" si="39"/>
        <v>-3.801235260097294E-3</v>
      </c>
      <c r="H2532" s="5" t="s">
        <v>3102</v>
      </c>
    </row>
    <row r="2533" spans="1:8" ht="25.5" x14ac:dyDescent="0.2">
      <c r="A2533" s="1" t="s">
        <v>8</v>
      </c>
      <c r="B2533" s="2" t="s">
        <v>256</v>
      </c>
      <c r="D2533" s="5" t="s">
        <v>455</v>
      </c>
      <c r="E2533" s="3">
        <f>91707.96+2501.15+19258.68</f>
        <v>113467.79000000001</v>
      </c>
      <c r="F2533" s="3">
        <f>91271.15+1585.96+19988.37</f>
        <v>112845.48</v>
      </c>
      <c r="G2533" s="57">
        <f t="shared" si="39"/>
        <v>-5.4844639170288957E-3</v>
      </c>
      <c r="H2533" s="5" t="s">
        <v>3103</v>
      </c>
    </row>
    <row r="2534" spans="1:8" ht="25.5" x14ac:dyDescent="0.2">
      <c r="A2534" s="1" t="s">
        <v>111</v>
      </c>
      <c r="B2534" s="2" t="s">
        <v>257</v>
      </c>
      <c r="C2534" s="5" t="s">
        <v>1177</v>
      </c>
      <c r="D2534" s="5" t="s">
        <v>450</v>
      </c>
      <c r="E2534" s="3">
        <v>183082</v>
      </c>
      <c r="F2534" s="3">
        <v>199101</v>
      </c>
      <c r="G2534" s="57">
        <f t="shared" si="39"/>
        <v>8.7496313127451084E-2</v>
      </c>
      <c r="H2534" s="5" t="s">
        <v>3094</v>
      </c>
    </row>
    <row r="2535" spans="1:8" ht="25.5" x14ac:dyDescent="0.2">
      <c r="A2535" s="1" t="s">
        <v>111</v>
      </c>
      <c r="B2535" s="2" t="s">
        <v>257</v>
      </c>
      <c r="D2535" s="5" t="s">
        <v>1178</v>
      </c>
      <c r="E2535" s="3">
        <v>150589</v>
      </c>
      <c r="F2535" s="3">
        <v>149847</v>
      </c>
      <c r="G2535" s="57">
        <f t="shared" ref="G2535:G2581" si="40">IF(ISERROR((F2535-E2535)/E2535),"-",(F2535-E2535)/E2535)</f>
        <v>-4.9273187284595817E-3</v>
      </c>
      <c r="H2535" s="5" t="s">
        <v>3095</v>
      </c>
    </row>
    <row r="2536" spans="1:8" ht="25.5" x14ac:dyDescent="0.2">
      <c r="A2536" s="1" t="s">
        <v>111</v>
      </c>
      <c r="B2536" s="2" t="s">
        <v>257</v>
      </c>
      <c r="D2536" s="5" t="s">
        <v>743</v>
      </c>
      <c r="E2536" s="3">
        <v>87247</v>
      </c>
      <c r="F2536" s="3">
        <v>130293</v>
      </c>
      <c r="G2536" s="57">
        <f t="shared" si="40"/>
        <v>0.49338086123305097</v>
      </c>
      <c r="H2536" s="5" t="s">
        <v>3096</v>
      </c>
    </row>
    <row r="2537" spans="1:8" x14ac:dyDescent="0.2">
      <c r="A2537" s="1" t="s">
        <v>111</v>
      </c>
      <c r="B2537" s="2" t="s">
        <v>257</v>
      </c>
      <c r="D2537" s="5" t="s">
        <v>1179</v>
      </c>
      <c r="E2537" s="3">
        <v>129669</v>
      </c>
      <c r="F2537" s="3">
        <v>144938</v>
      </c>
      <c r="G2537" s="57">
        <f t="shared" si="40"/>
        <v>0.11775366510114214</v>
      </c>
      <c r="H2537" s="5" t="s">
        <v>3097</v>
      </c>
    </row>
    <row r="2538" spans="1:8" x14ac:dyDescent="0.2">
      <c r="A2538" s="1" t="s">
        <v>111</v>
      </c>
      <c r="B2538" s="2" t="s">
        <v>257</v>
      </c>
      <c r="D2538" s="5" t="s">
        <v>1180</v>
      </c>
      <c r="E2538" s="3">
        <v>122480</v>
      </c>
      <c r="F2538" s="3">
        <v>123105</v>
      </c>
      <c r="G2538" s="57">
        <f t="shared" si="40"/>
        <v>5.1028739386022211E-3</v>
      </c>
      <c r="H2538" s="5" t="s">
        <v>3098</v>
      </c>
    </row>
    <row r="2539" spans="1:8" s="33" customFormat="1" ht="76.5" x14ac:dyDescent="0.2">
      <c r="A2539" s="1" t="s">
        <v>111</v>
      </c>
      <c r="B2539" s="2" t="s">
        <v>257</v>
      </c>
      <c r="C2539" s="5"/>
      <c r="D2539" s="5" t="s">
        <v>4369</v>
      </c>
      <c r="E2539" s="3">
        <v>84414</v>
      </c>
      <c r="F2539" s="3">
        <v>400917</v>
      </c>
      <c r="G2539" s="57">
        <f t="shared" si="40"/>
        <v>3.7494136043784208</v>
      </c>
      <c r="H2539" s="5" t="s">
        <v>4668</v>
      </c>
    </row>
    <row r="2540" spans="1:8" s="34" customFormat="1" x14ac:dyDescent="0.2">
      <c r="A2540" s="1" t="s">
        <v>111</v>
      </c>
      <c r="B2540" s="12" t="s">
        <v>257</v>
      </c>
      <c r="C2540" s="7"/>
      <c r="D2540" s="7" t="s">
        <v>3099</v>
      </c>
      <c r="E2540" s="6">
        <v>110694</v>
      </c>
      <c r="F2540" s="6">
        <v>3442</v>
      </c>
      <c r="G2540" s="57">
        <f t="shared" si="40"/>
        <v>-0.96890527038502539</v>
      </c>
      <c r="H2540" s="7" t="s">
        <v>4370</v>
      </c>
    </row>
    <row r="2541" spans="1:8" s="33" customFormat="1" x14ac:dyDescent="0.2">
      <c r="A2541" s="1" t="s">
        <v>111</v>
      </c>
      <c r="B2541" s="12" t="s">
        <v>257</v>
      </c>
      <c r="C2541" s="5"/>
      <c r="D2541" s="5" t="s">
        <v>464</v>
      </c>
      <c r="E2541" s="3">
        <v>102500</v>
      </c>
      <c r="F2541" s="3" t="s">
        <v>465</v>
      </c>
      <c r="G2541" s="57" t="str">
        <f t="shared" si="40"/>
        <v>-</v>
      </c>
      <c r="H2541" s="5"/>
    </row>
    <row r="2542" spans="1:8" s="33" customFormat="1" x14ac:dyDescent="0.2">
      <c r="A2542" s="1" t="s">
        <v>111</v>
      </c>
      <c r="B2542" s="12" t="s">
        <v>257</v>
      </c>
      <c r="C2542" s="5"/>
      <c r="D2542" s="5" t="s">
        <v>464</v>
      </c>
      <c r="E2542" s="3">
        <v>102500</v>
      </c>
      <c r="F2542" s="3" t="s">
        <v>465</v>
      </c>
      <c r="G2542" s="57" t="str">
        <f t="shared" si="40"/>
        <v>-</v>
      </c>
      <c r="H2542" s="5"/>
    </row>
    <row r="2543" spans="1:8" s="33" customFormat="1" x14ac:dyDescent="0.2">
      <c r="A2543" s="1" t="s">
        <v>111</v>
      </c>
      <c r="B2543" s="12" t="s">
        <v>257</v>
      </c>
      <c r="C2543" s="5"/>
      <c r="D2543" s="5" t="s">
        <v>464</v>
      </c>
      <c r="E2543" s="3">
        <v>102500</v>
      </c>
      <c r="F2543" s="3" t="s">
        <v>465</v>
      </c>
      <c r="G2543" s="57" t="str">
        <f t="shared" si="40"/>
        <v>-</v>
      </c>
      <c r="H2543" s="5"/>
    </row>
    <row r="2544" spans="1:8" s="33" customFormat="1" x14ac:dyDescent="0.2">
      <c r="A2544" s="1" t="s">
        <v>111</v>
      </c>
      <c r="B2544" s="12" t="s">
        <v>257</v>
      </c>
      <c r="C2544" s="5"/>
      <c r="D2544" s="5" t="s">
        <v>464</v>
      </c>
      <c r="E2544" s="3">
        <v>102500</v>
      </c>
      <c r="F2544" s="3" t="s">
        <v>465</v>
      </c>
      <c r="G2544" s="57" t="str">
        <f t="shared" si="40"/>
        <v>-</v>
      </c>
      <c r="H2544" s="5"/>
    </row>
    <row r="2545" spans="1:8" s="33" customFormat="1" x14ac:dyDescent="0.2">
      <c r="A2545" s="1" t="s">
        <v>111</v>
      </c>
      <c r="B2545" s="12" t="s">
        <v>257</v>
      </c>
      <c r="C2545" s="5"/>
      <c r="D2545" s="5" t="s">
        <v>464</v>
      </c>
      <c r="E2545" s="3">
        <v>102500</v>
      </c>
      <c r="F2545" s="3" t="s">
        <v>465</v>
      </c>
      <c r="G2545" s="57" t="str">
        <f t="shared" si="40"/>
        <v>-</v>
      </c>
      <c r="H2545" s="5"/>
    </row>
    <row r="2546" spans="1:8" s="33" customFormat="1" x14ac:dyDescent="0.2">
      <c r="A2546" s="1" t="s">
        <v>111</v>
      </c>
      <c r="B2546" s="12" t="s">
        <v>257</v>
      </c>
      <c r="C2546" s="5"/>
      <c r="D2546" s="5" t="s">
        <v>464</v>
      </c>
      <c r="E2546" s="3">
        <v>102500</v>
      </c>
      <c r="F2546" s="3" t="s">
        <v>465</v>
      </c>
      <c r="G2546" s="57" t="str">
        <f t="shared" si="40"/>
        <v>-</v>
      </c>
      <c r="H2546" s="5"/>
    </row>
    <row r="2547" spans="1:8" s="33" customFormat="1" x14ac:dyDescent="0.2">
      <c r="A2547" s="1" t="s">
        <v>111</v>
      </c>
      <c r="B2547" s="12" t="s">
        <v>257</v>
      </c>
      <c r="C2547" s="5"/>
      <c r="D2547" s="5" t="s">
        <v>464</v>
      </c>
      <c r="E2547" s="3">
        <v>107500</v>
      </c>
      <c r="F2547" s="3" t="s">
        <v>465</v>
      </c>
      <c r="G2547" s="57" t="str">
        <f t="shared" si="40"/>
        <v>-</v>
      </c>
      <c r="H2547" s="5"/>
    </row>
    <row r="2548" spans="1:8" s="33" customFormat="1" x14ac:dyDescent="0.2">
      <c r="A2548" s="1" t="s">
        <v>111</v>
      </c>
      <c r="B2548" s="12" t="s">
        <v>257</v>
      </c>
      <c r="C2548" s="5"/>
      <c r="D2548" s="5" t="s">
        <v>464</v>
      </c>
      <c r="E2548" s="3">
        <v>107500</v>
      </c>
      <c r="F2548" s="3" t="s">
        <v>465</v>
      </c>
      <c r="G2548" s="57" t="str">
        <f t="shared" si="40"/>
        <v>-</v>
      </c>
      <c r="H2548" s="5"/>
    </row>
    <row r="2549" spans="1:8" s="33" customFormat="1" x14ac:dyDescent="0.2">
      <c r="A2549" s="1" t="s">
        <v>111</v>
      </c>
      <c r="B2549" s="12" t="s">
        <v>257</v>
      </c>
      <c r="C2549" s="5"/>
      <c r="D2549" s="5" t="s">
        <v>464</v>
      </c>
      <c r="E2549" s="3">
        <v>107500</v>
      </c>
      <c r="F2549" s="3" t="s">
        <v>465</v>
      </c>
      <c r="G2549" s="57" t="str">
        <f t="shared" si="40"/>
        <v>-</v>
      </c>
      <c r="H2549" s="5"/>
    </row>
    <row r="2550" spans="1:8" s="33" customFormat="1" x14ac:dyDescent="0.2">
      <c r="A2550" s="1" t="s">
        <v>111</v>
      </c>
      <c r="B2550" s="12" t="s">
        <v>257</v>
      </c>
      <c r="C2550" s="5"/>
      <c r="D2550" s="5" t="s">
        <v>464</v>
      </c>
      <c r="E2550" s="3">
        <v>107500</v>
      </c>
      <c r="F2550" s="3" t="s">
        <v>465</v>
      </c>
      <c r="G2550" s="57" t="str">
        <f t="shared" si="40"/>
        <v>-</v>
      </c>
      <c r="H2550" s="5"/>
    </row>
    <row r="2551" spans="1:8" s="33" customFormat="1" x14ac:dyDescent="0.2">
      <c r="A2551" s="1" t="s">
        <v>111</v>
      </c>
      <c r="B2551" s="12" t="s">
        <v>257</v>
      </c>
      <c r="C2551" s="5"/>
      <c r="D2551" s="5" t="s">
        <v>464</v>
      </c>
      <c r="E2551" s="3">
        <v>107500</v>
      </c>
      <c r="F2551" s="3" t="s">
        <v>465</v>
      </c>
      <c r="G2551" s="57" t="str">
        <f t="shared" si="40"/>
        <v>-</v>
      </c>
      <c r="H2551" s="5"/>
    </row>
    <row r="2552" spans="1:8" s="33" customFormat="1" x14ac:dyDescent="0.2">
      <c r="A2552" s="1" t="s">
        <v>111</v>
      </c>
      <c r="B2552" s="12" t="s">
        <v>257</v>
      </c>
      <c r="C2552" s="5"/>
      <c r="D2552" s="5" t="s">
        <v>464</v>
      </c>
      <c r="E2552" s="3">
        <v>112500</v>
      </c>
      <c r="F2552" s="3" t="s">
        <v>465</v>
      </c>
      <c r="G2552" s="57" t="str">
        <f t="shared" si="40"/>
        <v>-</v>
      </c>
      <c r="H2552" s="5"/>
    </row>
    <row r="2553" spans="1:8" s="33" customFormat="1" x14ac:dyDescent="0.2">
      <c r="A2553" s="1" t="s">
        <v>111</v>
      </c>
      <c r="B2553" s="12" t="s">
        <v>257</v>
      </c>
      <c r="C2553" s="5"/>
      <c r="D2553" s="5" t="s">
        <v>464</v>
      </c>
      <c r="E2553" s="3">
        <v>112500</v>
      </c>
      <c r="F2553" s="3" t="s">
        <v>465</v>
      </c>
      <c r="G2553" s="57" t="str">
        <f t="shared" si="40"/>
        <v>-</v>
      </c>
      <c r="H2553" s="5"/>
    </row>
    <row r="2554" spans="1:8" s="33" customFormat="1" x14ac:dyDescent="0.2">
      <c r="A2554" s="1" t="s">
        <v>111</v>
      </c>
      <c r="B2554" s="12" t="s">
        <v>257</v>
      </c>
      <c r="C2554" s="5"/>
      <c r="D2554" s="5" t="s">
        <v>464</v>
      </c>
      <c r="E2554" s="3">
        <v>112500</v>
      </c>
      <c r="F2554" s="3" t="s">
        <v>465</v>
      </c>
      <c r="G2554" s="57" t="str">
        <f t="shared" si="40"/>
        <v>-</v>
      </c>
      <c r="H2554" s="5"/>
    </row>
    <row r="2555" spans="1:8" s="33" customFormat="1" x14ac:dyDescent="0.2">
      <c r="A2555" s="1" t="s">
        <v>111</v>
      </c>
      <c r="B2555" s="12" t="s">
        <v>257</v>
      </c>
      <c r="C2555" s="5"/>
      <c r="D2555" s="5" t="s">
        <v>464</v>
      </c>
      <c r="E2555" s="3">
        <v>112500</v>
      </c>
      <c r="F2555" s="3" t="s">
        <v>465</v>
      </c>
      <c r="G2555" s="57" t="str">
        <f t="shared" si="40"/>
        <v>-</v>
      </c>
      <c r="H2555" s="5"/>
    </row>
    <row r="2556" spans="1:8" s="33" customFormat="1" x14ac:dyDescent="0.2">
      <c r="A2556" s="1" t="s">
        <v>111</v>
      </c>
      <c r="B2556" s="12" t="s">
        <v>257</v>
      </c>
      <c r="C2556" s="5"/>
      <c r="D2556" s="5" t="s">
        <v>464</v>
      </c>
      <c r="E2556" s="3">
        <v>112500</v>
      </c>
      <c r="F2556" s="3" t="s">
        <v>465</v>
      </c>
      <c r="G2556" s="57" t="str">
        <f t="shared" si="40"/>
        <v>-</v>
      </c>
      <c r="H2556" s="5"/>
    </row>
    <row r="2557" spans="1:8" s="33" customFormat="1" x14ac:dyDescent="0.2">
      <c r="A2557" s="1" t="s">
        <v>111</v>
      </c>
      <c r="B2557" s="12" t="s">
        <v>257</v>
      </c>
      <c r="C2557" s="5"/>
      <c r="D2557" s="5" t="s">
        <v>464</v>
      </c>
      <c r="E2557" s="3" t="s">
        <v>465</v>
      </c>
      <c r="F2557" s="3">
        <v>112500</v>
      </c>
      <c r="G2557" s="57" t="str">
        <f t="shared" si="40"/>
        <v>-</v>
      </c>
      <c r="H2557" s="5"/>
    </row>
    <row r="2558" spans="1:8" s="33" customFormat="1" x14ac:dyDescent="0.2">
      <c r="A2558" s="1" t="s">
        <v>111</v>
      </c>
      <c r="B2558" s="12" t="s">
        <v>257</v>
      </c>
      <c r="C2558" s="5"/>
      <c r="D2558" s="5" t="s">
        <v>464</v>
      </c>
      <c r="E2558" s="3">
        <v>117500</v>
      </c>
      <c r="F2558" s="3" t="s">
        <v>465</v>
      </c>
      <c r="G2558" s="57" t="str">
        <f t="shared" si="40"/>
        <v>-</v>
      </c>
      <c r="H2558" s="5"/>
    </row>
    <row r="2559" spans="1:8" s="33" customFormat="1" x14ac:dyDescent="0.2">
      <c r="A2559" s="1" t="s">
        <v>111</v>
      </c>
      <c r="B2559" s="12" t="s">
        <v>257</v>
      </c>
      <c r="C2559" s="5"/>
      <c r="D2559" s="5" t="s">
        <v>464</v>
      </c>
      <c r="E2559" s="3" t="s">
        <v>465</v>
      </c>
      <c r="F2559" s="3">
        <v>117500</v>
      </c>
      <c r="G2559" s="57" t="str">
        <f t="shared" si="40"/>
        <v>-</v>
      </c>
      <c r="H2559" s="5"/>
    </row>
    <row r="2560" spans="1:8" s="33" customFormat="1" x14ac:dyDescent="0.2">
      <c r="A2560" s="1" t="s">
        <v>111</v>
      </c>
      <c r="B2560" s="12" t="s">
        <v>257</v>
      </c>
      <c r="C2560" s="5"/>
      <c r="D2560" s="5" t="s">
        <v>464</v>
      </c>
      <c r="E2560" s="3">
        <v>122500</v>
      </c>
      <c r="F2560" s="3" t="s">
        <v>465</v>
      </c>
      <c r="G2560" s="57" t="str">
        <f t="shared" si="40"/>
        <v>-</v>
      </c>
      <c r="H2560" s="5"/>
    </row>
    <row r="2561" spans="1:8" s="33" customFormat="1" x14ac:dyDescent="0.2">
      <c r="A2561" s="1" t="s">
        <v>111</v>
      </c>
      <c r="B2561" s="12" t="s">
        <v>257</v>
      </c>
      <c r="C2561" s="5"/>
      <c r="D2561" s="5" t="s">
        <v>464</v>
      </c>
      <c r="E2561" s="3">
        <v>122500</v>
      </c>
      <c r="F2561" s="3" t="s">
        <v>465</v>
      </c>
      <c r="G2561" s="57" t="str">
        <f t="shared" si="40"/>
        <v>-</v>
      </c>
      <c r="H2561" s="5"/>
    </row>
    <row r="2562" spans="1:8" x14ac:dyDescent="0.2">
      <c r="A2562" s="1" t="s">
        <v>111</v>
      </c>
      <c r="B2562" s="12" t="s">
        <v>257</v>
      </c>
      <c r="D2562" s="5" t="s">
        <v>464</v>
      </c>
      <c r="E2562" s="3" t="s">
        <v>465</v>
      </c>
      <c r="F2562" s="3">
        <v>127500</v>
      </c>
      <c r="G2562" s="57" t="str">
        <f t="shared" si="40"/>
        <v>-</v>
      </c>
    </row>
    <row r="2563" spans="1:8" x14ac:dyDescent="0.2">
      <c r="A2563" s="1" t="s">
        <v>111</v>
      </c>
      <c r="B2563" s="12" t="s">
        <v>257</v>
      </c>
      <c r="D2563" s="5" t="s">
        <v>464</v>
      </c>
      <c r="E2563" s="3">
        <v>132500</v>
      </c>
      <c r="F2563" s="3" t="s">
        <v>465</v>
      </c>
      <c r="G2563" s="57" t="str">
        <f t="shared" si="40"/>
        <v>-</v>
      </c>
    </row>
    <row r="2564" spans="1:8" x14ac:dyDescent="0.2">
      <c r="A2564" s="1" t="s">
        <v>111</v>
      </c>
      <c r="B2564" s="12" t="s">
        <v>257</v>
      </c>
      <c r="D2564" s="5" t="s">
        <v>464</v>
      </c>
      <c r="E2564" s="3">
        <v>132500</v>
      </c>
      <c r="F2564" s="3" t="s">
        <v>465</v>
      </c>
      <c r="G2564" s="57" t="str">
        <f t="shared" si="40"/>
        <v>-</v>
      </c>
    </row>
    <row r="2565" spans="1:8" x14ac:dyDescent="0.2">
      <c r="A2565" s="1" t="s">
        <v>111</v>
      </c>
      <c r="B2565" s="12" t="s">
        <v>257</v>
      </c>
      <c r="D2565" s="5" t="s">
        <v>464</v>
      </c>
      <c r="E2565" s="3">
        <v>137500</v>
      </c>
      <c r="F2565" s="3" t="s">
        <v>465</v>
      </c>
      <c r="G2565" s="57" t="str">
        <f t="shared" si="40"/>
        <v>-</v>
      </c>
    </row>
    <row r="2566" spans="1:8" x14ac:dyDescent="0.2">
      <c r="A2566" s="1" t="s">
        <v>111</v>
      </c>
      <c r="B2566" s="12" t="s">
        <v>257</v>
      </c>
      <c r="D2566" s="5" t="s">
        <v>464</v>
      </c>
      <c r="E2566" s="3">
        <v>137500</v>
      </c>
      <c r="F2566" s="3" t="s">
        <v>465</v>
      </c>
      <c r="G2566" s="57" t="str">
        <f t="shared" si="40"/>
        <v>-</v>
      </c>
    </row>
    <row r="2567" spans="1:8" x14ac:dyDescent="0.2">
      <c r="A2567" s="1" t="s">
        <v>111</v>
      </c>
      <c r="B2567" s="12" t="s">
        <v>257</v>
      </c>
      <c r="D2567" s="5" t="s">
        <v>464</v>
      </c>
      <c r="E2567" s="3">
        <v>162500</v>
      </c>
      <c r="F2567" s="3" t="s">
        <v>465</v>
      </c>
      <c r="G2567" s="57" t="str">
        <f t="shared" si="40"/>
        <v>-</v>
      </c>
    </row>
    <row r="2568" spans="1:8" x14ac:dyDescent="0.2">
      <c r="A2568" s="1" t="s">
        <v>111</v>
      </c>
      <c r="B2568" s="12" t="s">
        <v>257</v>
      </c>
      <c r="D2568" s="5" t="s">
        <v>464</v>
      </c>
      <c r="E2568" s="3">
        <v>162500</v>
      </c>
      <c r="F2568" s="3" t="s">
        <v>465</v>
      </c>
      <c r="G2568" s="57" t="str">
        <f t="shared" si="40"/>
        <v>-</v>
      </c>
    </row>
    <row r="2569" spans="1:8" x14ac:dyDescent="0.2">
      <c r="A2569" s="1" t="s">
        <v>111</v>
      </c>
      <c r="B2569" s="12" t="s">
        <v>257</v>
      </c>
      <c r="D2569" s="5" t="s">
        <v>464</v>
      </c>
      <c r="E2569" s="3">
        <v>182500</v>
      </c>
      <c r="F2569" s="3" t="s">
        <v>465</v>
      </c>
      <c r="G2569" s="57" t="str">
        <f t="shared" si="40"/>
        <v>-</v>
      </c>
    </row>
    <row r="2570" spans="1:8" ht="25.5" x14ac:dyDescent="0.2">
      <c r="A2570" s="1" t="s">
        <v>39</v>
      </c>
      <c r="B2570" s="2" t="s">
        <v>258</v>
      </c>
      <c r="D2570" s="5" t="s">
        <v>450</v>
      </c>
      <c r="E2570" s="3">
        <v>138718</v>
      </c>
      <c r="F2570" s="3">
        <v>104911</v>
      </c>
      <c r="G2570" s="57">
        <f t="shared" si="40"/>
        <v>-0.24371026110526392</v>
      </c>
      <c r="H2570" s="5" t="s">
        <v>3090</v>
      </c>
    </row>
    <row r="2571" spans="1:8" ht="25.5" x14ac:dyDescent="0.2">
      <c r="A2571" s="1" t="s">
        <v>39</v>
      </c>
      <c r="B2571" s="2" t="s">
        <v>258</v>
      </c>
      <c r="D2571" s="5" t="s">
        <v>3100</v>
      </c>
      <c r="E2571" s="3">
        <v>102697</v>
      </c>
      <c r="F2571" s="3">
        <v>106184</v>
      </c>
      <c r="G2571" s="57">
        <f t="shared" si="40"/>
        <v>3.3954253775670178E-2</v>
      </c>
      <c r="H2571" s="5" t="s">
        <v>3091</v>
      </c>
    </row>
    <row r="2572" spans="1:8" x14ac:dyDescent="0.2">
      <c r="A2572" s="1" t="s">
        <v>39</v>
      </c>
      <c r="B2572" s="2" t="s">
        <v>258</v>
      </c>
      <c r="D2572" s="5" t="s">
        <v>1175</v>
      </c>
      <c r="E2572" s="3">
        <v>101212</v>
      </c>
      <c r="F2572" s="3">
        <v>102219</v>
      </c>
      <c r="G2572" s="57">
        <f t="shared" si="40"/>
        <v>9.9494131130695961E-3</v>
      </c>
      <c r="H2572" s="5" t="s">
        <v>3092</v>
      </c>
    </row>
    <row r="2573" spans="1:8" ht="25.5" x14ac:dyDescent="0.2">
      <c r="A2573" s="1" t="s">
        <v>39</v>
      </c>
      <c r="B2573" s="2" t="s">
        <v>258</v>
      </c>
      <c r="D2573" s="5" t="s">
        <v>1176</v>
      </c>
      <c r="E2573" s="3">
        <v>98219</v>
      </c>
      <c r="F2573" s="3">
        <v>100414</v>
      </c>
      <c r="G2573" s="57">
        <f t="shared" si="40"/>
        <v>2.2348018204217106E-2</v>
      </c>
      <c r="H2573" s="5" t="s">
        <v>3093</v>
      </c>
    </row>
    <row r="2574" spans="1:8" ht="25.5" x14ac:dyDescent="0.2">
      <c r="A2574" s="1" t="s">
        <v>25</v>
      </c>
      <c r="B2574" s="2" t="s">
        <v>259</v>
      </c>
      <c r="C2574" s="5" t="s">
        <v>1165</v>
      </c>
      <c r="D2574" s="5" t="s">
        <v>4372</v>
      </c>
      <c r="E2574" s="6">
        <v>198304</v>
      </c>
      <c r="F2574" s="3">
        <v>234783</v>
      </c>
      <c r="G2574" s="57">
        <f t="shared" si="40"/>
        <v>0.18395493787316444</v>
      </c>
      <c r="H2574" s="5" t="s">
        <v>4371</v>
      </c>
    </row>
    <row r="2575" spans="1:8" ht="25.5" x14ac:dyDescent="0.2">
      <c r="A2575" s="1" t="s">
        <v>25</v>
      </c>
      <c r="B2575" s="2" t="s">
        <v>259</v>
      </c>
      <c r="C2575" s="5" t="s">
        <v>1166</v>
      </c>
      <c r="D2575" s="5" t="s">
        <v>1167</v>
      </c>
      <c r="E2575" s="3">
        <v>134593</v>
      </c>
      <c r="F2575" s="3">
        <v>212329</v>
      </c>
      <c r="G2575" s="57">
        <f t="shared" si="40"/>
        <v>0.57756346912543743</v>
      </c>
      <c r="H2575" s="5" t="s">
        <v>3086</v>
      </c>
    </row>
    <row r="2576" spans="1:8" x14ac:dyDescent="0.2">
      <c r="A2576" s="1" t="s">
        <v>25</v>
      </c>
      <c r="B2576" s="2" t="s">
        <v>259</v>
      </c>
      <c r="C2576" s="5" t="s">
        <v>1168</v>
      </c>
      <c r="D2576" s="5" t="s">
        <v>1169</v>
      </c>
      <c r="E2576" s="6">
        <v>176725</v>
      </c>
      <c r="F2576" s="3">
        <v>160002</v>
      </c>
      <c r="G2576" s="57">
        <f t="shared" si="40"/>
        <v>-9.4627245720752581E-2</v>
      </c>
      <c r="H2576" s="5" t="s">
        <v>3087</v>
      </c>
    </row>
    <row r="2577" spans="1:8" ht="25.5" x14ac:dyDescent="0.2">
      <c r="A2577" s="1" t="s">
        <v>25</v>
      </c>
      <c r="B2577" s="2" t="s">
        <v>259</v>
      </c>
      <c r="C2577" s="5" t="s">
        <v>1170</v>
      </c>
      <c r="D2577" s="5" t="s">
        <v>1171</v>
      </c>
      <c r="E2577" s="6" t="s">
        <v>465</v>
      </c>
      <c r="F2577" s="3">
        <v>192507</v>
      </c>
      <c r="G2577" s="57" t="str">
        <f t="shared" si="40"/>
        <v>-</v>
      </c>
      <c r="H2577" s="5" t="s">
        <v>3088</v>
      </c>
    </row>
    <row r="2578" spans="1:8" ht="25.5" x14ac:dyDescent="0.2">
      <c r="A2578" s="1" t="s">
        <v>25</v>
      </c>
      <c r="B2578" s="2" t="s">
        <v>259</v>
      </c>
      <c r="C2578" s="5" t="s">
        <v>1172</v>
      </c>
      <c r="D2578" s="5" t="s">
        <v>450</v>
      </c>
      <c r="E2578" s="6">
        <v>281085</v>
      </c>
      <c r="F2578" s="3">
        <v>189108</v>
      </c>
      <c r="G2578" s="57">
        <f t="shared" si="40"/>
        <v>-0.32722130316452319</v>
      </c>
      <c r="H2578" s="5" t="s">
        <v>4373</v>
      </c>
    </row>
    <row r="2579" spans="1:8" ht="25.5" x14ac:dyDescent="0.2">
      <c r="A2579" s="1" t="s">
        <v>25</v>
      </c>
      <c r="B2579" s="2" t="s">
        <v>259</v>
      </c>
      <c r="D2579" s="5" t="s">
        <v>1173</v>
      </c>
      <c r="E2579" s="3" t="s">
        <v>465</v>
      </c>
      <c r="F2579" s="3">
        <v>161221</v>
      </c>
      <c r="G2579" s="57" t="str">
        <f t="shared" si="40"/>
        <v>-</v>
      </c>
      <c r="H2579" s="5" t="s">
        <v>4374</v>
      </c>
    </row>
    <row r="2580" spans="1:8" x14ac:dyDescent="0.2">
      <c r="A2580" s="1" t="s">
        <v>25</v>
      </c>
      <c r="B2580" s="2" t="s">
        <v>259</v>
      </c>
      <c r="D2580" s="5" t="s">
        <v>1174</v>
      </c>
      <c r="E2580" s="3">
        <v>121095</v>
      </c>
      <c r="F2580" s="3">
        <v>169519</v>
      </c>
      <c r="G2580" s="57">
        <f t="shared" si="40"/>
        <v>0.39988438829018541</v>
      </c>
      <c r="H2580" s="5" t="s">
        <v>3089</v>
      </c>
    </row>
    <row r="2581" spans="1:8" s="13" customFormat="1" x14ac:dyDescent="0.2">
      <c r="A2581" s="1" t="s">
        <v>25</v>
      </c>
      <c r="B2581" s="12" t="s">
        <v>259</v>
      </c>
      <c r="C2581" s="7"/>
      <c r="D2581" s="7" t="s">
        <v>3084</v>
      </c>
      <c r="E2581" s="6" t="s">
        <v>465</v>
      </c>
      <c r="F2581" s="6">
        <v>112689</v>
      </c>
      <c r="G2581" s="57" t="str">
        <f t="shared" si="40"/>
        <v>-</v>
      </c>
      <c r="H2581" s="7" t="s">
        <v>3085</v>
      </c>
    </row>
    <row r="2582" spans="1:8" x14ac:dyDescent="0.2">
      <c r="A2582" s="1" t="s">
        <v>25</v>
      </c>
      <c r="B2582" s="12" t="s">
        <v>259</v>
      </c>
      <c r="D2582" s="5" t="s">
        <v>464</v>
      </c>
      <c r="E2582" s="3" t="s">
        <v>465</v>
      </c>
      <c r="F2582" s="19">
        <v>102500</v>
      </c>
      <c r="G2582" s="57" t="str">
        <f>IF(ISERROR((#REF!-E2582)/E2582),"-",(#REF!-E2582)/E2582)</f>
        <v>-</v>
      </c>
      <c r="H2582" s="1"/>
    </row>
    <row r="2583" spans="1:8" x14ac:dyDescent="0.2">
      <c r="A2583" s="1" t="s">
        <v>25</v>
      </c>
      <c r="B2583" s="12" t="s">
        <v>259</v>
      </c>
      <c r="D2583" s="5" t="s">
        <v>464</v>
      </c>
      <c r="E2583" s="3" t="s">
        <v>465</v>
      </c>
      <c r="F2583" s="19">
        <v>107500</v>
      </c>
      <c r="G2583" s="57" t="str">
        <f>IF(ISERROR((#REF!-E2583)/E2583),"-",(#REF!-E2583)/E2583)</f>
        <v>-</v>
      </c>
      <c r="H2583" s="1"/>
    </row>
    <row r="2584" spans="1:8" x14ac:dyDescent="0.2">
      <c r="A2584" s="1" t="s">
        <v>25</v>
      </c>
      <c r="B2584" s="12" t="s">
        <v>259</v>
      </c>
      <c r="D2584" s="5" t="s">
        <v>464</v>
      </c>
      <c r="E2584" s="3" t="s">
        <v>465</v>
      </c>
      <c r="F2584" s="19">
        <v>107500</v>
      </c>
      <c r="G2584" s="57" t="str">
        <f>IF(ISERROR((#REF!-E2584)/E2584),"-",(#REF!-E2584)/E2584)</f>
        <v>-</v>
      </c>
      <c r="H2584" s="1"/>
    </row>
    <row r="2585" spans="1:8" x14ac:dyDescent="0.2">
      <c r="A2585" s="1" t="s">
        <v>25</v>
      </c>
      <c r="B2585" s="12" t="s">
        <v>259</v>
      </c>
      <c r="D2585" s="5" t="s">
        <v>464</v>
      </c>
      <c r="E2585" s="3" t="s">
        <v>465</v>
      </c>
      <c r="F2585" s="19">
        <v>107500</v>
      </c>
      <c r="G2585" s="57" t="str">
        <f>IF(ISERROR((#REF!-E2585)/E2585),"-",(#REF!-E2585)/E2585)</f>
        <v>-</v>
      </c>
      <c r="H2585" s="1"/>
    </row>
    <row r="2586" spans="1:8" x14ac:dyDescent="0.2">
      <c r="A2586" s="1" t="s">
        <v>25</v>
      </c>
      <c r="B2586" s="12" t="s">
        <v>259</v>
      </c>
      <c r="D2586" s="5" t="s">
        <v>464</v>
      </c>
      <c r="E2586" s="3">
        <v>102500</v>
      </c>
      <c r="F2586" s="3" t="s">
        <v>465</v>
      </c>
      <c r="G2586" s="57" t="str">
        <f t="shared" ref="G2586:G2649" si="41">IF(ISERROR((F2586-E2586)/E2586),"-",(F2586-E2586)/E2586)</f>
        <v>-</v>
      </c>
      <c r="H2586" s="1"/>
    </row>
    <row r="2587" spans="1:8" x14ac:dyDescent="0.2">
      <c r="A2587" s="1" t="s">
        <v>25</v>
      </c>
      <c r="B2587" s="12" t="s">
        <v>259</v>
      </c>
      <c r="D2587" s="5" t="s">
        <v>464</v>
      </c>
      <c r="E2587" s="3">
        <v>102500</v>
      </c>
      <c r="F2587" s="3" t="s">
        <v>465</v>
      </c>
      <c r="G2587" s="57" t="str">
        <f t="shared" si="41"/>
        <v>-</v>
      </c>
      <c r="H2587" s="1"/>
    </row>
    <row r="2588" spans="1:8" x14ac:dyDescent="0.2">
      <c r="A2588" s="1" t="s">
        <v>25</v>
      </c>
      <c r="B2588" s="12" t="s">
        <v>259</v>
      </c>
      <c r="D2588" s="5" t="s">
        <v>464</v>
      </c>
      <c r="E2588" s="3">
        <v>107500</v>
      </c>
      <c r="F2588" s="3" t="s">
        <v>465</v>
      </c>
      <c r="G2588" s="57" t="str">
        <f t="shared" si="41"/>
        <v>-</v>
      </c>
      <c r="H2588" s="1"/>
    </row>
    <row r="2589" spans="1:8" x14ac:dyDescent="0.2">
      <c r="A2589" s="1" t="s">
        <v>25</v>
      </c>
      <c r="B2589" s="12" t="s">
        <v>259</v>
      </c>
      <c r="D2589" s="5" t="s">
        <v>464</v>
      </c>
      <c r="E2589" s="3">
        <v>107500</v>
      </c>
      <c r="F2589" s="3" t="s">
        <v>465</v>
      </c>
      <c r="G2589" s="57" t="str">
        <f t="shared" si="41"/>
        <v>-</v>
      </c>
      <c r="H2589" s="1"/>
    </row>
    <row r="2590" spans="1:8" x14ac:dyDescent="0.2">
      <c r="A2590" s="1" t="s">
        <v>25</v>
      </c>
      <c r="B2590" s="12" t="s">
        <v>259</v>
      </c>
      <c r="D2590" s="5" t="s">
        <v>464</v>
      </c>
      <c r="E2590" s="3">
        <v>112500</v>
      </c>
      <c r="F2590" s="3" t="s">
        <v>465</v>
      </c>
      <c r="G2590" s="57" t="str">
        <f t="shared" si="41"/>
        <v>-</v>
      </c>
      <c r="H2590" s="1"/>
    </row>
    <row r="2591" spans="1:8" x14ac:dyDescent="0.2">
      <c r="A2591" s="1" t="s">
        <v>25</v>
      </c>
      <c r="B2591" s="12" t="s">
        <v>259</v>
      </c>
      <c r="D2591" s="5" t="s">
        <v>464</v>
      </c>
      <c r="E2591" s="3">
        <v>122500</v>
      </c>
      <c r="F2591" s="3" t="s">
        <v>465</v>
      </c>
      <c r="G2591" s="57" t="str">
        <f t="shared" si="41"/>
        <v>-</v>
      </c>
      <c r="H2591" s="1"/>
    </row>
    <row r="2592" spans="1:8" x14ac:dyDescent="0.2">
      <c r="A2592" s="1" t="s">
        <v>25</v>
      </c>
      <c r="B2592" s="12" t="s">
        <v>259</v>
      </c>
      <c r="D2592" s="5" t="s">
        <v>464</v>
      </c>
      <c r="E2592" s="3">
        <v>122500</v>
      </c>
      <c r="F2592" s="3" t="s">
        <v>465</v>
      </c>
      <c r="G2592" s="57" t="str">
        <f t="shared" si="41"/>
        <v>-</v>
      </c>
      <c r="H2592" s="1"/>
    </row>
    <row r="2593" spans="1:8" x14ac:dyDescent="0.2">
      <c r="A2593" s="1" t="s">
        <v>25</v>
      </c>
      <c r="B2593" s="12" t="s">
        <v>259</v>
      </c>
      <c r="D2593" s="5" t="s">
        <v>464</v>
      </c>
      <c r="E2593" s="3">
        <v>127500</v>
      </c>
      <c r="F2593" s="3" t="s">
        <v>465</v>
      </c>
      <c r="G2593" s="57" t="str">
        <f t="shared" si="41"/>
        <v>-</v>
      </c>
      <c r="H2593" s="1"/>
    </row>
    <row r="2594" spans="1:8" x14ac:dyDescent="0.2">
      <c r="A2594" s="1" t="s">
        <v>25</v>
      </c>
      <c r="B2594" s="12" t="s">
        <v>259</v>
      </c>
      <c r="D2594" s="5" t="s">
        <v>464</v>
      </c>
      <c r="E2594" s="3">
        <v>127500</v>
      </c>
      <c r="F2594" s="3" t="s">
        <v>465</v>
      </c>
      <c r="G2594" s="57" t="str">
        <f t="shared" si="41"/>
        <v>-</v>
      </c>
      <c r="H2594" s="1"/>
    </row>
    <row r="2595" spans="1:8" x14ac:dyDescent="0.2">
      <c r="A2595" s="1" t="s">
        <v>25</v>
      </c>
      <c r="B2595" s="12" t="s">
        <v>259</v>
      </c>
      <c r="D2595" s="5" t="s">
        <v>464</v>
      </c>
      <c r="E2595" s="3" t="s">
        <v>465</v>
      </c>
      <c r="F2595" s="3">
        <v>112500</v>
      </c>
      <c r="G2595" s="57" t="str">
        <f t="shared" si="41"/>
        <v>-</v>
      </c>
      <c r="H2595" s="1"/>
    </row>
    <row r="2596" spans="1:8" x14ac:dyDescent="0.2">
      <c r="A2596" s="1" t="s">
        <v>25</v>
      </c>
      <c r="B2596" s="12" t="s">
        <v>259</v>
      </c>
      <c r="D2596" s="5" t="s">
        <v>464</v>
      </c>
      <c r="E2596" s="3" t="s">
        <v>465</v>
      </c>
      <c r="F2596" s="3">
        <v>112500</v>
      </c>
      <c r="G2596" s="57" t="str">
        <f t="shared" si="41"/>
        <v>-</v>
      </c>
      <c r="H2596" s="1"/>
    </row>
    <row r="2597" spans="1:8" x14ac:dyDescent="0.2">
      <c r="A2597" s="1" t="s">
        <v>25</v>
      </c>
      <c r="B2597" s="12" t="s">
        <v>259</v>
      </c>
      <c r="D2597" s="5" t="s">
        <v>464</v>
      </c>
      <c r="E2597" s="3" t="s">
        <v>465</v>
      </c>
      <c r="F2597" s="3">
        <v>112500</v>
      </c>
      <c r="G2597" s="57" t="str">
        <f t="shared" si="41"/>
        <v>-</v>
      </c>
      <c r="H2597" s="1"/>
    </row>
    <row r="2598" spans="1:8" x14ac:dyDescent="0.2">
      <c r="A2598" s="1" t="s">
        <v>25</v>
      </c>
      <c r="B2598" s="12" t="s">
        <v>259</v>
      </c>
      <c r="D2598" s="5" t="s">
        <v>464</v>
      </c>
      <c r="E2598" s="3" t="s">
        <v>465</v>
      </c>
      <c r="F2598" s="3">
        <v>112500</v>
      </c>
      <c r="G2598" s="57" t="str">
        <f t="shared" si="41"/>
        <v>-</v>
      </c>
      <c r="H2598" s="1"/>
    </row>
    <row r="2599" spans="1:8" x14ac:dyDescent="0.2">
      <c r="A2599" s="1" t="s">
        <v>25</v>
      </c>
      <c r="B2599" s="12" t="s">
        <v>259</v>
      </c>
      <c r="D2599" s="5" t="s">
        <v>464</v>
      </c>
      <c r="E2599" s="3" t="s">
        <v>465</v>
      </c>
      <c r="F2599" s="3">
        <v>117500</v>
      </c>
      <c r="G2599" s="57" t="str">
        <f t="shared" si="41"/>
        <v>-</v>
      </c>
      <c r="H2599" s="1"/>
    </row>
    <row r="2600" spans="1:8" x14ac:dyDescent="0.2">
      <c r="A2600" s="1" t="s">
        <v>25</v>
      </c>
      <c r="B2600" s="12" t="s">
        <v>259</v>
      </c>
      <c r="D2600" s="5" t="s">
        <v>464</v>
      </c>
      <c r="E2600" s="3" t="s">
        <v>465</v>
      </c>
      <c r="F2600" s="3">
        <v>117500</v>
      </c>
      <c r="G2600" s="57" t="str">
        <f t="shared" si="41"/>
        <v>-</v>
      </c>
      <c r="H2600" s="1"/>
    </row>
    <row r="2601" spans="1:8" x14ac:dyDescent="0.2">
      <c r="A2601" s="1" t="s">
        <v>25</v>
      </c>
      <c r="B2601" s="12" t="s">
        <v>259</v>
      </c>
      <c r="D2601" s="5" t="s">
        <v>464</v>
      </c>
      <c r="E2601" s="3" t="s">
        <v>465</v>
      </c>
      <c r="F2601" s="3">
        <v>117500</v>
      </c>
      <c r="G2601" s="57" t="str">
        <f t="shared" si="41"/>
        <v>-</v>
      </c>
      <c r="H2601" s="1"/>
    </row>
    <row r="2602" spans="1:8" x14ac:dyDescent="0.2">
      <c r="A2602" s="1" t="s">
        <v>25</v>
      </c>
      <c r="B2602" s="12" t="s">
        <v>259</v>
      </c>
      <c r="D2602" s="5" t="s">
        <v>464</v>
      </c>
      <c r="E2602" s="3" t="s">
        <v>465</v>
      </c>
      <c r="F2602" s="3">
        <v>122500</v>
      </c>
      <c r="G2602" s="57" t="str">
        <f t="shared" si="41"/>
        <v>-</v>
      </c>
      <c r="H2602" s="1"/>
    </row>
    <row r="2603" spans="1:8" x14ac:dyDescent="0.2">
      <c r="A2603" s="1" t="s">
        <v>25</v>
      </c>
      <c r="B2603" s="12" t="s">
        <v>259</v>
      </c>
      <c r="D2603" s="5" t="s">
        <v>464</v>
      </c>
      <c r="E2603" s="3" t="s">
        <v>465</v>
      </c>
      <c r="F2603" s="3">
        <v>122500</v>
      </c>
      <c r="G2603" s="57" t="str">
        <f t="shared" si="41"/>
        <v>-</v>
      </c>
      <c r="H2603" s="1"/>
    </row>
    <row r="2604" spans="1:8" x14ac:dyDescent="0.2">
      <c r="A2604" s="1" t="s">
        <v>25</v>
      </c>
      <c r="B2604" s="12" t="s">
        <v>259</v>
      </c>
      <c r="D2604" s="5" t="s">
        <v>464</v>
      </c>
      <c r="E2604" s="3" t="s">
        <v>465</v>
      </c>
      <c r="F2604" s="3">
        <v>127500</v>
      </c>
      <c r="G2604" s="57" t="str">
        <f t="shared" si="41"/>
        <v>-</v>
      </c>
    </row>
    <row r="2605" spans="1:8" x14ac:dyDescent="0.2">
      <c r="A2605" s="1" t="s">
        <v>25</v>
      </c>
      <c r="B2605" s="12" t="s">
        <v>259</v>
      </c>
      <c r="D2605" s="5" t="s">
        <v>464</v>
      </c>
      <c r="E2605" s="3" t="s">
        <v>465</v>
      </c>
      <c r="F2605" s="3">
        <v>127500</v>
      </c>
      <c r="G2605" s="57" t="str">
        <f t="shared" si="41"/>
        <v>-</v>
      </c>
    </row>
    <row r="2606" spans="1:8" x14ac:dyDescent="0.2">
      <c r="A2606" s="1" t="s">
        <v>25</v>
      </c>
      <c r="B2606" s="12" t="s">
        <v>259</v>
      </c>
      <c r="D2606" s="5" t="s">
        <v>464</v>
      </c>
      <c r="E2606" s="3" t="s">
        <v>465</v>
      </c>
      <c r="F2606" s="3">
        <v>127500</v>
      </c>
      <c r="G2606" s="57" t="str">
        <f t="shared" si="41"/>
        <v>-</v>
      </c>
    </row>
    <row r="2607" spans="1:8" x14ac:dyDescent="0.2">
      <c r="A2607" s="1" t="s">
        <v>25</v>
      </c>
      <c r="B2607" s="12" t="s">
        <v>259</v>
      </c>
      <c r="D2607" s="5" t="s">
        <v>464</v>
      </c>
      <c r="E2607" s="3" t="s">
        <v>465</v>
      </c>
      <c r="F2607" s="3">
        <v>132500</v>
      </c>
      <c r="G2607" s="57" t="str">
        <f t="shared" si="41"/>
        <v>-</v>
      </c>
    </row>
    <row r="2608" spans="1:8" x14ac:dyDescent="0.2">
      <c r="A2608" s="1" t="s">
        <v>25</v>
      </c>
      <c r="B2608" s="12" t="s">
        <v>259</v>
      </c>
      <c r="D2608" s="5" t="s">
        <v>464</v>
      </c>
      <c r="E2608" s="3" t="s">
        <v>465</v>
      </c>
      <c r="F2608" s="3">
        <v>137500</v>
      </c>
      <c r="G2608" s="57" t="str">
        <f t="shared" si="41"/>
        <v>-</v>
      </c>
    </row>
    <row r="2609" spans="1:8" x14ac:dyDescent="0.2">
      <c r="A2609" s="1" t="s">
        <v>25</v>
      </c>
      <c r="B2609" s="12" t="s">
        <v>259</v>
      </c>
      <c r="D2609" s="5" t="s">
        <v>464</v>
      </c>
      <c r="E2609" s="3" t="s">
        <v>465</v>
      </c>
      <c r="F2609" s="3">
        <v>137500</v>
      </c>
      <c r="G2609" s="57" t="str">
        <f t="shared" si="41"/>
        <v>-</v>
      </c>
    </row>
    <row r="2610" spans="1:8" x14ac:dyDescent="0.2">
      <c r="A2610" s="1" t="s">
        <v>25</v>
      </c>
      <c r="B2610" s="12" t="s">
        <v>259</v>
      </c>
      <c r="D2610" s="5" t="s">
        <v>464</v>
      </c>
      <c r="E2610" s="3" t="s">
        <v>465</v>
      </c>
      <c r="F2610" s="3">
        <v>137500</v>
      </c>
      <c r="G2610" s="57" t="str">
        <f t="shared" si="41"/>
        <v>-</v>
      </c>
    </row>
    <row r="2611" spans="1:8" x14ac:dyDescent="0.2">
      <c r="A2611" s="1" t="s">
        <v>25</v>
      </c>
      <c r="B2611" s="12" t="s">
        <v>259</v>
      </c>
      <c r="D2611" s="5" t="s">
        <v>464</v>
      </c>
      <c r="E2611" s="3" t="s">
        <v>465</v>
      </c>
      <c r="F2611" s="3">
        <v>137500</v>
      </c>
      <c r="G2611" s="57" t="str">
        <f t="shared" si="41"/>
        <v>-</v>
      </c>
    </row>
    <row r="2612" spans="1:8" x14ac:dyDescent="0.2">
      <c r="A2612" s="1" t="s">
        <v>25</v>
      </c>
      <c r="B2612" s="12" t="s">
        <v>259</v>
      </c>
      <c r="D2612" s="5" t="s">
        <v>464</v>
      </c>
      <c r="E2612" s="3" t="s">
        <v>465</v>
      </c>
      <c r="F2612" s="3">
        <v>137500</v>
      </c>
      <c r="G2612" s="57" t="str">
        <f t="shared" si="41"/>
        <v>-</v>
      </c>
    </row>
    <row r="2613" spans="1:8" ht="25.5" x14ac:dyDescent="0.2">
      <c r="A2613" s="1" t="s">
        <v>44</v>
      </c>
      <c r="B2613" s="12" t="s">
        <v>260</v>
      </c>
      <c r="D2613" s="5" t="s">
        <v>470</v>
      </c>
      <c r="E2613" s="3">
        <v>104327</v>
      </c>
      <c r="F2613" s="3">
        <v>141479</v>
      </c>
      <c r="G2613" s="57">
        <f t="shared" si="41"/>
        <v>0.35611107383515295</v>
      </c>
      <c r="H2613" s="5" t="s">
        <v>4375</v>
      </c>
    </row>
    <row r="2614" spans="1:8" ht="25.5" x14ac:dyDescent="0.2">
      <c r="A2614" s="1" t="s">
        <v>44</v>
      </c>
      <c r="B2614" s="2" t="s">
        <v>260</v>
      </c>
      <c r="D2614" s="5" t="s">
        <v>1163</v>
      </c>
      <c r="E2614" s="3">
        <v>43843</v>
      </c>
      <c r="F2614" s="3">
        <v>116639</v>
      </c>
      <c r="G2614" s="57">
        <f t="shared" si="41"/>
        <v>1.6603790798987295</v>
      </c>
      <c r="H2614" s="5" t="s">
        <v>4376</v>
      </c>
    </row>
    <row r="2615" spans="1:8" ht="25.5" x14ac:dyDescent="0.2">
      <c r="A2615" s="1" t="s">
        <v>44</v>
      </c>
      <c r="B2615" s="2" t="s">
        <v>260</v>
      </c>
      <c r="D2615" s="5" t="s">
        <v>1164</v>
      </c>
      <c r="E2615" s="3">
        <v>107173</v>
      </c>
      <c r="F2615" s="3">
        <v>116639</v>
      </c>
      <c r="G2615" s="57">
        <f t="shared" si="41"/>
        <v>8.8324484711634454E-2</v>
      </c>
      <c r="H2615" s="5" t="s">
        <v>4377</v>
      </c>
    </row>
    <row r="2616" spans="1:8" ht="25.5" x14ac:dyDescent="0.2">
      <c r="A2616" s="1" t="s">
        <v>44</v>
      </c>
      <c r="B2616" s="2" t="s">
        <v>260</v>
      </c>
      <c r="D2616" s="5" t="s">
        <v>3083</v>
      </c>
      <c r="E2616" s="3">
        <v>117544</v>
      </c>
      <c r="F2616" s="3">
        <v>123078</v>
      </c>
      <c r="G2616" s="57">
        <f t="shared" si="41"/>
        <v>4.7080242292248012E-2</v>
      </c>
      <c r="H2616" s="5" t="s">
        <v>3081</v>
      </c>
    </row>
    <row r="2617" spans="1:8" ht="25.5" x14ac:dyDescent="0.2">
      <c r="A2617" s="1" t="s">
        <v>44</v>
      </c>
      <c r="B2617" s="2" t="s">
        <v>260</v>
      </c>
      <c r="D2617" s="5" t="s">
        <v>671</v>
      </c>
      <c r="E2617" s="3">
        <v>106023</v>
      </c>
      <c r="F2617" s="3">
        <v>105814</v>
      </c>
      <c r="G2617" s="57">
        <f t="shared" si="41"/>
        <v>-1.9712703847278423E-3</v>
      </c>
      <c r="H2617" s="5" t="s">
        <v>3082</v>
      </c>
    </row>
    <row r="2618" spans="1:8" s="13" customFormat="1" x14ac:dyDescent="0.2">
      <c r="A2618" s="1" t="s">
        <v>44</v>
      </c>
      <c r="B2618" s="12" t="s">
        <v>260</v>
      </c>
      <c r="C2618" s="7"/>
      <c r="D2618" s="7" t="s">
        <v>464</v>
      </c>
      <c r="E2618" s="6" t="s">
        <v>465</v>
      </c>
      <c r="F2618" s="6">
        <v>102500</v>
      </c>
      <c r="G2618" s="57" t="str">
        <f t="shared" si="41"/>
        <v>-</v>
      </c>
      <c r="H2618" s="7" t="s">
        <v>539</v>
      </c>
    </row>
    <row r="2619" spans="1:8" s="13" customFormat="1" x14ac:dyDescent="0.2">
      <c r="A2619" s="1" t="s">
        <v>44</v>
      </c>
      <c r="B2619" s="12" t="s">
        <v>260</v>
      </c>
      <c r="C2619" s="7"/>
      <c r="D2619" s="7" t="s">
        <v>464</v>
      </c>
      <c r="E2619" s="6" t="s">
        <v>465</v>
      </c>
      <c r="F2619" s="6">
        <v>112500</v>
      </c>
      <c r="G2619" s="57" t="str">
        <f t="shared" si="41"/>
        <v>-</v>
      </c>
      <c r="H2619" s="7" t="s">
        <v>539</v>
      </c>
    </row>
    <row r="2620" spans="1:8" s="13" customFormat="1" x14ac:dyDescent="0.2">
      <c r="A2620" s="1" t="s">
        <v>44</v>
      </c>
      <c r="B2620" s="12" t="s">
        <v>260</v>
      </c>
      <c r="C2620" s="7"/>
      <c r="D2620" s="7" t="s">
        <v>464</v>
      </c>
      <c r="E2620" s="6" t="s">
        <v>465</v>
      </c>
      <c r="F2620" s="6">
        <v>112500</v>
      </c>
      <c r="G2620" s="57" t="str">
        <f t="shared" si="41"/>
        <v>-</v>
      </c>
      <c r="H2620" s="7" t="s">
        <v>539</v>
      </c>
    </row>
    <row r="2621" spans="1:8" s="13" customFormat="1" x14ac:dyDescent="0.2">
      <c r="A2621" s="1" t="s">
        <v>44</v>
      </c>
      <c r="B2621" s="12" t="s">
        <v>260</v>
      </c>
      <c r="C2621" s="7"/>
      <c r="D2621" s="7" t="s">
        <v>464</v>
      </c>
      <c r="E2621" s="6" t="s">
        <v>465</v>
      </c>
      <c r="F2621" s="6">
        <v>132500</v>
      </c>
      <c r="G2621" s="57" t="str">
        <f t="shared" si="41"/>
        <v>-</v>
      </c>
      <c r="H2621" s="7" t="s">
        <v>539</v>
      </c>
    </row>
    <row r="2622" spans="1:8" s="13" customFormat="1" x14ac:dyDescent="0.2">
      <c r="A2622" s="1" t="s">
        <v>44</v>
      </c>
      <c r="B2622" s="12" t="s">
        <v>260</v>
      </c>
      <c r="C2622" s="7"/>
      <c r="D2622" s="7" t="s">
        <v>464</v>
      </c>
      <c r="E2622" s="6" t="s">
        <v>465</v>
      </c>
      <c r="F2622" s="6">
        <v>132500</v>
      </c>
      <c r="G2622" s="57" t="str">
        <f t="shared" si="41"/>
        <v>-</v>
      </c>
      <c r="H2622" s="7" t="s">
        <v>539</v>
      </c>
    </row>
    <row r="2623" spans="1:8" s="13" customFormat="1" x14ac:dyDescent="0.2">
      <c r="A2623" s="1" t="s">
        <v>44</v>
      </c>
      <c r="B2623" s="12" t="s">
        <v>260</v>
      </c>
      <c r="C2623" s="7"/>
      <c r="D2623" s="7" t="s">
        <v>464</v>
      </c>
      <c r="E2623" s="6" t="s">
        <v>465</v>
      </c>
      <c r="F2623" s="6">
        <v>132500</v>
      </c>
      <c r="G2623" s="57" t="str">
        <f t="shared" si="41"/>
        <v>-</v>
      </c>
      <c r="H2623" s="7" t="s">
        <v>539</v>
      </c>
    </row>
    <row r="2624" spans="1:8" x14ac:dyDescent="0.2">
      <c r="A2624" s="1" t="s">
        <v>11</v>
      </c>
      <c r="B2624" s="12" t="s">
        <v>261</v>
      </c>
      <c r="D2624" s="5" t="s">
        <v>464</v>
      </c>
      <c r="E2624" s="3">
        <v>95000</v>
      </c>
      <c r="F2624" s="3" t="s">
        <v>465</v>
      </c>
      <c r="G2624" s="57" t="str">
        <f t="shared" si="41"/>
        <v>-</v>
      </c>
    </row>
    <row r="2625" spans="1:8" x14ac:dyDescent="0.2">
      <c r="A2625" s="1" t="s">
        <v>11</v>
      </c>
      <c r="B2625" s="12" t="s">
        <v>261</v>
      </c>
      <c r="D2625" s="5" t="s">
        <v>464</v>
      </c>
      <c r="E2625" s="3" t="s">
        <v>465</v>
      </c>
      <c r="F2625" s="3">
        <v>95000</v>
      </c>
      <c r="G2625" s="57" t="str">
        <f t="shared" si="41"/>
        <v>-</v>
      </c>
    </row>
    <row r="2626" spans="1:8" x14ac:dyDescent="0.2">
      <c r="A2626" s="1" t="s">
        <v>11</v>
      </c>
      <c r="B2626" s="12" t="s">
        <v>262</v>
      </c>
      <c r="D2626" s="5" t="s">
        <v>464</v>
      </c>
      <c r="E2626" s="3">
        <v>102500</v>
      </c>
      <c r="F2626" s="3" t="s">
        <v>465</v>
      </c>
      <c r="G2626" s="57" t="str">
        <f t="shared" si="41"/>
        <v>-</v>
      </c>
    </row>
    <row r="2627" spans="1:8" ht="25.5" x14ac:dyDescent="0.2">
      <c r="A2627" s="1" t="s">
        <v>20</v>
      </c>
      <c r="B2627" s="2" t="s">
        <v>263</v>
      </c>
      <c r="C2627" s="5" t="s">
        <v>1150</v>
      </c>
      <c r="D2627" s="5" t="s">
        <v>450</v>
      </c>
      <c r="E2627" s="3">
        <v>263700</v>
      </c>
      <c r="F2627" s="3">
        <v>256900</v>
      </c>
      <c r="G2627" s="57">
        <f t="shared" si="41"/>
        <v>-2.578687902919985E-2</v>
      </c>
      <c r="H2627" s="5" t="s">
        <v>3071</v>
      </c>
    </row>
    <row r="2628" spans="1:8" ht="25.5" x14ac:dyDescent="0.2">
      <c r="A2628" s="1" t="s">
        <v>20</v>
      </c>
      <c r="B2628" s="2" t="s">
        <v>263</v>
      </c>
      <c r="C2628" s="5" t="s">
        <v>1151</v>
      </c>
      <c r="D2628" s="5" t="s">
        <v>562</v>
      </c>
      <c r="E2628" s="3">
        <v>175400</v>
      </c>
      <c r="F2628" s="3">
        <v>175600</v>
      </c>
      <c r="G2628" s="57">
        <f t="shared" si="41"/>
        <v>1.1402508551881414E-3</v>
      </c>
      <c r="H2628" s="5" t="s">
        <v>3072</v>
      </c>
    </row>
    <row r="2629" spans="1:8" ht="25.5" x14ac:dyDescent="0.2">
      <c r="A2629" s="1" t="s">
        <v>20</v>
      </c>
      <c r="B2629" s="2" t="s">
        <v>263</v>
      </c>
      <c r="C2629" s="5" t="s">
        <v>1152</v>
      </c>
      <c r="D2629" s="5" t="s">
        <v>1153</v>
      </c>
      <c r="E2629" s="3">
        <v>161400</v>
      </c>
      <c r="F2629" s="3">
        <v>240100</v>
      </c>
      <c r="G2629" s="57">
        <f t="shared" si="41"/>
        <v>0.48760842627013629</v>
      </c>
      <c r="H2629" s="5" t="s">
        <v>3073</v>
      </c>
    </row>
    <row r="2630" spans="1:8" ht="25.5" x14ac:dyDescent="0.2">
      <c r="A2630" s="1" t="s">
        <v>20</v>
      </c>
      <c r="B2630" s="2" t="s">
        <v>263</v>
      </c>
      <c r="C2630" s="5" t="s">
        <v>1154</v>
      </c>
      <c r="D2630" s="5" t="s">
        <v>549</v>
      </c>
      <c r="E2630" s="3">
        <v>157900</v>
      </c>
      <c r="F2630" s="3">
        <v>158800</v>
      </c>
      <c r="G2630" s="57">
        <f t="shared" si="41"/>
        <v>5.699810006333122E-3</v>
      </c>
      <c r="H2630" s="5" t="s">
        <v>3074</v>
      </c>
    </row>
    <row r="2631" spans="1:8" ht="25.5" x14ac:dyDescent="0.2">
      <c r="A2631" s="1" t="s">
        <v>20</v>
      </c>
      <c r="B2631" s="2" t="s">
        <v>263</v>
      </c>
      <c r="C2631" s="5" t="s">
        <v>1155</v>
      </c>
      <c r="D2631" s="5" t="s">
        <v>1156</v>
      </c>
      <c r="E2631" s="3">
        <v>149800</v>
      </c>
      <c r="F2631" s="3">
        <v>154600</v>
      </c>
      <c r="G2631" s="57">
        <f t="shared" si="41"/>
        <v>3.2042723631508681E-2</v>
      </c>
      <c r="H2631" s="5" t="s">
        <v>3075</v>
      </c>
    </row>
    <row r="2632" spans="1:8" ht="25.5" x14ac:dyDescent="0.2">
      <c r="A2632" s="1" t="s">
        <v>20</v>
      </c>
      <c r="B2632" s="2" t="s">
        <v>263</v>
      </c>
      <c r="C2632" s="5" t="s">
        <v>1157</v>
      </c>
      <c r="D2632" s="5" t="s">
        <v>604</v>
      </c>
      <c r="E2632" s="6" t="s">
        <v>465</v>
      </c>
      <c r="F2632" s="3">
        <v>112000</v>
      </c>
      <c r="G2632" s="57" t="str">
        <f t="shared" si="41"/>
        <v>-</v>
      </c>
      <c r="H2632" s="5" t="s">
        <v>3076</v>
      </c>
    </row>
    <row r="2633" spans="1:8" x14ac:dyDescent="0.2">
      <c r="A2633" s="1" t="s">
        <v>20</v>
      </c>
      <c r="B2633" s="2" t="s">
        <v>263</v>
      </c>
      <c r="C2633" s="5" t="s">
        <v>3080</v>
      </c>
      <c r="D2633" s="5" t="s">
        <v>604</v>
      </c>
      <c r="E2633" s="6">
        <v>142500</v>
      </c>
      <c r="F2633" s="3" t="s">
        <v>465</v>
      </c>
      <c r="G2633" s="57" t="str">
        <f t="shared" si="41"/>
        <v>-</v>
      </c>
    </row>
    <row r="2634" spans="1:8" ht="25.5" x14ac:dyDescent="0.2">
      <c r="A2634" s="1" t="s">
        <v>20</v>
      </c>
      <c r="B2634" s="2" t="s">
        <v>263</v>
      </c>
      <c r="C2634" s="5" t="s">
        <v>1158</v>
      </c>
      <c r="D2634" s="5" t="s">
        <v>740</v>
      </c>
      <c r="E2634" s="3">
        <v>121500</v>
      </c>
      <c r="F2634" s="3">
        <v>128400</v>
      </c>
      <c r="G2634" s="57">
        <f t="shared" si="41"/>
        <v>5.6790123456790124E-2</v>
      </c>
      <c r="H2634" s="5" t="s">
        <v>3077</v>
      </c>
    </row>
    <row r="2635" spans="1:8" ht="25.5" x14ac:dyDescent="0.2">
      <c r="A2635" s="1" t="s">
        <v>20</v>
      </c>
      <c r="B2635" s="2" t="s">
        <v>263</v>
      </c>
      <c r="C2635" s="5" t="s">
        <v>1159</v>
      </c>
      <c r="D2635" s="5" t="s">
        <v>1160</v>
      </c>
      <c r="E2635" s="3">
        <v>114200</v>
      </c>
      <c r="F2635" s="3">
        <v>110600</v>
      </c>
      <c r="G2635" s="57">
        <f t="shared" si="41"/>
        <v>-3.1523642732049037E-2</v>
      </c>
      <c r="H2635" s="5" t="s">
        <v>3078</v>
      </c>
    </row>
    <row r="2636" spans="1:8" ht="25.5" x14ac:dyDescent="0.2">
      <c r="A2636" s="1" t="s">
        <v>20</v>
      </c>
      <c r="B2636" s="2" t="s">
        <v>263</v>
      </c>
      <c r="C2636" s="5" t="s">
        <v>1161</v>
      </c>
      <c r="D2636" s="5" t="s">
        <v>1162</v>
      </c>
      <c r="E2636" s="3">
        <v>107600</v>
      </c>
      <c r="F2636" s="3">
        <v>108100</v>
      </c>
      <c r="G2636" s="57">
        <f t="shared" si="41"/>
        <v>4.646840148698885E-3</v>
      </c>
      <c r="H2636" s="5" t="s">
        <v>3079</v>
      </c>
    </row>
    <row r="2637" spans="1:8" x14ac:dyDescent="0.2">
      <c r="A2637" s="1" t="s">
        <v>20</v>
      </c>
      <c r="B2637" s="2" t="s">
        <v>263</v>
      </c>
      <c r="D2637" s="7" t="s">
        <v>464</v>
      </c>
      <c r="E2637" s="6">
        <v>102500</v>
      </c>
      <c r="F2637" s="6" t="s">
        <v>465</v>
      </c>
      <c r="G2637" s="57" t="str">
        <f t="shared" si="41"/>
        <v>-</v>
      </c>
      <c r="H2637" s="1"/>
    </row>
    <row r="2638" spans="1:8" x14ac:dyDescent="0.2">
      <c r="A2638" s="1" t="s">
        <v>20</v>
      </c>
      <c r="B2638" s="2" t="s">
        <v>263</v>
      </c>
      <c r="D2638" s="7" t="s">
        <v>464</v>
      </c>
      <c r="E2638" s="6">
        <v>102500</v>
      </c>
      <c r="F2638" s="6" t="s">
        <v>465</v>
      </c>
      <c r="G2638" s="57" t="str">
        <f t="shared" si="41"/>
        <v>-</v>
      </c>
      <c r="H2638" s="1"/>
    </row>
    <row r="2639" spans="1:8" x14ac:dyDescent="0.2">
      <c r="A2639" s="1" t="s">
        <v>20</v>
      </c>
      <c r="B2639" s="2" t="s">
        <v>263</v>
      </c>
      <c r="D2639" s="7" t="s">
        <v>464</v>
      </c>
      <c r="E2639" s="6" t="s">
        <v>465</v>
      </c>
      <c r="F2639" s="6">
        <v>102500</v>
      </c>
      <c r="G2639" s="57" t="str">
        <f t="shared" si="41"/>
        <v>-</v>
      </c>
      <c r="H2639" s="1"/>
    </row>
    <row r="2640" spans="1:8" x14ac:dyDescent="0.2">
      <c r="A2640" s="1" t="s">
        <v>20</v>
      </c>
      <c r="B2640" s="2" t="s">
        <v>263</v>
      </c>
      <c r="D2640" s="7" t="s">
        <v>464</v>
      </c>
      <c r="E2640" s="6" t="s">
        <v>465</v>
      </c>
      <c r="F2640" s="6">
        <v>102500</v>
      </c>
      <c r="G2640" s="57" t="str">
        <f t="shared" si="41"/>
        <v>-</v>
      </c>
      <c r="H2640" s="1"/>
    </row>
    <row r="2641" spans="1:8" x14ac:dyDescent="0.2">
      <c r="A2641" s="1" t="s">
        <v>20</v>
      </c>
      <c r="B2641" s="2" t="s">
        <v>263</v>
      </c>
      <c r="D2641" s="7" t="s">
        <v>464</v>
      </c>
      <c r="E2641" s="6" t="s">
        <v>465</v>
      </c>
      <c r="F2641" s="6">
        <v>102500</v>
      </c>
      <c r="G2641" s="57" t="str">
        <f t="shared" si="41"/>
        <v>-</v>
      </c>
      <c r="H2641" s="1"/>
    </row>
    <row r="2642" spans="1:8" x14ac:dyDescent="0.2">
      <c r="A2642" s="1" t="s">
        <v>20</v>
      </c>
      <c r="B2642" s="2" t="s">
        <v>263</v>
      </c>
      <c r="D2642" s="7" t="s">
        <v>464</v>
      </c>
      <c r="E2642" s="6" t="s">
        <v>465</v>
      </c>
      <c r="F2642" s="6">
        <v>102500</v>
      </c>
      <c r="G2642" s="57" t="str">
        <f t="shared" si="41"/>
        <v>-</v>
      </c>
      <c r="H2642" s="1"/>
    </row>
    <row r="2643" spans="1:8" x14ac:dyDescent="0.2">
      <c r="A2643" s="1" t="s">
        <v>20</v>
      </c>
      <c r="B2643" s="2" t="s">
        <v>263</v>
      </c>
      <c r="D2643" s="7" t="s">
        <v>464</v>
      </c>
      <c r="E2643" s="6" t="s">
        <v>465</v>
      </c>
      <c r="F2643" s="6">
        <v>107500</v>
      </c>
      <c r="G2643" s="57" t="str">
        <f t="shared" si="41"/>
        <v>-</v>
      </c>
      <c r="H2643" s="1"/>
    </row>
    <row r="2644" spans="1:8" x14ac:dyDescent="0.2">
      <c r="A2644" s="1" t="s">
        <v>20</v>
      </c>
      <c r="B2644" s="2" t="s">
        <v>263</v>
      </c>
      <c r="D2644" s="7" t="s">
        <v>464</v>
      </c>
      <c r="E2644" s="6" t="s">
        <v>465</v>
      </c>
      <c r="F2644" s="6">
        <v>107500</v>
      </c>
      <c r="G2644" s="57" t="str">
        <f t="shared" si="41"/>
        <v>-</v>
      </c>
      <c r="H2644" s="1"/>
    </row>
    <row r="2645" spans="1:8" x14ac:dyDescent="0.2">
      <c r="A2645" s="1" t="s">
        <v>20</v>
      </c>
      <c r="B2645" s="2" t="s">
        <v>263</v>
      </c>
      <c r="D2645" s="7" t="s">
        <v>464</v>
      </c>
      <c r="E2645" s="6" t="s">
        <v>465</v>
      </c>
      <c r="F2645" s="6">
        <v>107500</v>
      </c>
      <c r="G2645" s="57" t="str">
        <f t="shared" si="41"/>
        <v>-</v>
      </c>
      <c r="H2645" s="1"/>
    </row>
    <row r="2646" spans="1:8" x14ac:dyDescent="0.2">
      <c r="A2646" s="1" t="s">
        <v>20</v>
      </c>
      <c r="B2646" s="2" t="s">
        <v>263</v>
      </c>
      <c r="D2646" s="7" t="s">
        <v>464</v>
      </c>
      <c r="E2646" s="6" t="s">
        <v>465</v>
      </c>
      <c r="F2646" s="6">
        <v>112500</v>
      </c>
      <c r="G2646" s="57" t="str">
        <f t="shared" si="41"/>
        <v>-</v>
      </c>
      <c r="H2646" s="1"/>
    </row>
    <row r="2647" spans="1:8" x14ac:dyDescent="0.2">
      <c r="A2647" s="1" t="s">
        <v>20</v>
      </c>
      <c r="B2647" s="2" t="s">
        <v>263</v>
      </c>
      <c r="D2647" s="7" t="s">
        <v>464</v>
      </c>
      <c r="E2647" s="6" t="s">
        <v>465</v>
      </c>
      <c r="F2647" s="6">
        <v>112500</v>
      </c>
      <c r="G2647" s="57" t="str">
        <f t="shared" si="41"/>
        <v>-</v>
      </c>
      <c r="H2647" s="1"/>
    </row>
    <row r="2648" spans="1:8" x14ac:dyDescent="0.2">
      <c r="A2648" s="1" t="s">
        <v>20</v>
      </c>
      <c r="B2648" s="2" t="s">
        <v>263</v>
      </c>
      <c r="D2648" s="7" t="s">
        <v>464</v>
      </c>
      <c r="E2648" s="6">
        <v>117500</v>
      </c>
      <c r="F2648" s="6" t="s">
        <v>465</v>
      </c>
      <c r="G2648" s="57" t="str">
        <f t="shared" si="41"/>
        <v>-</v>
      </c>
      <c r="H2648" s="1"/>
    </row>
    <row r="2649" spans="1:8" x14ac:dyDescent="0.2">
      <c r="A2649" s="1" t="s">
        <v>20</v>
      </c>
      <c r="B2649" s="2" t="s">
        <v>263</v>
      </c>
      <c r="D2649" s="7" t="s">
        <v>464</v>
      </c>
      <c r="E2649" s="6" t="s">
        <v>465</v>
      </c>
      <c r="F2649" s="6">
        <v>127500</v>
      </c>
      <c r="G2649" s="57" t="str">
        <f t="shared" si="41"/>
        <v>-</v>
      </c>
      <c r="H2649" s="1"/>
    </row>
    <row r="2650" spans="1:8" x14ac:dyDescent="0.2">
      <c r="A2650" s="1" t="s">
        <v>20</v>
      </c>
      <c r="B2650" s="2" t="s">
        <v>263</v>
      </c>
      <c r="D2650" s="7" t="s">
        <v>464</v>
      </c>
      <c r="E2650" s="6" t="s">
        <v>465</v>
      </c>
      <c r="F2650" s="6">
        <v>127500</v>
      </c>
      <c r="G2650" s="57" t="str">
        <f t="shared" ref="G2650:G2713" si="42">IF(ISERROR((F2650-E2650)/E2650),"-",(F2650-E2650)/E2650)</f>
        <v>-</v>
      </c>
    </row>
    <row r="2651" spans="1:8" x14ac:dyDescent="0.2">
      <c r="A2651" s="1" t="s">
        <v>20</v>
      </c>
      <c r="B2651" s="2" t="s">
        <v>263</v>
      </c>
      <c r="D2651" s="7" t="s">
        <v>464</v>
      </c>
      <c r="E2651" s="6" t="s">
        <v>465</v>
      </c>
      <c r="F2651" s="6">
        <v>132500</v>
      </c>
      <c r="G2651" s="57" t="str">
        <f t="shared" si="42"/>
        <v>-</v>
      </c>
    </row>
    <row r="2652" spans="1:8" x14ac:dyDescent="0.2">
      <c r="A2652" s="1" t="s">
        <v>20</v>
      </c>
      <c r="B2652" s="2" t="s">
        <v>263</v>
      </c>
      <c r="D2652" s="7" t="s">
        <v>464</v>
      </c>
      <c r="E2652" s="6">
        <v>167500</v>
      </c>
      <c r="F2652" s="6" t="s">
        <v>465</v>
      </c>
      <c r="G2652" s="57" t="str">
        <f t="shared" si="42"/>
        <v>-</v>
      </c>
    </row>
    <row r="2653" spans="1:8" x14ac:dyDescent="0.2">
      <c r="A2653" s="1" t="s">
        <v>20</v>
      </c>
      <c r="B2653" s="2" t="s">
        <v>263</v>
      </c>
      <c r="D2653" s="7" t="s">
        <v>464</v>
      </c>
      <c r="E2653" s="6" t="s">
        <v>465</v>
      </c>
      <c r="F2653" s="6">
        <v>177500</v>
      </c>
      <c r="G2653" s="57" t="str">
        <f t="shared" si="42"/>
        <v>-</v>
      </c>
    </row>
    <row r="2654" spans="1:8" ht="38.25" x14ac:dyDescent="0.2">
      <c r="A2654" s="1" t="s">
        <v>1</v>
      </c>
      <c r="B2654" s="2" t="s">
        <v>264</v>
      </c>
      <c r="C2654" s="5" t="s">
        <v>1145</v>
      </c>
      <c r="D2654" s="5" t="s">
        <v>450</v>
      </c>
      <c r="E2654" s="3">
        <f>106153+18251</f>
        <v>124404</v>
      </c>
      <c r="F2654" s="3">
        <f>127282+23041</f>
        <v>150323</v>
      </c>
      <c r="G2654" s="57">
        <f t="shared" si="42"/>
        <v>0.20834539082344619</v>
      </c>
      <c r="H2654" s="5" t="s">
        <v>3068</v>
      </c>
    </row>
    <row r="2655" spans="1:8" ht="25.5" x14ac:dyDescent="0.2">
      <c r="A2655" s="1" t="s">
        <v>1</v>
      </c>
      <c r="B2655" s="2" t="s">
        <v>264</v>
      </c>
      <c r="C2655" s="5" t="s">
        <v>1146</v>
      </c>
      <c r="D2655" s="5" t="s">
        <v>1147</v>
      </c>
      <c r="E2655" s="3">
        <f>90383+15498</f>
        <v>105881</v>
      </c>
      <c r="F2655" s="3">
        <f>100137+18089</f>
        <v>118226</v>
      </c>
      <c r="G2655" s="57">
        <f t="shared" si="42"/>
        <v>0.11659315646811043</v>
      </c>
      <c r="H2655" s="5" t="s">
        <v>3069</v>
      </c>
    </row>
    <row r="2656" spans="1:8" ht="25.5" x14ac:dyDescent="0.2">
      <c r="A2656" s="1" t="s">
        <v>1</v>
      </c>
      <c r="B2656" s="2" t="s">
        <v>264</v>
      </c>
      <c r="C2656" s="5" t="s">
        <v>1148</v>
      </c>
      <c r="D2656" s="5" t="s">
        <v>1149</v>
      </c>
      <c r="E2656" s="3">
        <f>99527+17083</f>
        <v>116610</v>
      </c>
      <c r="F2656" s="3">
        <f>100144+18089</f>
        <v>118233</v>
      </c>
      <c r="G2656" s="57">
        <f t="shared" si="42"/>
        <v>1.3918188834576795E-2</v>
      </c>
      <c r="H2656" s="5" t="s">
        <v>3070</v>
      </c>
    </row>
    <row r="2657" spans="1:8" ht="25.5" x14ac:dyDescent="0.2">
      <c r="A2657" s="1" t="s">
        <v>34</v>
      </c>
      <c r="B2657" s="2" t="s">
        <v>265</v>
      </c>
      <c r="C2657" s="5" t="s">
        <v>1143</v>
      </c>
      <c r="D2657" s="5" t="s">
        <v>450</v>
      </c>
      <c r="E2657" s="3">
        <v>100912.1</v>
      </c>
      <c r="F2657" s="3">
        <v>115518.42</v>
      </c>
      <c r="G2657" s="57">
        <f t="shared" si="42"/>
        <v>0.14474299910516172</v>
      </c>
      <c r="H2657" s="5" t="s">
        <v>3066</v>
      </c>
    </row>
    <row r="2658" spans="1:8" ht="25.5" x14ac:dyDescent="0.2">
      <c r="A2658" s="1" t="s">
        <v>34</v>
      </c>
      <c r="B2658" s="2" t="s">
        <v>265</v>
      </c>
      <c r="C2658" s="5" t="s">
        <v>1144</v>
      </c>
      <c r="D2658" s="5" t="s">
        <v>3067</v>
      </c>
      <c r="E2658" s="3">
        <v>100732.27</v>
      </c>
      <c r="F2658" s="3">
        <v>118822.44</v>
      </c>
      <c r="G2658" s="57">
        <f t="shared" si="42"/>
        <v>0.17958664090464752</v>
      </c>
      <c r="H2658" s="5" t="s">
        <v>4669</v>
      </c>
    </row>
    <row r="2659" spans="1:8" ht="25.5" x14ac:dyDescent="0.2">
      <c r="A2659" s="1" t="s">
        <v>34</v>
      </c>
      <c r="B2659" s="2" t="s">
        <v>266</v>
      </c>
      <c r="D2659" s="5" t="s">
        <v>450</v>
      </c>
      <c r="E2659" s="3">
        <v>110059</v>
      </c>
      <c r="F2659" s="3">
        <v>107634</v>
      </c>
      <c r="G2659" s="57">
        <f t="shared" si="42"/>
        <v>-2.2033636504056917E-2</v>
      </c>
      <c r="H2659" s="5" t="s">
        <v>3065</v>
      </c>
    </row>
    <row r="2660" spans="1:8" x14ac:dyDescent="0.2">
      <c r="A2660" s="1" t="s">
        <v>11</v>
      </c>
      <c r="B2660" s="2" t="s">
        <v>267</v>
      </c>
      <c r="D2660" s="5" t="s">
        <v>464</v>
      </c>
      <c r="G2660" s="57" t="str">
        <f t="shared" si="42"/>
        <v>-</v>
      </c>
    </row>
    <row r="2661" spans="1:8" x14ac:dyDescent="0.2">
      <c r="A2661" s="1" t="s">
        <v>11</v>
      </c>
      <c r="B2661" s="2" t="s">
        <v>267</v>
      </c>
      <c r="D2661" s="5" t="s">
        <v>464</v>
      </c>
      <c r="G2661" s="57" t="str">
        <f t="shared" si="42"/>
        <v>-</v>
      </c>
    </row>
    <row r="2662" spans="1:8" ht="25.5" x14ac:dyDescent="0.2">
      <c r="A2662" s="1" t="s">
        <v>8</v>
      </c>
      <c r="B2662" s="2" t="s">
        <v>268</v>
      </c>
      <c r="C2662" s="5" t="s">
        <v>1142</v>
      </c>
      <c r="D2662" s="5" t="s">
        <v>450</v>
      </c>
      <c r="E2662" s="3">
        <v>128806</v>
      </c>
      <c r="F2662" s="3">
        <v>349074</v>
      </c>
      <c r="G2662" s="57">
        <f t="shared" si="42"/>
        <v>1.7100756175954537</v>
      </c>
      <c r="H2662" s="5" t="s">
        <v>3064</v>
      </c>
    </row>
    <row r="2663" spans="1:8" ht="25.5" x14ac:dyDescent="0.2">
      <c r="A2663" s="1" t="s">
        <v>28</v>
      </c>
      <c r="B2663" s="2" t="s">
        <v>269</v>
      </c>
      <c r="C2663" s="5" t="s">
        <v>1138</v>
      </c>
      <c r="D2663" s="5" t="s">
        <v>450</v>
      </c>
      <c r="E2663" s="3">
        <v>183194</v>
      </c>
      <c r="F2663" s="3">
        <v>184667</v>
      </c>
      <c r="G2663" s="57">
        <f t="shared" si="42"/>
        <v>8.0406563533740195E-3</v>
      </c>
      <c r="H2663" s="5" t="s">
        <v>3058</v>
      </c>
    </row>
    <row r="2664" spans="1:8" ht="25.5" x14ac:dyDescent="0.2">
      <c r="A2664" s="1" t="s">
        <v>28</v>
      </c>
      <c r="B2664" s="2" t="s">
        <v>269</v>
      </c>
      <c r="D2664" s="5" t="s">
        <v>455</v>
      </c>
      <c r="E2664" s="3">
        <v>151936</v>
      </c>
      <c r="F2664" s="3">
        <v>152970</v>
      </c>
      <c r="G2664" s="57">
        <f t="shared" si="42"/>
        <v>6.8054970513900586E-3</v>
      </c>
      <c r="H2664" s="5" t="s">
        <v>3059</v>
      </c>
    </row>
    <row r="2665" spans="1:8" ht="25.5" x14ac:dyDescent="0.2">
      <c r="A2665" s="1" t="s">
        <v>28</v>
      </c>
      <c r="B2665" s="2" t="s">
        <v>269</v>
      </c>
      <c r="D2665" s="5" t="s">
        <v>1139</v>
      </c>
      <c r="E2665" s="3">
        <v>125293</v>
      </c>
      <c r="F2665" s="3">
        <v>147238</v>
      </c>
      <c r="G2665" s="57">
        <f t="shared" si="42"/>
        <v>0.17514944968992682</v>
      </c>
      <c r="H2665" s="5" t="s">
        <v>3060</v>
      </c>
    </row>
    <row r="2666" spans="1:8" ht="25.5" x14ac:dyDescent="0.2">
      <c r="A2666" s="1" t="s">
        <v>28</v>
      </c>
      <c r="B2666" s="2" t="s">
        <v>269</v>
      </c>
      <c r="D2666" s="5" t="s">
        <v>1140</v>
      </c>
      <c r="E2666" s="3">
        <v>131974</v>
      </c>
      <c r="F2666" s="3">
        <v>146626</v>
      </c>
      <c r="G2666" s="57">
        <f t="shared" si="42"/>
        <v>0.11102186794368588</v>
      </c>
      <c r="H2666" s="5" t="s">
        <v>3061</v>
      </c>
    </row>
    <row r="2667" spans="1:8" ht="25.5" x14ac:dyDescent="0.2">
      <c r="A2667" s="1" t="s">
        <v>28</v>
      </c>
      <c r="B2667" s="2" t="s">
        <v>269</v>
      </c>
      <c r="D2667" s="5" t="s">
        <v>1141</v>
      </c>
      <c r="E2667" s="3">
        <v>146334</v>
      </c>
      <c r="F2667" s="3">
        <v>146168</v>
      </c>
      <c r="G2667" s="57">
        <f t="shared" si="42"/>
        <v>-1.1343911872838848E-3</v>
      </c>
      <c r="H2667" s="5" t="s">
        <v>3062</v>
      </c>
    </row>
    <row r="2668" spans="1:8" ht="25.5" x14ac:dyDescent="0.2">
      <c r="A2668" s="1" t="s">
        <v>28</v>
      </c>
      <c r="B2668" s="2" t="s">
        <v>269</v>
      </c>
      <c r="D2668" s="5" t="s">
        <v>487</v>
      </c>
      <c r="E2668" s="3" t="s">
        <v>465</v>
      </c>
      <c r="F2668" s="3">
        <v>104199</v>
      </c>
      <c r="G2668" s="57" t="str">
        <f t="shared" si="42"/>
        <v>-</v>
      </c>
      <c r="H2668" s="5" t="s">
        <v>3063</v>
      </c>
    </row>
    <row r="2669" spans="1:8" x14ac:dyDescent="0.2">
      <c r="A2669" s="1" t="s">
        <v>28</v>
      </c>
      <c r="B2669" s="2" t="s">
        <v>269</v>
      </c>
      <c r="D2669" s="5" t="s">
        <v>464</v>
      </c>
      <c r="E2669" s="3" t="s">
        <v>465</v>
      </c>
      <c r="F2669" s="3">
        <v>107500</v>
      </c>
      <c r="G2669" s="57" t="str">
        <f t="shared" si="42"/>
        <v>-</v>
      </c>
    </row>
    <row r="2670" spans="1:8" x14ac:dyDescent="0.2">
      <c r="A2670" s="1" t="s">
        <v>28</v>
      </c>
      <c r="B2670" s="2" t="s">
        <v>269</v>
      </c>
      <c r="D2670" s="5" t="s">
        <v>464</v>
      </c>
      <c r="E2670" s="3" t="s">
        <v>465</v>
      </c>
      <c r="F2670" s="3">
        <v>127500</v>
      </c>
      <c r="G2670" s="57" t="str">
        <f t="shared" si="42"/>
        <v>-</v>
      </c>
    </row>
    <row r="2671" spans="1:8" x14ac:dyDescent="0.2">
      <c r="A2671" s="1" t="s">
        <v>20</v>
      </c>
      <c r="B2671" s="2" t="s">
        <v>270</v>
      </c>
      <c r="C2671" s="5" t="s">
        <v>1131</v>
      </c>
      <c r="D2671" s="5" t="s">
        <v>450</v>
      </c>
      <c r="E2671" s="3">
        <v>142789</v>
      </c>
      <c r="F2671" s="3">
        <v>142789</v>
      </c>
      <c r="G2671" s="57">
        <f t="shared" si="42"/>
        <v>0</v>
      </c>
      <c r="H2671" s="5" t="s">
        <v>3054</v>
      </c>
    </row>
    <row r="2672" spans="1:8" ht="25.5" x14ac:dyDescent="0.2">
      <c r="A2672" s="1" t="s">
        <v>20</v>
      </c>
      <c r="B2672" s="2" t="s">
        <v>270</v>
      </c>
      <c r="C2672" s="5" t="s">
        <v>1132</v>
      </c>
      <c r="D2672" s="5" t="s">
        <v>1133</v>
      </c>
      <c r="E2672" s="3">
        <v>106212</v>
      </c>
      <c r="F2672" s="3">
        <v>106212</v>
      </c>
      <c r="G2672" s="57">
        <f t="shared" si="42"/>
        <v>0</v>
      </c>
      <c r="H2672" s="5" t="s">
        <v>3055</v>
      </c>
    </row>
    <row r="2673" spans="1:8" x14ac:dyDescent="0.2">
      <c r="A2673" s="1" t="s">
        <v>20</v>
      </c>
      <c r="B2673" s="2" t="s">
        <v>270</v>
      </c>
      <c r="C2673" s="5" t="s">
        <v>1134</v>
      </c>
      <c r="D2673" s="5" t="s">
        <v>1135</v>
      </c>
      <c r="E2673" s="3">
        <v>106179</v>
      </c>
      <c r="F2673" s="3">
        <v>106212</v>
      </c>
      <c r="G2673" s="57">
        <f t="shared" si="42"/>
        <v>3.1079592009719434E-4</v>
      </c>
      <c r="H2673" s="5" t="s">
        <v>3056</v>
      </c>
    </row>
    <row r="2674" spans="1:8" ht="25.5" x14ac:dyDescent="0.2">
      <c r="A2674" s="1" t="s">
        <v>20</v>
      </c>
      <c r="B2674" s="2" t="s">
        <v>270</v>
      </c>
      <c r="C2674" s="5" t="s">
        <v>1136</v>
      </c>
      <c r="D2674" s="5" t="s">
        <v>1137</v>
      </c>
      <c r="E2674" s="3">
        <v>95930</v>
      </c>
      <c r="F2674" s="3">
        <v>100036</v>
      </c>
      <c r="G2674" s="57">
        <f t="shared" si="42"/>
        <v>4.280204315646826E-2</v>
      </c>
      <c r="H2674" s="5" t="s">
        <v>3057</v>
      </c>
    </row>
    <row r="2675" spans="1:8" x14ac:dyDescent="0.2">
      <c r="A2675" s="1" t="s">
        <v>8</v>
      </c>
      <c r="B2675" s="2" t="s">
        <v>271</v>
      </c>
      <c r="D2675" s="5" t="s">
        <v>464</v>
      </c>
      <c r="E2675" s="3">
        <v>102500</v>
      </c>
      <c r="F2675" s="3" t="s">
        <v>465</v>
      </c>
      <c r="G2675" s="57" t="str">
        <f t="shared" si="42"/>
        <v>-</v>
      </c>
    </row>
    <row r="2676" spans="1:8" x14ac:dyDescent="0.2">
      <c r="A2676" s="1" t="s">
        <v>8</v>
      </c>
      <c r="B2676" s="2" t="s">
        <v>271</v>
      </c>
      <c r="D2676" s="5" t="s">
        <v>464</v>
      </c>
      <c r="E2676" s="3" t="s">
        <v>465</v>
      </c>
      <c r="F2676" s="3">
        <v>102500</v>
      </c>
      <c r="G2676" s="57" t="str">
        <f t="shared" si="42"/>
        <v>-</v>
      </c>
    </row>
    <row r="2677" spans="1:8" x14ac:dyDescent="0.2">
      <c r="A2677" s="1" t="s">
        <v>1</v>
      </c>
      <c r="B2677" s="2" t="s">
        <v>272</v>
      </c>
      <c r="C2677" s="5" t="s">
        <v>1118</v>
      </c>
      <c r="D2677" s="7" t="s">
        <v>450</v>
      </c>
      <c r="E2677" s="6">
        <f>162068+16164</f>
        <v>178232</v>
      </c>
      <c r="F2677" s="6">
        <f>161239+16591</f>
        <v>177830</v>
      </c>
      <c r="G2677" s="57">
        <f t="shared" si="42"/>
        <v>-2.2554872301270255E-3</v>
      </c>
      <c r="H2677" s="7" t="s">
        <v>3048</v>
      </c>
    </row>
    <row r="2678" spans="1:8" x14ac:dyDescent="0.2">
      <c r="A2678" s="1" t="s">
        <v>1</v>
      </c>
      <c r="B2678" s="2" t="s">
        <v>272</v>
      </c>
      <c r="C2678" s="5" t="s">
        <v>1119</v>
      </c>
      <c r="D2678" s="7" t="s">
        <v>451</v>
      </c>
      <c r="E2678" s="6">
        <f>100977+9905</f>
        <v>110882</v>
      </c>
      <c r="F2678" s="6">
        <f>165470+11043</f>
        <v>176513</v>
      </c>
      <c r="G2678" s="57">
        <f t="shared" si="42"/>
        <v>0.5918994967623239</v>
      </c>
      <c r="H2678" s="7" t="s">
        <v>3049</v>
      </c>
    </row>
    <row r="2679" spans="1:8" ht="25.5" x14ac:dyDescent="0.2">
      <c r="A2679" s="1" t="s">
        <v>1</v>
      </c>
      <c r="B2679" s="2" t="s">
        <v>272</v>
      </c>
      <c r="C2679" s="5" t="s">
        <v>1120</v>
      </c>
      <c r="D2679" s="7" t="s">
        <v>1121</v>
      </c>
      <c r="E2679" s="6">
        <f>119258+12031</f>
        <v>131289</v>
      </c>
      <c r="F2679" s="6">
        <f>122233+12712</f>
        <v>134945</v>
      </c>
      <c r="G2679" s="57">
        <f t="shared" si="42"/>
        <v>2.7846963568920472E-2</v>
      </c>
      <c r="H2679" s="7" t="s">
        <v>3050</v>
      </c>
    </row>
    <row r="2680" spans="1:8" x14ac:dyDescent="0.2">
      <c r="A2680" s="1" t="s">
        <v>1</v>
      </c>
      <c r="B2680" s="2" t="s">
        <v>272</v>
      </c>
      <c r="C2680" s="5" t="s">
        <v>1122</v>
      </c>
      <c r="D2680" s="7" t="s">
        <v>1123</v>
      </c>
      <c r="E2680" s="6">
        <f>119355+12041</f>
        <v>131396</v>
      </c>
      <c r="F2680" s="6">
        <f>122133+12702</f>
        <v>134835</v>
      </c>
      <c r="G2680" s="57">
        <f t="shared" si="42"/>
        <v>2.6172790648117141E-2</v>
      </c>
      <c r="H2680" s="7" t="s">
        <v>3051</v>
      </c>
    </row>
    <row r="2681" spans="1:8" x14ac:dyDescent="0.2">
      <c r="A2681" s="1" t="s">
        <v>1</v>
      </c>
      <c r="B2681" s="2" t="s">
        <v>272</v>
      </c>
      <c r="C2681" s="5" t="s">
        <v>1124</v>
      </c>
      <c r="D2681" s="7" t="s">
        <v>1125</v>
      </c>
      <c r="E2681" s="6">
        <f>119355+12041</f>
        <v>131396</v>
      </c>
      <c r="F2681" s="6">
        <f>121931+12712</f>
        <v>134643</v>
      </c>
      <c r="G2681" s="57">
        <f t="shared" si="42"/>
        <v>2.4711558951566258E-2</v>
      </c>
      <c r="H2681" s="7" t="s">
        <v>3052</v>
      </c>
    </row>
    <row r="2682" spans="1:8" x14ac:dyDescent="0.2">
      <c r="A2682" s="1" t="s">
        <v>1</v>
      </c>
      <c r="B2682" s="2" t="s">
        <v>272</v>
      </c>
      <c r="C2682" s="5" t="s">
        <v>1126</v>
      </c>
      <c r="D2682" s="7" t="s">
        <v>584</v>
      </c>
      <c r="E2682" s="6">
        <f>119062+12010</f>
        <v>131072</v>
      </c>
      <c r="F2682" s="6">
        <f>121932+12681</f>
        <v>134613</v>
      </c>
      <c r="G2682" s="57">
        <f t="shared" si="42"/>
        <v>2.701568603515625E-2</v>
      </c>
      <c r="H2682" s="7" t="s">
        <v>3053</v>
      </c>
    </row>
    <row r="2683" spans="1:8" x14ac:dyDescent="0.2">
      <c r="A2683" s="1" t="s">
        <v>1</v>
      </c>
      <c r="B2683" s="2" t="s">
        <v>272</v>
      </c>
      <c r="C2683" s="5" t="s">
        <v>1127</v>
      </c>
      <c r="D2683" s="7" t="s">
        <v>1128</v>
      </c>
      <c r="E2683" s="6">
        <f>119355+12041</f>
        <v>131396</v>
      </c>
      <c r="F2683" s="6">
        <f>121932+12681</f>
        <v>134613</v>
      </c>
      <c r="G2683" s="57">
        <f t="shared" si="42"/>
        <v>2.4483241498980183E-2</v>
      </c>
      <c r="H2683" s="7" t="s">
        <v>3053</v>
      </c>
    </row>
    <row r="2684" spans="1:8" ht="25.5" x14ac:dyDescent="0.2">
      <c r="A2684" s="1" t="s">
        <v>1</v>
      </c>
      <c r="B2684" s="2" t="s">
        <v>272</v>
      </c>
      <c r="C2684" s="5" t="s">
        <v>1129</v>
      </c>
      <c r="D2684" s="7" t="s">
        <v>1130</v>
      </c>
      <c r="E2684" s="6">
        <f>96325+9356</f>
        <v>105681</v>
      </c>
      <c r="F2684" s="6">
        <f>98843+9873</f>
        <v>108716</v>
      </c>
      <c r="G2684" s="57">
        <f t="shared" si="42"/>
        <v>2.8718501906681428E-2</v>
      </c>
      <c r="H2684" s="7" t="s">
        <v>4378</v>
      </c>
    </row>
    <row r="2685" spans="1:8" x14ac:dyDescent="0.2">
      <c r="A2685" s="1" t="s">
        <v>1</v>
      </c>
      <c r="B2685" s="2" t="s">
        <v>272</v>
      </c>
      <c r="D2685" s="5" t="s">
        <v>464</v>
      </c>
      <c r="E2685" s="3" t="s">
        <v>465</v>
      </c>
      <c r="F2685" s="3">
        <v>107500</v>
      </c>
      <c r="G2685" s="57" t="str">
        <f t="shared" si="42"/>
        <v>-</v>
      </c>
    </row>
    <row r="2686" spans="1:8" ht="25.5" x14ac:dyDescent="0.2">
      <c r="A2686" s="1" t="s">
        <v>28</v>
      </c>
      <c r="B2686" s="2" t="s">
        <v>273</v>
      </c>
      <c r="D2686" s="5" t="s">
        <v>450</v>
      </c>
      <c r="E2686" s="3">
        <v>169801</v>
      </c>
      <c r="F2686" s="3">
        <v>163762</v>
      </c>
      <c r="G2686" s="57">
        <f t="shared" si="42"/>
        <v>-3.556516157148662E-2</v>
      </c>
      <c r="H2686" s="5" t="s">
        <v>3035</v>
      </c>
    </row>
    <row r="2687" spans="1:8" x14ac:dyDescent="0.2">
      <c r="A2687" s="1" t="s">
        <v>28</v>
      </c>
      <c r="B2687" s="2" t="s">
        <v>273</v>
      </c>
      <c r="D2687" s="5" t="s">
        <v>455</v>
      </c>
      <c r="E2687" s="3">
        <v>138457</v>
      </c>
      <c r="F2687" s="3">
        <v>125117</v>
      </c>
      <c r="G2687" s="57">
        <f t="shared" si="42"/>
        <v>-9.6347602504748761E-2</v>
      </c>
      <c r="H2687" s="5" t="s">
        <v>3037</v>
      </c>
    </row>
    <row r="2688" spans="1:8" x14ac:dyDescent="0.2">
      <c r="A2688" s="1" t="s">
        <v>28</v>
      </c>
      <c r="B2688" s="2" t="s">
        <v>273</v>
      </c>
      <c r="D2688" s="5" t="s">
        <v>1109</v>
      </c>
      <c r="E2688" s="3">
        <v>120824</v>
      </c>
      <c r="F2688" s="3">
        <v>125649</v>
      </c>
      <c r="G2688" s="57">
        <f t="shared" si="42"/>
        <v>3.9934119049195527E-2</v>
      </c>
      <c r="H2688" s="5" t="s">
        <v>3036</v>
      </c>
    </row>
    <row r="2689" spans="1:8" ht="25.5" x14ac:dyDescent="0.2">
      <c r="A2689" s="1" t="s">
        <v>28</v>
      </c>
      <c r="B2689" s="2" t="s">
        <v>273</v>
      </c>
      <c r="D2689" s="5" t="s">
        <v>1110</v>
      </c>
      <c r="E2689" s="3">
        <v>108191</v>
      </c>
      <c r="F2689" s="3">
        <v>108626</v>
      </c>
      <c r="G2689" s="57">
        <f t="shared" si="42"/>
        <v>4.0206671534600844E-3</v>
      </c>
      <c r="H2689" s="5" t="s">
        <v>3038</v>
      </c>
    </row>
    <row r="2690" spans="1:8" ht="25.5" x14ac:dyDescent="0.2">
      <c r="A2690" s="1" t="s">
        <v>28</v>
      </c>
      <c r="B2690" s="2" t="s">
        <v>273</v>
      </c>
      <c r="D2690" s="5" t="s">
        <v>1111</v>
      </c>
      <c r="E2690" s="3">
        <v>105611</v>
      </c>
      <c r="F2690" s="3">
        <v>113274</v>
      </c>
      <c r="G2690" s="57">
        <f t="shared" si="42"/>
        <v>7.2558729677779779E-2</v>
      </c>
      <c r="H2690" s="5" t="s">
        <v>3039</v>
      </c>
    </row>
    <row r="2691" spans="1:8" ht="25.5" x14ac:dyDescent="0.2">
      <c r="A2691" s="1" t="s">
        <v>28</v>
      </c>
      <c r="B2691" s="2" t="s">
        <v>273</v>
      </c>
      <c r="D2691" s="5" t="s">
        <v>1112</v>
      </c>
      <c r="E2691" s="3">
        <v>105479</v>
      </c>
      <c r="F2691" s="3">
        <v>107659</v>
      </c>
      <c r="G2691" s="57">
        <f t="shared" si="42"/>
        <v>2.0667621043051223E-2</v>
      </c>
      <c r="H2691" s="5" t="s">
        <v>3040</v>
      </c>
    </row>
    <row r="2692" spans="1:8" ht="25.5" x14ac:dyDescent="0.2">
      <c r="A2692" s="1" t="s">
        <v>28</v>
      </c>
      <c r="B2692" s="2" t="s">
        <v>273</v>
      </c>
      <c r="D2692" s="5" t="s">
        <v>1113</v>
      </c>
      <c r="E2692" s="3">
        <v>99393</v>
      </c>
      <c r="F2692" s="3">
        <v>100074</v>
      </c>
      <c r="G2692" s="57">
        <f t="shared" si="42"/>
        <v>6.8515891461169301E-3</v>
      </c>
      <c r="H2692" s="5" t="s">
        <v>3041</v>
      </c>
    </row>
    <row r="2693" spans="1:8" ht="25.5" x14ac:dyDescent="0.2">
      <c r="A2693" s="1" t="s">
        <v>28</v>
      </c>
      <c r="B2693" s="2" t="s">
        <v>273</v>
      </c>
      <c r="D2693" s="5" t="s">
        <v>3044</v>
      </c>
      <c r="E2693" s="3">
        <v>102269</v>
      </c>
      <c r="F2693" s="3">
        <v>104432</v>
      </c>
      <c r="G2693" s="57">
        <f t="shared" si="42"/>
        <v>2.1150104137128554E-2</v>
      </c>
      <c r="H2693" s="5" t="s">
        <v>3042</v>
      </c>
    </row>
    <row r="2694" spans="1:8" ht="25.5" x14ac:dyDescent="0.2">
      <c r="A2694" s="1" t="s">
        <v>28</v>
      </c>
      <c r="B2694" s="2" t="s">
        <v>273</v>
      </c>
      <c r="D2694" s="5" t="s">
        <v>1114</v>
      </c>
      <c r="E2694" s="3">
        <v>101904</v>
      </c>
      <c r="F2694" s="3">
        <v>107738</v>
      </c>
      <c r="G2694" s="57">
        <f t="shared" si="42"/>
        <v>5.7249960747370071E-2</v>
      </c>
      <c r="H2694" s="5" t="s">
        <v>3043</v>
      </c>
    </row>
    <row r="2695" spans="1:8" ht="25.5" x14ac:dyDescent="0.2">
      <c r="A2695" s="1" t="s">
        <v>28</v>
      </c>
      <c r="B2695" s="2" t="s">
        <v>273</v>
      </c>
      <c r="D2695" s="5" t="s">
        <v>1115</v>
      </c>
      <c r="E2695" s="3">
        <v>116749</v>
      </c>
      <c r="F2695" s="3">
        <v>327466</v>
      </c>
      <c r="G2695" s="57">
        <f t="shared" si="42"/>
        <v>1.8048719903382471</v>
      </c>
      <c r="H2695" s="5" t="s">
        <v>3045</v>
      </c>
    </row>
    <row r="2696" spans="1:8" ht="25.5" x14ac:dyDescent="0.2">
      <c r="A2696" s="1" t="s">
        <v>28</v>
      </c>
      <c r="B2696" s="2" t="s">
        <v>273</v>
      </c>
      <c r="D2696" s="5" t="s">
        <v>1116</v>
      </c>
      <c r="E2696" s="3">
        <v>97711</v>
      </c>
      <c r="F2696" s="3">
        <v>148684</v>
      </c>
      <c r="G2696" s="57">
        <f t="shared" si="42"/>
        <v>0.52167105034233607</v>
      </c>
      <c r="H2696" s="5" t="s">
        <v>3046</v>
      </c>
    </row>
    <row r="2697" spans="1:8" ht="25.5" x14ac:dyDescent="0.2">
      <c r="A2697" s="1" t="s">
        <v>28</v>
      </c>
      <c r="B2697" s="2" t="s">
        <v>273</v>
      </c>
      <c r="D2697" s="5" t="s">
        <v>1117</v>
      </c>
      <c r="E2697" s="3">
        <v>98927</v>
      </c>
      <c r="F2697" s="3">
        <v>116274</v>
      </c>
      <c r="G2697" s="57">
        <f t="shared" si="42"/>
        <v>0.17535152182922761</v>
      </c>
      <c r="H2697" s="5" t="s">
        <v>3047</v>
      </c>
    </row>
    <row r="2698" spans="1:8" ht="25.5" x14ac:dyDescent="0.2">
      <c r="A2698" s="1" t="s">
        <v>20</v>
      </c>
      <c r="B2698" s="2" t="s">
        <v>274</v>
      </c>
      <c r="D2698" s="5" t="s">
        <v>450</v>
      </c>
      <c r="E2698" s="3">
        <v>136386</v>
      </c>
      <c r="F2698" s="3">
        <v>136600</v>
      </c>
      <c r="G2698" s="57">
        <f t="shared" si="42"/>
        <v>1.5690760048685348E-3</v>
      </c>
      <c r="H2698" s="5" t="s">
        <v>3031</v>
      </c>
    </row>
    <row r="2699" spans="1:8" ht="25.5" x14ac:dyDescent="0.2">
      <c r="A2699" s="1" t="s">
        <v>20</v>
      </c>
      <c r="B2699" s="2" t="s">
        <v>274</v>
      </c>
      <c r="D2699" s="5" t="s">
        <v>1105</v>
      </c>
      <c r="E2699" s="3">
        <v>108349</v>
      </c>
      <c r="F2699" s="3">
        <v>108517</v>
      </c>
      <c r="G2699" s="57">
        <f t="shared" si="42"/>
        <v>1.5505449981079659E-3</v>
      </c>
      <c r="H2699" s="5" t="s">
        <v>3032</v>
      </c>
    </row>
    <row r="2700" spans="1:8" ht="25.5" x14ac:dyDescent="0.2">
      <c r="A2700" s="1" t="s">
        <v>20</v>
      </c>
      <c r="B2700" s="2" t="s">
        <v>274</v>
      </c>
      <c r="D2700" s="5" t="s">
        <v>1106</v>
      </c>
      <c r="E2700" s="3">
        <v>102408</v>
      </c>
      <c r="F2700" s="3">
        <v>102567</v>
      </c>
      <c r="G2700" s="57">
        <f t="shared" si="42"/>
        <v>1.5526130771033513E-3</v>
      </c>
      <c r="H2700" s="5" t="s">
        <v>3033</v>
      </c>
    </row>
    <row r="2701" spans="1:8" ht="25.5" x14ac:dyDescent="0.2">
      <c r="A2701" s="1" t="s">
        <v>20</v>
      </c>
      <c r="B2701" s="2" t="s">
        <v>274</v>
      </c>
      <c r="D2701" s="5" t="s">
        <v>1107</v>
      </c>
      <c r="E2701" s="3">
        <v>101779</v>
      </c>
      <c r="F2701" s="3">
        <v>101351</v>
      </c>
      <c r="G2701" s="57">
        <f t="shared" si="42"/>
        <v>-4.2051896756698333E-3</v>
      </c>
      <c r="H2701" s="5" t="s">
        <v>3034</v>
      </c>
    </row>
    <row r="2702" spans="1:8" ht="25.5" x14ac:dyDescent="0.2">
      <c r="A2702" s="1" t="s">
        <v>20</v>
      </c>
      <c r="B2702" s="2" t="s">
        <v>274</v>
      </c>
      <c r="D2702" s="5" t="s">
        <v>1108</v>
      </c>
      <c r="E2702" s="3">
        <v>102408</v>
      </c>
      <c r="F2702" s="3">
        <v>102567</v>
      </c>
      <c r="G2702" s="57">
        <f t="shared" si="42"/>
        <v>1.5526130771033513E-3</v>
      </c>
      <c r="H2702" s="5" t="s">
        <v>3033</v>
      </c>
    </row>
    <row r="2703" spans="1:8" x14ac:dyDescent="0.2">
      <c r="A2703" s="1" t="s">
        <v>34</v>
      </c>
      <c r="B2703" s="2" t="s">
        <v>275</v>
      </c>
      <c r="D2703" s="5" t="s">
        <v>450</v>
      </c>
      <c r="E2703" s="3">
        <v>170450</v>
      </c>
      <c r="F2703" s="3">
        <v>171753</v>
      </c>
      <c r="G2703" s="57">
        <f t="shared" si="42"/>
        <v>7.644470519213846E-3</v>
      </c>
      <c r="H2703" s="5" t="s">
        <v>3028</v>
      </c>
    </row>
    <row r="2704" spans="1:8" x14ac:dyDescent="0.2">
      <c r="A2704" s="1" t="s">
        <v>34</v>
      </c>
      <c r="B2704" s="2" t="s">
        <v>275</v>
      </c>
      <c r="D2704" s="5" t="s">
        <v>1102</v>
      </c>
      <c r="E2704" s="3">
        <v>122300</v>
      </c>
      <c r="F2704" s="3">
        <v>123184</v>
      </c>
      <c r="G2704" s="57">
        <f t="shared" si="42"/>
        <v>7.2281275551921501E-3</v>
      </c>
      <c r="H2704" s="5" t="s">
        <v>3029</v>
      </c>
    </row>
    <row r="2705" spans="1:8" x14ac:dyDescent="0.2">
      <c r="A2705" s="1" t="s">
        <v>34</v>
      </c>
      <c r="B2705" s="2" t="s">
        <v>275</v>
      </c>
      <c r="D2705" s="5" t="s">
        <v>1103</v>
      </c>
      <c r="E2705" s="3">
        <v>122300</v>
      </c>
      <c r="F2705" s="3">
        <v>123184</v>
      </c>
      <c r="G2705" s="57">
        <f t="shared" si="42"/>
        <v>7.2281275551921501E-3</v>
      </c>
      <c r="H2705" s="5" t="s">
        <v>3029</v>
      </c>
    </row>
    <row r="2706" spans="1:8" x14ac:dyDescent="0.2">
      <c r="A2706" s="1" t="s">
        <v>34</v>
      </c>
      <c r="B2706" s="2" t="s">
        <v>275</v>
      </c>
      <c r="D2706" s="5" t="s">
        <v>1104</v>
      </c>
      <c r="E2706" s="3" t="s">
        <v>465</v>
      </c>
      <c r="F2706" s="3">
        <v>124096</v>
      </c>
      <c r="G2706" s="57" t="str">
        <f t="shared" si="42"/>
        <v>-</v>
      </c>
      <c r="H2706" s="5" t="s">
        <v>3030</v>
      </c>
    </row>
    <row r="2707" spans="1:8" ht="25.5" x14ac:dyDescent="0.2">
      <c r="A2707" s="1" t="s">
        <v>34</v>
      </c>
      <c r="B2707" s="2" t="s">
        <v>275</v>
      </c>
      <c r="D2707" s="5" t="s">
        <v>883</v>
      </c>
      <c r="E2707" s="3" t="s">
        <v>465</v>
      </c>
      <c r="F2707" s="3">
        <v>112137</v>
      </c>
      <c r="G2707" s="57" t="str">
        <f t="shared" si="42"/>
        <v>-</v>
      </c>
      <c r="H2707" s="5" t="s">
        <v>4379</v>
      </c>
    </row>
    <row r="2708" spans="1:8" x14ac:dyDescent="0.2">
      <c r="A2708" s="1" t="s">
        <v>34</v>
      </c>
      <c r="B2708" s="2" t="s">
        <v>275</v>
      </c>
      <c r="D2708" s="5" t="s">
        <v>464</v>
      </c>
      <c r="E2708" s="3">
        <v>102500</v>
      </c>
      <c r="F2708" s="3" t="s">
        <v>465</v>
      </c>
      <c r="G2708" s="57" t="str">
        <f t="shared" si="42"/>
        <v>-</v>
      </c>
    </row>
    <row r="2709" spans="1:8" x14ac:dyDescent="0.2">
      <c r="A2709" s="1" t="s">
        <v>34</v>
      </c>
      <c r="B2709" s="2" t="s">
        <v>275</v>
      </c>
      <c r="D2709" s="5" t="s">
        <v>464</v>
      </c>
      <c r="E2709" s="3">
        <v>102500</v>
      </c>
      <c r="F2709" s="3" t="s">
        <v>465</v>
      </c>
      <c r="G2709" s="57" t="str">
        <f t="shared" si="42"/>
        <v>-</v>
      </c>
    </row>
    <row r="2710" spans="1:8" x14ac:dyDescent="0.2">
      <c r="A2710" s="1" t="s">
        <v>34</v>
      </c>
      <c r="B2710" s="2" t="s">
        <v>275</v>
      </c>
      <c r="D2710" s="5" t="s">
        <v>464</v>
      </c>
      <c r="E2710" s="3">
        <v>107500</v>
      </c>
      <c r="F2710" s="3" t="s">
        <v>465</v>
      </c>
      <c r="G2710" s="57" t="str">
        <f t="shared" si="42"/>
        <v>-</v>
      </c>
    </row>
    <row r="2711" spans="1:8" x14ac:dyDescent="0.2">
      <c r="A2711" s="1" t="s">
        <v>34</v>
      </c>
      <c r="B2711" s="2" t="s">
        <v>276</v>
      </c>
      <c r="C2711" s="5" t="s">
        <v>3001</v>
      </c>
      <c r="D2711" s="5" t="s">
        <v>450</v>
      </c>
      <c r="E2711" s="9" t="s">
        <v>465</v>
      </c>
      <c r="F2711" s="3">
        <f>196021+28690</f>
        <v>224711</v>
      </c>
      <c r="G2711" s="57" t="str">
        <f t="shared" si="42"/>
        <v>-</v>
      </c>
      <c r="H2711" s="5" t="s">
        <v>3013</v>
      </c>
    </row>
    <row r="2712" spans="1:8" x14ac:dyDescent="0.2">
      <c r="A2712" s="1" t="s">
        <v>34</v>
      </c>
      <c r="B2712" s="2" t="s">
        <v>276</v>
      </c>
      <c r="C2712" s="5" t="s">
        <v>3014</v>
      </c>
      <c r="D2712" s="5" t="s">
        <v>450</v>
      </c>
      <c r="E2712" s="9">
        <v>199418</v>
      </c>
      <c r="F2712" s="3" t="s">
        <v>465</v>
      </c>
      <c r="G2712" s="57" t="str">
        <f t="shared" si="42"/>
        <v>-</v>
      </c>
    </row>
    <row r="2713" spans="1:8" ht="25.5" x14ac:dyDescent="0.2">
      <c r="A2713" s="1" t="s">
        <v>111</v>
      </c>
      <c r="B2713" s="2" t="s">
        <v>276</v>
      </c>
      <c r="D2713" s="5" t="s">
        <v>1093</v>
      </c>
      <c r="E2713" s="9">
        <v>155172</v>
      </c>
      <c r="F2713" s="3">
        <v>159105</v>
      </c>
      <c r="G2713" s="57">
        <f t="shared" si="42"/>
        <v>2.5346067589513573E-2</v>
      </c>
      <c r="H2713" s="5" t="s">
        <v>3015</v>
      </c>
    </row>
    <row r="2714" spans="1:8" ht="25.5" x14ac:dyDescent="0.2">
      <c r="A2714" s="1" t="s">
        <v>111</v>
      </c>
      <c r="B2714" s="2" t="s">
        <v>276</v>
      </c>
      <c r="D2714" s="5" t="s">
        <v>1094</v>
      </c>
      <c r="E2714" s="9">
        <v>143772</v>
      </c>
      <c r="F2714" s="3">
        <v>135038</v>
      </c>
      <c r="G2714" s="57">
        <f t="shared" ref="G2714:G2777" si="43">IF(ISERROR((F2714-E2714)/E2714),"-",(F2714-E2714)/E2714)</f>
        <v>-6.0748963636869491E-2</v>
      </c>
      <c r="H2714" s="5" t="s">
        <v>3016</v>
      </c>
    </row>
    <row r="2715" spans="1:8" ht="25.5" x14ac:dyDescent="0.2">
      <c r="A2715" s="1" t="s">
        <v>111</v>
      </c>
      <c r="B2715" s="2" t="s">
        <v>276</v>
      </c>
      <c r="D2715" s="5" t="s">
        <v>1095</v>
      </c>
      <c r="E2715" s="9">
        <v>95354</v>
      </c>
      <c r="F2715" s="3">
        <v>125484</v>
      </c>
      <c r="G2715" s="57">
        <f t="shared" si="43"/>
        <v>0.31598045179017137</v>
      </c>
      <c r="H2715" s="5" t="s">
        <v>3017</v>
      </c>
    </row>
    <row r="2716" spans="1:8" ht="25.5" x14ac:dyDescent="0.2">
      <c r="A2716" s="1" t="s">
        <v>111</v>
      </c>
      <c r="B2716" s="2" t="s">
        <v>276</v>
      </c>
      <c r="D2716" s="5" t="s">
        <v>1096</v>
      </c>
      <c r="E2716" s="9" t="s">
        <v>465</v>
      </c>
      <c r="F2716" s="3">
        <v>113261</v>
      </c>
      <c r="G2716" s="57" t="str">
        <f t="shared" si="43"/>
        <v>-</v>
      </c>
      <c r="H2716" s="5" t="s">
        <v>3018</v>
      </c>
    </row>
    <row r="2717" spans="1:8" x14ac:dyDescent="0.2">
      <c r="A2717" s="1" t="s">
        <v>111</v>
      </c>
      <c r="B2717" s="2" t="s">
        <v>276</v>
      </c>
      <c r="D2717" s="5" t="s">
        <v>1097</v>
      </c>
      <c r="E2717" s="9">
        <v>99890</v>
      </c>
      <c r="F2717" s="3">
        <v>103705</v>
      </c>
      <c r="G2717" s="57">
        <f t="shared" si="43"/>
        <v>3.8192011212333565E-2</v>
      </c>
      <c r="H2717" s="5" t="s">
        <v>3019</v>
      </c>
    </row>
    <row r="2718" spans="1:8" x14ac:dyDescent="0.2">
      <c r="A2718" s="1" t="s">
        <v>111</v>
      </c>
      <c r="B2718" s="2" t="s">
        <v>276</v>
      </c>
      <c r="D2718" s="5" t="s">
        <v>1098</v>
      </c>
      <c r="E2718" s="9">
        <v>77779</v>
      </c>
      <c r="F2718" s="3">
        <v>103705</v>
      </c>
      <c r="G2718" s="57">
        <f t="shared" si="43"/>
        <v>0.33332904768639349</v>
      </c>
      <c r="H2718" s="5" t="s">
        <v>3019</v>
      </c>
    </row>
    <row r="2719" spans="1:8" ht="38.25" x14ac:dyDescent="0.2">
      <c r="A2719" s="1" t="s">
        <v>111</v>
      </c>
      <c r="B2719" s="2" t="s">
        <v>276</v>
      </c>
      <c r="D2719" s="5" t="s">
        <v>1099</v>
      </c>
      <c r="E2719" s="9">
        <v>108788</v>
      </c>
      <c r="F2719" s="3">
        <v>118892</v>
      </c>
      <c r="G2719" s="57">
        <f t="shared" si="43"/>
        <v>9.2877890943854097E-2</v>
      </c>
      <c r="H2719" s="5" t="s">
        <v>3020</v>
      </c>
    </row>
    <row r="2720" spans="1:8" ht="25.5" x14ac:dyDescent="0.2">
      <c r="A2720" s="1" t="s">
        <v>111</v>
      </c>
      <c r="B2720" s="2" t="s">
        <v>276</v>
      </c>
      <c r="D2720" s="5" t="s">
        <v>1100</v>
      </c>
      <c r="E2720" s="9">
        <v>100896</v>
      </c>
      <c r="F2720" s="3">
        <v>103323</v>
      </c>
      <c r="G2720" s="57">
        <f t="shared" si="43"/>
        <v>2.4054471931493817E-2</v>
      </c>
      <c r="H2720" s="5" t="s">
        <v>4380</v>
      </c>
    </row>
    <row r="2721" spans="1:8" ht="25.5" x14ac:dyDescent="0.2">
      <c r="A2721" s="1" t="s">
        <v>111</v>
      </c>
      <c r="B2721" s="2" t="s">
        <v>276</v>
      </c>
      <c r="D2721" s="5" t="s">
        <v>1101</v>
      </c>
      <c r="E2721" s="9">
        <v>95864</v>
      </c>
      <c r="F2721" s="3">
        <v>106822</v>
      </c>
      <c r="G2721" s="57">
        <f t="shared" si="43"/>
        <v>0.11430776933989818</v>
      </c>
      <c r="H2721" s="5" t="s">
        <v>4670</v>
      </c>
    </row>
    <row r="2722" spans="1:8" x14ac:dyDescent="0.2">
      <c r="A2722" s="1" t="s">
        <v>111</v>
      </c>
      <c r="B2722" s="2" t="s">
        <v>276</v>
      </c>
      <c r="D2722" s="5" t="s">
        <v>3022</v>
      </c>
      <c r="E2722" s="3">
        <v>105982</v>
      </c>
      <c r="F2722" s="3" t="s">
        <v>465</v>
      </c>
      <c r="G2722" s="57" t="str">
        <f t="shared" si="43"/>
        <v>-</v>
      </c>
    </row>
    <row r="2723" spans="1:8" x14ac:dyDescent="0.2">
      <c r="A2723" s="1" t="s">
        <v>111</v>
      </c>
      <c r="B2723" s="2" t="s">
        <v>276</v>
      </c>
      <c r="D2723" s="5" t="s">
        <v>3021</v>
      </c>
      <c r="E2723" s="3">
        <v>125253</v>
      </c>
      <c r="F2723" s="3" t="s">
        <v>465</v>
      </c>
      <c r="G2723" s="57" t="str">
        <f t="shared" si="43"/>
        <v>-</v>
      </c>
    </row>
    <row r="2724" spans="1:8" ht="25.5" x14ac:dyDescent="0.2">
      <c r="A2724" s="1" t="s">
        <v>111</v>
      </c>
      <c r="B2724" s="2" t="s">
        <v>276</v>
      </c>
      <c r="D2724" s="5" t="s">
        <v>3023</v>
      </c>
      <c r="E2724" s="3">
        <v>103770</v>
      </c>
      <c r="F2724" s="3">
        <v>90704</v>
      </c>
      <c r="G2724" s="57">
        <f t="shared" si="43"/>
        <v>-0.12591307699720536</v>
      </c>
      <c r="H2724" s="5" t="s">
        <v>3027</v>
      </c>
    </row>
    <row r="2725" spans="1:8" x14ac:dyDescent="0.2">
      <c r="A2725" s="1" t="s">
        <v>111</v>
      </c>
      <c r="B2725" s="2" t="s">
        <v>276</v>
      </c>
      <c r="D2725" s="5" t="s">
        <v>3024</v>
      </c>
      <c r="E2725" s="3">
        <v>147196</v>
      </c>
      <c r="F2725" s="3" t="s">
        <v>465</v>
      </c>
      <c r="G2725" s="57" t="str">
        <f t="shared" si="43"/>
        <v>-</v>
      </c>
    </row>
    <row r="2726" spans="1:8" x14ac:dyDescent="0.2">
      <c r="A2726" s="1" t="s">
        <v>111</v>
      </c>
      <c r="B2726" s="2" t="s">
        <v>276</v>
      </c>
      <c r="D2726" s="5" t="s">
        <v>3025</v>
      </c>
      <c r="E2726" s="3">
        <v>100280</v>
      </c>
      <c r="F2726" s="3" t="s">
        <v>465</v>
      </c>
      <c r="G2726" s="57" t="str">
        <f t="shared" si="43"/>
        <v>-</v>
      </c>
    </row>
    <row r="2727" spans="1:8" x14ac:dyDescent="0.2">
      <c r="A2727" s="1" t="s">
        <v>111</v>
      </c>
      <c r="B2727" s="2" t="s">
        <v>276</v>
      </c>
      <c r="D2727" s="5" t="s">
        <v>3026</v>
      </c>
      <c r="E2727" s="3">
        <v>100705</v>
      </c>
      <c r="F2727" s="3" t="s">
        <v>465</v>
      </c>
      <c r="G2727" s="57" t="str">
        <f t="shared" si="43"/>
        <v>-</v>
      </c>
    </row>
    <row r="2728" spans="1:8" ht="25.5" x14ac:dyDescent="0.2">
      <c r="A2728" s="1" t="s">
        <v>39</v>
      </c>
      <c r="B2728" s="2" t="s">
        <v>277</v>
      </c>
      <c r="D2728" s="5" t="s">
        <v>450</v>
      </c>
      <c r="E2728" s="3">
        <v>117060</v>
      </c>
      <c r="F2728" s="3">
        <v>118891</v>
      </c>
      <c r="G2728" s="57">
        <f t="shared" si="43"/>
        <v>1.564155134119255E-2</v>
      </c>
      <c r="H2728" s="5" t="s">
        <v>3012</v>
      </c>
    </row>
    <row r="2729" spans="1:8" x14ac:dyDescent="0.2">
      <c r="A2729" s="1" t="s">
        <v>8</v>
      </c>
      <c r="B2729" s="2" t="s">
        <v>278</v>
      </c>
      <c r="D2729" s="5" t="s">
        <v>450</v>
      </c>
      <c r="E2729" s="3">
        <v>142374</v>
      </c>
      <c r="F2729" s="3">
        <v>145856</v>
      </c>
      <c r="G2729" s="57">
        <f t="shared" si="43"/>
        <v>2.4456712602020033E-2</v>
      </c>
      <c r="H2729" s="5" t="s">
        <v>3011</v>
      </c>
    </row>
    <row r="2730" spans="1:8" ht="38.25" x14ac:dyDescent="0.2">
      <c r="A2730" s="1" t="s">
        <v>8</v>
      </c>
      <c r="B2730" s="2" t="s">
        <v>278</v>
      </c>
      <c r="D2730" s="5" t="s">
        <v>1092</v>
      </c>
      <c r="E2730" s="3">
        <v>66475</v>
      </c>
      <c r="F2730" s="3">
        <v>112491</v>
      </c>
      <c r="G2730" s="57">
        <f t="shared" si="43"/>
        <v>0.69223016171493046</v>
      </c>
      <c r="H2730" s="5" t="s">
        <v>4381</v>
      </c>
    </row>
    <row r="2731" spans="1:8" ht="25.5" x14ac:dyDescent="0.2">
      <c r="A2731" s="1" t="s">
        <v>28</v>
      </c>
      <c r="B2731" s="2" t="s">
        <v>279</v>
      </c>
      <c r="C2731" s="5" t="s">
        <v>1084</v>
      </c>
      <c r="D2731" s="5" t="s">
        <v>450</v>
      </c>
      <c r="E2731" s="3" t="s">
        <v>465</v>
      </c>
      <c r="F2731" s="3">
        <v>138968</v>
      </c>
      <c r="G2731" s="57" t="str">
        <f t="shared" si="43"/>
        <v>-</v>
      </c>
      <c r="H2731" s="5" t="s">
        <v>4382</v>
      </c>
    </row>
    <row r="2732" spans="1:8" x14ac:dyDescent="0.2">
      <c r="A2732" s="1" t="s">
        <v>28</v>
      </c>
      <c r="B2732" s="2" t="s">
        <v>279</v>
      </c>
      <c r="C2732" s="5" t="s">
        <v>3001</v>
      </c>
      <c r="D2732" s="5" t="s">
        <v>450</v>
      </c>
      <c r="E2732" s="3">
        <v>219456</v>
      </c>
      <c r="F2732" s="3" t="s">
        <v>465</v>
      </c>
      <c r="G2732" s="57" t="str">
        <f t="shared" si="43"/>
        <v>-</v>
      </c>
      <c r="H2732" s="5" t="s">
        <v>3008</v>
      </c>
    </row>
    <row r="2733" spans="1:8" ht="25.5" x14ac:dyDescent="0.2">
      <c r="A2733" s="1" t="s">
        <v>28</v>
      </c>
      <c r="B2733" s="2" t="s">
        <v>279</v>
      </c>
      <c r="D2733" s="5" t="s">
        <v>1085</v>
      </c>
      <c r="E2733" s="3">
        <v>108415</v>
      </c>
      <c r="F2733" s="3">
        <v>112712</v>
      </c>
      <c r="G2733" s="57">
        <f t="shared" si="43"/>
        <v>3.963473689065166E-2</v>
      </c>
      <c r="H2733" s="5" t="s">
        <v>3002</v>
      </c>
    </row>
    <row r="2734" spans="1:8" ht="25.5" x14ac:dyDescent="0.2">
      <c r="A2734" s="1" t="s">
        <v>28</v>
      </c>
      <c r="B2734" s="2" t="s">
        <v>279</v>
      </c>
      <c r="D2734" s="5" t="s">
        <v>1086</v>
      </c>
      <c r="E2734" s="3">
        <v>117342</v>
      </c>
      <c r="F2734" s="3">
        <v>117326</v>
      </c>
      <c r="G2734" s="57">
        <f t="shared" si="43"/>
        <v>-1.3635356479350957E-4</v>
      </c>
      <c r="H2734" s="5" t="s">
        <v>3003</v>
      </c>
    </row>
    <row r="2735" spans="1:8" ht="25.5" x14ac:dyDescent="0.2">
      <c r="A2735" s="1" t="s">
        <v>28</v>
      </c>
      <c r="B2735" s="2" t="s">
        <v>279</v>
      </c>
      <c r="D2735" s="5" t="s">
        <v>1087</v>
      </c>
      <c r="E2735" s="3">
        <v>112619</v>
      </c>
      <c r="F2735" s="3">
        <v>117134</v>
      </c>
      <c r="G2735" s="57">
        <f t="shared" si="43"/>
        <v>4.0090926042674863E-2</v>
      </c>
      <c r="H2735" s="5" t="s">
        <v>3004</v>
      </c>
    </row>
    <row r="2736" spans="1:8" ht="25.5" x14ac:dyDescent="0.2">
      <c r="A2736" s="1" t="s">
        <v>28</v>
      </c>
      <c r="B2736" s="2" t="s">
        <v>279</v>
      </c>
      <c r="D2736" s="5" t="s">
        <v>1088</v>
      </c>
      <c r="E2736" s="3" t="s">
        <v>465</v>
      </c>
      <c r="F2736" s="3">
        <v>124746</v>
      </c>
      <c r="G2736" s="57" t="str">
        <f t="shared" si="43"/>
        <v>-</v>
      </c>
      <c r="H2736" s="5" t="s">
        <v>3009</v>
      </c>
    </row>
    <row r="2737" spans="1:8" ht="25.5" x14ac:dyDescent="0.2">
      <c r="A2737" s="1" t="s">
        <v>28</v>
      </c>
      <c r="B2737" s="2" t="s">
        <v>279</v>
      </c>
      <c r="D2737" s="5" t="s">
        <v>1088</v>
      </c>
      <c r="E2737" s="3">
        <v>132838</v>
      </c>
      <c r="F2737" s="3" t="s">
        <v>465</v>
      </c>
      <c r="G2737" s="57" t="str">
        <f t="shared" si="43"/>
        <v>-</v>
      </c>
      <c r="H2737" s="5" t="s">
        <v>3010</v>
      </c>
    </row>
    <row r="2738" spans="1:8" ht="25.5" x14ac:dyDescent="0.2">
      <c r="A2738" s="1" t="s">
        <v>28</v>
      </c>
      <c r="B2738" s="2" t="s">
        <v>279</v>
      </c>
      <c r="D2738" s="5" t="s">
        <v>1089</v>
      </c>
      <c r="E2738" s="3">
        <v>153977</v>
      </c>
      <c r="F2738" s="3">
        <v>153903</v>
      </c>
      <c r="G2738" s="57">
        <f t="shared" si="43"/>
        <v>-4.8059125713580602E-4</v>
      </c>
      <c r="H2738" s="5" t="s">
        <v>3005</v>
      </c>
    </row>
    <row r="2739" spans="1:8" ht="25.5" x14ac:dyDescent="0.2">
      <c r="A2739" s="1" t="s">
        <v>28</v>
      </c>
      <c r="B2739" s="2" t="s">
        <v>279</v>
      </c>
      <c r="D2739" s="5" t="s">
        <v>1090</v>
      </c>
      <c r="E2739" s="3">
        <v>142040</v>
      </c>
      <c r="F2739" s="3">
        <v>141976</v>
      </c>
      <c r="G2739" s="57">
        <f t="shared" si="43"/>
        <v>-4.5057730216840327E-4</v>
      </c>
      <c r="H2739" s="5" t="s">
        <v>3006</v>
      </c>
    </row>
    <row r="2740" spans="1:8" ht="25.5" x14ac:dyDescent="0.2">
      <c r="A2740" s="1" t="s">
        <v>28</v>
      </c>
      <c r="B2740" s="2" t="s">
        <v>279</v>
      </c>
      <c r="D2740" s="5" t="s">
        <v>1091</v>
      </c>
      <c r="E2740" s="3">
        <v>141636</v>
      </c>
      <c r="F2740" s="3">
        <v>149033</v>
      </c>
      <c r="G2740" s="57">
        <f t="shared" si="43"/>
        <v>5.222542291507809E-2</v>
      </c>
      <c r="H2740" s="5" t="s">
        <v>3007</v>
      </c>
    </row>
    <row r="2741" spans="1:8" ht="25.5" x14ac:dyDescent="0.2">
      <c r="A2741" s="1" t="s">
        <v>8</v>
      </c>
      <c r="B2741" s="2" t="s">
        <v>280</v>
      </c>
      <c r="D2741" s="5" t="s">
        <v>450</v>
      </c>
      <c r="E2741" s="3">
        <v>172000</v>
      </c>
      <c r="F2741" s="3">
        <v>177000</v>
      </c>
      <c r="G2741" s="57">
        <f t="shared" si="43"/>
        <v>2.9069767441860465E-2</v>
      </c>
      <c r="H2741" s="5" t="s">
        <v>2993</v>
      </c>
    </row>
    <row r="2742" spans="1:8" ht="25.5" x14ac:dyDescent="0.2">
      <c r="A2742" s="1" t="s">
        <v>8</v>
      </c>
      <c r="B2742" s="2" t="s">
        <v>280</v>
      </c>
      <c r="D2742" s="5" t="s">
        <v>451</v>
      </c>
      <c r="E2742" s="3">
        <v>102000</v>
      </c>
      <c r="F2742" s="3">
        <v>107000</v>
      </c>
      <c r="G2742" s="57">
        <f t="shared" si="43"/>
        <v>4.9019607843137254E-2</v>
      </c>
      <c r="H2742" s="5" t="s">
        <v>2994</v>
      </c>
    </row>
    <row r="2743" spans="1:8" ht="25.5" x14ac:dyDescent="0.2">
      <c r="A2743" s="1" t="s">
        <v>8</v>
      </c>
      <c r="B2743" s="2" t="s">
        <v>280</v>
      </c>
      <c r="D2743" s="5" t="s">
        <v>1080</v>
      </c>
      <c r="E2743" s="3">
        <v>137000</v>
      </c>
      <c r="F2743" s="3">
        <v>142000</v>
      </c>
      <c r="G2743" s="57">
        <f t="shared" si="43"/>
        <v>3.6496350364963501E-2</v>
      </c>
      <c r="H2743" s="5" t="s">
        <v>2995</v>
      </c>
    </row>
    <row r="2744" spans="1:8" ht="25.5" x14ac:dyDescent="0.2">
      <c r="A2744" s="1" t="s">
        <v>8</v>
      </c>
      <c r="B2744" s="2" t="s">
        <v>280</v>
      </c>
      <c r="D2744" s="5" t="s">
        <v>1081</v>
      </c>
      <c r="E2744" s="3">
        <v>126000</v>
      </c>
      <c r="F2744" s="3">
        <v>134000</v>
      </c>
      <c r="G2744" s="57">
        <f t="shared" si="43"/>
        <v>6.3492063492063489E-2</v>
      </c>
      <c r="H2744" s="5" t="s">
        <v>2996</v>
      </c>
    </row>
    <row r="2745" spans="1:8" ht="25.5" x14ac:dyDescent="0.2">
      <c r="A2745" s="1" t="s">
        <v>8</v>
      </c>
      <c r="B2745" s="2" t="s">
        <v>280</v>
      </c>
      <c r="D2745" s="5" t="s">
        <v>627</v>
      </c>
      <c r="E2745" s="3">
        <v>126000</v>
      </c>
      <c r="F2745" s="3">
        <v>134000</v>
      </c>
      <c r="G2745" s="57">
        <f t="shared" si="43"/>
        <v>6.3492063492063489E-2</v>
      </c>
      <c r="H2745" s="5" t="s">
        <v>2996</v>
      </c>
    </row>
    <row r="2746" spans="1:8" ht="25.5" x14ac:dyDescent="0.2">
      <c r="A2746" s="1" t="s">
        <v>8</v>
      </c>
      <c r="B2746" s="2" t="s">
        <v>280</v>
      </c>
      <c r="D2746" s="5" t="s">
        <v>1082</v>
      </c>
      <c r="E2746" s="3">
        <v>122000</v>
      </c>
      <c r="F2746" s="3">
        <v>130000</v>
      </c>
      <c r="G2746" s="57">
        <f t="shared" si="43"/>
        <v>6.5573770491803282E-2</v>
      </c>
      <c r="H2746" s="5" t="s">
        <v>2997</v>
      </c>
    </row>
    <row r="2747" spans="1:8" x14ac:dyDescent="0.2">
      <c r="A2747" s="1" t="s">
        <v>8</v>
      </c>
      <c r="B2747" s="2" t="s">
        <v>280</v>
      </c>
      <c r="D2747" s="5" t="s">
        <v>1083</v>
      </c>
      <c r="E2747" s="3">
        <v>85000</v>
      </c>
      <c r="F2747" s="3">
        <v>102000</v>
      </c>
      <c r="G2747" s="57">
        <f t="shared" si="43"/>
        <v>0.2</v>
      </c>
      <c r="H2747" s="5" t="s">
        <v>2998</v>
      </c>
    </row>
    <row r="2748" spans="1:8" ht="25.5" x14ac:dyDescent="0.2">
      <c r="A2748" s="1" t="s">
        <v>8</v>
      </c>
      <c r="B2748" s="2" t="s">
        <v>280</v>
      </c>
      <c r="D2748" s="5" t="s">
        <v>569</v>
      </c>
      <c r="E2748" s="3">
        <v>99000</v>
      </c>
      <c r="F2748" s="3">
        <v>106000</v>
      </c>
      <c r="G2748" s="57">
        <f t="shared" si="43"/>
        <v>7.0707070707070704E-2</v>
      </c>
      <c r="H2748" s="5" t="s">
        <v>2999</v>
      </c>
    </row>
    <row r="2749" spans="1:8" ht="25.5" x14ac:dyDescent="0.2">
      <c r="A2749" s="1" t="s">
        <v>8</v>
      </c>
      <c r="B2749" s="2" t="s">
        <v>280</v>
      </c>
      <c r="D2749" s="5" t="s">
        <v>718</v>
      </c>
      <c r="E2749" s="3">
        <v>102000</v>
      </c>
      <c r="F2749" s="3">
        <v>109000</v>
      </c>
      <c r="G2749" s="57">
        <f t="shared" si="43"/>
        <v>6.8627450980392163E-2</v>
      </c>
      <c r="H2749" s="5" t="s">
        <v>3000</v>
      </c>
    </row>
    <row r="2750" spans="1:8" ht="38.25" x14ac:dyDescent="0.2">
      <c r="A2750" s="1" t="s">
        <v>8</v>
      </c>
      <c r="B2750" s="2" t="s">
        <v>281</v>
      </c>
      <c r="C2750" s="5" t="s">
        <v>1071</v>
      </c>
      <c r="D2750" s="5" t="s">
        <v>4593</v>
      </c>
      <c r="E2750" s="10">
        <v>160000</v>
      </c>
      <c r="F2750" s="3">
        <v>187000</v>
      </c>
      <c r="G2750" s="57">
        <f t="shared" si="43"/>
        <v>0.16875000000000001</v>
      </c>
      <c r="H2750" s="5" t="s">
        <v>4383</v>
      </c>
    </row>
    <row r="2751" spans="1:8" ht="25.5" x14ac:dyDescent="0.2">
      <c r="A2751" s="1" t="s">
        <v>8</v>
      </c>
      <c r="B2751" s="2" t="s">
        <v>281</v>
      </c>
      <c r="C2751" s="5" t="s">
        <v>2992</v>
      </c>
      <c r="D2751" s="5" t="s">
        <v>450</v>
      </c>
      <c r="E2751" s="10">
        <v>237000</v>
      </c>
      <c r="F2751" s="3">
        <v>44000</v>
      </c>
      <c r="G2751" s="57">
        <f t="shared" si="43"/>
        <v>-0.81434599156118148</v>
      </c>
      <c r="H2751" s="5" t="s">
        <v>4384</v>
      </c>
    </row>
    <row r="2752" spans="1:8" ht="25.5" x14ac:dyDescent="0.2">
      <c r="A2752" s="1" t="s">
        <v>8</v>
      </c>
      <c r="B2752" s="2" t="s">
        <v>281</v>
      </c>
      <c r="C2752" s="5" t="s">
        <v>1072</v>
      </c>
      <c r="D2752" s="5" t="s">
        <v>1073</v>
      </c>
      <c r="E2752" s="10">
        <v>160000</v>
      </c>
      <c r="F2752" s="3">
        <v>161000</v>
      </c>
      <c r="G2752" s="57">
        <f t="shared" si="43"/>
        <v>6.2500000000000003E-3</v>
      </c>
      <c r="H2752" s="5" t="s">
        <v>2986</v>
      </c>
    </row>
    <row r="2753" spans="1:8" ht="25.5" x14ac:dyDescent="0.2">
      <c r="A2753" s="1" t="s">
        <v>8</v>
      </c>
      <c r="B2753" s="2" t="s">
        <v>281</v>
      </c>
      <c r="C2753" s="5" t="s">
        <v>1074</v>
      </c>
      <c r="D2753" s="5" t="s">
        <v>1075</v>
      </c>
      <c r="E2753" s="10">
        <v>159000</v>
      </c>
      <c r="F2753" s="3">
        <v>161000</v>
      </c>
      <c r="G2753" s="57">
        <f t="shared" si="43"/>
        <v>1.2578616352201259E-2</v>
      </c>
      <c r="H2753" s="5" t="s">
        <v>2986</v>
      </c>
    </row>
    <row r="2754" spans="1:8" ht="25.5" x14ac:dyDescent="0.2">
      <c r="A2754" s="1" t="s">
        <v>8</v>
      </c>
      <c r="B2754" s="2" t="s">
        <v>281</v>
      </c>
      <c r="C2754" s="5" t="s">
        <v>1076</v>
      </c>
      <c r="D2754" s="5" t="s">
        <v>1077</v>
      </c>
      <c r="E2754" s="10">
        <v>159000</v>
      </c>
      <c r="F2754" s="3">
        <v>160000</v>
      </c>
      <c r="G2754" s="57">
        <f t="shared" si="43"/>
        <v>6.2893081761006293E-3</v>
      </c>
      <c r="H2754" s="5" t="s">
        <v>2987</v>
      </c>
    </row>
    <row r="2755" spans="1:8" x14ac:dyDescent="0.2">
      <c r="A2755" s="1" t="s">
        <v>8</v>
      </c>
      <c r="B2755" s="2" t="s">
        <v>281</v>
      </c>
      <c r="D2755" s="5" t="s">
        <v>604</v>
      </c>
      <c r="E2755" s="10" t="s">
        <v>465</v>
      </c>
      <c r="F2755" s="3">
        <v>146000</v>
      </c>
      <c r="G2755" s="57" t="str">
        <f t="shared" si="43"/>
        <v>-</v>
      </c>
      <c r="H2755" s="5" t="s">
        <v>2988</v>
      </c>
    </row>
    <row r="2756" spans="1:8" x14ac:dyDescent="0.2">
      <c r="A2756" s="1" t="s">
        <v>8</v>
      </c>
      <c r="B2756" s="2" t="s">
        <v>281</v>
      </c>
      <c r="D2756" s="5" t="s">
        <v>1078</v>
      </c>
      <c r="E2756" s="10">
        <v>128000</v>
      </c>
      <c r="F2756" s="3">
        <v>146000</v>
      </c>
      <c r="G2756" s="57">
        <f t="shared" si="43"/>
        <v>0.140625</v>
      </c>
      <c r="H2756" s="5" t="s">
        <v>2989</v>
      </c>
    </row>
    <row r="2757" spans="1:8" ht="25.5" x14ac:dyDescent="0.2">
      <c r="A2757" s="1" t="s">
        <v>8</v>
      </c>
      <c r="B2757" s="2" t="s">
        <v>281</v>
      </c>
      <c r="D2757" s="5" t="s">
        <v>1079</v>
      </c>
      <c r="E2757" s="10" t="s">
        <v>465</v>
      </c>
      <c r="F2757" s="3">
        <v>140000</v>
      </c>
      <c r="G2757" s="57" t="str">
        <f t="shared" si="43"/>
        <v>-</v>
      </c>
      <c r="H2757" s="5" t="s">
        <v>2990</v>
      </c>
    </row>
    <row r="2758" spans="1:8" ht="25.5" x14ac:dyDescent="0.2">
      <c r="A2758" s="1" t="s">
        <v>8</v>
      </c>
      <c r="B2758" s="2" t="s">
        <v>281</v>
      </c>
      <c r="D2758" s="5" t="s">
        <v>858</v>
      </c>
      <c r="E2758" s="10" t="s">
        <v>465</v>
      </c>
      <c r="F2758" s="3">
        <v>118000</v>
      </c>
      <c r="G2758" s="57" t="str">
        <f t="shared" si="43"/>
        <v>-</v>
      </c>
      <c r="H2758" s="5" t="s">
        <v>2991</v>
      </c>
    </row>
    <row r="2759" spans="1:8" x14ac:dyDescent="0.2">
      <c r="A2759" s="1" t="s">
        <v>8</v>
      </c>
      <c r="B2759" s="2" t="s">
        <v>281</v>
      </c>
      <c r="D2759" s="5" t="s">
        <v>464</v>
      </c>
      <c r="E2759" s="3">
        <v>102500</v>
      </c>
      <c r="F2759" s="3" t="s">
        <v>465</v>
      </c>
      <c r="G2759" s="57" t="str">
        <f t="shared" si="43"/>
        <v>-</v>
      </c>
      <c r="H2759" s="1"/>
    </row>
    <row r="2760" spans="1:8" x14ac:dyDescent="0.2">
      <c r="A2760" s="1" t="s">
        <v>8</v>
      </c>
      <c r="B2760" s="2" t="s">
        <v>281</v>
      </c>
      <c r="D2760" s="5" t="s">
        <v>464</v>
      </c>
      <c r="E2760" s="3" t="s">
        <v>465</v>
      </c>
      <c r="F2760" s="3">
        <v>102500</v>
      </c>
      <c r="G2760" s="57" t="str">
        <f t="shared" si="43"/>
        <v>-</v>
      </c>
      <c r="H2760" s="1"/>
    </row>
    <row r="2761" spans="1:8" x14ac:dyDescent="0.2">
      <c r="A2761" s="1" t="s">
        <v>8</v>
      </c>
      <c r="B2761" s="2" t="s">
        <v>281</v>
      </c>
      <c r="D2761" s="5" t="s">
        <v>464</v>
      </c>
      <c r="E2761" s="3">
        <v>107500</v>
      </c>
      <c r="F2761" s="3" t="s">
        <v>465</v>
      </c>
      <c r="G2761" s="57" t="str">
        <f t="shared" si="43"/>
        <v>-</v>
      </c>
      <c r="H2761" s="1"/>
    </row>
    <row r="2762" spans="1:8" x14ac:dyDescent="0.2">
      <c r="A2762" s="1" t="s">
        <v>8</v>
      </c>
      <c r="B2762" s="2" t="s">
        <v>281</v>
      </c>
      <c r="D2762" s="5" t="s">
        <v>464</v>
      </c>
      <c r="E2762" s="3">
        <v>112500</v>
      </c>
      <c r="F2762" s="3" t="s">
        <v>465</v>
      </c>
      <c r="G2762" s="57" t="str">
        <f t="shared" si="43"/>
        <v>-</v>
      </c>
      <c r="H2762" s="1"/>
    </row>
    <row r="2763" spans="1:8" x14ac:dyDescent="0.2">
      <c r="A2763" s="1" t="s">
        <v>8</v>
      </c>
      <c r="B2763" s="2" t="s">
        <v>281</v>
      </c>
      <c r="D2763" s="5" t="s">
        <v>464</v>
      </c>
      <c r="E2763" s="3">
        <v>117500</v>
      </c>
      <c r="F2763" s="3" t="s">
        <v>465</v>
      </c>
      <c r="G2763" s="57" t="str">
        <f t="shared" si="43"/>
        <v>-</v>
      </c>
      <c r="H2763" s="1"/>
    </row>
    <row r="2764" spans="1:8" x14ac:dyDescent="0.2">
      <c r="A2764" s="1" t="s">
        <v>8</v>
      </c>
      <c r="B2764" s="2" t="s">
        <v>281</v>
      </c>
      <c r="D2764" s="5" t="s">
        <v>464</v>
      </c>
      <c r="E2764" s="3">
        <v>132500</v>
      </c>
      <c r="F2764" s="3" t="s">
        <v>465</v>
      </c>
      <c r="G2764" s="57" t="str">
        <f t="shared" si="43"/>
        <v>-</v>
      </c>
      <c r="H2764" s="1"/>
    </row>
    <row r="2765" spans="1:8" x14ac:dyDescent="0.2">
      <c r="A2765" s="1" t="s">
        <v>8</v>
      </c>
      <c r="B2765" s="2" t="s">
        <v>281</v>
      </c>
      <c r="D2765" s="5" t="s">
        <v>464</v>
      </c>
      <c r="E2765" s="3">
        <v>132500</v>
      </c>
      <c r="F2765" s="3" t="s">
        <v>465</v>
      </c>
      <c r="G2765" s="57" t="str">
        <f t="shared" si="43"/>
        <v>-</v>
      </c>
      <c r="H2765" s="1"/>
    </row>
    <row r="2766" spans="1:8" x14ac:dyDescent="0.2">
      <c r="A2766" s="1" t="s">
        <v>8</v>
      </c>
      <c r="B2766" s="2" t="s">
        <v>281</v>
      </c>
      <c r="D2766" s="5" t="s">
        <v>464</v>
      </c>
      <c r="E2766" s="3">
        <v>132500</v>
      </c>
      <c r="F2766" s="3" t="s">
        <v>465</v>
      </c>
      <c r="G2766" s="57" t="str">
        <f t="shared" si="43"/>
        <v>-</v>
      </c>
      <c r="H2766" s="1"/>
    </row>
    <row r="2767" spans="1:8" x14ac:dyDescent="0.2">
      <c r="A2767" s="1" t="s">
        <v>8</v>
      </c>
      <c r="B2767" s="2" t="s">
        <v>281</v>
      </c>
      <c r="D2767" s="5" t="s">
        <v>464</v>
      </c>
      <c r="E2767" s="3">
        <v>132500</v>
      </c>
      <c r="F2767" s="3" t="s">
        <v>465</v>
      </c>
      <c r="G2767" s="57" t="str">
        <f t="shared" si="43"/>
        <v>-</v>
      </c>
      <c r="H2767" s="1"/>
    </row>
    <row r="2768" spans="1:8" x14ac:dyDescent="0.2">
      <c r="A2768" s="1" t="s">
        <v>8</v>
      </c>
      <c r="B2768" s="2" t="s">
        <v>281</v>
      </c>
      <c r="D2768" s="5" t="s">
        <v>464</v>
      </c>
      <c r="E2768" s="3" t="s">
        <v>465</v>
      </c>
      <c r="F2768" s="3">
        <v>137500</v>
      </c>
      <c r="G2768" s="57" t="str">
        <f t="shared" si="43"/>
        <v>-</v>
      </c>
      <c r="H2768" s="1"/>
    </row>
    <row r="2769" spans="1:8" x14ac:dyDescent="0.2">
      <c r="A2769" s="1" t="s">
        <v>8</v>
      </c>
      <c r="B2769" s="2" t="s">
        <v>281</v>
      </c>
      <c r="D2769" s="5" t="s">
        <v>464</v>
      </c>
      <c r="E2769" s="3">
        <v>147500</v>
      </c>
      <c r="F2769" s="3" t="s">
        <v>465</v>
      </c>
      <c r="G2769" s="57" t="str">
        <f t="shared" si="43"/>
        <v>-</v>
      </c>
      <c r="H2769" s="1"/>
    </row>
    <row r="2770" spans="1:8" x14ac:dyDescent="0.2">
      <c r="A2770" s="1" t="s">
        <v>8</v>
      </c>
      <c r="B2770" s="2" t="s">
        <v>281</v>
      </c>
      <c r="D2770" s="5" t="s">
        <v>464</v>
      </c>
      <c r="E2770" s="3">
        <v>197500</v>
      </c>
      <c r="F2770" s="3" t="s">
        <v>465</v>
      </c>
      <c r="G2770" s="57" t="str">
        <f t="shared" si="43"/>
        <v>-</v>
      </c>
    </row>
    <row r="2771" spans="1:8" x14ac:dyDescent="0.2">
      <c r="A2771" s="1" t="s">
        <v>111</v>
      </c>
      <c r="B2771" s="2" t="s">
        <v>282</v>
      </c>
      <c r="C2771" s="5" t="s">
        <v>1059</v>
      </c>
      <c r="D2771" s="5" t="s">
        <v>450</v>
      </c>
      <c r="E2771" s="9">
        <v>188458</v>
      </c>
      <c r="F2771" s="3">
        <v>172498</v>
      </c>
      <c r="G2771" s="57">
        <f t="shared" si="43"/>
        <v>-8.4687304333060945E-2</v>
      </c>
      <c r="H2771" s="5" t="s">
        <v>2979</v>
      </c>
    </row>
    <row r="2772" spans="1:8" ht="25.5" x14ac:dyDescent="0.2">
      <c r="A2772" s="1" t="s">
        <v>111</v>
      </c>
      <c r="B2772" s="2" t="s">
        <v>282</v>
      </c>
      <c r="C2772" s="5" t="s">
        <v>1060</v>
      </c>
      <c r="D2772" s="5" t="s">
        <v>1061</v>
      </c>
      <c r="E2772" s="9" t="s">
        <v>465</v>
      </c>
      <c r="F2772" s="3">
        <v>123926</v>
      </c>
      <c r="G2772" s="57" t="str">
        <f t="shared" si="43"/>
        <v>-</v>
      </c>
      <c r="H2772" s="5" t="s">
        <v>4385</v>
      </c>
    </row>
    <row r="2773" spans="1:8" ht="25.5" x14ac:dyDescent="0.2">
      <c r="A2773" s="1" t="s">
        <v>111</v>
      </c>
      <c r="B2773" s="2" t="s">
        <v>282</v>
      </c>
      <c r="C2773" s="5" t="s">
        <v>1062</v>
      </c>
      <c r="D2773" s="5" t="s">
        <v>1063</v>
      </c>
      <c r="E2773" s="9">
        <v>152092</v>
      </c>
      <c r="F2773" s="3">
        <v>207341</v>
      </c>
      <c r="G2773" s="57">
        <f t="shared" si="43"/>
        <v>0.36326039502406438</v>
      </c>
      <c r="H2773" s="5" t="s">
        <v>2980</v>
      </c>
    </row>
    <row r="2774" spans="1:8" ht="25.5" x14ac:dyDescent="0.2">
      <c r="A2774" s="1" t="s">
        <v>111</v>
      </c>
      <c r="B2774" s="2" t="s">
        <v>282</v>
      </c>
      <c r="C2774" s="5" t="s">
        <v>1065</v>
      </c>
      <c r="D2774" s="5" t="s">
        <v>1064</v>
      </c>
      <c r="E2774" s="9">
        <v>135337</v>
      </c>
      <c r="F2774" s="3">
        <v>137364</v>
      </c>
      <c r="G2774" s="57">
        <f t="shared" si="43"/>
        <v>1.4977426719965716E-2</v>
      </c>
      <c r="H2774" s="5" t="s">
        <v>2981</v>
      </c>
    </row>
    <row r="2775" spans="1:8" ht="25.5" x14ac:dyDescent="0.2">
      <c r="A2775" s="1" t="s">
        <v>111</v>
      </c>
      <c r="B2775" s="2" t="s">
        <v>282</v>
      </c>
      <c r="C2775" s="5" t="s">
        <v>1066</v>
      </c>
      <c r="D2775" s="5" t="s">
        <v>1067</v>
      </c>
      <c r="E2775" s="9" t="s">
        <v>465</v>
      </c>
      <c r="F2775" s="3">
        <v>112126</v>
      </c>
      <c r="G2775" s="57" t="str">
        <f t="shared" si="43"/>
        <v>-</v>
      </c>
      <c r="H2775" s="5" t="s">
        <v>2982</v>
      </c>
    </row>
    <row r="2776" spans="1:8" ht="38.25" x14ac:dyDescent="0.2">
      <c r="A2776" s="1" t="s">
        <v>111</v>
      </c>
      <c r="B2776" s="2" t="s">
        <v>282</v>
      </c>
      <c r="D2776" s="5" t="s">
        <v>1068</v>
      </c>
      <c r="E2776" s="9">
        <v>163148</v>
      </c>
      <c r="F2776" s="3">
        <v>111218</v>
      </c>
      <c r="G2776" s="57">
        <f t="shared" si="43"/>
        <v>-0.31829994851300658</v>
      </c>
      <c r="H2776" s="5" t="s">
        <v>4386</v>
      </c>
    </row>
    <row r="2777" spans="1:8" ht="38.25" x14ac:dyDescent="0.2">
      <c r="A2777" s="1" t="s">
        <v>111</v>
      </c>
      <c r="B2777" s="2" t="s">
        <v>282</v>
      </c>
      <c r="C2777" s="5" t="s">
        <v>1069</v>
      </c>
      <c r="D2777" s="5" t="s">
        <v>1070</v>
      </c>
      <c r="E2777" s="9">
        <v>164417</v>
      </c>
      <c r="F2777" s="3">
        <v>337502</v>
      </c>
      <c r="G2777" s="57">
        <f t="shared" si="43"/>
        <v>1.0527196092861444</v>
      </c>
      <c r="H2777" s="5" t="s">
        <v>4387</v>
      </c>
    </row>
    <row r="2778" spans="1:8" ht="38.25" x14ac:dyDescent="0.2">
      <c r="A2778" s="1" t="s">
        <v>111</v>
      </c>
      <c r="B2778" s="2" t="s">
        <v>282</v>
      </c>
      <c r="D2778" s="5" t="s">
        <v>452</v>
      </c>
      <c r="E2778" s="9">
        <v>137845</v>
      </c>
      <c r="F2778" s="3">
        <v>246460</v>
      </c>
      <c r="G2778" s="57">
        <f t="shared" ref="G2778:G2841" si="44">IF(ISERROR((F2778-E2778)/E2778),"-",(F2778-E2778)/E2778)</f>
        <v>0.78795023395843156</v>
      </c>
      <c r="H2778" s="5" t="s">
        <v>4388</v>
      </c>
    </row>
    <row r="2779" spans="1:8" x14ac:dyDescent="0.2">
      <c r="A2779" s="1" t="s">
        <v>111</v>
      </c>
      <c r="B2779" s="2" t="s">
        <v>282</v>
      </c>
      <c r="D2779" s="5" t="s">
        <v>2983</v>
      </c>
      <c r="E2779" s="9">
        <v>311395</v>
      </c>
      <c r="F2779" s="3" t="s">
        <v>465</v>
      </c>
      <c r="G2779" s="57" t="str">
        <f t="shared" si="44"/>
        <v>-</v>
      </c>
      <c r="H2779" s="5" t="s">
        <v>4389</v>
      </c>
    </row>
    <row r="2780" spans="1:8" ht="25.5" x14ac:dyDescent="0.2">
      <c r="A2780" s="1" t="s">
        <v>111</v>
      </c>
      <c r="B2780" s="2" t="s">
        <v>282</v>
      </c>
      <c r="C2780" s="5" t="s">
        <v>2985</v>
      </c>
      <c r="D2780" s="5" t="s">
        <v>2984</v>
      </c>
      <c r="E2780" s="9">
        <v>131518</v>
      </c>
      <c r="F2780" s="3">
        <v>38565</v>
      </c>
      <c r="G2780" s="57">
        <f t="shared" si="44"/>
        <v>-0.70677017594549796</v>
      </c>
      <c r="H2780" s="5" t="s">
        <v>4390</v>
      </c>
    </row>
    <row r="2781" spans="1:8" x14ac:dyDescent="0.2">
      <c r="A2781" s="1" t="s">
        <v>111</v>
      </c>
      <c r="B2781" s="2" t="s">
        <v>282</v>
      </c>
      <c r="D2781" s="5" t="s">
        <v>464</v>
      </c>
      <c r="E2781" s="3" t="s">
        <v>465</v>
      </c>
      <c r="F2781" s="3">
        <v>102500</v>
      </c>
      <c r="G2781" s="57" t="str">
        <f t="shared" si="44"/>
        <v>-</v>
      </c>
      <c r="H2781" s="5" t="s">
        <v>539</v>
      </c>
    </row>
    <row r="2782" spans="1:8" x14ac:dyDescent="0.2">
      <c r="A2782" s="1" t="s">
        <v>111</v>
      </c>
      <c r="B2782" s="2" t="s">
        <v>282</v>
      </c>
      <c r="D2782" s="5" t="s">
        <v>464</v>
      </c>
      <c r="E2782" s="3" t="s">
        <v>465</v>
      </c>
      <c r="F2782" s="3">
        <v>102500</v>
      </c>
      <c r="G2782" s="57" t="str">
        <f t="shared" si="44"/>
        <v>-</v>
      </c>
      <c r="H2782" s="5" t="s">
        <v>539</v>
      </c>
    </row>
    <row r="2783" spans="1:8" x14ac:dyDescent="0.2">
      <c r="A2783" s="1" t="s">
        <v>111</v>
      </c>
      <c r="B2783" s="2" t="s">
        <v>282</v>
      </c>
      <c r="D2783" s="5" t="s">
        <v>464</v>
      </c>
      <c r="E2783" s="3" t="s">
        <v>465</v>
      </c>
      <c r="F2783" s="3">
        <v>102500</v>
      </c>
      <c r="G2783" s="57" t="str">
        <f t="shared" si="44"/>
        <v>-</v>
      </c>
      <c r="H2783" s="5" t="s">
        <v>539</v>
      </c>
    </row>
    <row r="2784" spans="1:8" x14ac:dyDescent="0.2">
      <c r="A2784" s="1" t="s">
        <v>111</v>
      </c>
      <c r="B2784" s="2" t="s">
        <v>282</v>
      </c>
      <c r="D2784" s="5" t="s">
        <v>464</v>
      </c>
      <c r="E2784" s="3" t="s">
        <v>465</v>
      </c>
      <c r="F2784" s="3">
        <v>102500</v>
      </c>
      <c r="G2784" s="57" t="str">
        <f t="shared" si="44"/>
        <v>-</v>
      </c>
    </row>
    <row r="2785" spans="1:8" x14ac:dyDescent="0.2">
      <c r="A2785" s="1" t="s">
        <v>111</v>
      </c>
      <c r="B2785" s="2" t="s">
        <v>282</v>
      </c>
      <c r="D2785" s="5" t="s">
        <v>464</v>
      </c>
      <c r="E2785" s="3" t="s">
        <v>465</v>
      </c>
      <c r="F2785" s="3">
        <v>102500</v>
      </c>
      <c r="G2785" s="57" t="str">
        <f t="shared" si="44"/>
        <v>-</v>
      </c>
    </row>
    <row r="2786" spans="1:8" x14ac:dyDescent="0.2">
      <c r="A2786" s="1" t="s">
        <v>111</v>
      </c>
      <c r="B2786" s="2" t="s">
        <v>282</v>
      </c>
      <c r="D2786" s="5" t="s">
        <v>464</v>
      </c>
      <c r="E2786" s="3">
        <v>102500</v>
      </c>
      <c r="F2786" s="3" t="s">
        <v>465</v>
      </c>
      <c r="G2786" s="57" t="str">
        <f t="shared" si="44"/>
        <v>-</v>
      </c>
      <c r="H2786" s="5" t="s">
        <v>539</v>
      </c>
    </row>
    <row r="2787" spans="1:8" x14ac:dyDescent="0.2">
      <c r="A2787" s="1" t="s">
        <v>111</v>
      </c>
      <c r="B2787" s="2" t="s">
        <v>282</v>
      </c>
      <c r="D2787" s="5" t="s">
        <v>464</v>
      </c>
      <c r="E2787" s="3">
        <v>102500</v>
      </c>
      <c r="F2787" s="3" t="s">
        <v>465</v>
      </c>
      <c r="G2787" s="57" t="str">
        <f t="shared" si="44"/>
        <v>-</v>
      </c>
      <c r="H2787" s="5" t="s">
        <v>539</v>
      </c>
    </row>
    <row r="2788" spans="1:8" x14ac:dyDescent="0.2">
      <c r="A2788" s="1" t="s">
        <v>111</v>
      </c>
      <c r="B2788" s="2" t="s">
        <v>282</v>
      </c>
      <c r="D2788" s="5" t="s">
        <v>464</v>
      </c>
      <c r="E2788" s="3">
        <v>102500</v>
      </c>
      <c r="F2788" s="3" t="s">
        <v>465</v>
      </c>
      <c r="G2788" s="57" t="str">
        <f t="shared" si="44"/>
        <v>-</v>
      </c>
      <c r="H2788" s="5" t="s">
        <v>539</v>
      </c>
    </row>
    <row r="2789" spans="1:8" x14ac:dyDescent="0.2">
      <c r="A2789" s="1" t="s">
        <v>111</v>
      </c>
      <c r="B2789" s="2" t="s">
        <v>282</v>
      </c>
      <c r="D2789" s="5" t="s">
        <v>464</v>
      </c>
      <c r="E2789" s="3">
        <v>102500</v>
      </c>
      <c r="F2789" s="3" t="s">
        <v>465</v>
      </c>
      <c r="G2789" s="57" t="str">
        <f t="shared" si="44"/>
        <v>-</v>
      </c>
      <c r="H2789" s="5" t="s">
        <v>539</v>
      </c>
    </row>
    <row r="2790" spans="1:8" x14ac:dyDescent="0.2">
      <c r="A2790" s="1" t="s">
        <v>111</v>
      </c>
      <c r="B2790" s="2" t="s">
        <v>282</v>
      </c>
      <c r="D2790" s="5" t="s">
        <v>464</v>
      </c>
      <c r="E2790" s="3">
        <v>102500</v>
      </c>
      <c r="F2790" s="3" t="s">
        <v>465</v>
      </c>
      <c r="G2790" s="57" t="str">
        <f t="shared" si="44"/>
        <v>-</v>
      </c>
      <c r="H2790" s="5" t="s">
        <v>539</v>
      </c>
    </row>
    <row r="2791" spans="1:8" x14ac:dyDescent="0.2">
      <c r="A2791" s="1" t="s">
        <v>111</v>
      </c>
      <c r="B2791" s="2" t="s">
        <v>282</v>
      </c>
      <c r="D2791" s="5" t="s">
        <v>464</v>
      </c>
      <c r="E2791" s="3">
        <v>102500</v>
      </c>
      <c r="F2791" s="3" t="s">
        <v>465</v>
      </c>
      <c r="G2791" s="57" t="str">
        <f t="shared" si="44"/>
        <v>-</v>
      </c>
    </row>
    <row r="2792" spans="1:8" x14ac:dyDescent="0.2">
      <c r="A2792" s="1" t="s">
        <v>111</v>
      </c>
      <c r="B2792" s="2" t="s">
        <v>282</v>
      </c>
      <c r="D2792" s="5" t="s">
        <v>464</v>
      </c>
      <c r="E2792" s="3">
        <v>102500</v>
      </c>
      <c r="F2792" s="3" t="s">
        <v>465</v>
      </c>
      <c r="G2792" s="57" t="str">
        <f t="shared" si="44"/>
        <v>-</v>
      </c>
    </row>
    <row r="2793" spans="1:8" x14ac:dyDescent="0.2">
      <c r="A2793" s="1" t="s">
        <v>111</v>
      </c>
      <c r="B2793" s="2" t="s">
        <v>282</v>
      </c>
      <c r="D2793" s="5" t="s">
        <v>464</v>
      </c>
      <c r="E2793" s="3">
        <v>102500</v>
      </c>
      <c r="F2793" s="3" t="s">
        <v>465</v>
      </c>
      <c r="G2793" s="57" t="str">
        <f t="shared" si="44"/>
        <v>-</v>
      </c>
    </row>
    <row r="2794" spans="1:8" x14ac:dyDescent="0.2">
      <c r="A2794" s="1" t="s">
        <v>111</v>
      </c>
      <c r="B2794" s="2" t="s">
        <v>282</v>
      </c>
      <c r="D2794" s="5" t="s">
        <v>464</v>
      </c>
      <c r="E2794" s="3" t="s">
        <v>465</v>
      </c>
      <c r="F2794" s="3">
        <v>107500</v>
      </c>
      <c r="G2794" s="57" t="str">
        <f t="shared" si="44"/>
        <v>-</v>
      </c>
      <c r="H2794" s="5" t="s">
        <v>539</v>
      </c>
    </row>
    <row r="2795" spans="1:8" x14ac:dyDescent="0.2">
      <c r="A2795" s="1" t="s">
        <v>111</v>
      </c>
      <c r="B2795" s="2" t="s">
        <v>282</v>
      </c>
      <c r="D2795" s="5" t="s">
        <v>464</v>
      </c>
      <c r="E2795" s="3" t="s">
        <v>465</v>
      </c>
      <c r="F2795" s="3">
        <v>107500</v>
      </c>
      <c r="G2795" s="57" t="str">
        <f t="shared" si="44"/>
        <v>-</v>
      </c>
    </row>
    <row r="2796" spans="1:8" x14ac:dyDescent="0.2">
      <c r="A2796" s="1" t="s">
        <v>111</v>
      </c>
      <c r="B2796" s="2" t="s">
        <v>282</v>
      </c>
      <c r="D2796" s="5" t="s">
        <v>464</v>
      </c>
      <c r="E2796" s="3">
        <v>107500</v>
      </c>
      <c r="F2796" s="3" t="s">
        <v>465</v>
      </c>
      <c r="G2796" s="57" t="str">
        <f t="shared" si="44"/>
        <v>-</v>
      </c>
      <c r="H2796" s="5" t="s">
        <v>539</v>
      </c>
    </row>
    <row r="2797" spans="1:8" x14ac:dyDescent="0.2">
      <c r="A2797" s="1" t="s">
        <v>111</v>
      </c>
      <c r="B2797" s="2" t="s">
        <v>282</v>
      </c>
      <c r="D2797" s="5" t="s">
        <v>464</v>
      </c>
      <c r="E2797" s="3">
        <v>107500</v>
      </c>
      <c r="F2797" s="35" t="s">
        <v>465</v>
      </c>
      <c r="G2797" s="57" t="str">
        <f t="shared" si="44"/>
        <v>-</v>
      </c>
      <c r="H2797" s="5" t="s">
        <v>539</v>
      </c>
    </row>
    <row r="2798" spans="1:8" x14ac:dyDescent="0.2">
      <c r="A2798" s="1" t="s">
        <v>111</v>
      </c>
      <c r="B2798" s="2" t="s">
        <v>282</v>
      </c>
      <c r="D2798" s="5" t="s">
        <v>464</v>
      </c>
      <c r="E2798" s="3" t="s">
        <v>465</v>
      </c>
      <c r="F2798" s="3">
        <v>112500</v>
      </c>
      <c r="G2798" s="57" t="str">
        <f t="shared" si="44"/>
        <v>-</v>
      </c>
      <c r="H2798" s="5" t="s">
        <v>539</v>
      </c>
    </row>
    <row r="2799" spans="1:8" x14ac:dyDescent="0.2">
      <c r="A2799" s="1" t="s">
        <v>111</v>
      </c>
      <c r="B2799" s="2" t="s">
        <v>282</v>
      </c>
      <c r="D2799" s="5" t="s">
        <v>464</v>
      </c>
      <c r="E2799" s="3">
        <v>112500</v>
      </c>
      <c r="F2799" s="3" t="s">
        <v>465</v>
      </c>
      <c r="G2799" s="57" t="str">
        <f t="shared" si="44"/>
        <v>-</v>
      </c>
      <c r="H2799" s="5" t="s">
        <v>539</v>
      </c>
    </row>
    <row r="2800" spans="1:8" x14ac:dyDescent="0.2">
      <c r="A2800" s="1" t="s">
        <v>111</v>
      </c>
      <c r="B2800" s="2" t="s">
        <v>282</v>
      </c>
      <c r="D2800" s="5" t="s">
        <v>464</v>
      </c>
      <c r="E2800" s="3">
        <v>112500</v>
      </c>
      <c r="F2800" s="3" t="s">
        <v>465</v>
      </c>
      <c r="G2800" s="57" t="str">
        <f t="shared" si="44"/>
        <v>-</v>
      </c>
      <c r="H2800" s="5" t="s">
        <v>539</v>
      </c>
    </row>
    <row r="2801" spans="1:8" x14ac:dyDescent="0.2">
      <c r="A2801" s="1" t="s">
        <v>111</v>
      </c>
      <c r="B2801" s="2" t="s">
        <v>282</v>
      </c>
      <c r="D2801" s="5" t="s">
        <v>464</v>
      </c>
      <c r="E2801" s="3">
        <v>117500</v>
      </c>
      <c r="F2801" s="3" t="s">
        <v>465</v>
      </c>
      <c r="G2801" s="57" t="str">
        <f t="shared" si="44"/>
        <v>-</v>
      </c>
    </row>
    <row r="2802" spans="1:8" x14ac:dyDescent="0.2">
      <c r="A2802" s="1" t="s">
        <v>111</v>
      </c>
      <c r="B2802" s="2" t="s">
        <v>282</v>
      </c>
      <c r="D2802" s="5" t="s">
        <v>464</v>
      </c>
      <c r="E2802" s="3" t="s">
        <v>465</v>
      </c>
      <c r="F2802" s="3">
        <v>122500</v>
      </c>
      <c r="G2802" s="57" t="str">
        <f t="shared" si="44"/>
        <v>-</v>
      </c>
      <c r="H2802" s="5" t="s">
        <v>539</v>
      </c>
    </row>
    <row r="2803" spans="1:8" x14ac:dyDescent="0.2">
      <c r="A2803" s="1" t="s">
        <v>111</v>
      </c>
      <c r="B2803" s="2" t="s">
        <v>282</v>
      </c>
      <c r="D2803" s="5" t="s">
        <v>464</v>
      </c>
      <c r="E2803" s="3" t="s">
        <v>465</v>
      </c>
      <c r="F2803" s="3">
        <v>122500</v>
      </c>
      <c r="G2803" s="57" t="str">
        <f t="shared" si="44"/>
        <v>-</v>
      </c>
      <c r="H2803" s="5" t="s">
        <v>539</v>
      </c>
    </row>
    <row r="2804" spans="1:8" x14ac:dyDescent="0.2">
      <c r="A2804" s="1" t="s">
        <v>111</v>
      </c>
      <c r="B2804" s="2" t="s">
        <v>282</v>
      </c>
      <c r="D2804" s="5" t="s">
        <v>464</v>
      </c>
      <c r="E2804" s="3" t="s">
        <v>465</v>
      </c>
      <c r="F2804" s="3">
        <v>127500</v>
      </c>
      <c r="G2804" s="57" t="str">
        <f t="shared" si="44"/>
        <v>-</v>
      </c>
      <c r="H2804" s="5" t="s">
        <v>539</v>
      </c>
    </row>
    <row r="2805" spans="1:8" x14ac:dyDescent="0.2">
      <c r="A2805" s="1" t="s">
        <v>111</v>
      </c>
      <c r="B2805" s="2" t="s">
        <v>282</v>
      </c>
      <c r="D2805" s="5" t="s">
        <v>464</v>
      </c>
      <c r="E2805" s="3" t="s">
        <v>465</v>
      </c>
      <c r="F2805" s="3">
        <v>127500</v>
      </c>
      <c r="G2805" s="57" t="str">
        <f t="shared" si="44"/>
        <v>-</v>
      </c>
      <c r="H2805" s="5" t="s">
        <v>539</v>
      </c>
    </row>
    <row r="2806" spans="1:8" x14ac:dyDescent="0.2">
      <c r="A2806" s="1" t="s">
        <v>111</v>
      </c>
      <c r="B2806" s="2" t="s">
        <v>282</v>
      </c>
      <c r="D2806" s="5" t="s">
        <v>464</v>
      </c>
      <c r="E2806" s="3" t="s">
        <v>465</v>
      </c>
      <c r="F2806" s="3">
        <v>132500</v>
      </c>
      <c r="G2806" s="57" t="str">
        <f t="shared" si="44"/>
        <v>-</v>
      </c>
      <c r="H2806" s="5" t="s">
        <v>539</v>
      </c>
    </row>
    <row r="2807" spans="1:8" x14ac:dyDescent="0.2">
      <c r="A2807" s="1" t="s">
        <v>111</v>
      </c>
      <c r="B2807" s="2" t="s">
        <v>282</v>
      </c>
      <c r="D2807" s="5" t="s">
        <v>464</v>
      </c>
      <c r="E2807" s="3" t="s">
        <v>465</v>
      </c>
      <c r="F2807" s="3">
        <v>137500</v>
      </c>
      <c r="G2807" s="57" t="str">
        <f t="shared" si="44"/>
        <v>-</v>
      </c>
      <c r="H2807" s="5" t="s">
        <v>539</v>
      </c>
    </row>
    <row r="2808" spans="1:8" x14ac:dyDescent="0.2">
      <c r="A2808" s="1" t="s">
        <v>111</v>
      </c>
      <c r="B2808" s="2" t="s">
        <v>282</v>
      </c>
      <c r="D2808" s="5" t="s">
        <v>464</v>
      </c>
      <c r="E2808" s="3">
        <v>147500</v>
      </c>
      <c r="F2808" s="3" t="s">
        <v>465</v>
      </c>
      <c r="G2808" s="57" t="str">
        <f t="shared" si="44"/>
        <v>-</v>
      </c>
      <c r="H2808" s="5" t="s">
        <v>539</v>
      </c>
    </row>
    <row r="2809" spans="1:8" x14ac:dyDescent="0.2">
      <c r="A2809" s="1" t="s">
        <v>111</v>
      </c>
      <c r="B2809" s="2" t="s">
        <v>282</v>
      </c>
      <c r="D2809" s="5" t="s">
        <v>464</v>
      </c>
      <c r="E2809" s="3">
        <v>157500</v>
      </c>
      <c r="F2809" s="3" t="s">
        <v>465</v>
      </c>
      <c r="G2809" s="57" t="str">
        <f t="shared" si="44"/>
        <v>-</v>
      </c>
      <c r="H2809" s="5" t="s">
        <v>539</v>
      </c>
    </row>
    <row r="2810" spans="1:8" x14ac:dyDescent="0.2">
      <c r="A2810" s="1" t="s">
        <v>111</v>
      </c>
      <c r="B2810" s="2" t="s">
        <v>282</v>
      </c>
      <c r="D2810" s="5" t="s">
        <v>464</v>
      </c>
      <c r="E2810" s="3" t="s">
        <v>465</v>
      </c>
      <c r="F2810" s="3">
        <v>162500</v>
      </c>
      <c r="G2810" s="57" t="str">
        <f t="shared" si="44"/>
        <v>-</v>
      </c>
      <c r="H2810" s="5" t="s">
        <v>539</v>
      </c>
    </row>
    <row r="2811" spans="1:8" x14ac:dyDescent="0.2">
      <c r="A2811" s="1" t="s">
        <v>111</v>
      </c>
      <c r="B2811" s="2" t="s">
        <v>282</v>
      </c>
      <c r="D2811" s="5" t="s">
        <v>464</v>
      </c>
      <c r="E2811" s="3" t="s">
        <v>465</v>
      </c>
      <c r="F2811" s="3">
        <v>187500</v>
      </c>
      <c r="G2811" s="57" t="str">
        <f t="shared" si="44"/>
        <v>-</v>
      </c>
      <c r="H2811" s="5" t="s">
        <v>539</v>
      </c>
    </row>
    <row r="2812" spans="1:8" x14ac:dyDescent="0.2">
      <c r="A2812" s="1" t="s">
        <v>20</v>
      </c>
      <c r="B2812" s="2" t="s">
        <v>283</v>
      </c>
      <c r="D2812" s="5" t="s">
        <v>783</v>
      </c>
      <c r="E2812" s="3">
        <v>156626</v>
      </c>
      <c r="F2812" s="3">
        <v>158360</v>
      </c>
      <c r="G2812" s="57">
        <f t="shared" si="44"/>
        <v>1.1070958844636268E-2</v>
      </c>
      <c r="H2812" s="5" t="s">
        <v>2973</v>
      </c>
    </row>
    <row r="2813" spans="1:8" x14ac:dyDescent="0.2">
      <c r="A2813" s="1" t="s">
        <v>20</v>
      </c>
      <c r="B2813" s="2" t="s">
        <v>283</v>
      </c>
      <c r="D2813" s="5" t="s">
        <v>455</v>
      </c>
      <c r="E2813" s="3">
        <v>114327</v>
      </c>
      <c r="F2813" s="3">
        <v>114618</v>
      </c>
      <c r="G2813" s="57">
        <f t="shared" si="44"/>
        <v>2.545330499357107E-3</v>
      </c>
      <c r="H2813" s="5" t="s">
        <v>2974</v>
      </c>
    </row>
    <row r="2814" spans="1:8" x14ac:dyDescent="0.2">
      <c r="A2814" s="1" t="s">
        <v>20</v>
      </c>
      <c r="B2814" s="2" t="s">
        <v>283</v>
      </c>
      <c r="D2814" s="5" t="s">
        <v>1056</v>
      </c>
      <c r="E2814" s="3">
        <v>114051</v>
      </c>
      <c r="F2814" s="3">
        <v>114671</v>
      </c>
      <c r="G2814" s="57">
        <f t="shared" si="44"/>
        <v>5.4361645228888826E-3</v>
      </c>
      <c r="H2814" s="5" t="s">
        <v>2975</v>
      </c>
    </row>
    <row r="2815" spans="1:8" ht="25.5" x14ac:dyDescent="0.2">
      <c r="A2815" s="1" t="s">
        <v>20</v>
      </c>
      <c r="B2815" s="2" t="s">
        <v>283</v>
      </c>
      <c r="D2815" s="5" t="s">
        <v>1057</v>
      </c>
      <c r="E2815" s="3">
        <v>65167</v>
      </c>
      <c r="F2815" s="3">
        <v>135681</v>
      </c>
      <c r="G2815" s="57">
        <f t="shared" si="44"/>
        <v>1.0820507311983059</v>
      </c>
      <c r="H2815" s="5" t="s">
        <v>2976</v>
      </c>
    </row>
    <row r="2816" spans="1:8" ht="25.5" x14ac:dyDescent="0.2">
      <c r="A2816" s="1" t="s">
        <v>20</v>
      </c>
      <c r="B2816" s="2" t="s">
        <v>283</v>
      </c>
      <c r="D2816" s="5" t="s">
        <v>1058</v>
      </c>
      <c r="E2816" s="3">
        <v>86721</v>
      </c>
      <c r="F2816" s="3">
        <v>169849</v>
      </c>
      <c r="G2816" s="57">
        <f t="shared" si="44"/>
        <v>0.95856828219231793</v>
      </c>
      <c r="H2816" s="5" t="s">
        <v>2977</v>
      </c>
    </row>
    <row r="2817" spans="1:8" ht="25.5" x14ac:dyDescent="0.2">
      <c r="A2817" s="1" t="s">
        <v>20</v>
      </c>
      <c r="B2817" s="2" t="s">
        <v>283</v>
      </c>
      <c r="D2817" s="5" t="s">
        <v>501</v>
      </c>
      <c r="E2817" s="3">
        <v>114168</v>
      </c>
      <c r="F2817" s="3">
        <v>116716</v>
      </c>
      <c r="G2817" s="57">
        <f t="shared" si="44"/>
        <v>2.2317987527152968E-2</v>
      </c>
      <c r="H2817" s="5" t="s">
        <v>2978</v>
      </c>
    </row>
    <row r="2818" spans="1:8" ht="25.5" x14ac:dyDescent="0.2">
      <c r="A2818" s="1" t="s">
        <v>8</v>
      </c>
      <c r="B2818" s="2" t="s">
        <v>284</v>
      </c>
      <c r="C2818" s="5" t="s">
        <v>1053</v>
      </c>
      <c r="D2818" s="5" t="s">
        <v>450</v>
      </c>
      <c r="E2818" s="3">
        <v>193206</v>
      </c>
      <c r="F2818" s="3">
        <v>193929</v>
      </c>
      <c r="G2818" s="57">
        <f t="shared" si="44"/>
        <v>3.7421198099437908E-3</v>
      </c>
      <c r="H2818" s="5" t="s">
        <v>2969</v>
      </c>
    </row>
    <row r="2819" spans="1:8" ht="25.5" x14ac:dyDescent="0.2">
      <c r="A2819" s="1" t="s">
        <v>8</v>
      </c>
      <c r="B2819" s="2" t="s">
        <v>284</v>
      </c>
      <c r="D2819" s="5" t="s">
        <v>1054</v>
      </c>
      <c r="E2819" s="3">
        <v>168980</v>
      </c>
      <c r="F2819" s="3">
        <v>167074</v>
      </c>
      <c r="G2819" s="57">
        <f t="shared" si="44"/>
        <v>-1.1279441354006391E-2</v>
      </c>
      <c r="H2819" s="5" t="s">
        <v>2964</v>
      </c>
    </row>
    <row r="2820" spans="1:8" x14ac:dyDescent="0.2">
      <c r="A2820" s="1" t="s">
        <v>8</v>
      </c>
      <c r="B2820" s="2" t="s">
        <v>284</v>
      </c>
      <c r="D2820" s="5" t="s">
        <v>2967</v>
      </c>
      <c r="E2820" s="3">
        <v>153700</v>
      </c>
      <c r="F2820" s="3" t="s">
        <v>465</v>
      </c>
      <c r="G2820" s="57" t="str">
        <f t="shared" si="44"/>
        <v>-</v>
      </c>
    </row>
    <row r="2821" spans="1:8" ht="25.5" x14ac:dyDescent="0.2">
      <c r="A2821" s="1" t="s">
        <v>8</v>
      </c>
      <c r="B2821" s="2" t="s">
        <v>284</v>
      </c>
      <c r="D2821" s="5" t="s">
        <v>1693</v>
      </c>
      <c r="E2821" s="3">
        <v>169107</v>
      </c>
      <c r="F2821" s="3">
        <v>169969</v>
      </c>
      <c r="G2821" s="57">
        <f t="shared" si="44"/>
        <v>5.0973643905929383E-3</v>
      </c>
      <c r="H2821" s="5" t="s">
        <v>2965</v>
      </c>
    </row>
    <row r="2822" spans="1:8" ht="25.5" x14ac:dyDescent="0.2">
      <c r="A2822" s="1" t="s">
        <v>8</v>
      </c>
      <c r="B2822" s="2" t="s">
        <v>284</v>
      </c>
      <c r="D2822" s="5" t="s">
        <v>1055</v>
      </c>
      <c r="E2822" s="3">
        <v>101457</v>
      </c>
      <c r="F2822" s="3">
        <v>103725</v>
      </c>
      <c r="G2822" s="57">
        <f t="shared" si="44"/>
        <v>2.2354297879890003E-2</v>
      </c>
      <c r="H2822" s="5" t="s">
        <v>2966</v>
      </c>
    </row>
    <row r="2823" spans="1:8" ht="25.5" x14ac:dyDescent="0.2">
      <c r="A2823" s="1" t="s">
        <v>8</v>
      </c>
      <c r="B2823" s="2" t="s">
        <v>284</v>
      </c>
      <c r="D2823" s="5" t="s">
        <v>2968</v>
      </c>
      <c r="E2823" s="3">
        <v>168955</v>
      </c>
      <c r="F2823" s="3">
        <v>99062</v>
      </c>
      <c r="G2823" s="57">
        <f t="shared" si="44"/>
        <v>-0.41367819833683528</v>
      </c>
      <c r="H2823" s="5" t="s">
        <v>2971</v>
      </c>
    </row>
    <row r="2824" spans="1:8" x14ac:dyDescent="0.2">
      <c r="A2824" s="1" t="s">
        <v>8</v>
      </c>
      <c r="B2824" s="2" t="s">
        <v>284</v>
      </c>
      <c r="D2824" s="5" t="s">
        <v>2970</v>
      </c>
      <c r="E2824" s="3">
        <v>129799</v>
      </c>
      <c r="F2824" s="3">
        <v>78448</v>
      </c>
      <c r="G2824" s="57">
        <f t="shared" si="44"/>
        <v>-0.39561938073482844</v>
      </c>
      <c r="H2824" s="5" t="s">
        <v>2972</v>
      </c>
    </row>
    <row r="2825" spans="1:8" x14ac:dyDescent="0.2">
      <c r="A2825" s="1" t="s">
        <v>8</v>
      </c>
      <c r="B2825" s="2" t="s">
        <v>284</v>
      </c>
      <c r="D2825" s="5" t="s">
        <v>464</v>
      </c>
      <c r="E2825" s="3">
        <v>102500</v>
      </c>
      <c r="F2825" s="3" t="s">
        <v>465</v>
      </c>
      <c r="G2825" s="57" t="str">
        <f t="shared" si="44"/>
        <v>-</v>
      </c>
      <c r="H2825" s="1"/>
    </row>
    <row r="2826" spans="1:8" x14ac:dyDescent="0.2">
      <c r="A2826" s="1" t="s">
        <v>8</v>
      </c>
      <c r="B2826" s="2" t="s">
        <v>284</v>
      </c>
      <c r="D2826" s="5" t="s">
        <v>464</v>
      </c>
      <c r="E2826" s="3">
        <v>102500</v>
      </c>
      <c r="F2826" s="3" t="s">
        <v>465</v>
      </c>
      <c r="G2826" s="57" t="str">
        <f t="shared" si="44"/>
        <v>-</v>
      </c>
      <c r="H2826" s="1"/>
    </row>
    <row r="2827" spans="1:8" x14ac:dyDescent="0.2">
      <c r="A2827" s="1" t="s">
        <v>8</v>
      </c>
      <c r="B2827" s="2" t="s">
        <v>284</v>
      </c>
      <c r="D2827" s="5" t="s">
        <v>464</v>
      </c>
      <c r="E2827" s="3" t="s">
        <v>465</v>
      </c>
      <c r="F2827" s="3">
        <v>102500</v>
      </c>
      <c r="G2827" s="57" t="str">
        <f t="shared" si="44"/>
        <v>-</v>
      </c>
      <c r="H2827" s="1"/>
    </row>
    <row r="2828" spans="1:8" x14ac:dyDescent="0.2">
      <c r="A2828" s="1" t="s">
        <v>8</v>
      </c>
      <c r="B2828" s="2" t="s">
        <v>284</v>
      </c>
      <c r="D2828" s="5" t="s">
        <v>464</v>
      </c>
      <c r="E2828" s="3" t="s">
        <v>465</v>
      </c>
      <c r="F2828" s="3">
        <v>102500</v>
      </c>
      <c r="G2828" s="57" t="str">
        <f t="shared" si="44"/>
        <v>-</v>
      </c>
      <c r="H2828" s="1"/>
    </row>
    <row r="2829" spans="1:8" x14ac:dyDescent="0.2">
      <c r="A2829" s="1" t="s">
        <v>8</v>
      </c>
      <c r="B2829" s="2" t="s">
        <v>284</v>
      </c>
      <c r="D2829" s="5" t="s">
        <v>464</v>
      </c>
      <c r="E2829" s="3">
        <v>107500</v>
      </c>
      <c r="F2829" s="3" t="s">
        <v>465</v>
      </c>
      <c r="G2829" s="57" t="str">
        <f t="shared" si="44"/>
        <v>-</v>
      </c>
      <c r="H2829" s="1"/>
    </row>
    <row r="2830" spans="1:8" x14ac:dyDescent="0.2">
      <c r="A2830" s="1" t="s">
        <v>8</v>
      </c>
      <c r="B2830" s="2" t="s">
        <v>284</v>
      </c>
      <c r="D2830" s="5" t="s">
        <v>464</v>
      </c>
      <c r="E2830" s="3">
        <v>147500</v>
      </c>
      <c r="F2830" s="3" t="s">
        <v>465</v>
      </c>
      <c r="G2830" s="57" t="str">
        <f t="shared" si="44"/>
        <v>-</v>
      </c>
      <c r="H2830" s="1"/>
    </row>
    <row r="2831" spans="1:8" x14ac:dyDescent="0.2">
      <c r="A2831" s="1" t="s">
        <v>8</v>
      </c>
      <c r="B2831" s="2" t="s">
        <v>284</v>
      </c>
      <c r="D2831" s="5" t="s">
        <v>464</v>
      </c>
      <c r="E2831" s="3" t="s">
        <v>465</v>
      </c>
      <c r="F2831" s="3">
        <v>147500</v>
      </c>
      <c r="G2831" s="57" t="str">
        <f t="shared" si="44"/>
        <v>-</v>
      </c>
      <c r="H2831" s="1"/>
    </row>
    <row r="2832" spans="1:8" x14ac:dyDescent="0.2">
      <c r="A2832" s="1" t="s">
        <v>8</v>
      </c>
      <c r="B2832" s="2" t="s">
        <v>284</v>
      </c>
      <c r="D2832" s="5" t="s">
        <v>464</v>
      </c>
      <c r="E2832" s="3">
        <v>212500</v>
      </c>
      <c r="F2832" s="3" t="s">
        <v>465</v>
      </c>
      <c r="G2832" s="57" t="str">
        <f t="shared" si="44"/>
        <v>-</v>
      </c>
    </row>
    <row r="2833" spans="1:8" ht="25.5" x14ac:dyDescent="0.2">
      <c r="A2833" s="1" t="s">
        <v>8</v>
      </c>
      <c r="B2833" s="2" t="s">
        <v>285</v>
      </c>
      <c r="C2833" s="5" t="s">
        <v>1047</v>
      </c>
      <c r="D2833" s="5" t="s">
        <v>450</v>
      </c>
      <c r="E2833" s="3">
        <v>214643</v>
      </c>
      <c r="F2833" s="3">
        <v>216493</v>
      </c>
      <c r="G2833" s="57">
        <f t="shared" si="44"/>
        <v>8.6189626496088849E-3</v>
      </c>
      <c r="H2833" s="5" t="s">
        <v>2959</v>
      </c>
    </row>
    <row r="2834" spans="1:8" ht="25.5" x14ac:dyDescent="0.2">
      <c r="A2834" s="1" t="s">
        <v>8</v>
      </c>
      <c r="B2834" s="2" t="s">
        <v>285</v>
      </c>
      <c r="D2834" s="5" t="s">
        <v>1048</v>
      </c>
      <c r="E2834" s="3">
        <v>157701</v>
      </c>
      <c r="F2834" s="3">
        <v>158394</v>
      </c>
      <c r="G2834" s="57">
        <f t="shared" si="44"/>
        <v>4.3943919188844712E-3</v>
      </c>
      <c r="H2834" s="5" t="s">
        <v>2960</v>
      </c>
    </row>
    <row r="2835" spans="1:8" ht="25.5" x14ac:dyDescent="0.2">
      <c r="A2835" s="1" t="s">
        <v>8</v>
      </c>
      <c r="B2835" s="2" t="s">
        <v>285</v>
      </c>
      <c r="D2835" s="5" t="s">
        <v>1049</v>
      </c>
      <c r="E2835" s="3">
        <v>146940</v>
      </c>
      <c r="F2835" s="3">
        <v>148314</v>
      </c>
      <c r="G2835" s="57">
        <f t="shared" si="44"/>
        <v>9.350755410371581E-3</v>
      </c>
      <c r="H2835" s="5" t="s">
        <v>2961</v>
      </c>
    </row>
    <row r="2836" spans="1:8" ht="38.25" x14ac:dyDescent="0.2">
      <c r="A2836" s="1" t="s">
        <v>8</v>
      </c>
      <c r="B2836" s="2" t="s">
        <v>285</v>
      </c>
      <c r="D2836" s="5" t="s">
        <v>1050</v>
      </c>
      <c r="E2836" s="3">
        <v>119300</v>
      </c>
      <c r="F2836" s="3">
        <v>142526</v>
      </c>
      <c r="G2836" s="57">
        <f t="shared" si="44"/>
        <v>0.19468566638725901</v>
      </c>
      <c r="H2836" s="5" t="s">
        <v>4392</v>
      </c>
    </row>
    <row r="2837" spans="1:8" ht="38.25" x14ac:dyDescent="0.2">
      <c r="A2837" s="1" t="s">
        <v>8</v>
      </c>
      <c r="B2837" s="2" t="s">
        <v>285</v>
      </c>
      <c r="D2837" s="5" t="s">
        <v>1051</v>
      </c>
      <c r="E2837" s="3">
        <v>141773</v>
      </c>
      <c r="F2837" s="3">
        <v>159798</v>
      </c>
      <c r="G2837" s="57">
        <f t="shared" si="44"/>
        <v>0.12713986443116815</v>
      </c>
      <c r="H2837" s="5" t="s">
        <v>4391</v>
      </c>
    </row>
    <row r="2838" spans="1:8" x14ac:dyDescent="0.2">
      <c r="A2838" s="1" t="s">
        <v>8</v>
      </c>
      <c r="B2838" s="2" t="s">
        <v>285</v>
      </c>
      <c r="D2838" s="5" t="s">
        <v>451</v>
      </c>
      <c r="E2838" s="3">
        <v>95470</v>
      </c>
      <c r="F2838" s="3">
        <v>105362</v>
      </c>
      <c r="G2838" s="57">
        <f t="shared" si="44"/>
        <v>0.10361370063894416</v>
      </c>
      <c r="H2838" s="5" t="s">
        <v>2962</v>
      </c>
    </row>
    <row r="2839" spans="1:8" x14ac:dyDescent="0.2">
      <c r="A2839" s="1" t="s">
        <v>8</v>
      </c>
      <c r="B2839" s="2" t="s">
        <v>285</v>
      </c>
      <c r="D2839" s="5" t="s">
        <v>1052</v>
      </c>
      <c r="E2839" s="3">
        <v>106629</v>
      </c>
      <c r="F2839" s="3">
        <v>102183</v>
      </c>
      <c r="G2839" s="57">
        <f t="shared" si="44"/>
        <v>-4.1695973890780183E-2</v>
      </c>
      <c r="H2839" s="5" t="s">
        <v>2963</v>
      </c>
    </row>
    <row r="2840" spans="1:8" x14ac:dyDescent="0.2">
      <c r="A2840" s="1" t="s">
        <v>8</v>
      </c>
      <c r="B2840" s="2" t="s">
        <v>285</v>
      </c>
      <c r="D2840" s="5" t="s">
        <v>464</v>
      </c>
      <c r="E2840" s="3">
        <v>102500</v>
      </c>
      <c r="F2840" s="3" t="s">
        <v>465</v>
      </c>
      <c r="G2840" s="57" t="str">
        <f t="shared" si="44"/>
        <v>-</v>
      </c>
      <c r="H2840" s="1"/>
    </row>
    <row r="2841" spans="1:8" x14ac:dyDescent="0.2">
      <c r="A2841" s="1" t="s">
        <v>8</v>
      </c>
      <c r="B2841" s="2" t="s">
        <v>285</v>
      </c>
      <c r="D2841" s="5" t="s">
        <v>464</v>
      </c>
      <c r="E2841" s="3">
        <v>102500</v>
      </c>
      <c r="F2841" s="3" t="s">
        <v>465</v>
      </c>
      <c r="G2841" s="57" t="str">
        <f t="shared" si="44"/>
        <v>-</v>
      </c>
      <c r="H2841" s="1"/>
    </row>
    <row r="2842" spans="1:8" x14ac:dyDescent="0.2">
      <c r="A2842" s="1" t="s">
        <v>8</v>
      </c>
      <c r="B2842" s="2" t="s">
        <v>285</v>
      </c>
      <c r="D2842" s="5" t="s">
        <v>464</v>
      </c>
      <c r="E2842" s="3" t="s">
        <v>465</v>
      </c>
      <c r="F2842" s="3">
        <v>102500</v>
      </c>
      <c r="G2842" s="57" t="str">
        <f t="shared" ref="G2842:G2905" si="45">IF(ISERROR((F2842-E2842)/E2842),"-",(F2842-E2842)/E2842)</f>
        <v>-</v>
      </c>
      <c r="H2842" s="1"/>
    </row>
    <row r="2843" spans="1:8" x14ac:dyDescent="0.2">
      <c r="A2843" s="1" t="s">
        <v>8</v>
      </c>
      <c r="B2843" s="2" t="s">
        <v>285</v>
      </c>
      <c r="D2843" s="5" t="s">
        <v>464</v>
      </c>
      <c r="E2843" s="3" t="s">
        <v>465</v>
      </c>
      <c r="F2843" s="3">
        <v>102500</v>
      </c>
      <c r="G2843" s="57" t="str">
        <f t="shared" si="45"/>
        <v>-</v>
      </c>
      <c r="H2843" s="1"/>
    </row>
    <row r="2844" spans="1:8" x14ac:dyDescent="0.2">
      <c r="A2844" s="1" t="s">
        <v>8</v>
      </c>
      <c r="B2844" s="2" t="s">
        <v>285</v>
      </c>
      <c r="D2844" s="5" t="s">
        <v>464</v>
      </c>
      <c r="E2844" s="3" t="s">
        <v>465</v>
      </c>
      <c r="F2844" s="3">
        <v>102500</v>
      </c>
      <c r="G2844" s="57" t="str">
        <f t="shared" si="45"/>
        <v>-</v>
      </c>
      <c r="H2844" s="1"/>
    </row>
    <row r="2845" spans="1:8" x14ac:dyDescent="0.2">
      <c r="A2845" s="1" t="s">
        <v>8</v>
      </c>
      <c r="B2845" s="2" t="s">
        <v>285</v>
      </c>
      <c r="D2845" s="5" t="s">
        <v>464</v>
      </c>
      <c r="E2845" s="3" t="s">
        <v>465</v>
      </c>
      <c r="F2845" s="3">
        <v>102500</v>
      </c>
      <c r="G2845" s="57" t="str">
        <f t="shared" si="45"/>
        <v>-</v>
      </c>
      <c r="H2845" s="1"/>
    </row>
    <row r="2846" spans="1:8" x14ac:dyDescent="0.2">
      <c r="A2846" s="1" t="s">
        <v>8</v>
      </c>
      <c r="B2846" s="2" t="s">
        <v>285</v>
      </c>
      <c r="D2846" s="5" t="s">
        <v>464</v>
      </c>
      <c r="E2846" s="3" t="s">
        <v>465</v>
      </c>
      <c r="F2846" s="3">
        <v>102500</v>
      </c>
      <c r="G2846" s="57" t="str">
        <f t="shared" si="45"/>
        <v>-</v>
      </c>
      <c r="H2846" s="1"/>
    </row>
    <row r="2847" spans="1:8" x14ac:dyDescent="0.2">
      <c r="A2847" s="1" t="s">
        <v>8</v>
      </c>
      <c r="B2847" s="2" t="s">
        <v>285</v>
      </c>
      <c r="D2847" s="5" t="s">
        <v>464</v>
      </c>
      <c r="E2847" s="3" t="s">
        <v>465</v>
      </c>
      <c r="F2847" s="3">
        <v>102500</v>
      </c>
      <c r="G2847" s="57" t="str">
        <f t="shared" si="45"/>
        <v>-</v>
      </c>
      <c r="H2847" s="1"/>
    </row>
    <row r="2848" spans="1:8" x14ac:dyDescent="0.2">
      <c r="A2848" s="1" t="s">
        <v>8</v>
      </c>
      <c r="B2848" s="2" t="s">
        <v>285</v>
      </c>
      <c r="D2848" s="5" t="s">
        <v>464</v>
      </c>
      <c r="E2848" s="3">
        <v>107500</v>
      </c>
      <c r="F2848" s="3" t="s">
        <v>465</v>
      </c>
      <c r="G2848" s="57" t="str">
        <f t="shared" si="45"/>
        <v>-</v>
      </c>
      <c r="H2848" s="1"/>
    </row>
    <row r="2849" spans="1:8" x14ac:dyDescent="0.2">
      <c r="A2849" s="1" t="s">
        <v>8</v>
      </c>
      <c r="B2849" s="2" t="s">
        <v>285</v>
      </c>
      <c r="D2849" s="5" t="s">
        <v>464</v>
      </c>
      <c r="E2849" s="3" t="s">
        <v>465</v>
      </c>
      <c r="F2849" s="3">
        <v>107500</v>
      </c>
      <c r="G2849" s="57" t="str">
        <f t="shared" si="45"/>
        <v>-</v>
      </c>
      <c r="H2849" s="1"/>
    </row>
    <row r="2850" spans="1:8" x14ac:dyDescent="0.2">
      <c r="A2850" s="1" t="s">
        <v>8</v>
      </c>
      <c r="B2850" s="2" t="s">
        <v>285</v>
      </c>
      <c r="D2850" s="5" t="s">
        <v>464</v>
      </c>
      <c r="E2850" s="3" t="s">
        <v>465</v>
      </c>
      <c r="F2850" s="3">
        <v>107500</v>
      </c>
      <c r="G2850" s="57" t="str">
        <f t="shared" si="45"/>
        <v>-</v>
      </c>
      <c r="H2850" s="1"/>
    </row>
    <row r="2851" spans="1:8" x14ac:dyDescent="0.2">
      <c r="A2851" s="1" t="s">
        <v>8</v>
      </c>
      <c r="B2851" s="2" t="s">
        <v>285</v>
      </c>
      <c r="D2851" s="5" t="s">
        <v>464</v>
      </c>
      <c r="E2851" s="3" t="s">
        <v>465</v>
      </c>
      <c r="F2851" s="3">
        <v>107500</v>
      </c>
      <c r="G2851" s="57" t="str">
        <f t="shared" si="45"/>
        <v>-</v>
      </c>
      <c r="H2851" s="1"/>
    </row>
    <row r="2852" spans="1:8" x14ac:dyDescent="0.2">
      <c r="A2852" s="1" t="s">
        <v>8</v>
      </c>
      <c r="B2852" s="2" t="s">
        <v>285</v>
      </c>
      <c r="D2852" s="5" t="s">
        <v>464</v>
      </c>
      <c r="E2852" s="3">
        <v>112500</v>
      </c>
      <c r="F2852" s="3" t="s">
        <v>465</v>
      </c>
      <c r="G2852" s="57" t="str">
        <f t="shared" si="45"/>
        <v>-</v>
      </c>
      <c r="H2852" s="1"/>
    </row>
    <row r="2853" spans="1:8" x14ac:dyDescent="0.2">
      <c r="A2853" s="1" t="s">
        <v>8</v>
      </c>
      <c r="B2853" s="2" t="s">
        <v>285</v>
      </c>
      <c r="D2853" s="5" t="s">
        <v>464</v>
      </c>
      <c r="E2853" s="3">
        <v>112500</v>
      </c>
      <c r="F2853" s="3" t="s">
        <v>465</v>
      </c>
      <c r="G2853" s="57" t="str">
        <f t="shared" si="45"/>
        <v>-</v>
      </c>
      <c r="H2853" s="1"/>
    </row>
    <row r="2854" spans="1:8" x14ac:dyDescent="0.2">
      <c r="A2854" s="1" t="s">
        <v>8</v>
      </c>
      <c r="B2854" s="2" t="s">
        <v>285</v>
      </c>
      <c r="D2854" s="5" t="s">
        <v>464</v>
      </c>
      <c r="E2854" s="3" t="s">
        <v>465</v>
      </c>
      <c r="F2854" s="3">
        <v>112500</v>
      </c>
      <c r="G2854" s="57" t="str">
        <f t="shared" si="45"/>
        <v>-</v>
      </c>
      <c r="H2854" s="1"/>
    </row>
    <row r="2855" spans="1:8" x14ac:dyDescent="0.2">
      <c r="A2855" s="1" t="s">
        <v>8</v>
      </c>
      <c r="B2855" s="2" t="s">
        <v>285</v>
      </c>
      <c r="D2855" s="5" t="s">
        <v>464</v>
      </c>
      <c r="E2855" s="3" t="s">
        <v>465</v>
      </c>
      <c r="F2855" s="3">
        <v>112500</v>
      </c>
      <c r="G2855" s="57" t="str">
        <f t="shared" si="45"/>
        <v>-</v>
      </c>
      <c r="H2855" s="1"/>
    </row>
    <row r="2856" spans="1:8" x14ac:dyDescent="0.2">
      <c r="A2856" s="1" t="s">
        <v>8</v>
      </c>
      <c r="B2856" s="2" t="s">
        <v>285</v>
      </c>
      <c r="D2856" s="5" t="s">
        <v>464</v>
      </c>
      <c r="E2856" s="3" t="s">
        <v>465</v>
      </c>
      <c r="F2856" s="3">
        <v>112500</v>
      </c>
      <c r="G2856" s="57" t="str">
        <f t="shared" si="45"/>
        <v>-</v>
      </c>
      <c r="H2856" s="1"/>
    </row>
    <row r="2857" spans="1:8" x14ac:dyDescent="0.2">
      <c r="A2857" s="1" t="s">
        <v>8</v>
      </c>
      <c r="B2857" s="2" t="s">
        <v>285</v>
      </c>
      <c r="D2857" s="5" t="s">
        <v>464</v>
      </c>
      <c r="E2857" s="3" t="s">
        <v>465</v>
      </c>
      <c r="F2857" s="3">
        <v>112500</v>
      </c>
      <c r="G2857" s="57" t="str">
        <f t="shared" si="45"/>
        <v>-</v>
      </c>
      <c r="H2857" s="1"/>
    </row>
    <row r="2858" spans="1:8" x14ac:dyDescent="0.2">
      <c r="A2858" s="1" t="s">
        <v>8</v>
      </c>
      <c r="B2858" s="2" t="s">
        <v>285</v>
      </c>
      <c r="D2858" s="5" t="s">
        <v>464</v>
      </c>
      <c r="E2858" s="3" t="s">
        <v>465</v>
      </c>
      <c r="F2858" s="3">
        <v>112500</v>
      </c>
      <c r="G2858" s="57" t="str">
        <f t="shared" si="45"/>
        <v>-</v>
      </c>
      <c r="H2858" s="1"/>
    </row>
    <row r="2859" spans="1:8" x14ac:dyDescent="0.2">
      <c r="A2859" s="1" t="s">
        <v>8</v>
      </c>
      <c r="B2859" s="2" t="s">
        <v>285</v>
      </c>
      <c r="D2859" s="5" t="s">
        <v>464</v>
      </c>
      <c r="E2859" s="3">
        <v>117500</v>
      </c>
      <c r="F2859" s="3" t="s">
        <v>465</v>
      </c>
      <c r="G2859" s="57" t="str">
        <f t="shared" si="45"/>
        <v>-</v>
      </c>
      <c r="H2859" s="1"/>
    </row>
    <row r="2860" spans="1:8" x14ac:dyDescent="0.2">
      <c r="A2860" s="1" t="s">
        <v>8</v>
      </c>
      <c r="B2860" s="2" t="s">
        <v>285</v>
      </c>
      <c r="D2860" s="5" t="s">
        <v>464</v>
      </c>
      <c r="E2860" s="3">
        <v>117500</v>
      </c>
      <c r="F2860" s="3" t="s">
        <v>465</v>
      </c>
      <c r="G2860" s="57" t="str">
        <f t="shared" si="45"/>
        <v>-</v>
      </c>
      <c r="H2860" s="1"/>
    </row>
    <row r="2861" spans="1:8" x14ac:dyDescent="0.2">
      <c r="A2861" s="1" t="s">
        <v>8</v>
      </c>
      <c r="B2861" s="2" t="s">
        <v>285</v>
      </c>
      <c r="D2861" s="5" t="s">
        <v>464</v>
      </c>
      <c r="E2861" s="3" t="s">
        <v>465</v>
      </c>
      <c r="F2861" s="3">
        <v>117500</v>
      </c>
      <c r="G2861" s="57" t="str">
        <f t="shared" si="45"/>
        <v>-</v>
      </c>
      <c r="H2861" s="1"/>
    </row>
    <row r="2862" spans="1:8" x14ac:dyDescent="0.2">
      <c r="A2862" s="1" t="s">
        <v>8</v>
      </c>
      <c r="B2862" s="2" t="s">
        <v>285</v>
      </c>
      <c r="D2862" s="5" t="s">
        <v>464</v>
      </c>
      <c r="E2862" s="3" t="s">
        <v>465</v>
      </c>
      <c r="F2862" s="3">
        <v>117500</v>
      </c>
      <c r="G2862" s="57" t="str">
        <f t="shared" si="45"/>
        <v>-</v>
      </c>
      <c r="H2862" s="1"/>
    </row>
    <row r="2863" spans="1:8" x14ac:dyDescent="0.2">
      <c r="A2863" s="1" t="s">
        <v>8</v>
      </c>
      <c r="B2863" s="2" t="s">
        <v>285</v>
      </c>
      <c r="D2863" s="5" t="s">
        <v>464</v>
      </c>
      <c r="E2863" s="3">
        <v>122500</v>
      </c>
      <c r="F2863" s="3" t="s">
        <v>465</v>
      </c>
      <c r="G2863" s="57" t="str">
        <f t="shared" si="45"/>
        <v>-</v>
      </c>
      <c r="H2863" s="1"/>
    </row>
    <row r="2864" spans="1:8" x14ac:dyDescent="0.2">
      <c r="A2864" s="1" t="s">
        <v>8</v>
      </c>
      <c r="B2864" s="2" t="s">
        <v>285</v>
      </c>
      <c r="D2864" s="5" t="s">
        <v>464</v>
      </c>
      <c r="E2864" s="3">
        <v>122500</v>
      </c>
      <c r="F2864" s="3" t="s">
        <v>465</v>
      </c>
      <c r="G2864" s="57" t="str">
        <f t="shared" si="45"/>
        <v>-</v>
      </c>
      <c r="H2864" s="1"/>
    </row>
    <row r="2865" spans="1:8" x14ac:dyDescent="0.2">
      <c r="A2865" s="1" t="s">
        <v>8</v>
      </c>
      <c r="B2865" s="2" t="s">
        <v>285</v>
      </c>
      <c r="D2865" s="5" t="s">
        <v>464</v>
      </c>
      <c r="E2865" s="3" t="s">
        <v>465</v>
      </c>
      <c r="F2865" s="3">
        <v>127500</v>
      </c>
      <c r="G2865" s="57" t="str">
        <f t="shared" si="45"/>
        <v>-</v>
      </c>
      <c r="H2865" s="1"/>
    </row>
    <row r="2866" spans="1:8" x14ac:dyDescent="0.2">
      <c r="A2866" s="1" t="s">
        <v>8</v>
      </c>
      <c r="B2866" s="2" t="s">
        <v>285</v>
      </c>
      <c r="D2866" s="5" t="s">
        <v>464</v>
      </c>
      <c r="E2866" s="3" t="s">
        <v>465</v>
      </c>
      <c r="F2866" s="3">
        <v>127500</v>
      </c>
      <c r="G2866" s="57" t="str">
        <f t="shared" si="45"/>
        <v>-</v>
      </c>
      <c r="H2866" s="1"/>
    </row>
    <row r="2867" spans="1:8" x14ac:dyDescent="0.2">
      <c r="A2867" s="1" t="s">
        <v>8</v>
      </c>
      <c r="B2867" s="2" t="s">
        <v>285</v>
      </c>
      <c r="D2867" s="5" t="s">
        <v>464</v>
      </c>
      <c r="E2867" s="3" t="s">
        <v>465</v>
      </c>
      <c r="F2867" s="3">
        <v>127500</v>
      </c>
      <c r="G2867" s="57" t="str">
        <f t="shared" si="45"/>
        <v>-</v>
      </c>
      <c r="H2867" s="1"/>
    </row>
    <row r="2868" spans="1:8" x14ac:dyDescent="0.2">
      <c r="A2868" s="1" t="s">
        <v>8</v>
      </c>
      <c r="B2868" s="2" t="s">
        <v>285</v>
      </c>
      <c r="D2868" s="5" t="s">
        <v>464</v>
      </c>
      <c r="E2868" s="3" t="s">
        <v>465</v>
      </c>
      <c r="F2868" s="3">
        <v>132500</v>
      </c>
      <c r="G2868" s="57" t="str">
        <f t="shared" si="45"/>
        <v>-</v>
      </c>
      <c r="H2868" s="1"/>
    </row>
    <row r="2869" spans="1:8" x14ac:dyDescent="0.2">
      <c r="A2869" s="1" t="s">
        <v>8</v>
      </c>
      <c r="B2869" s="2" t="s">
        <v>285</v>
      </c>
      <c r="D2869" s="5" t="s">
        <v>464</v>
      </c>
      <c r="E2869" s="3" t="s">
        <v>465</v>
      </c>
      <c r="F2869" s="3">
        <v>137500</v>
      </c>
      <c r="G2869" s="57" t="str">
        <f t="shared" si="45"/>
        <v>-</v>
      </c>
      <c r="H2869" s="1"/>
    </row>
    <row r="2870" spans="1:8" x14ac:dyDescent="0.2">
      <c r="A2870" s="1" t="s">
        <v>8</v>
      </c>
      <c r="B2870" s="2" t="s">
        <v>285</v>
      </c>
      <c r="D2870" s="5" t="s">
        <v>464</v>
      </c>
      <c r="E2870" s="3" t="s">
        <v>465</v>
      </c>
      <c r="F2870" s="3">
        <v>137500</v>
      </c>
      <c r="G2870" s="57" t="str">
        <f t="shared" si="45"/>
        <v>-</v>
      </c>
      <c r="H2870" s="1"/>
    </row>
    <row r="2871" spans="1:8" x14ac:dyDescent="0.2">
      <c r="A2871" s="1" t="s">
        <v>8</v>
      </c>
      <c r="B2871" s="2" t="s">
        <v>285</v>
      </c>
      <c r="D2871" s="5" t="s">
        <v>464</v>
      </c>
      <c r="E2871" s="3" t="s">
        <v>465</v>
      </c>
      <c r="F2871" s="3">
        <v>137500</v>
      </c>
      <c r="G2871" s="57" t="str">
        <f t="shared" si="45"/>
        <v>-</v>
      </c>
      <c r="H2871" s="1"/>
    </row>
    <row r="2872" spans="1:8" x14ac:dyDescent="0.2">
      <c r="A2872" s="1" t="s">
        <v>8</v>
      </c>
      <c r="B2872" s="2" t="s">
        <v>285</v>
      </c>
      <c r="D2872" s="5" t="s">
        <v>464</v>
      </c>
      <c r="E2872" s="3" t="s">
        <v>465</v>
      </c>
      <c r="F2872" s="3">
        <v>137500</v>
      </c>
      <c r="G2872" s="57" t="str">
        <f t="shared" si="45"/>
        <v>-</v>
      </c>
      <c r="H2872" s="1"/>
    </row>
    <row r="2873" spans="1:8" x14ac:dyDescent="0.2">
      <c r="A2873" s="1" t="s">
        <v>8</v>
      </c>
      <c r="B2873" s="2" t="s">
        <v>285</v>
      </c>
      <c r="D2873" s="5" t="s">
        <v>464</v>
      </c>
      <c r="E2873" s="3" t="s">
        <v>465</v>
      </c>
      <c r="F2873" s="3">
        <v>137500</v>
      </c>
      <c r="G2873" s="57" t="str">
        <f t="shared" si="45"/>
        <v>-</v>
      </c>
      <c r="H2873" s="1"/>
    </row>
    <row r="2874" spans="1:8" x14ac:dyDescent="0.2">
      <c r="A2874" s="1" t="s">
        <v>8</v>
      </c>
      <c r="B2874" s="2" t="s">
        <v>285</v>
      </c>
      <c r="D2874" s="5" t="s">
        <v>464</v>
      </c>
      <c r="E2874" s="3" t="s">
        <v>465</v>
      </c>
      <c r="F2874" s="3">
        <v>142500</v>
      </c>
      <c r="G2874" s="57" t="str">
        <f t="shared" si="45"/>
        <v>-</v>
      </c>
      <c r="H2874" s="1"/>
    </row>
    <row r="2875" spans="1:8" x14ac:dyDescent="0.2">
      <c r="A2875" s="1" t="s">
        <v>8</v>
      </c>
      <c r="B2875" s="2" t="s">
        <v>285</v>
      </c>
      <c r="D2875" s="5" t="s">
        <v>464</v>
      </c>
      <c r="E2875" s="3" t="s">
        <v>465</v>
      </c>
      <c r="F2875" s="3">
        <v>152500</v>
      </c>
      <c r="G2875" s="57" t="str">
        <f t="shared" si="45"/>
        <v>-</v>
      </c>
    </row>
    <row r="2876" spans="1:8" x14ac:dyDescent="0.2">
      <c r="A2876" s="1" t="s">
        <v>8</v>
      </c>
      <c r="B2876" s="2" t="s">
        <v>285</v>
      </c>
      <c r="D2876" s="5" t="s">
        <v>464</v>
      </c>
      <c r="E2876" s="3" t="s">
        <v>465</v>
      </c>
      <c r="F2876" s="3">
        <v>152500</v>
      </c>
      <c r="G2876" s="57" t="str">
        <f t="shared" si="45"/>
        <v>-</v>
      </c>
    </row>
    <row r="2877" spans="1:8" x14ac:dyDescent="0.2">
      <c r="A2877" s="1" t="s">
        <v>8</v>
      </c>
      <c r="B2877" s="2" t="s">
        <v>285</v>
      </c>
      <c r="D2877" s="5" t="s">
        <v>464</v>
      </c>
      <c r="E2877" s="3" t="s">
        <v>465</v>
      </c>
      <c r="F2877" s="3">
        <v>157500</v>
      </c>
      <c r="G2877" s="57" t="str">
        <f t="shared" si="45"/>
        <v>-</v>
      </c>
    </row>
    <row r="2878" spans="1:8" x14ac:dyDescent="0.2">
      <c r="A2878" s="1" t="s">
        <v>8</v>
      </c>
      <c r="B2878" s="2" t="s">
        <v>285</v>
      </c>
      <c r="D2878" s="5" t="s">
        <v>464</v>
      </c>
      <c r="E2878" s="3" t="s">
        <v>465</v>
      </c>
      <c r="F2878" s="3">
        <v>162500</v>
      </c>
      <c r="G2878" s="57" t="str">
        <f t="shared" si="45"/>
        <v>-</v>
      </c>
    </row>
    <row r="2879" spans="1:8" x14ac:dyDescent="0.2">
      <c r="A2879" s="1" t="s">
        <v>8</v>
      </c>
      <c r="B2879" s="2" t="s">
        <v>285</v>
      </c>
      <c r="D2879" s="5" t="s">
        <v>464</v>
      </c>
      <c r="E2879" s="3" t="s">
        <v>465</v>
      </c>
      <c r="F2879" s="3">
        <v>192500</v>
      </c>
      <c r="G2879" s="57" t="str">
        <f t="shared" si="45"/>
        <v>-</v>
      </c>
    </row>
    <row r="2880" spans="1:8" ht="25.5" x14ac:dyDescent="0.2">
      <c r="A2880" s="1" t="s">
        <v>39</v>
      </c>
      <c r="B2880" s="2" t="s">
        <v>286</v>
      </c>
      <c r="D2880" s="5" t="s">
        <v>450</v>
      </c>
      <c r="E2880" s="3">
        <v>117938</v>
      </c>
      <c r="F2880" s="3">
        <v>100220</v>
      </c>
      <c r="G2880" s="57">
        <f t="shared" si="45"/>
        <v>-0.15023147755600399</v>
      </c>
      <c r="H2880" s="5" t="s">
        <v>4394</v>
      </c>
    </row>
    <row r="2881" spans="1:8" ht="38.25" x14ac:dyDescent="0.2">
      <c r="A2881" s="1" t="s">
        <v>39</v>
      </c>
      <c r="B2881" s="2" t="s">
        <v>286</v>
      </c>
      <c r="D2881" s="5" t="s">
        <v>1045</v>
      </c>
      <c r="E2881" s="3">
        <v>67606</v>
      </c>
      <c r="F2881" s="3">
        <v>185221</v>
      </c>
      <c r="G2881" s="57">
        <f t="shared" si="45"/>
        <v>1.7397124515575542</v>
      </c>
      <c r="H2881" s="5" t="s">
        <v>4393</v>
      </c>
    </row>
    <row r="2882" spans="1:8" ht="25.5" x14ac:dyDescent="0.2">
      <c r="A2882" s="1" t="s">
        <v>39</v>
      </c>
      <c r="B2882" s="2" t="s">
        <v>286</v>
      </c>
      <c r="D2882" s="5" t="s">
        <v>1046</v>
      </c>
      <c r="E2882" s="3">
        <v>49080</v>
      </c>
      <c r="F2882" s="3">
        <v>110829</v>
      </c>
      <c r="G2882" s="57">
        <f t="shared" si="45"/>
        <v>1.2581295843520783</v>
      </c>
      <c r="H2882" s="5" t="s">
        <v>2958</v>
      </c>
    </row>
    <row r="2883" spans="1:8" x14ac:dyDescent="0.2">
      <c r="A2883" s="1" t="s">
        <v>39</v>
      </c>
      <c r="B2883" s="2" t="s">
        <v>286</v>
      </c>
      <c r="D2883" s="5" t="s">
        <v>2957</v>
      </c>
      <c r="E2883" s="3">
        <v>225608</v>
      </c>
      <c r="F2883" s="3" t="s">
        <v>465</v>
      </c>
      <c r="G2883" s="57" t="str">
        <f t="shared" si="45"/>
        <v>-</v>
      </c>
    </row>
    <row r="2884" spans="1:8" ht="25.5" x14ac:dyDescent="0.2">
      <c r="A2884" s="1" t="s">
        <v>8</v>
      </c>
      <c r="B2884" s="2" t="s">
        <v>287</v>
      </c>
      <c r="D2884" s="5" t="s">
        <v>450</v>
      </c>
      <c r="E2884" s="3">
        <v>118905</v>
      </c>
      <c r="F2884" s="3">
        <v>116029</v>
      </c>
      <c r="G2884" s="57">
        <f t="shared" si="45"/>
        <v>-2.4187376477019469E-2</v>
      </c>
      <c r="H2884" s="5" t="s">
        <v>2956</v>
      </c>
    </row>
    <row r="2885" spans="1:8" ht="25.5" x14ac:dyDescent="0.2">
      <c r="A2885" s="1" t="s">
        <v>6</v>
      </c>
      <c r="B2885" s="2" t="s">
        <v>288</v>
      </c>
      <c r="C2885" s="5" t="s">
        <v>1036</v>
      </c>
      <c r="D2885" s="5" t="s">
        <v>1037</v>
      </c>
      <c r="E2885" s="3">
        <v>213000</v>
      </c>
      <c r="F2885" s="3">
        <v>216000</v>
      </c>
      <c r="G2885" s="57">
        <f t="shared" si="45"/>
        <v>1.4084507042253521E-2</v>
      </c>
      <c r="H2885" s="5" t="s">
        <v>2948</v>
      </c>
    </row>
    <row r="2886" spans="1:8" ht="38.25" x14ac:dyDescent="0.2">
      <c r="A2886" s="1" t="s">
        <v>6</v>
      </c>
      <c r="B2886" s="2" t="s">
        <v>288</v>
      </c>
      <c r="D2886" s="5" t="s">
        <v>1038</v>
      </c>
      <c r="E2886" s="3">
        <v>160000</v>
      </c>
      <c r="F2886" s="3">
        <v>215000</v>
      </c>
      <c r="G2886" s="57">
        <f t="shared" si="45"/>
        <v>0.34375</v>
      </c>
      <c r="H2886" s="5" t="s">
        <v>2949</v>
      </c>
    </row>
    <row r="2887" spans="1:8" ht="25.5" x14ac:dyDescent="0.2">
      <c r="A2887" s="1" t="s">
        <v>6</v>
      </c>
      <c r="B2887" s="2" t="s">
        <v>288</v>
      </c>
      <c r="D2887" s="5" t="s">
        <v>1039</v>
      </c>
      <c r="E2887" s="3">
        <v>156000</v>
      </c>
      <c r="F2887" s="3">
        <v>160000</v>
      </c>
      <c r="G2887" s="57">
        <f t="shared" si="45"/>
        <v>2.564102564102564E-2</v>
      </c>
      <c r="H2887" s="5" t="s">
        <v>2950</v>
      </c>
    </row>
    <row r="2888" spans="1:8" ht="25.5" x14ac:dyDescent="0.2">
      <c r="A2888" s="1" t="s">
        <v>6</v>
      </c>
      <c r="B2888" s="2" t="s">
        <v>288</v>
      </c>
      <c r="D2888" s="5" t="s">
        <v>1040</v>
      </c>
      <c r="E2888" s="3">
        <v>155000</v>
      </c>
      <c r="F2888" s="3">
        <v>153000</v>
      </c>
      <c r="G2888" s="57">
        <f t="shared" si="45"/>
        <v>-1.2903225806451613E-2</v>
      </c>
      <c r="H2888" s="5" t="s">
        <v>2951</v>
      </c>
    </row>
    <row r="2889" spans="1:8" ht="25.5" x14ac:dyDescent="0.2">
      <c r="A2889" s="1" t="s">
        <v>6</v>
      </c>
      <c r="B2889" s="2" t="s">
        <v>288</v>
      </c>
      <c r="D2889" s="5" t="s">
        <v>451</v>
      </c>
      <c r="E2889" s="3">
        <v>147000</v>
      </c>
      <c r="F2889" s="3">
        <v>151000</v>
      </c>
      <c r="G2889" s="57">
        <f t="shared" si="45"/>
        <v>2.7210884353741496E-2</v>
      </c>
      <c r="H2889" s="5" t="s">
        <v>2952</v>
      </c>
    </row>
    <row r="2890" spans="1:8" ht="25.5" x14ac:dyDescent="0.2">
      <c r="A2890" s="1" t="s">
        <v>6</v>
      </c>
      <c r="B2890" s="2" t="s">
        <v>288</v>
      </c>
      <c r="D2890" s="5" t="s">
        <v>1041</v>
      </c>
      <c r="E2890" s="3">
        <v>116000</v>
      </c>
      <c r="F2890" s="3">
        <v>125000</v>
      </c>
      <c r="G2890" s="57">
        <f t="shared" si="45"/>
        <v>7.7586206896551727E-2</v>
      </c>
      <c r="H2890" s="5" t="s">
        <v>4395</v>
      </c>
    </row>
    <row r="2891" spans="1:8" ht="25.5" x14ac:dyDescent="0.2">
      <c r="A2891" s="1" t="s">
        <v>6</v>
      </c>
      <c r="B2891" s="2" t="s">
        <v>288</v>
      </c>
      <c r="D2891" s="5" t="s">
        <v>1042</v>
      </c>
      <c r="E2891" s="3">
        <v>56000</v>
      </c>
      <c r="F2891" s="3">
        <v>116000</v>
      </c>
      <c r="G2891" s="57">
        <f t="shared" si="45"/>
        <v>1.0714285714285714</v>
      </c>
      <c r="H2891" s="5" t="s">
        <v>2953</v>
      </c>
    </row>
    <row r="2892" spans="1:8" ht="25.5" x14ac:dyDescent="0.2">
      <c r="A2892" s="1" t="s">
        <v>6</v>
      </c>
      <c r="B2892" s="2" t="s">
        <v>288</v>
      </c>
      <c r="D2892" s="5" t="s">
        <v>1043</v>
      </c>
      <c r="E2892" s="3" t="s">
        <v>465</v>
      </c>
      <c r="F2892" s="3">
        <v>110000</v>
      </c>
      <c r="G2892" s="57" t="str">
        <f t="shared" si="45"/>
        <v>-</v>
      </c>
      <c r="H2892" s="5" t="s">
        <v>4396</v>
      </c>
    </row>
    <row r="2893" spans="1:8" ht="25.5" x14ac:dyDescent="0.2">
      <c r="A2893" s="1" t="s">
        <v>6</v>
      </c>
      <c r="B2893" s="2" t="s">
        <v>288</v>
      </c>
      <c r="D2893" s="5" t="s">
        <v>1044</v>
      </c>
      <c r="E2893" s="3">
        <v>104000</v>
      </c>
      <c r="F2893" s="3">
        <v>108000</v>
      </c>
      <c r="G2893" s="57">
        <f t="shared" si="45"/>
        <v>3.8461538461538464E-2</v>
      </c>
      <c r="H2893" s="5" t="s">
        <v>2954</v>
      </c>
    </row>
    <row r="2894" spans="1:8" ht="25.5" x14ac:dyDescent="0.2">
      <c r="A2894" s="1" t="s">
        <v>6</v>
      </c>
      <c r="B2894" s="2" t="s">
        <v>288</v>
      </c>
      <c r="D2894" s="5" t="s">
        <v>529</v>
      </c>
      <c r="E2894" s="3">
        <v>161000</v>
      </c>
      <c r="F2894" s="3" t="s">
        <v>465</v>
      </c>
      <c r="G2894" s="57" t="str">
        <f t="shared" si="45"/>
        <v>-</v>
      </c>
      <c r="H2894" s="5" t="s">
        <v>2955</v>
      </c>
    </row>
    <row r="2895" spans="1:8" x14ac:dyDescent="0.2">
      <c r="A2895" s="1" t="s">
        <v>6</v>
      </c>
      <c r="B2895" s="2" t="s">
        <v>288</v>
      </c>
      <c r="D2895" s="5" t="s">
        <v>464</v>
      </c>
      <c r="E2895" s="3">
        <v>102500</v>
      </c>
      <c r="F2895" s="3" t="s">
        <v>465</v>
      </c>
      <c r="G2895" s="57" t="str">
        <f t="shared" si="45"/>
        <v>-</v>
      </c>
    </row>
    <row r="2896" spans="1:8" x14ac:dyDescent="0.2">
      <c r="A2896" s="1" t="s">
        <v>6</v>
      </c>
      <c r="B2896" s="2" t="s">
        <v>288</v>
      </c>
      <c r="D2896" s="5" t="s">
        <v>464</v>
      </c>
      <c r="E2896" s="3">
        <v>102500</v>
      </c>
      <c r="F2896" s="3" t="s">
        <v>465</v>
      </c>
      <c r="G2896" s="57" t="str">
        <f t="shared" si="45"/>
        <v>-</v>
      </c>
    </row>
    <row r="2897" spans="1:8" x14ac:dyDescent="0.2">
      <c r="A2897" s="1" t="s">
        <v>6</v>
      </c>
      <c r="B2897" s="2" t="s">
        <v>288</v>
      </c>
      <c r="D2897" s="5" t="s">
        <v>464</v>
      </c>
      <c r="E2897" s="3" t="s">
        <v>465</v>
      </c>
      <c r="F2897" s="3">
        <v>102500</v>
      </c>
      <c r="G2897" s="57" t="str">
        <f t="shared" si="45"/>
        <v>-</v>
      </c>
    </row>
    <row r="2898" spans="1:8" x14ac:dyDescent="0.2">
      <c r="A2898" s="1" t="s">
        <v>6</v>
      </c>
      <c r="B2898" s="2" t="s">
        <v>288</v>
      </c>
      <c r="D2898" s="5" t="s">
        <v>464</v>
      </c>
      <c r="E2898" s="3">
        <v>107500</v>
      </c>
      <c r="F2898" s="3" t="s">
        <v>465</v>
      </c>
      <c r="G2898" s="57" t="str">
        <f t="shared" si="45"/>
        <v>-</v>
      </c>
    </row>
    <row r="2899" spans="1:8" x14ac:dyDescent="0.2">
      <c r="A2899" s="1" t="s">
        <v>6</v>
      </c>
      <c r="B2899" s="2" t="s">
        <v>288</v>
      </c>
      <c r="D2899" s="5" t="s">
        <v>464</v>
      </c>
      <c r="E2899" s="3">
        <v>107500</v>
      </c>
      <c r="F2899" s="3" t="s">
        <v>465</v>
      </c>
      <c r="G2899" s="57" t="str">
        <f t="shared" si="45"/>
        <v>-</v>
      </c>
    </row>
    <row r="2900" spans="1:8" x14ac:dyDescent="0.2">
      <c r="A2900" s="1" t="s">
        <v>6</v>
      </c>
      <c r="B2900" s="2" t="s">
        <v>288</v>
      </c>
      <c r="D2900" s="5" t="s">
        <v>464</v>
      </c>
      <c r="E2900" s="3" t="s">
        <v>465</v>
      </c>
      <c r="F2900" s="3">
        <v>107500</v>
      </c>
      <c r="G2900" s="57" t="str">
        <f t="shared" si="45"/>
        <v>-</v>
      </c>
      <c r="H2900" s="1"/>
    </row>
    <row r="2901" spans="1:8" x14ac:dyDescent="0.2">
      <c r="A2901" s="1" t="s">
        <v>6</v>
      </c>
      <c r="B2901" s="2" t="s">
        <v>288</v>
      </c>
      <c r="D2901" s="5" t="s">
        <v>464</v>
      </c>
      <c r="E2901" s="3" t="s">
        <v>465</v>
      </c>
      <c r="F2901" s="3">
        <v>107500</v>
      </c>
      <c r="G2901" s="57" t="str">
        <f t="shared" si="45"/>
        <v>-</v>
      </c>
      <c r="H2901" s="1"/>
    </row>
    <row r="2902" spans="1:8" x14ac:dyDescent="0.2">
      <c r="A2902" s="1" t="s">
        <v>6</v>
      </c>
      <c r="B2902" s="2" t="s">
        <v>288</v>
      </c>
      <c r="D2902" s="5" t="s">
        <v>464</v>
      </c>
      <c r="E2902" s="3" t="s">
        <v>465</v>
      </c>
      <c r="F2902" s="3">
        <v>107500</v>
      </c>
      <c r="G2902" s="57" t="str">
        <f t="shared" si="45"/>
        <v>-</v>
      </c>
      <c r="H2902" s="1"/>
    </row>
    <row r="2903" spans="1:8" x14ac:dyDescent="0.2">
      <c r="A2903" s="1" t="s">
        <v>6</v>
      </c>
      <c r="B2903" s="2" t="s">
        <v>288</v>
      </c>
      <c r="D2903" s="5" t="s">
        <v>464</v>
      </c>
      <c r="E2903" s="3" t="s">
        <v>465</v>
      </c>
      <c r="F2903" s="3">
        <v>107500</v>
      </c>
      <c r="G2903" s="57" t="str">
        <f t="shared" si="45"/>
        <v>-</v>
      </c>
      <c r="H2903" s="1"/>
    </row>
    <row r="2904" spans="1:8" x14ac:dyDescent="0.2">
      <c r="A2904" s="1" t="s">
        <v>6</v>
      </c>
      <c r="B2904" s="2" t="s">
        <v>288</v>
      </c>
      <c r="D2904" s="5" t="s">
        <v>464</v>
      </c>
      <c r="E2904" s="3">
        <v>112500</v>
      </c>
      <c r="F2904" s="3" t="s">
        <v>465</v>
      </c>
      <c r="G2904" s="57" t="str">
        <f t="shared" si="45"/>
        <v>-</v>
      </c>
      <c r="H2904" s="1"/>
    </row>
    <row r="2905" spans="1:8" x14ac:dyDescent="0.2">
      <c r="A2905" s="1" t="s">
        <v>6</v>
      </c>
      <c r="B2905" s="2" t="s">
        <v>288</v>
      </c>
      <c r="D2905" s="5" t="s">
        <v>464</v>
      </c>
      <c r="E2905" s="3" t="s">
        <v>465</v>
      </c>
      <c r="F2905" s="3">
        <v>112500</v>
      </c>
      <c r="G2905" s="57" t="str">
        <f t="shared" si="45"/>
        <v>-</v>
      </c>
      <c r="H2905" s="1"/>
    </row>
    <row r="2906" spans="1:8" x14ac:dyDescent="0.2">
      <c r="A2906" s="1" t="s">
        <v>6</v>
      </c>
      <c r="B2906" s="2" t="s">
        <v>288</v>
      </c>
      <c r="D2906" s="5" t="s">
        <v>464</v>
      </c>
      <c r="E2906" s="3">
        <v>127500</v>
      </c>
      <c r="F2906" s="3" t="s">
        <v>465</v>
      </c>
      <c r="G2906" s="57" t="str">
        <f t="shared" ref="G2906:G2969" si="46">IF(ISERROR((F2906-E2906)/E2906),"-",(F2906-E2906)/E2906)</f>
        <v>-</v>
      </c>
      <c r="H2906" s="1"/>
    </row>
    <row r="2907" spans="1:8" x14ac:dyDescent="0.2">
      <c r="A2907" s="1" t="s">
        <v>6</v>
      </c>
      <c r="B2907" s="2" t="s">
        <v>288</v>
      </c>
      <c r="D2907" s="5" t="s">
        <v>464</v>
      </c>
      <c r="E2907" s="3" t="s">
        <v>465</v>
      </c>
      <c r="F2907" s="3">
        <v>127500</v>
      </c>
      <c r="G2907" s="57" t="str">
        <f t="shared" si="46"/>
        <v>-</v>
      </c>
      <c r="H2907" s="1"/>
    </row>
    <row r="2908" spans="1:8" x14ac:dyDescent="0.2">
      <c r="A2908" s="1" t="s">
        <v>6</v>
      </c>
      <c r="B2908" s="2" t="s">
        <v>288</v>
      </c>
      <c r="D2908" s="5" t="s">
        <v>464</v>
      </c>
      <c r="E2908" s="3">
        <v>132500</v>
      </c>
      <c r="F2908" s="3" t="s">
        <v>465</v>
      </c>
      <c r="G2908" s="57" t="str">
        <f t="shared" si="46"/>
        <v>-</v>
      </c>
      <c r="H2908" s="1"/>
    </row>
    <row r="2909" spans="1:8" x14ac:dyDescent="0.2">
      <c r="A2909" s="1" t="s">
        <v>6</v>
      </c>
      <c r="B2909" s="2" t="s">
        <v>288</v>
      </c>
      <c r="D2909" s="5" t="s">
        <v>464</v>
      </c>
      <c r="E2909" s="3" t="s">
        <v>465</v>
      </c>
      <c r="F2909" s="3">
        <v>132500</v>
      </c>
      <c r="G2909" s="57" t="str">
        <f t="shared" si="46"/>
        <v>-</v>
      </c>
      <c r="H2909" s="1"/>
    </row>
    <row r="2910" spans="1:8" x14ac:dyDescent="0.2">
      <c r="A2910" s="1" t="s">
        <v>6</v>
      </c>
      <c r="B2910" s="2" t="s">
        <v>288</v>
      </c>
      <c r="D2910" s="5" t="s">
        <v>464</v>
      </c>
      <c r="E2910" s="3" t="s">
        <v>465</v>
      </c>
      <c r="F2910" s="3">
        <v>132500</v>
      </c>
      <c r="G2910" s="57" t="str">
        <f t="shared" si="46"/>
        <v>-</v>
      </c>
      <c r="H2910" s="1"/>
    </row>
    <row r="2911" spans="1:8" x14ac:dyDescent="0.2">
      <c r="A2911" s="1" t="s">
        <v>6</v>
      </c>
      <c r="B2911" s="2" t="s">
        <v>288</v>
      </c>
      <c r="D2911" s="5" t="s">
        <v>464</v>
      </c>
      <c r="E2911" s="3">
        <v>137500</v>
      </c>
      <c r="F2911" s="3" t="s">
        <v>465</v>
      </c>
      <c r="G2911" s="57" t="str">
        <f t="shared" si="46"/>
        <v>-</v>
      </c>
      <c r="H2911" s="1"/>
    </row>
    <row r="2912" spans="1:8" x14ac:dyDescent="0.2">
      <c r="A2912" s="1" t="s">
        <v>6</v>
      </c>
      <c r="B2912" s="2" t="s">
        <v>288</v>
      </c>
      <c r="D2912" s="5" t="s">
        <v>464</v>
      </c>
      <c r="E2912" s="3">
        <v>137500</v>
      </c>
      <c r="F2912" s="3" t="s">
        <v>465</v>
      </c>
      <c r="G2912" s="57" t="str">
        <f t="shared" si="46"/>
        <v>-</v>
      </c>
      <c r="H2912" s="1"/>
    </row>
    <row r="2913" spans="1:8" x14ac:dyDescent="0.2">
      <c r="A2913" s="1" t="s">
        <v>6</v>
      </c>
      <c r="B2913" s="2" t="s">
        <v>288</v>
      </c>
      <c r="D2913" s="5" t="s">
        <v>464</v>
      </c>
      <c r="E2913" s="3" t="s">
        <v>465</v>
      </c>
      <c r="F2913" s="3">
        <v>137500</v>
      </c>
      <c r="G2913" s="57" t="str">
        <f t="shared" si="46"/>
        <v>-</v>
      </c>
      <c r="H2913" s="1"/>
    </row>
    <row r="2914" spans="1:8" x14ac:dyDescent="0.2">
      <c r="A2914" s="1" t="s">
        <v>6</v>
      </c>
      <c r="B2914" s="2" t="s">
        <v>288</v>
      </c>
      <c r="D2914" s="5" t="s">
        <v>464</v>
      </c>
      <c r="E2914" s="3">
        <v>162500</v>
      </c>
      <c r="F2914" s="3" t="s">
        <v>465</v>
      </c>
      <c r="G2914" s="57" t="str">
        <f t="shared" si="46"/>
        <v>-</v>
      </c>
      <c r="H2914" s="1"/>
    </row>
    <row r="2915" spans="1:8" x14ac:dyDescent="0.2">
      <c r="A2915" s="1" t="s">
        <v>6</v>
      </c>
      <c r="B2915" s="2" t="s">
        <v>288</v>
      </c>
      <c r="D2915" s="5" t="s">
        <v>464</v>
      </c>
      <c r="E2915" s="3" t="s">
        <v>465</v>
      </c>
      <c r="F2915" s="3">
        <v>162500</v>
      </c>
      <c r="G2915" s="57" t="str">
        <f t="shared" si="46"/>
        <v>-</v>
      </c>
      <c r="H2915" s="1"/>
    </row>
    <row r="2916" spans="1:8" ht="25.5" x14ac:dyDescent="0.2">
      <c r="A2916" s="1" t="s">
        <v>11</v>
      </c>
      <c r="B2916" s="2" t="s">
        <v>289</v>
      </c>
      <c r="C2916" s="29" t="s">
        <v>2849</v>
      </c>
      <c r="G2916" s="57" t="str">
        <f t="shared" si="46"/>
        <v>-</v>
      </c>
    </row>
    <row r="2917" spans="1:8" ht="38.25" x14ac:dyDescent="0.2">
      <c r="A2917" s="1" t="s">
        <v>1</v>
      </c>
      <c r="B2917" s="2" t="s">
        <v>290</v>
      </c>
      <c r="C2917" s="5" t="s">
        <v>1028</v>
      </c>
      <c r="D2917" s="5" t="s">
        <v>450</v>
      </c>
      <c r="E2917" s="6">
        <v>121138</v>
      </c>
      <c r="F2917" s="3">
        <f>122207</f>
        <v>122207</v>
      </c>
      <c r="G2917" s="57">
        <f t="shared" si="46"/>
        <v>8.8246462711948359E-3</v>
      </c>
      <c r="H2917" s="5" t="s">
        <v>2944</v>
      </c>
    </row>
    <row r="2918" spans="1:8" ht="25.5" x14ac:dyDescent="0.2">
      <c r="A2918" s="1" t="s">
        <v>1</v>
      </c>
      <c r="B2918" s="2" t="s">
        <v>290</v>
      </c>
      <c r="C2918" s="5" t="s">
        <v>1029</v>
      </c>
      <c r="D2918" s="5" t="s">
        <v>451</v>
      </c>
      <c r="E2918" s="6">
        <v>99442</v>
      </c>
      <c r="F2918" s="3">
        <f>103180</f>
        <v>103180</v>
      </c>
      <c r="G2918" s="57">
        <f t="shared" si="46"/>
        <v>3.7589750809517104E-2</v>
      </c>
      <c r="H2918" s="5" t="s">
        <v>4671</v>
      </c>
    </row>
    <row r="2919" spans="1:8" ht="25.5" x14ac:dyDescent="0.2">
      <c r="A2919" s="1" t="s">
        <v>1</v>
      </c>
      <c r="B2919" s="2" t="s">
        <v>290</v>
      </c>
      <c r="C2919" s="5" t="s">
        <v>1030</v>
      </c>
      <c r="D2919" s="5" t="s">
        <v>1031</v>
      </c>
      <c r="E2919" s="6">
        <v>97448</v>
      </c>
      <c r="F2919" s="3">
        <f>101174</f>
        <v>101174</v>
      </c>
      <c r="G2919" s="57">
        <f t="shared" si="46"/>
        <v>3.8235777029800508E-2</v>
      </c>
      <c r="H2919" s="5" t="s">
        <v>2945</v>
      </c>
    </row>
    <row r="2920" spans="1:8" ht="25.5" x14ac:dyDescent="0.2">
      <c r="A2920" s="1" t="s">
        <v>1</v>
      </c>
      <c r="B2920" s="2" t="s">
        <v>290</v>
      </c>
      <c r="C2920" s="5" t="s">
        <v>1032</v>
      </c>
      <c r="D2920" s="5" t="s">
        <v>1033</v>
      </c>
      <c r="E2920" s="6">
        <v>97968</v>
      </c>
      <c r="F2920" s="3">
        <f>101196</f>
        <v>101196</v>
      </c>
      <c r="G2920" s="57">
        <f t="shared" si="46"/>
        <v>3.2949534541891229E-2</v>
      </c>
      <c r="H2920" s="5" t="s">
        <v>2946</v>
      </c>
    </row>
    <row r="2921" spans="1:8" ht="25.5" x14ac:dyDescent="0.2">
      <c r="A2921" s="1" t="s">
        <v>1</v>
      </c>
      <c r="B2921" s="2" t="s">
        <v>290</v>
      </c>
      <c r="C2921" s="5" t="s">
        <v>1034</v>
      </c>
      <c r="D2921" s="5" t="s">
        <v>1035</v>
      </c>
      <c r="E2921" s="6">
        <v>97785</v>
      </c>
      <c r="F2921" s="3">
        <f>101173</f>
        <v>101173</v>
      </c>
      <c r="G2921" s="57">
        <f t="shared" si="46"/>
        <v>3.4647440814030782E-2</v>
      </c>
      <c r="H2921" s="5" t="s">
        <v>2947</v>
      </c>
    </row>
    <row r="2922" spans="1:8" ht="25.5" x14ac:dyDescent="0.2">
      <c r="A2922" s="1" t="s">
        <v>4</v>
      </c>
      <c r="B2922" s="2" t="s">
        <v>291</v>
      </c>
      <c r="D2922" s="5" t="s">
        <v>450</v>
      </c>
      <c r="E2922" s="3">
        <v>169519</v>
      </c>
      <c r="F2922" s="3">
        <v>168280</v>
      </c>
      <c r="G2922" s="57">
        <f t="shared" si="46"/>
        <v>-7.308915224842053E-3</v>
      </c>
      <c r="H2922" s="5" t="s">
        <v>2940</v>
      </c>
    </row>
    <row r="2923" spans="1:8" ht="25.5" x14ac:dyDescent="0.2">
      <c r="A2923" s="1" t="s">
        <v>4</v>
      </c>
      <c r="B2923" s="2" t="s">
        <v>291</v>
      </c>
      <c r="D2923" s="5" t="s">
        <v>1025</v>
      </c>
      <c r="E2923" s="3">
        <v>131114</v>
      </c>
      <c r="F2923" s="3">
        <v>131114</v>
      </c>
      <c r="G2923" s="57">
        <f t="shared" si="46"/>
        <v>0</v>
      </c>
      <c r="H2923" s="5" t="s">
        <v>2941</v>
      </c>
    </row>
    <row r="2924" spans="1:8" ht="25.5" x14ac:dyDescent="0.2">
      <c r="A2924" s="1" t="s">
        <v>4</v>
      </c>
      <c r="B2924" s="2" t="s">
        <v>291</v>
      </c>
      <c r="D2924" s="5" t="s">
        <v>1026</v>
      </c>
      <c r="E2924" s="3">
        <v>131114</v>
      </c>
      <c r="F2924" s="3">
        <v>129704</v>
      </c>
      <c r="G2924" s="57">
        <f t="shared" si="46"/>
        <v>-1.0754000335585826E-2</v>
      </c>
      <c r="H2924" s="5" t="s">
        <v>2942</v>
      </c>
    </row>
    <row r="2925" spans="1:8" ht="25.5" x14ac:dyDescent="0.2">
      <c r="A2925" s="1" t="s">
        <v>4</v>
      </c>
      <c r="B2925" s="2" t="s">
        <v>291</v>
      </c>
      <c r="D2925" s="5" t="s">
        <v>1027</v>
      </c>
      <c r="E2925" s="3">
        <v>91981</v>
      </c>
      <c r="F2925" s="3">
        <v>108618</v>
      </c>
      <c r="G2925" s="57">
        <f t="shared" si="46"/>
        <v>0.18087431099901066</v>
      </c>
      <c r="H2925" s="5" t="s">
        <v>2943</v>
      </c>
    </row>
    <row r="2926" spans="1:8" ht="25.5" x14ac:dyDescent="0.2">
      <c r="A2926" s="1" t="s">
        <v>4</v>
      </c>
      <c r="B2926" s="2" t="s">
        <v>292</v>
      </c>
      <c r="C2926" s="5" t="s">
        <v>1015</v>
      </c>
      <c r="D2926" s="5" t="s">
        <v>450</v>
      </c>
      <c r="E2926" s="3">
        <v>225665</v>
      </c>
      <c r="F2926" s="3">
        <v>217640</v>
      </c>
      <c r="G2926" s="57">
        <f t="shared" si="46"/>
        <v>-3.5561562493076022E-2</v>
      </c>
      <c r="H2926" s="5" t="s">
        <v>2909</v>
      </c>
    </row>
    <row r="2927" spans="1:8" ht="25.5" x14ac:dyDescent="0.2">
      <c r="A2927" s="1" t="s">
        <v>4</v>
      </c>
      <c r="B2927" s="2" t="s">
        <v>292</v>
      </c>
      <c r="D2927" s="5" t="s">
        <v>1016</v>
      </c>
      <c r="E2927" s="3">
        <v>126838</v>
      </c>
      <c r="F2927" s="3">
        <v>126821</v>
      </c>
      <c r="G2927" s="57">
        <f t="shared" si="46"/>
        <v>-1.3402923414118797E-4</v>
      </c>
      <c r="H2927" s="5" t="s">
        <v>2910</v>
      </c>
    </row>
    <row r="2928" spans="1:8" ht="25.5" x14ac:dyDescent="0.2">
      <c r="A2928" s="1" t="s">
        <v>4</v>
      </c>
      <c r="B2928" s="2" t="s">
        <v>292</v>
      </c>
      <c r="D2928" s="5" t="s">
        <v>1017</v>
      </c>
      <c r="E2928" s="3">
        <v>126794</v>
      </c>
      <c r="F2928" s="3">
        <v>126794</v>
      </c>
      <c r="G2928" s="57">
        <f t="shared" si="46"/>
        <v>0</v>
      </c>
      <c r="H2928" s="5" t="s">
        <v>2911</v>
      </c>
    </row>
    <row r="2929" spans="1:8" ht="25.5" x14ac:dyDescent="0.2">
      <c r="A2929" s="1" t="s">
        <v>4</v>
      </c>
      <c r="B2929" s="2" t="s">
        <v>292</v>
      </c>
      <c r="D2929" s="5" t="s">
        <v>2933</v>
      </c>
      <c r="E2929" s="9">
        <v>147402</v>
      </c>
      <c r="F2929" s="3" t="s">
        <v>465</v>
      </c>
      <c r="G2929" s="57" t="str">
        <f t="shared" si="46"/>
        <v>-</v>
      </c>
    </row>
    <row r="2930" spans="1:8" ht="25.5" x14ac:dyDescent="0.2">
      <c r="A2930" s="1" t="s">
        <v>4</v>
      </c>
      <c r="B2930" s="2" t="s">
        <v>292</v>
      </c>
      <c r="D2930" s="5" t="s">
        <v>1018</v>
      </c>
      <c r="E2930" s="9">
        <v>152935</v>
      </c>
      <c r="F2930" s="3">
        <v>152935</v>
      </c>
      <c r="G2930" s="57">
        <f t="shared" si="46"/>
        <v>0</v>
      </c>
      <c r="H2930" s="5" t="s">
        <v>2912</v>
      </c>
    </row>
    <row r="2931" spans="1:8" ht="25.5" x14ac:dyDescent="0.2">
      <c r="A2931" s="1" t="s">
        <v>4</v>
      </c>
      <c r="B2931" s="2" t="s">
        <v>292</v>
      </c>
      <c r="D2931" s="5" t="s">
        <v>1019</v>
      </c>
      <c r="E2931" s="9">
        <v>19528</v>
      </c>
      <c r="F2931" s="3">
        <v>164038</v>
      </c>
      <c r="G2931" s="57">
        <f t="shared" si="46"/>
        <v>7.4001433838590742</v>
      </c>
      <c r="H2931" s="5" t="s">
        <v>2913</v>
      </c>
    </row>
    <row r="2932" spans="1:8" ht="25.5" x14ac:dyDescent="0.2">
      <c r="A2932" s="1" t="s">
        <v>4</v>
      </c>
      <c r="B2932" s="2" t="s">
        <v>292</v>
      </c>
      <c r="D2932" s="5" t="s">
        <v>1020</v>
      </c>
      <c r="E2932" s="9">
        <v>152935</v>
      </c>
      <c r="F2932" s="3">
        <v>152935</v>
      </c>
      <c r="G2932" s="57">
        <f t="shared" si="46"/>
        <v>0</v>
      </c>
      <c r="H2932" s="5" t="s">
        <v>2912</v>
      </c>
    </row>
    <row r="2933" spans="1:8" ht="25.5" x14ac:dyDescent="0.2">
      <c r="A2933" s="1" t="s">
        <v>4</v>
      </c>
      <c r="B2933" s="2" t="s">
        <v>292</v>
      </c>
      <c r="D2933" s="5" t="s">
        <v>1021</v>
      </c>
      <c r="E2933" s="9">
        <v>115936</v>
      </c>
      <c r="F2933" s="3">
        <v>115936</v>
      </c>
      <c r="G2933" s="57">
        <f t="shared" si="46"/>
        <v>0</v>
      </c>
      <c r="H2933" s="5" t="s">
        <v>2914</v>
      </c>
    </row>
    <row r="2934" spans="1:8" ht="25.5" x14ac:dyDescent="0.2">
      <c r="A2934" s="1" t="s">
        <v>4</v>
      </c>
      <c r="B2934" s="2" t="s">
        <v>292</v>
      </c>
      <c r="D2934" s="5" t="s">
        <v>1022</v>
      </c>
      <c r="E2934" s="9">
        <v>115936</v>
      </c>
      <c r="F2934" s="3">
        <v>115936</v>
      </c>
      <c r="G2934" s="57">
        <f t="shared" si="46"/>
        <v>0</v>
      </c>
      <c r="H2934" s="5" t="s">
        <v>2914</v>
      </c>
    </row>
    <row r="2935" spans="1:8" ht="25.5" x14ac:dyDescent="0.2">
      <c r="A2935" s="1" t="s">
        <v>4</v>
      </c>
      <c r="B2935" s="2" t="s">
        <v>292</v>
      </c>
      <c r="D2935" s="5" t="s">
        <v>569</v>
      </c>
      <c r="E2935" s="9">
        <v>102300</v>
      </c>
      <c r="F2935" s="3">
        <v>102300</v>
      </c>
      <c r="G2935" s="57">
        <f t="shared" si="46"/>
        <v>0</v>
      </c>
      <c r="H2935" s="5" t="s">
        <v>2915</v>
      </c>
    </row>
    <row r="2936" spans="1:8" ht="38.25" x14ac:dyDescent="0.2">
      <c r="A2936" s="1" t="s">
        <v>4</v>
      </c>
      <c r="B2936" s="2" t="s">
        <v>292</v>
      </c>
      <c r="D2936" s="5" t="s">
        <v>2917</v>
      </c>
      <c r="E2936" s="9">
        <v>115936</v>
      </c>
      <c r="F2936" s="3">
        <v>100419</v>
      </c>
      <c r="G2936" s="57">
        <f t="shared" si="46"/>
        <v>-0.1338410847364063</v>
      </c>
      <c r="H2936" s="5" t="s">
        <v>2916</v>
      </c>
    </row>
    <row r="2937" spans="1:8" ht="38.25" x14ac:dyDescent="0.2">
      <c r="A2937" s="1" t="s">
        <v>4</v>
      </c>
      <c r="B2937" s="2" t="s">
        <v>292</v>
      </c>
      <c r="D2937" s="5" t="s">
        <v>2919</v>
      </c>
      <c r="E2937" s="9">
        <v>97988</v>
      </c>
      <c r="F2937" s="3">
        <v>174018</v>
      </c>
      <c r="G2937" s="57">
        <f t="shared" si="46"/>
        <v>0.77591133608196927</v>
      </c>
      <c r="H2937" s="5" t="s">
        <v>2918</v>
      </c>
    </row>
    <row r="2938" spans="1:8" ht="38.25" x14ac:dyDescent="0.2">
      <c r="A2938" s="1" t="s">
        <v>4</v>
      </c>
      <c r="B2938" s="2" t="s">
        <v>292</v>
      </c>
      <c r="D2938" s="5" t="s">
        <v>2921</v>
      </c>
      <c r="E2938" s="9">
        <v>91025</v>
      </c>
      <c r="F2938" s="3">
        <v>108155</v>
      </c>
      <c r="G2938" s="57">
        <f t="shared" si="46"/>
        <v>0.18819005767646252</v>
      </c>
      <c r="H2938" s="5" t="s">
        <v>2920</v>
      </c>
    </row>
    <row r="2939" spans="1:8" ht="38.25" x14ac:dyDescent="0.2">
      <c r="A2939" s="1" t="s">
        <v>4</v>
      </c>
      <c r="B2939" s="2" t="s">
        <v>292</v>
      </c>
      <c r="D2939" s="5" t="s">
        <v>2922</v>
      </c>
      <c r="E2939" s="9">
        <v>88660</v>
      </c>
      <c r="F2939" s="3">
        <v>132237</v>
      </c>
      <c r="G2939" s="57">
        <f t="shared" si="46"/>
        <v>0.49150688021655764</v>
      </c>
      <c r="H2939" s="5" t="s">
        <v>2923</v>
      </c>
    </row>
    <row r="2940" spans="1:8" ht="25.5" x14ac:dyDescent="0.2">
      <c r="A2940" s="1" t="s">
        <v>4</v>
      </c>
      <c r="B2940" s="2" t="s">
        <v>292</v>
      </c>
      <c r="D2940" s="5" t="s">
        <v>1023</v>
      </c>
      <c r="E2940" s="9">
        <v>115936</v>
      </c>
      <c r="F2940" s="3">
        <v>115936</v>
      </c>
      <c r="G2940" s="57">
        <f t="shared" si="46"/>
        <v>0</v>
      </c>
      <c r="H2940" s="5" t="s">
        <v>2914</v>
      </c>
    </row>
    <row r="2941" spans="1:8" ht="38.25" x14ac:dyDescent="0.2">
      <c r="A2941" s="1" t="s">
        <v>4</v>
      </c>
      <c r="B2941" s="2" t="s">
        <v>292</v>
      </c>
      <c r="D2941" s="5" t="s">
        <v>2925</v>
      </c>
      <c r="E2941" s="9">
        <v>102320</v>
      </c>
      <c r="F2941" s="3">
        <v>174606</v>
      </c>
      <c r="G2941" s="57">
        <f t="shared" si="46"/>
        <v>0.70646989835809226</v>
      </c>
      <c r="H2941" s="5" t="s">
        <v>2924</v>
      </c>
    </row>
    <row r="2942" spans="1:8" ht="51" x14ac:dyDescent="0.2">
      <c r="A2942" s="1" t="s">
        <v>4</v>
      </c>
      <c r="B2942" s="2" t="s">
        <v>292</v>
      </c>
      <c r="D2942" s="5" t="s">
        <v>2926</v>
      </c>
      <c r="E2942" s="9">
        <v>95833</v>
      </c>
      <c r="F2942" s="3">
        <v>162316</v>
      </c>
      <c r="G2942" s="57">
        <f t="shared" si="46"/>
        <v>0.69373806517587888</v>
      </c>
      <c r="H2942" s="5" t="s">
        <v>2927</v>
      </c>
    </row>
    <row r="2943" spans="1:8" ht="38.25" x14ac:dyDescent="0.2">
      <c r="A2943" s="1" t="s">
        <v>4</v>
      </c>
      <c r="B2943" s="2" t="s">
        <v>292</v>
      </c>
      <c r="D2943" s="5" t="s">
        <v>2928</v>
      </c>
      <c r="E2943" s="9">
        <v>102300</v>
      </c>
      <c r="F2943" s="3">
        <v>105283</v>
      </c>
      <c r="G2943" s="57">
        <f t="shared" si="46"/>
        <v>2.9159335288367547E-2</v>
      </c>
      <c r="H2943" s="5" t="s">
        <v>4672</v>
      </c>
    </row>
    <row r="2944" spans="1:8" ht="25.5" x14ac:dyDescent="0.2">
      <c r="A2944" s="1" t="s">
        <v>4</v>
      </c>
      <c r="B2944" s="2" t="s">
        <v>292</v>
      </c>
      <c r="D2944" s="5" t="s">
        <v>1024</v>
      </c>
      <c r="E2944" s="9">
        <v>102300</v>
      </c>
      <c r="F2944" s="3">
        <v>102300</v>
      </c>
      <c r="G2944" s="57">
        <f t="shared" si="46"/>
        <v>0</v>
      </c>
      <c r="H2944" s="5" t="s">
        <v>2915</v>
      </c>
    </row>
    <row r="2945" spans="1:8" ht="25.5" x14ac:dyDescent="0.2">
      <c r="A2945" s="1" t="s">
        <v>4</v>
      </c>
      <c r="B2945" s="2" t="s">
        <v>292</v>
      </c>
      <c r="D2945" s="5" t="s">
        <v>1098</v>
      </c>
      <c r="E2945" s="9">
        <v>115936</v>
      </c>
      <c r="F2945" s="3">
        <v>115936</v>
      </c>
      <c r="G2945" s="57">
        <f t="shared" si="46"/>
        <v>0</v>
      </c>
      <c r="H2945" s="5" t="s">
        <v>2929</v>
      </c>
    </row>
    <row r="2946" spans="1:8" ht="25.5" x14ac:dyDescent="0.2">
      <c r="A2946" s="1" t="s">
        <v>4</v>
      </c>
      <c r="B2946" s="2" t="s">
        <v>292</v>
      </c>
      <c r="D2946" s="5" t="s">
        <v>2930</v>
      </c>
      <c r="E2946" s="9" t="s">
        <v>465</v>
      </c>
      <c r="F2946" s="3">
        <v>115293</v>
      </c>
      <c r="G2946" s="57" t="str">
        <f t="shared" si="46"/>
        <v>-</v>
      </c>
      <c r="H2946" s="5" t="s">
        <v>4673</v>
      </c>
    </row>
    <row r="2947" spans="1:8" ht="38.25" x14ac:dyDescent="0.2">
      <c r="A2947" s="1" t="s">
        <v>4</v>
      </c>
      <c r="B2947" s="2" t="s">
        <v>292</v>
      </c>
      <c r="D2947" s="5" t="s">
        <v>2931</v>
      </c>
      <c r="E2947" s="9">
        <v>89260</v>
      </c>
      <c r="F2947" s="3">
        <v>152246</v>
      </c>
      <c r="G2947" s="57">
        <f t="shared" si="46"/>
        <v>0.70564642617073714</v>
      </c>
      <c r="H2947" s="5" t="s">
        <v>2932</v>
      </c>
    </row>
    <row r="2948" spans="1:8" ht="25.5" x14ac:dyDescent="0.2">
      <c r="A2948" s="1" t="s">
        <v>4</v>
      </c>
      <c r="B2948" s="2" t="s">
        <v>292</v>
      </c>
      <c r="D2948" s="7" t="s">
        <v>2934</v>
      </c>
      <c r="E2948" s="6">
        <v>115936</v>
      </c>
      <c r="F2948" s="6">
        <v>67629</v>
      </c>
      <c r="G2948" s="57">
        <f t="shared" si="46"/>
        <v>-0.41666954181617444</v>
      </c>
      <c r="H2948" s="7" t="s">
        <v>2935</v>
      </c>
    </row>
    <row r="2949" spans="1:8" ht="25.5" x14ac:dyDescent="0.2">
      <c r="A2949" s="1" t="s">
        <v>4</v>
      </c>
      <c r="B2949" s="2" t="s">
        <v>292</v>
      </c>
      <c r="D2949" s="7" t="s">
        <v>1437</v>
      </c>
      <c r="E2949" s="6">
        <v>119418</v>
      </c>
      <c r="F2949" s="6">
        <v>25422</v>
      </c>
      <c r="G2949" s="57">
        <f t="shared" si="46"/>
        <v>-0.78711751997186352</v>
      </c>
      <c r="H2949" s="7" t="s">
        <v>2936</v>
      </c>
    </row>
    <row r="2950" spans="1:8" ht="25.5" x14ac:dyDescent="0.2">
      <c r="A2950" s="1" t="s">
        <v>4</v>
      </c>
      <c r="B2950" s="2" t="s">
        <v>292</v>
      </c>
      <c r="D2950" s="7" t="s">
        <v>2937</v>
      </c>
      <c r="E2950" s="6">
        <v>109682</v>
      </c>
      <c r="F2950" s="6">
        <v>25357</v>
      </c>
      <c r="G2950" s="57">
        <f t="shared" si="46"/>
        <v>-0.76881347896646668</v>
      </c>
      <c r="H2950" s="7" t="s">
        <v>2938</v>
      </c>
    </row>
    <row r="2951" spans="1:8" ht="25.5" x14ac:dyDescent="0.2">
      <c r="A2951" s="1" t="s">
        <v>4</v>
      </c>
      <c r="B2951" s="2" t="s">
        <v>292</v>
      </c>
      <c r="D2951" s="7" t="s">
        <v>2525</v>
      </c>
      <c r="E2951" s="6">
        <v>115256</v>
      </c>
      <c r="F2951" s="6">
        <v>43996</v>
      </c>
      <c r="G2951" s="57">
        <f t="shared" si="46"/>
        <v>-0.61827583813424025</v>
      </c>
      <c r="H2951" s="7" t="s">
        <v>2939</v>
      </c>
    </row>
    <row r="2952" spans="1:8" x14ac:dyDescent="0.2">
      <c r="A2952" s="1" t="s">
        <v>4</v>
      </c>
      <c r="B2952" s="2" t="s">
        <v>292</v>
      </c>
      <c r="D2952" s="5" t="s">
        <v>464</v>
      </c>
      <c r="E2952" s="3">
        <v>102500</v>
      </c>
      <c r="F2952" s="3" t="s">
        <v>465</v>
      </c>
      <c r="G2952" s="57" t="str">
        <f t="shared" si="46"/>
        <v>-</v>
      </c>
    </row>
    <row r="2953" spans="1:8" x14ac:dyDescent="0.2">
      <c r="A2953" s="1" t="s">
        <v>4</v>
      </c>
      <c r="B2953" s="2" t="s">
        <v>292</v>
      </c>
      <c r="D2953" s="5" t="s">
        <v>464</v>
      </c>
      <c r="E2953" s="3">
        <v>107500</v>
      </c>
      <c r="F2953" s="3" t="s">
        <v>465</v>
      </c>
      <c r="G2953" s="57" t="str">
        <f t="shared" si="46"/>
        <v>-</v>
      </c>
    </row>
    <row r="2954" spans="1:8" ht="25.5" x14ac:dyDescent="0.2">
      <c r="A2954" s="1" t="s">
        <v>44</v>
      </c>
      <c r="B2954" s="2" t="s">
        <v>293</v>
      </c>
      <c r="C2954" s="5" t="s">
        <v>1010</v>
      </c>
      <c r="D2954" s="5" t="s">
        <v>450</v>
      </c>
      <c r="E2954" s="3">
        <f>156745+9552+23723</f>
        <v>190020</v>
      </c>
      <c r="F2954" s="3">
        <f>159462+10361+25341</f>
        <v>195164</v>
      </c>
      <c r="G2954" s="57">
        <f t="shared" si="46"/>
        <v>2.7070834648984316E-2</v>
      </c>
      <c r="H2954" s="5" t="s">
        <v>2902</v>
      </c>
    </row>
    <row r="2955" spans="1:8" ht="25.5" x14ac:dyDescent="0.2">
      <c r="A2955" s="1" t="s">
        <v>44</v>
      </c>
      <c r="B2955" s="2" t="s">
        <v>293</v>
      </c>
      <c r="D2955" s="5" t="s">
        <v>944</v>
      </c>
      <c r="E2955" s="3">
        <f>101375+8576+15343</f>
        <v>125294</v>
      </c>
      <c r="F2955" s="3">
        <f>103776+8894+16492</f>
        <v>129162</v>
      </c>
      <c r="G2955" s="57">
        <f t="shared" si="46"/>
        <v>3.0871390489568534E-2</v>
      </c>
      <c r="H2955" s="5" t="s">
        <v>2903</v>
      </c>
    </row>
    <row r="2956" spans="1:8" ht="25.5" x14ac:dyDescent="0.2">
      <c r="A2956" s="1" t="s">
        <v>44</v>
      </c>
      <c r="B2956" s="2" t="s">
        <v>293</v>
      </c>
      <c r="D2956" s="5" t="s">
        <v>1011</v>
      </c>
      <c r="E2956" s="3">
        <f>105575+5713+15979</f>
        <v>127267</v>
      </c>
      <c r="F2956" s="3">
        <f>90458+6638+14375</f>
        <v>111471</v>
      </c>
      <c r="G2956" s="57">
        <f t="shared" si="46"/>
        <v>-0.12411701383705123</v>
      </c>
      <c r="H2956" s="5" t="s">
        <v>2904</v>
      </c>
    </row>
    <row r="2957" spans="1:8" ht="25.5" x14ac:dyDescent="0.2">
      <c r="A2957" s="1" t="s">
        <v>44</v>
      </c>
      <c r="B2957" s="2" t="s">
        <v>293</v>
      </c>
      <c r="D2957" s="5" t="s">
        <v>1012</v>
      </c>
      <c r="E2957" s="3">
        <f>105575+8960+15979</f>
        <v>130514</v>
      </c>
      <c r="F2957" s="3">
        <f>105575+7235+16777</f>
        <v>129587</v>
      </c>
      <c r="G2957" s="57">
        <f t="shared" si="46"/>
        <v>-7.1026863018526752E-3</v>
      </c>
      <c r="H2957" s="5" t="s">
        <v>2905</v>
      </c>
    </row>
    <row r="2958" spans="1:8" ht="25.5" x14ac:dyDescent="0.2">
      <c r="A2958" s="1" t="s">
        <v>44</v>
      </c>
      <c r="B2958" s="2" t="s">
        <v>293</v>
      </c>
      <c r="D2958" s="5" t="s">
        <v>1013</v>
      </c>
      <c r="E2958" s="3">
        <f>105575+9131+15979</f>
        <v>130685</v>
      </c>
      <c r="F2958" s="3">
        <f>105575+9726+16777</f>
        <v>132078</v>
      </c>
      <c r="G2958" s="57">
        <f t="shared" si="46"/>
        <v>1.0659218732065654E-2</v>
      </c>
      <c r="H2958" s="5" t="s">
        <v>2906</v>
      </c>
    </row>
    <row r="2959" spans="1:8" ht="25.5" x14ac:dyDescent="0.2">
      <c r="A2959" s="1" t="s">
        <v>44</v>
      </c>
      <c r="B2959" s="2" t="s">
        <v>293</v>
      </c>
      <c r="D2959" s="5" t="s">
        <v>1014</v>
      </c>
      <c r="E2959" s="3">
        <f>105575+8217+15979</f>
        <v>129771</v>
      </c>
      <c r="F2959" s="3">
        <f>105575+7484+16777</f>
        <v>129836</v>
      </c>
      <c r="G2959" s="57">
        <f t="shared" si="46"/>
        <v>5.0088232347751042E-4</v>
      </c>
      <c r="H2959" s="5" t="s">
        <v>2907</v>
      </c>
    </row>
    <row r="2960" spans="1:8" ht="25.5" x14ac:dyDescent="0.2">
      <c r="A2960" s="1" t="s">
        <v>6</v>
      </c>
      <c r="B2960" s="2" t="s">
        <v>294</v>
      </c>
      <c r="D2960" s="5" t="s">
        <v>450</v>
      </c>
      <c r="E2960" s="3">
        <v>158169</v>
      </c>
      <c r="F2960" s="3">
        <v>159960</v>
      </c>
      <c r="G2960" s="57">
        <f t="shared" si="46"/>
        <v>1.1323331373404397E-2</v>
      </c>
      <c r="H2960" s="5" t="s">
        <v>2898</v>
      </c>
    </row>
    <row r="2961" spans="1:8" ht="25.5" x14ac:dyDescent="0.2">
      <c r="A2961" s="1" t="s">
        <v>6</v>
      </c>
      <c r="B2961" s="2" t="s">
        <v>294</v>
      </c>
      <c r="D2961" s="5" t="s">
        <v>4674</v>
      </c>
      <c r="E2961" s="3">
        <v>101195</v>
      </c>
      <c r="F2961" s="3">
        <v>100681</v>
      </c>
      <c r="G2961" s="57">
        <f t="shared" si="46"/>
        <v>-5.0793023370719901E-3</v>
      </c>
      <c r="H2961" s="5" t="s">
        <v>2899</v>
      </c>
    </row>
    <row r="2962" spans="1:8" ht="25.5" x14ac:dyDescent="0.2">
      <c r="A2962" s="1" t="s">
        <v>6</v>
      </c>
      <c r="B2962" s="2" t="s">
        <v>294</v>
      </c>
      <c r="D2962" s="5" t="s">
        <v>2901</v>
      </c>
      <c r="E2962" s="3">
        <v>100032</v>
      </c>
      <c r="F2962" s="3">
        <v>99946</v>
      </c>
      <c r="G2962" s="57">
        <f t="shared" si="46"/>
        <v>-8.5972488803582854E-4</v>
      </c>
      <c r="H2962" s="5" t="s">
        <v>2900</v>
      </c>
    </row>
    <row r="2963" spans="1:8" ht="25.5" x14ac:dyDescent="0.2">
      <c r="A2963" s="1" t="s">
        <v>1</v>
      </c>
      <c r="B2963" s="2" t="s">
        <v>295</v>
      </c>
      <c r="C2963" s="5" t="s">
        <v>1004</v>
      </c>
      <c r="D2963" s="5" t="s">
        <v>450</v>
      </c>
      <c r="E2963" s="3">
        <f>128155+23709</f>
        <v>151864</v>
      </c>
      <c r="F2963" s="3">
        <f>125331+23186</f>
        <v>148517</v>
      </c>
      <c r="G2963" s="57">
        <f t="shared" si="46"/>
        <v>-2.2039456355686667E-2</v>
      </c>
      <c r="H2963" s="5" t="s">
        <v>2891</v>
      </c>
    </row>
    <row r="2964" spans="1:8" ht="25.5" x14ac:dyDescent="0.2">
      <c r="A2964" s="1" t="s">
        <v>1</v>
      </c>
      <c r="B2964" s="2" t="s">
        <v>295</v>
      </c>
      <c r="C2964" s="5" t="s">
        <v>2892</v>
      </c>
      <c r="D2964" s="5" t="s">
        <v>1005</v>
      </c>
      <c r="E2964" s="3">
        <f>105458+19510</f>
        <v>124968</v>
      </c>
      <c r="F2964" s="3">
        <f>111525+20632</f>
        <v>132157</v>
      </c>
      <c r="G2964" s="57">
        <f t="shared" si="46"/>
        <v>5.7526726842071572E-2</v>
      </c>
      <c r="H2964" s="5" t="s">
        <v>2893</v>
      </c>
    </row>
    <row r="2965" spans="1:8" ht="25.5" x14ac:dyDescent="0.2">
      <c r="A2965" s="1" t="s">
        <v>1</v>
      </c>
      <c r="B2965" s="2" t="s">
        <v>295</v>
      </c>
      <c r="C2965" s="5" t="s">
        <v>1006</v>
      </c>
      <c r="D2965" s="5" t="s">
        <v>1007</v>
      </c>
      <c r="E2965" s="3">
        <f>103785+19200</f>
        <v>122985</v>
      </c>
      <c r="F2965" s="3">
        <f>106380+19680</f>
        <v>126060</v>
      </c>
      <c r="G2965" s="57">
        <f t="shared" si="46"/>
        <v>2.500304915233565E-2</v>
      </c>
      <c r="H2965" s="5" t="s">
        <v>2894</v>
      </c>
    </row>
    <row r="2966" spans="1:8" ht="25.5" x14ac:dyDescent="0.2">
      <c r="A2966" s="1" t="s">
        <v>1</v>
      </c>
      <c r="B2966" s="2" t="s">
        <v>295</v>
      </c>
      <c r="C2966" s="5" t="s">
        <v>1008</v>
      </c>
      <c r="D2966" s="5" t="s">
        <v>1009</v>
      </c>
      <c r="E2966" s="3">
        <f>103785+19200</f>
        <v>122985</v>
      </c>
      <c r="F2966" s="3">
        <f>106380+19680</f>
        <v>126060</v>
      </c>
      <c r="G2966" s="57">
        <f t="shared" si="46"/>
        <v>2.500304915233565E-2</v>
      </c>
      <c r="H2966" s="5" t="s">
        <v>2894</v>
      </c>
    </row>
    <row r="2967" spans="1:8" ht="25.5" x14ac:dyDescent="0.2">
      <c r="A2967" s="1" t="s">
        <v>1</v>
      </c>
      <c r="B2967" s="2" t="s">
        <v>295</v>
      </c>
      <c r="C2967" s="7" t="s">
        <v>2895</v>
      </c>
      <c r="D2967" s="7" t="s">
        <v>520</v>
      </c>
      <c r="E2967" s="6">
        <f>86274+15961</f>
        <v>102235</v>
      </c>
      <c r="F2967" s="6">
        <f>84045+15548</f>
        <v>99593</v>
      </c>
      <c r="G2967" s="57">
        <f t="shared" si="46"/>
        <v>-2.5842421871179147E-2</v>
      </c>
      <c r="H2967" s="7" t="s">
        <v>2897</v>
      </c>
    </row>
    <row r="2968" spans="1:8" ht="25.5" x14ac:dyDescent="0.2">
      <c r="A2968" s="1" t="s">
        <v>1</v>
      </c>
      <c r="B2968" s="2" t="s">
        <v>295</v>
      </c>
      <c r="C2968" s="7" t="s">
        <v>2896</v>
      </c>
      <c r="D2968" s="7" t="s">
        <v>740</v>
      </c>
      <c r="E2968" s="6">
        <f>86274+15961</f>
        <v>102235</v>
      </c>
      <c r="F2968" s="6">
        <f>84045+15548</f>
        <v>99593</v>
      </c>
      <c r="G2968" s="57">
        <f t="shared" si="46"/>
        <v>-2.5842421871179147E-2</v>
      </c>
      <c r="H2968" s="7" t="s">
        <v>2897</v>
      </c>
    </row>
    <row r="2969" spans="1:8" ht="25.5" x14ac:dyDescent="0.2">
      <c r="A2969" s="1" t="s">
        <v>20</v>
      </c>
      <c r="B2969" s="2" t="s">
        <v>296</v>
      </c>
      <c r="C2969" s="5" t="s">
        <v>998</v>
      </c>
      <c r="D2969" s="5" t="s">
        <v>450</v>
      </c>
      <c r="E2969" s="3">
        <v>200084</v>
      </c>
      <c r="F2969" s="3">
        <v>205126</v>
      </c>
      <c r="G2969" s="57">
        <f t="shared" si="46"/>
        <v>2.5199416245177027E-2</v>
      </c>
      <c r="H2969" s="5" t="s">
        <v>2873</v>
      </c>
    </row>
    <row r="2970" spans="1:8" ht="25.5" x14ac:dyDescent="0.2">
      <c r="A2970" s="1" t="s">
        <v>20</v>
      </c>
      <c r="B2970" s="2" t="s">
        <v>296</v>
      </c>
      <c r="D2970" s="5" t="s">
        <v>999</v>
      </c>
      <c r="E2970" s="3">
        <v>141654</v>
      </c>
      <c r="F2970" s="3">
        <v>144939</v>
      </c>
      <c r="G2970" s="57">
        <f t="shared" ref="G2970:G3033" si="47">IF(ISERROR((F2970-E2970)/E2970),"-",(F2970-E2970)/E2970)</f>
        <v>2.3190308780549791E-2</v>
      </c>
      <c r="H2970" s="5" t="s">
        <v>2874</v>
      </c>
    </row>
    <row r="2971" spans="1:8" ht="25.5" x14ac:dyDescent="0.2">
      <c r="A2971" s="1" t="s">
        <v>20</v>
      </c>
      <c r="B2971" s="2" t="s">
        <v>296</v>
      </c>
      <c r="D2971" s="5" t="s">
        <v>1000</v>
      </c>
      <c r="E2971" s="3">
        <v>106894</v>
      </c>
      <c r="F2971" s="3">
        <v>129256</v>
      </c>
      <c r="G2971" s="57">
        <f t="shared" si="47"/>
        <v>0.20919789698205699</v>
      </c>
      <c r="H2971" s="5" t="s">
        <v>4398</v>
      </c>
    </row>
    <row r="2972" spans="1:8" x14ac:dyDescent="0.2">
      <c r="A2972" s="1" t="s">
        <v>20</v>
      </c>
      <c r="B2972" s="2" t="s">
        <v>296</v>
      </c>
      <c r="D2972" s="5" t="s">
        <v>1001</v>
      </c>
      <c r="E2972" s="3">
        <v>160991</v>
      </c>
      <c r="F2972" s="3">
        <v>162650</v>
      </c>
      <c r="G2972" s="57">
        <f t="shared" si="47"/>
        <v>1.0304923877732295E-2</v>
      </c>
      <c r="H2972" s="5" t="s">
        <v>2875</v>
      </c>
    </row>
    <row r="2973" spans="1:8" ht="38.25" x14ac:dyDescent="0.2">
      <c r="A2973" s="1" t="s">
        <v>20</v>
      </c>
      <c r="B2973" s="2" t="s">
        <v>296</v>
      </c>
      <c r="D2973" s="5" t="s">
        <v>1002</v>
      </c>
      <c r="E2973" s="3">
        <v>108987</v>
      </c>
      <c r="F2973" s="3">
        <v>101531</v>
      </c>
      <c r="G2973" s="57">
        <f t="shared" si="47"/>
        <v>-6.8411828933726035E-2</v>
      </c>
      <c r="H2973" s="5" t="s">
        <v>4397</v>
      </c>
    </row>
    <row r="2974" spans="1:8" ht="25.5" x14ac:dyDescent="0.2">
      <c r="A2974" s="1" t="s">
        <v>20</v>
      </c>
      <c r="B2974" s="2" t="s">
        <v>296</v>
      </c>
      <c r="D2974" s="5" t="s">
        <v>1003</v>
      </c>
      <c r="E2974" s="3">
        <v>128537</v>
      </c>
      <c r="F2974" s="3">
        <v>130054</v>
      </c>
      <c r="G2974" s="57">
        <f t="shared" si="47"/>
        <v>1.1802049215401013E-2</v>
      </c>
      <c r="H2974" s="5" t="s">
        <v>2889</v>
      </c>
    </row>
    <row r="2975" spans="1:8" ht="25.5" x14ac:dyDescent="0.2">
      <c r="A2975" s="1" t="s">
        <v>20</v>
      </c>
      <c r="B2975" s="2" t="s">
        <v>296</v>
      </c>
      <c r="D2975" s="5" t="s">
        <v>613</v>
      </c>
      <c r="E2975" s="3">
        <v>105492</v>
      </c>
      <c r="F2975" s="3">
        <v>108641</v>
      </c>
      <c r="G2975" s="57">
        <f t="shared" si="47"/>
        <v>2.9850604785196983E-2</v>
      </c>
      <c r="H2975" s="5" t="s">
        <v>2890</v>
      </c>
    </row>
    <row r="2976" spans="1:8" x14ac:dyDescent="0.2">
      <c r="A2976" s="1" t="s">
        <v>20</v>
      </c>
      <c r="B2976" s="2" t="s">
        <v>296</v>
      </c>
      <c r="D2976" s="5" t="s">
        <v>464</v>
      </c>
      <c r="E2976" s="3">
        <v>102500</v>
      </c>
      <c r="F2976" s="3" t="s">
        <v>465</v>
      </c>
      <c r="G2976" s="57" t="str">
        <f t="shared" si="47"/>
        <v>-</v>
      </c>
    </row>
    <row r="2977" spans="1:8" x14ac:dyDescent="0.2">
      <c r="A2977" s="1" t="s">
        <v>20</v>
      </c>
      <c r="B2977" s="2" t="s">
        <v>296</v>
      </c>
      <c r="D2977" s="5" t="s">
        <v>464</v>
      </c>
      <c r="E2977" s="3" t="s">
        <v>465</v>
      </c>
      <c r="F2977" s="3">
        <v>102500</v>
      </c>
      <c r="G2977" s="57" t="str">
        <f t="shared" si="47"/>
        <v>-</v>
      </c>
    </row>
    <row r="2978" spans="1:8" x14ac:dyDescent="0.2">
      <c r="A2978" s="1" t="s">
        <v>20</v>
      </c>
      <c r="B2978" s="2" t="s">
        <v>296</v>
      </c>
      <c r="D2978" s="5" t="s">
        <v>464</v>
      </c>
      <c r="E2978" s="3" t="s">
        <v>465</v>
      </c>
      <c r="F2978" s="3">
        <v>107500</v>
      </c>
      <c r="G2978" s="57" t="str">
        <f t="shared" si="47"/>
        <v>-</v>
      </c>
    </row>
    <row r="2979" spans="1:8" x14ac:dyDescent="0.2">
      <c r="A2979" s="1" t="s">
        <v>20</v>
      </c>
      <c r="B2979" s="2" t="s">
        <v>296</v>
      </c>
      <c r="D2979" s="5" t="s">
        <v>464</v>
      </c>
      <c r="E2979" s="3" t="s">
        <v>465</v>
      </c>
      <c r="F2979" s="3">
        <v>112500</v>
      </c>
      <c r="G2979" s="57" t="str">
        <f t="shared" si="47"/>
        <v>-</v>
      </c>
    </row>
    <row r="2980" spans="1:8" x14ac:dyDescent="0.2">
      <c r="A2980" s="1" t="s">
        <v>20</v>
      </c>
      <c r="B2980" s="2" t="s">
        <v>296</v>
      </c>
      <c r="D2980" s="5" t="s">
        <v>464</v>
      </c>
      <c r="E2980" s="3">
        <v>127500</v>
      </c>
      <c r="F2980" s="3" t="s">
        <v>465</v>
      </c>
      <c r="G2980" s="57" t="str">
        <f t="shared" si="47"/>
        <v>-</v>
      </c>
    </row>
    <row r="2981" spans="1:8" x14ac:dyDescent="0.2">
      <c r="A2981" s="1" t="s">
        <v>20</v>
      </c>
      <c r="B2981" s="2" t="s">
        <v>296</v>
      </c>
      <c r="D2981" s="5" t="s">
        <v>464</v>
      </c>
      <c r="E2981" s="3">
        <v>132500</v>
      </c>
      <c r="F2981" s="3" t="s">
        <v>465</v>
      </c>
      <c r="G2981" s="57" t="str">
        <f t="shared" si="47"/>
        <v>-</v>
      </c>
    </row>
    <row r="2982" spans="1:8" x14ac:dyDescent="0.2">
      <c r="A2982" s="1" t="s">
        <v>20</v>
      </c>
      <c r="B2982" s="2" t="s">
        <v>296</v>
      </c>
      <c r="D2982" s="5" t="s">
        <v>464</v>
      </c>
      <c r="E2982" s="3">
        <v>142500</v>
      </c>
      <c r="F2982" s="3" t="s">
        <v>465</v>
      </c>
      <c r="G2982" s="57" t="str">
        <f t="shared" si="47"/>
        <v>-</v>
      </c>
    </row>
    <row r="2983" spans="1:8" x14ac:dyDescent="0.2">
      <c r="A2983" s="1" t="s">
        <v>20</v>
      </c>
      <c r="B2983" s="2" t="s">
        <v>296</v>
      </c>
      <c r="D2983" s="5" t="s">
        <v>464</v>
      </c>
      <c r="E2983" s="3">
        <v>147500</v>
      </c>
      <c r="F2983" s="3" t="s">
        <v>465</v>
      </c>
      <c r="G2983" s="57" t="str">
        <f t="shared" si="47"/>
        <v>-</v>
      </c>
    </row>
    <row r="2984" spans="1:8" x14ac:dyDescent="0.2">
      <c r="A2984" s="1" t="s">
        <v>20</v>
      </c>
      <c r="B2984" s="2" t="s">
        <v>296</v>
      </c>
      <c r="D2984" s="5" t="s">
        <v>464</v>
      </c>
      <c r="E2984" s="3" t="s">
        <v>465</v>
      </c>
      <c r="F2984" s="3">
        <v>157500</v>
      </c>
      <c r="G2984" s="57" t="str">
        <f t="shared" si="47"/>
        <v>-</v>
      </c>
    </row>
    <row r="2985" spans="1:8" ht="25.5" x14ac:dyDescent="0.2">
      <c r="A2985" s="1" t="s">
        <v>34</v>
      </c>
      <c r="B2985" s="2" t="s">
        <v>297</v>
      </c>
      <c r="C2985" s="5" t="s">
        <v>993</v>
      </c>
      <c r="D2985" s="5" t="s">
        <v>450</v>
      </c>
      <c r="E2985" s="3">
        <v>204297</v>
      </c>
      <c r="F2985" s="3">
        <v>211323</v>
      </c>
      <c r="G2985" s="57">
        <f t="shared" si="47"/>
        <v>3.4391107064714606E-2</v>
      </c>
      <c r="H2985" s="5" t="s">
        <v>2867</v>
      </c>
    </row>
    <row r="2986" spans="1:8" ht="25.5" x14ac:dyDescent="0.2">
      <c r="A2986" s="1" t="s">
        <v>34</v>
      </c>
      <c r="B2986" s="2" t="s">
        <v>297</v>
      </c>
      <c r="D2986" s="5" t="s">
        <v>451</v>
      </c>
      <c r="E2986" s="3">
        <v>66939</v>
      </c>
      <c r="F2986" s="3">
        <v>114713</v>
      </c>
      <c r="G2986" s="57">
        <f t="shared" si="47"/>
        <v>0.71369455773166612</v>
      </c>
      <c r="H2986" s="7" t="s">
        <v>4399</v>
      </c>
    </row>
    <row r="2987" spans="1:8" ht="25.5" x14ac:dyDescent="0.2">
      <c r="A2987" s="1" t="s">
        <v>34</v>
      </c>
      <c r="B2987" s="2" t="s">
        <v>297</v>
      </c>
      <c r="D2987" s="5" t="s">
        <v>994</v>
      </c>
      <c r="E2987" s="3">
        <v>151169</v>
      </c>
      <c r="F2987" s="3">
        <v>151273</v>
      </c>
      <c r="G2987" s="57">
        <f t="shared" si="47"/>
        <v>6.8797174023774719E-4</v>
      </c>
      <c r="H2987" s="5" t="s">
        <v>2868</v>
      </c>
    </row>
    <row r="2988" spans="1:8" ht="25.5" x14ac:dyDescent="0.2">
      <c r="A2988" s="1" t="s">
        <v>34</v>
      </c>
      <c r="B2988" s="2" t="s">
        <v>297</v>
      </c>
      <c r="D2988" s="5" t="s">
        <v>995</v>
      </c>
      <c r="E2988" s="3">
        <v>133003</v>
      </c>
      <c r="F2988" s="3">
        <v>134153</v>
      </c>
      <c r="G2988" s="57">
        <f t="shared" si="47"/>
        <v>8.6464215092892649E-3</v>
      </c>
      <c r="H2988" s="5" t="s">
        <v>2869</v>
      </c>
    </row>
    <row r="2989" spans="1:8" x14ac:dyDescent="0.2">
      <c r="A2989" s="1" t="s">
        <v>34</v>
      </c>
      <c r="B2989" s="2" t="s">
        <v>297</v>
      </c>
      <c r="D2989" s="5" t="s">
        <v>996</v>
      </c>
      <c r="E2989" s="3">
        <v>130081</v>
      </c>
      <c r="F2989" s="3">
        <v>127436</v>
      </c>
      <c r="G2989" s="57">
        <f t="shared" si="47"/>
        <v>-2.0333484521182957E-2</v>
      </c>
      <c r="H2989" s="5" t="s">
        <v>2870</v>
      </c>
    </row>
    <row r="2990" spans="1:8" x14ac:dyDescent="0.2">
      <c r="A2990" s="1" t="s">
        <v>34</v>
      </c>
      <c r="B2990" s="2" t="s">
        <v>297</v>
      </c>
      <c r="D2990" s="5" t="s">
        <v>997</v>
      </c>
      <c r="E2990" s="3">
        <v>64696</v>
      </c>
      <c r="F2990" s="3">
        <v>131833</v>
      </c>
      <c r="G2990" s="57">
        <f t="shared" si="47"/>
        <v>1.0377303079015705</v>
      </c>
      <c r="H2990" s="5" t="s">
        <v>2871</v>
      </c>
    </row>
    <row r="2991" spans="1:8" ht="38.25" x14ac:dyDescent="0.2">
      <c r="A2991" s="1" t="s">
        <v>34</v>
      </c>
      <c r="B2991" s="2" t="s">
        <v>297</v>
      </c>
      <c r="D2991" s="5" t="s">
        <v>4675</v>
      </c>
      <c r="E2991" s="3">
        <v>101760</v>
      </c>
      <c r="F2991" s="3">
        <v>97344</v>
      </c>
      <c r="G2991" s="57">
        <f t="shared" si="47"/>
        <v>-4.3396226415094337E-2</v>
      </c>
      <c r="H2991" s="5" t="s">
        <v>2872</v>
      </c>
    </row>
    <row r="2992" spans="1:8" x14ac:dyDescent="0.2">
      <c r="A2992" s="1" t="s">
        <v>34</v>
      </c>
      <c r="B2992" s="2" t="s">
        <v>297</v>
      </c>
      <c r="D2992" s="5" t="s">
        <v>464</v>
      </c>
      <c r="E2992" s="3" t="s">
        <v>465</v>
      </c>
      <c r="F2992" s="3">
        <v>102500</v>
      </c>
      <c r="G2992" s="57" t="str">
        <f t="shared" si="47"/>
        <v>-</v>
      </c>
    </row>
    <row r="2993" spans="1:8" x14ac:dyDescent="0.2">
      <c r="A2993" s="1" t="s">
        <v>34</v>
      </c>
      <c r="B2993" s="2" t="s">
        <v>297</v>
      </c>
      <c r="D2993" s="5" t="s">
        <v>464</v>
      </c>
      <c r="E2993" s="3">
        <v>107500</v>
      </c>
      <c r="F2993" s="3" t="s">
        <v>465</v>
      </c>
      <c r="G2993" s="57" t="str">
        <f t="shared" si="47"/>
        <v>-</v>
      </c>
    </row>
    <row r="2994" spans="1:8" x14ac:dyDescent="0.2">
      <c r="A2994" s="1" t="s">
        <v>34</v>
      </c>
      <c r="B2994" s="2" t="s">
        <v>297</v>
      </c>
      <c r="D2994" s="5" t="s">
        <v>464</v>
      </c>
      <c r="E2994" s="3">
        <v>107500</v>
      </c>
      <c r="F2994" s="3" t="s">
        <v>465</v>
      </c>
      <c r="G2994" s="57" t="str">
        <f t="shared" si="47"/>
        <v>-</v>
      </c>
    </row>
    <row r="2995" spans="1:8" x14ac:dyDescent="0.2">
      <c r="A2995" s="1" t="s">
        <v>34</v>
      </c>
      <c r="B2995" s="2" t="s">
        <v>297</v>
      </c>
      <c r="D2995" s="5" t="s">
        <v>464</v>
      </c>
      <c r="E2995" s="3" t="s">
        <v>465</v>
      </c>
      <c r="F2995" s="3">
        <v>107500</v>
      </c>
      <c r="G2995" s="57" t="str">
        <f t="shared" si="47"/>
        <v>-</v>
      </c>
    </row>
    <row r="2996" spans="1:8" x14ac:dyDescent="0.2">
      <c r="A2996" s="1" t="s">
        <v>34</v>
      </c>
      <c r="B2996" s="2" t="s">
        <v>297</v>
      </c>
      <c r="D2996" s="5" t="s">
        <v>464</v>
      </c>
      <c r="E2996" s="3" t="s">
        <v>465</v>
      </c>
      <c r="F2996" s="3">
        <v>112500</v>
      </c>
      <c r="G2996" s="57" t="str">
        <f t="shared" si="47"/>
        <v>-</v>
      </c>
    </row>
    <row r="2997" spans="1:8" ht="25.5" x14ac:dyDescent="0.2">
      <c r="A2997" s="1" t="s">
        <v>34</v>
      </c>
      <c r="B2997" s="2" t="s">
        <v>298</v>
      </c>
      <c r="D2997" s="5" t="s">
        <v>450</v>
      </c>
      <c r="E2997" s="3">
        <v>146983</v>
      </c>
      <c r="F2997" s="3">
        <v>147020</v>
      </c>
      <c r="G2997" s="57">
        <f t="shared" si="47"/>
        <v>2.5172979188069368E-4</v>
      </c>
      <c r="H2997" s="5" t="s">
        <v>2862</v>
      </c>
    </row>
    <row r="2998" spans="1:8" ht="25.5" x14ac:dyDescent="0.2">
      <c r="A2998" s="1" t="s">
        <v>34</v>
      </c>
      <c r="B2998" s="2" t="s">
        <v>298</v>
      </c>
      <c r="D2998" s="5" t="s">
        <v>991</v>
      </c>
      <c r="E2998" s="3">
        <v>111131</v>
      </c>
      <c r="F2998" s="3">
        <v>111606</v>
      </c>
      <c r="G2998" s="57">
        <f t="shared" si="47"/>
        <v>4.2742349119507606E-3</v>
      </c>
      <c r="H2998" s="5" t="s">
        <v>2863</v>
      </c>
    </row>
    <row r="2999" spans="1:8" ht="25.5" x14ac:dyDescent="0.2">
      <c r="A2999" s="1" t="s">
        <v>34</v>
      </c>
      <c r="B2999" s="2" t="s">
        <v>298</v>
      </c>
      <c r="D2999" s="5" t="s">
        <v>992</v>
      </c>
      <c r="E2999" s="3">
        <v>125354</v>
      </c>
      <c r="F2999" s="3">
        <v>122902</v>
      </c>
      <c r="G2999" s="57">
        <f t="shared" si="47"/>
        <v>-1.9560604368428609E-2</v>
      </c>
      <c r="H2999" s="5" t="s">
        <v>2864</v>
      </c>
    </row>
    <row r="3000" spans="1:8" ht="25.5" x14ac:dyDescent="0.2">
      <c r="A3000" s="1" t="s">
        <v>34</v>
      </c>
      <c r="B3000" s="2" t="s">
        <v>298</v>
      </c>
      <c r="D3000" s="5" t="s">
        <v>504</v>
      </c>
      <c r="E3000" s="3" t="s">
        <v>465</v>
      </c>
      <c r="F3000" s="3">
        <v>111674</v>
      </c>
      <c r="G3000" s="57" t="str">
        <f t="shared" si="47"/>
        <v>-</v>
      </c>
      <c r="H3000" s="5" t="s">
        <v>2865</v>
      </c>
    </row>
    <row r="3001" spans="1:8" ht="25.5" x14ac:dyDescent="0.2">
      <c r="A3001" s="1" t="s">
        <v>34</v>
      </c>
      <c r="B3001" s="2" t="s">
        <v>298</v>
      </c>
      <c r="D3001" s="5" t="s">
        <v>504</v>
      </c>
      <c r="E3001" s="3" t="s">
        <v>465</v>
      </c>
      <c r="F3001" s="3">
        <v>120283</v>
      </c>
      <c r="G3001" s="57" t="str">
        <f t="shared" si="47"/>
        <v>-</v>
      </c>
      <c r="H3001" s="5" t="s">
        <v>2866</v>
      </c>
    </row>
    <row r="3002" spans="1:8" x14ac:dyDescent="0.2">
      <c r="A3002" s="1" t="s">
        <v>34</v>
      </c>
      <c r="B3002" s="2" t="s">
        <v>298</v>
      </c>
      <c r="D3002" s="5" t="s">
        <v>504</v>
      </c>
      <c r="E3002" s="3">
        <v>108857</v>
      </c>
      <c r="F3002" s="3" t="s">
        <v>465</v>
      </c>
      <c r="G3002" s="57" t="str">
        <f t="shared" si="47"/>
        <v>-</v>
      </c>
    </row>
    <row r="3003" spans="1:8" x14ac:dyDescent="0.2">
      <c r="A3003" s="1" t="s">
        <v>34</v>
      </c>
      <c r="B3003" s="2" t="s">
        <v>298</v>
      </c>
      <c r="D3003" s="5" t="s">
        <v>504</v>
      </c>
      <c r="E3003" s="3">
        <v>122768</v>
      </c>
      <c r="F3003" s="3" t="s">
        <v>465</v>
      </c>
      <c r="G3003" s="57" t="str">
        <f t="shared" si="47"/>
        <v>-</v>
      </c>
    </row>
    <row r="3004" spans="1:8" x14ac:dyDescent="0.2">
      <c r="A3004" s="1" t="s">
        <v>34</v>
      </c>
      <c r="B3004" s="2" t="s">
        <v>298</v>
      </c>
      <c r="D3004" s="5" t="s">
        <v>504</v>
      </c>
      <c r="E3004" s="3">
        <v>110918</v>
      </c>
      <c r="F3004" s="3" t="s">
        <v>465</v>
      </c>
      <c r="G3004" s="57" t="str">
        <f t="shared" si="47"/>
        <v>-</v>
      </c>
    </row>
    <row r="3005" spans="1:8" x14ac:dyDescent="0.2">
      <c r="A3005" s="1" t="s">
        <v>34</v>
      </c>
      <c r="B3005" s="2" t="s">
        <v>298</v>
      </c>
      <c r="D3005" s="5" t="s">
        <v>464</v>
      </c>
      <c r="E3005" s="3" t="s">
        <v>465</v>
      </c>
      <c r="F3005" s="3">
        <v>122500</v>
      </c>
      <c r="G3005" s="57" t="str">
        <f t="shared" si="47"/>
        <v>-</v>
      </c>
    </row>
    <row r="3006" spans="1:8" x14ac:dyDescent="0.2">
      <c r="A3006" s="1" t="s">
        <v>4</v>
      </c>
      <c r="B3006" s="2" t="s">
        <v>299</v>
      </c>
      <c r="D3006" s="5" t="s">
        <v>450</v>
      </c>
      <c r="E3006" s="3">
        <v>176578</v>
      </c>
      <c r="F3006" s="3">
        <v>177322</v>
      </c>
      <c r="G3006" s="57">
        <f t="shared" si="47"/>
        <v>4.2134354223062895E-3</v>
      </c>
      <c r="H3006" s="5" t="s">
        <v>2857</v>
      </c>
    </row>
    <row r="3007" spans="1:8" x14ac:dyDescent="0.2">
      <c r="A3007" s="1" t="s">
        <v>4</v>
      </c>
      <c r="B3007" s="2" t="s">
        <v>299</v>
      </c>
      <c r="D3007" s="5" t="s">
        <v>2861</v>
      </c>
      <c r="E3007" s="3">
        <v>136751</v>
      </c>
      <c r="F3007" s="3">
        <v>130331</v>
      </c>
      <c r="G3007" s="57">
        <f t="shared" si="47"/>
        <v>-4.6946640243947027E-2</v>
      </c>
      <c r="H3007" s="5" t="s">
        <v>2858</v>
      </c>
    </row>
    <row r="3008" spans="1:8" x14ac:dyDescent="0.2">
      <c r="A3008" s="1" t="s">
        <v>4</v>
      </c>
      <c r="B3008" s="2" t="s">
        <v>299</v>
      </c>
      <c r="D3008" s="5" t="s">
        <v>986</v>
      </c>
      <c r="E3008" s="3">
        <v>129784</v>
      </c>
      <c r="F3008" s="3">
        <v>130331</v>
      </c>
      <c r="G3008" s="57">
        <f t="shared" si="47"/>
        <v>4.2146951858472543E-3</v>
      </c>
      <c r="H3008" s="5" t="s">
        <v>2858</v>
      </c>
    </row>
    <row r="3009" spans="1:8" x14ac:dyDescent="0.2">
      <c r="A3009" s="1" t="s">
        <v>4</v>
      </c>
      <c r="B3009" s="2" t="s">
        <v>299</v>
      </c>
      <c r="D3009" s="5" t="s">
        <v>987</v>
      </c>
      <c r="E3009" s="3">
        <v>128489</v>
      </c>
      <c r="F3009" s="3">
        <v>130331</v>
      </c>
      <c r="G3009" s="57">
        <f t="shared" si="47"/>
        <v>1.4335857544225577E-2</v>
      </c>
      <c r="H3009" s="5" t="s">
        <v>2858</v>
      </c>
    </row>
    <row r="3010" spans="1:8" x14ac:dyDescent="0.2">
      <c r="A3010" s="1" t="s">
        <v>4</v>
      </c>
      <c r="B3010" s="2" t="s">
        <v>299</v>
      </c>
      <c r="D3010" s="5" t="s">
        <v>988</v>
      </c>
      <c r="E3010" s="3">
        <v>122367</v>
      </c>
      <c r="F3010" s="3">
        <v>125366</v>
      </c>
      <c r="G3010" s="57">
        <f t="shared" si="47"/>
        <v>2.4508241601085261E-2</v>
      </c>
      <c r="H3010" s="5" t="s">
        <v>2859</v>
      </c>
    </row>
    <row r="3011" spans="1:8" x14ac:dyDescent="0.2">
      <c r="A3011" s="1" t="s">
        <v>4</v>
      </c>
      <c r="B3011" s="2" t="s">
        <v>299</v>
      </c>
      <c r="D3011" s="5" t="s">
        <v>989</v>
      </c>
      <c r="E3011" s="3">
        <v>119896</v>
      </c>
      <c r="F3011" s="3">
        <v>122883</v>
      </c>
      <c r="G3011" s="57">
        <f t="shared" si="47"/>
        <v>2.4913258157069459E-2</v>
      </c>
      <c r="H3011" s="5" t="s">
        <v>2860</v>
      </c>
    </row>
    <row r="3012" spans="1:8" x14ac:dyDescent="0.2">
      <c r="A3012" s="1" t="s">
        <v>4</v>
      </c>
      <c r="B3012" s="2" t="s">
        <v>299</v>
      </c>
      <c r="D3012" s="5" t="s">
        <v>990</v>
      </c>
      <c r="E3012" s="3">
        <v>75707</v>
      </c>
      <c r="F3012" s="3">
        <v>130331</v>
      </c>
      <c r="G3012" s="57">
        <f t="shared" si="47"/>
        <v>0.7215184857410808</v>
      </c>
      <c r="H3012" s="5" t="s">
        <v>2858</v>
      </c>
    </row>
    <row r="3013" spans="1:8" x14ac:dyDescent="0.2">
      <c r="A3013" s="1" t="s">
        <v>4</v>
      </c>
      <c r="B3013" s="2" t="s">
        <v>299</v>
      </c>
      <c r="D3013" s="5" t="s">
        <v>464</v>
      </c>
      <c r="E3013" s="3">
        <v>102500</v>
      </c>
      <c r="F3013" s="3" t="s">
        <v>465</v>
      </c>
      <c r="G3013" s="57" t="str">
        <f t="shared" si="47"/>
        <v>-</v>
      </c>
    </row>
    <row r="3014" spans="1:8" x14ac:dyDescent="0.2">
      <c r="A3014" s="1" t="s">
        <v>4</v>
      </c>
      <c r="B3014" s="2" t="s">
        <v>299</v>
      </c>
      <c r="D3014" s="5" t="s">
        <v>464</v>
      </c>
      <c r="E3014" s="3" t="s">
        <v>465</v>
      </c>
      <c r="F3014" s="3">
        <v>102500</v>
      </c>
      <c r="G3014" s="57" t="str">
        <f t="shared" si="47"/>
        <v>-</v>
      </c>
    </row>
    <row r="3015" spans="1:8" x14ac:dyDescent="0.2">
      <c r="A3015" s="1" t="s">
        <v>4</v>
      </c>
      <c r="B3015" s="2" t="s">
        <v>299</v>
      </c>
      <c r="D3015" s="5" t="s">
        <v>464</v>
      </c>
      <c r="E3015" s="3" t="s">
        <v>465</v>
      </c>
      <c r="F3015" s="3">
        <v>112500</v>
      </c>
      <c r="G3015" s="57" t="str">
        <f t="shared" si="47"/>
        <v>-</v>
      </c>
    </row>
    <row r="3016" spans="1:8" x14ac:dyDescent="0.2">
      <c r="A3016" s="1" t="s">
        <v>4</v>
      </c>
      <c r="B3016" s="2" t="s">
        <v>299</v>
      </c>
      <c r="D3016" s="5" t="s">
        <v>464</v>
      </c>
      <c r="E3016" s="3" t="s">
        <v>465</v>
      </c>
      <c r="F3016" s="3">
        <v>127500</v>
      </c>
      <c r="G3016" s="57" t="str">
        <f t="shared" si="47"/>
        <v>-</v>
      </c>
    </row>
    <row r="3017" spans="1:8" ht="25.5" x14ac:dyDescent="0.2">
      <c r="A3017" s="1" t="s">
        <v>44</v>
      </c>
      <c r="B3017" s="2" t="s">
        <v>300</v>
      </c>
      <c r="D3017" s="5" t="s">
        <v>450</v>
      </c>
      <c r="E3017" s="3">
        <v>153000</v>
      </c>
      <c r="F3017" s="3">
        <v>157000</v>
      </c>
      <c r="G3017" s="57">
        <f t="shared" si="47"/>
        <v>2.6143790849673203E-2</v>
      </c>
      <c r="H3017" s="5" t="s">
        <v>2853</v>
      </c>
    </row>
    <row r="3018" spans="1:8" ht="25.5" x14ac:dyDescent="0.2">
      <c r="A3018" s="1" t="s">
        <v>44</v>
      </c>
      <c r="B3018" s="2" t="s">
        <v>300</v>
      </c>
      <c r="D3018" s="5" t="s">
        <v>982</v>
      </c>
      <c r="E3018" s="3">
        <v>121000</v>
      </c>
      <c r="F3018" s="3">
        <v>121000</v>
      </c>
      <c r="G3018" s="57">
        <f t="shared" si="47"/>
        <v>0</v>
      </c>
      <c r="H3018" s="5" t="s">
        <v>2854</v>
      </c>
    </row>
    <row r="3019" spans="1:8" ht="25.5" x14ac:dyDescent="0.2">
      <c r="A3019" s="1" t="s">
        <v>44</v>
      </c>
      <c r="B3019" s="2" t="s">
        <v>300</v>
      </c>
      <c r="D3019" s="5" t="s">
        <v>983</v>
      </c>
      <c r="E3019" s="3">
        <v>113000</v>
      </c>
      <c r="F3019" s="3">
        <v>121000</v>
      </c>
      <c r="G3019" s="57">
        <f t="shared" si="47"/>
        <v>7.0796460176991149E-2</v>
      </c>
      <c r="H3019" s="5" t="s">
        <v>2854</v>
      </c>
    </row>
    <row r="3020" spans="1:8" ht="25.5" x14ac:dyDescent="0.2">
      <c r="A3020" s="1" t="s">
        <v>44</v>
      </c>
      <c r="B3020" s="2" t="s">
        <v>300</v>
      </c>
      <c r="D3020" s="5" t="s">
        <v>984</v>
      </c>
      <c r="E3020" s="3">
        <v>96000</v>
      </c>
      <c r="F3020" s="3">
        <v>114000</v>
      </c>
      <c r="G3020" s="57">
        <f t="shared" si="47"/>
        <v>0.1875</v>
      </c>
      <c r="H3020" s="5" t="s">
        <v>2855</v>
      </c>
    </row>
    <row r="3021" spans="1:8" ht="25.5" x14ac:dyDescent="0.2">
      <c r="A3021" s="1" t="s">
        <v>44</v>
      </c>
      <c r="B3021" s="2" t="s">
        <v>300</v>
      </c>
      <c r="D3021" s="5" t="s">
        <v>985</v>
      </c>
      <c r="E3021" s="3">
        <v>91000</v>
      </c>
      <c r="F3021" s="3">
        <v>102000</v>
      </c>
      <c r="G3021" s="57">
        <f t="shared" si="47"/>
        <v>0.12087912087912088</v>
      </c>
      <c r="H3021" s="5" t="s">
        <v>2856</v>
      </c>
    </row>
    <row r="3022" spans="1:8" ht="25.5" x14ac:dyDescent="0.2">
      <c r="A3022" s="1" t="s">
        <v>6</v>
      </c>
      <c r="B3022" s="2" t="s">
        <v>301</v>
      </c>
      <c r="D3022" s="5" t="s">
        <v>450</v>
      </c>
      <c r="E3022" s="3">
        <v>111000</v>
      </c>
      <c r="F3022" s="3">
        <v>136000</v>
      </c>
      <c r="G3022" s="57">
        <f t="shared" si="47"/>
        <v>0.22522522522522523</v>
      </c>
      <c r="H3022" s="5" t="s">
        <v>2850</v>
      </c>
    </row>
    <row r="3023" spans="1:8" ht="25.5" x14ac:dyDescent="0.2">
      <c r="A3023" s="1" t="s">
        <v>6</v>
      </c>
      <c r="B3023" s="2" t="s">
        <v>301</v>
      </c>
      <c r="D3023" s="5" t="s">
        <v>980</v>
      </c>
      <c r="E3023" s="3">
        <v>24000</v>
      </c>
      <c r="F3023" s="3">
        <v>100000</v>
      </c>
      <c r="G3023" s="57">
        <f t="shared" si="47"/>
        <v>3.1666666666666665</v>
      </c>
      <c r="H3023" s="5" t="s">
        <v>2851</v>
      </c>
    </row>
    <row r="3024" spans="1:8" ht="25.5" x14ac:dyDescent="0.2">
      <c r="A3024" s="1" t="s">
        <v>6</v>
      </c>
      <c r="B3024" s="2" t="s">
        <v>301</v>
      </c>
      <c r="D3024" s="5" t="s">
        <v>981</v>
      </c>
      <c r="E3024" s="3">
        <v>114000</v>
      </c>
      <c r="F3024" s="3">
        <v>117500</v>
      </c>
      <c r="G3024" s="57">
        <f t="shared" si="47"/>
        <v>3.0701754385964911E-2</v>
      </c>
      <c r="H3024" s="5" t="s">
        <v>2852</v>
      </c>
    </row>
    <row r="3025" spans="1:8" x14ac:dyDescent="0.2">
      <c r="A3025" s="1" t="s">
        <v>6</v>
      </c>
      <c r="B3025" s="2" t="s">
        <v>301</v>
      </c>
      <c r="D3025" s="5" t="s">
        <v>464</v>
      </c>
      <c r="E3025" s="3">
        <v>127500</v>
      </c>
      <c r="F3025" s="3" t="s">
        <v>465</v>
      </c>
      <c r="G3025" s="57" t="str">
        <f t="shared" si="47"/>
        <v>-</v>
      </c>
    </row>
    <row r="3026" spans="1:8" ht="25.5" x14ac:dyDescent="0.2">
      <c r="A3026" s="1" t="s">
        <v>34</v>
      </c>
      <c r="B3026" s="2" t="s">
        <v>302</v>
      </c>
      <c r="C3026" s="29" t="s">
        <v>2849</v>
      </c>
      <c r="G3026" s="57" t="str">
        <f t="shared" si="47"/>
        <v>-</v>
      </c>
    </row>
    <row r="3027" spans="1:8" ht="25.5" x14ac:dyDescent="0.2">
      <c r="A3027" s="1" t="s">
        <v>4</v>
      </c>
      <c r="B3027" s="2" t="s">
        <v>303</v>
      </c>
      <c r="C3027" s="7" t="s">
        <v>4676</v>
      </c>
      <c r="D3027" s="7" t="s">
        <v>450</v>
      </c>
      <c r="E3027" s="6">
        <v>165213</v>
      </c>
      <c r="F3027" s="6">
        <v>170188</v>
      </c>
      <c r="G3027" s="57">
        <f t="shared" si="47"/>
        <v>3.0112642467602427E-2</v>
      </c>
      <c r="H3027" s="5" t="s">
        <v>2846</v>
      </c>
    </row>
    <row r="3028" spans="1:8" ht="25.5" x14ac:dyDescent="0.2">
      <c r="A3028" s="1" t="s">
        <v>4</v>
      </c>
      <c r="B3028" s="2" t="s">
        <v>303</v>
      </c>
      <c r="C3028" s="7" t="s">
        <v>971</v>
      </c>
      <c r="D3028" s="7" t="s">
        <v>854</v>
      </c>
      <c r="E3028" s="6">
        <v>131881</v>
      </c>
      <c r="F3028" s="6">
        <v>290082</v>
      </c>
      <c r="G3028" s="57">
        <f t="shared" si="47"/>
        <v>1.1995738582509989</v>
      </c>
      <c r="H3028" s="5" t="s">
        <v>4401</v>
      </c>
    </row>
    <row r="3029" spans="1:8" ht="25.5" x14ac:dyDescent="0.2">
      <c r="A3029" s="1" t="s">
        <v>4</v>
      </c>
      <c r="B3029" s="2" t="s">
        <v>303</v>
      </c>
      <c r="C3029" s="7" t="s">
        <v>972</v>
      </c>
      <c r="D3029" s="7" t="s">
        <v>973</v>
      </c>
      <c r="E3029" s="6">
        <v>137616</v>
      </c>
      <c r="F3029" s="6">
        <v>137616</v>
      </c>
      <c r="G3029" s="57">
        <f t="shared" si="47"/>
        <v>0</v>
      </c>
      <c r="H3029" s="5" t="s">
        <v>2847</v>
      </c>
    </row>
    <row r="3030" spans="1:8" ht="38.25" x14ac:dyDescent="0.2">
      <c r="A3030" s="1" t="s">
        <v>4</v>
      </c>
      <c r="B3030" s="2" t="s">
        <v>303</v>
      </c>
      <c r="C3030" s="7" t="s">
        <v>974</v>
      </c>
      <c r="D3030" s="7" t="s">
        <v>975</v>
      </c>
      <c r="E3030" s="6">
        <v>131952</v>
      </c>
      <c r="F3030" s="6">
        <v>187683</v>
      </c>
      <c r="G3030" s="57">
        <f t="shared" si="47"/>
        <v>0.42235813022917423</v>
      </c>
      <c r="H3030" s="5" t="s">
        <v>4402</v>
      </c>
    </row>
    <row r="3031" spans="1:8" ht="25.5" x14ac:dyDescent="0.2">
      <c r="A3031" s="1" t="s">
        <v>4</v>
      </c>
      <c r="B3031" s="2" t="s">
        <v>303</v>
      </c>
      <c r="C3031" s="7" t="s">
        <v>976</v>
      </c>
      <c r="D3031" s="7" t="s">
        <v>977</v>
      </c>
      <c r="E3031" s="6" t="s">
        <v>465</v>
      </c>
      <c r="F3031" s="6">
        <v>102555</v>
      </c>
      <c r="G3031" s="57" t="str">
        <f t="shared" si="47"/>
        <v>-</v>
      </c>
      <c r="H3031" s="5" t="s">
        <v>2848</v>
      </c>
    </row>
    <row r="3032" spans="1:8" ht="25.5" x14ac:dyDescent="0.2">
      <c r="A3032" s="1" t="s">
        <v>4</v>
      </c>
      <c r="B3032" s="2" t="s">
        <v>303</v>
      </c>
      <c r="C3032" s="7" t="s">
        <v>978</v>
      </c>
      <c r="D3032" s="7" t="s">
        <v>979</v>
      </c>
      <c r="E3032" s="6">
        <v>92996</v>
      </c>
      <c r="F3032" s="6">
        <v>138414</v>
      </c>
      <c r="G3032" s="57">
        <f t="shared" si="47"/>
        <v>0.48838659727300099</v>
      </c>
      <c r="H3032" s="5" t="s">
        <v>4400</v>
      </c>
    </row>
    <row r="3033" spans="1:8" x14ac:dyDescent="0.2">
      <c r="A3033" s="1" t="s">
        <v>4</v>
      </c>
      <c r="B3033" s="2" t="s">
        <v>303</v>
      </c>
      <c r="C3033" s="7" t="s">
        <v>2138</v>
      </c>
      <c r="D3033" s="7" t="s">
        <v>977</v>
      </c>
      <c r="E3033" s="6">
        <v>137616</v>
      </c>
      <c r="F3033" s="6" t="s">
        <v>465</v>
      </c>
      <c r="G3033" s="57" t="str">
        <f t="shared" si="47"/>
        <v>-</v>
      </c>
    </row>
    <row r="3034" spans="1:8" x14ac:dyDescent="0.2">
      <c r="A3034" s="1" t="s">
        <v>4</v>
      </c>
      <c r="B3034" s="2" t="s">
        <v>303</v>
      </c>
      <c r="D3034" s="5" t="s">
        <v>464</v>
      </c>
      <c r="E3034" s="3">
        <v>102500</v>
      </c>
      <c r="F3034" s="3" t="s">
        <v>465</v>
      </c>
      <c r="G3034" s="57" t="str">
        <f t="shared" ref="G3034:G3097" si="48">IF(ISERROR((F3034-E3034)/E3034),"-",(F3034-E3034)/E3034)</f>
        <v>-</v>
      </c>
    </row>
    <row r="3035" spans="1:8" x14ac:dyDescent="0.2">
      <c r="A3035" s="1" t="s">
        <v>4</v>
      </c>
      <c r="B3035" s="2" t="s">
        <v>303</v>
      </c>
      <c r="D3035" s="5" t="s">
        <v>464</v>
      </c>
      <c r="E3035" s="3" t="s">
        <v>465</v>
      </c>
      <c r="F3035" s="3">
        <v>102500</v>
      </c>
      <c r="G3035" s="57" t="str">
        <f t="shared" si="48"/>
        <v>-</v>
      </c>
      <c r="H3035" s="5" t="s">
        <v>539</v>
      </c>
    </row>
    <row r="3036" spans="1:8" x14ac:dyDescent="0.2">
      <c r="A3036" s="1" t="s">
        <v>4</v>
      </c>
      <c r="B3036" s="2" t="s">
        <v>303</v>
      </c>
      <c r="D3036" s="5" t="s">
        <v>464</v>
      </c>
      <c r="E3036" s="3" t="s">
        <v>465</v>
      </c>
      <c r="F3036" s="3">
        <v>107500</v>
      </c>
      <c r="G3036" s="57" t="str">
        <f t="shared" si="48"/>
        <v>-</v>
      </c>
      <c r="H3036" s="5" t="s">
        <v>539</v>
      </c>
    </row>
    <row r="3037" spans="1:8" x14ac:dyDescent="0.2">
      <c r="A3037" s="1" t="s">
        <v>4</v>
      </c>
      <c r="B3037" s="2" t="s">
        <v>303</v>
      </c>
      <c r="D3037" s="5" t="s">
        <v>464</v>
      </c>
      <c r="E3037" s="3" t="s">
        <v>465</v>
      </c>
      <c r="F3037" s="3">
        <v>132500</v>
      </c>
      <c r="G3037" s="57" t="str">
        <f t="shared" si="48"/>
        <v>-</v>
      </c>
      <c r="H3037" s="5" t="s">
        <v>539</v>
      </c>
    </row>
    <row r="3038" spans="1:8" x14ac:dyDescent="0.2">
      <c r="A3038" s="1" t="s">
        <v>4</v>
      </c>
      <c r="B3038" s="2" t="s">
        <v>303</v>
      </c>
      <c r="D3038" s="5" t="s">
        <v>464</v>
      </c>
      <c r="E3038" s="3">
        <v>152500</v>
      </c>
      <c r="F3038" s="3" t="s">
        <v>465</v>
      </c>
      <c r="G3038" s="57" t="str">
        <f t="shared" si="48"/>
        <v>-</v>
      </c>
    </row>
    <row r="3039" spans="1:8" x14ac:dyDescent="0.2">
      <c r="A3039" s="1" t="s">
        <v>4</v>
      </c>
      <c r="B3039" s="2" t="s">
        <v>303</v>
      </c>
      <c r="D3039" s="5" t="s">
        <v>464</v>
      </c>
      <c r="E3039" s="3">
        <v>177500</v>
      </c>
      <c r="F3039" s="3" t="s">
        <v>465</v>
      </c>
      <c r="G3039" s="57" t="str">
        <f t="shared" si="48"/>
        <v>-</v>
      </c>
    </row>
    <row r="3040" spans="1:8" ht="25.5" x14ac:dyDescent="0.2">
      <c r="A3040" s="1" t="s">
        <v>25</v>
      </c>
      <c r="B3040" s="2" t="s">
        <v>304</v>
      </c>
      <c r="C3040" s="5" t="s">
        <v>966</v>
      </c>
      <c r="D3040" s="5" t="s">
        <v>450</v>
      </c>
      <c r="E3040" s="3">
        <v>223478</v>
      </c>
      <c r="F3040" s="3">
        <v>223478</v>
      </c>
      <c r="G3040" s="57">
        <f t="shared" si="48"/>
        <v>0</v>
      </c>
      <c r="H3040" s="5" t="s">
        <v>2840</v>
      </c>
    </row>
    <row r="3041" spans="1:8" ht="25.5" x14ac:dyDescent="0.2">
      <c r="A3041" s="1" t="s">
        <v>25</v>
      </c>
      <c r="B3041" s="2" t="s">
        <v>304</v>
      </c>
      <c r="D3041" s="5" t="s">
        <v>967</v>
      </c>
      <c r="E3041" s="3">
        <v>172094</v>
      </c>
      <c r="F3041" s="3">
        <v>170003</v>
      </c>
      <c r="G3041" s="57">
        <f t="shared" si="48"/>
        <v>-1.2150336444036399E-2</v>
      </c>
      <c r="H3041" s="5" t="s">
        <v>2841</v>
      </c>
    </row>
    <row r="3042" spans="1:8" ht="25.5" x14ac:dyDescent="0.2">
      <c r="A3042" s="1" t="s">
        <v>25</v>
      </c>
      <c r="B3042" s="2" t="s">
        <v>304</v>
      </c>
      <c r="D3042" s="5" t="s">
        <v>968</v>
      </c>
      <c r="E3042" s="3">
        <v>166524</v>
      </c>
      <c r="F3042" s="3">
        <v>166608</v>
      </c>
      <c r="G3042" s="57">
        <f t="shared" si="48"/>
        <v>5.0443179361533475E-4</v>
      </c>
      <c r="H3042" s="5" t="s">
        <v>2842</v>
      </c>
    </row>
    <row r="3043" spans="1:8" ht="25.5" x14ac:dyDescent="0.2">
      <c r="A3043" s="1" t="s">
        <v>25</v>
      </c>
      <c r="B3043" s="2" t="s">
        <v>304</v>
      </c>
      <c r="D3043" s="5" t="s">
        <v>562</v>
      </c>
      <c r="E3043" s="3">
        <v>159050</v>
      </c>
      <c r="F3043" s="3">
        <v>161513</v>
      </c>
      <c r="G3043" s="57">
        <f t="shared" si="48"/>
        <v>1.5485696321911348E-2</v>
      </c>
      <c r="H3043" s="5" t="s">
        <v>2843</v>
      </c>
    </row>
    <row r="3044" spans="1:8" ht="25.5" x14ac:dyDescent="0.2">
      <c r="A3044" s="1" t="s">
        <v>25</v>
      </c>
      <c r="B3044" s="2" t="s">
        <v>304</v>
      </c>
      <c r="D3044" s="7" t="s">
        <v>969</v>
      </c>
      <c r="E3044" s="3" t="s">
        <v>465</v>
      </c>
      <c r="F3044" s="3">
        <v>115753</v>
      </c>
      <c r="G3044" s="57" t="str">
        <f t="shared" si="48"/>
        <v>-</v>
      </c>
      <c r="H3044" s="5" t="s">
        <v>2844</v>
      </c>
    </row>
    <row r="3045" spans="1:8" ht="25.5" x14ac:dyDescent="0.2">
      <c r="A3045" s="1" t="s">
        <v>25</v>
      </c>
      <c r="B3045" s="2" t="s">
        <v>304</v>
      </c>
      <c r="D3045" s="5" t="s">
        <v>524</v>
      </c>
      <c r="E3045" s="3">
        <v>156873</v>
      </c>
      <c r="F3045" s="3">
        <v>153817</v>
      </c>
      <c r="G3045" s="57">
        <f t="shared" si="48"/>
        <v>-1.9480726447508496E-2</v>
      </c>
      <c r="H3045" s="7" t="s">
        <v>2845</v>
      </c>
    </row>
    <row r="3046" spans="1:8" ht="25.5" x14ac:dyDescent="0.2">
      <c r="A3046" s="1" t="s">
        <v>25</v>
      </c>
      <c r="B3046" s="2" t="s">
        <v>304</v>
      </c>
      <c r="D3046" s="5" t="s">
        <v>970</v>
      </c>
      <c r="E3046" s="3">
        <v>152457</v>
      </c>
      <c r="F3046" s="3">
        <v>153817</v>
      </c>
      <c r="G3046" s="57">
        <f t="shared" si="48"/>
        <v>8.9205480889693479E-3</v>
      </c>
      <c r="H3046" s="5" t="s">
        <v>2845</v>
      </c>
    </row>
    <row r="3047" spans="1:8" x14ac:dyDescent="0.2">
      <c r="A3047" s="1" t="s">
        <v>25</v>
      </c>
      <c r="B3047" s="2" t="s">
        <v>304</v>
      </c>
      <c r="D3047" s="5" t="s">
        <v>464</v>
      </c>
      <c r="E3047" s="3">
        <v>102500</v>
      </c>
      <c r="F3047" s="3" t="s">
        <v>465</v>
      </c>
      <c r="G3047" s="57" t="str">
        <f t="shared" si="48"/>
        <v>-</v>
      </c>
    </row>
    <row r="3048" spans="1:8" x14ac:dyDescent="0.2">
      <c r="A3048" s="1" t="s">
        <v>25</v>
      </c>
      <c r="B3048" s="2" t="s">
        <v>304</v>
      </c>
      <c r="D3048" s="5" t="s">
        <v>464</v>
      </c>
      <c r="E3048" s="3" t="s">
        <v>465</v>
      </c>
      <c r="F3048" s="3">
        <v>102500</v>
      </c>
      <c r="G3048" s="57" t="str">
        <f t="shared" si="48"/>
        <v>-</v>
      </c>
    </row>
    <row r="3049" spans="1:8" x14ac:dyDescent="0.2">
      <c r="A3049" s="1" t="s">
        <v>25</v>
      </c>
      <c r="B3049" s="2" t="s">
        <v>304</v>
      </c>
      <c r="D3049" s="5" t="s">
        <v>464</v>
      </c>
      <c r="E3049" s="3" t="s">
        <v>465</v>
      </c>
      <c r="F3049" s="3">
        <v>102500</v>
      </c>
      <c r="G3049" s="57" t="str">
        <f t="shared" si="48"/>
        <v>-</v>
      </c>
    </row>
    <row r="3050" spans="1:8" ht="38.25" x14ac:dyDescent="0.2">
      <c r="A3050" s="1" t="s">
        <v>111</v>
      </c>
      <c r="B3050" s="2" t="s">
        <v>305</v>
      </c>
      <c r="D3050" s="5" t="s">
        <v>451</v>
      </c>
      <c r="E3050" s="3">
        <v>115596</v>
      </c>
      <c r="F3050" s="3">
        <v>182055</v>
      </c>
      <c r="G3050" s="57">
        <f t="shared" si="48"/>
        <v>0.57492473788020348</v>
      </c>
      <c r="H3050" s="5" t="s">
        <v>4403</v>
      </c>
    </row>
    <row r="3051" spans="1:8" ht="25.5" x14ac:dyDescent="0.2">
      <c r="A3051" s="1" t="s">
        <v>111</v>
      </c>
      <c r="B3051" s="2" t="s">
        <v>305</v>
      </c>
      <c r="D3051" s="5" t="s">
        <v>450</v>
      </c>
      <c r="E3051" s="3">
        <v>168146</v>
      </c>
      <c r="F3051" s="3">
        <v>167329</v>
      </c>
      <c r="G3051" s="57">
        <f t="shared" si="48"/>
        <v>-4.8588726463906365E-3</v>
      </c>
      <c r="H3051" s="5" t="s">
        <v>2831</v>
      </c>
    </row>
    <row r="3052" spans="1:8" ht="38.25" x14ac:dyDescent="0.2">
      <c r="A3052" s="1" t="s">
        <v>111</v>
      </c>
      <c r="B3052" s="2" t="s">
        <v>305</v>
      </c>
      <c r="D3052" s="5" t="s">
        <v>854</v>
      </c>
      <c r="E3052" s="3">
        <v>135697</v>
      </c>
      <c r="F3052" s="3">
        <v>135292</v>
      </c>
      <c r="G3052" s="57">
        <f t="shared" si="48"/>
        <v>-2.9845906689167779E-3</v>
      </c>
      <c r="H3052" s="5" t="s">
        <v>2832</v>
      </c>
    </row>
    <row r="3053" spans="1:8" ht="25.5" x14ac:dyDescent="0.2">
      <c r="A3053" s="1" t="s">
        <v>111</v>
      </c>
      <c r="B3053" s="2" t="s">
        <v>305</v>
      </c>
      <c r="D3053" s="5" t="s">
        <v>964</v>
      </c>
      <c r="E3053" s="3">
        <v>134683</v>
      </c>
      <c r="F3053" s="3">
        <v>134734</v>
      </c>
      <c r="G3053" s="57">
        <f t="shared" si="48"/>
        <v>3.7866694386076938E-4</v>
      </c>
      <c r="H3053" s="5" t="s">
        <v>2833</v>
      </c>
    </row>
    <row r="3054" spans="1:8" ht="25.5" x14ac:dyDescent="0.2">
      <c r="A3054" s="1" t="s">
        <v>111</v>
      </c>
      <c r="B3054" s="2" t="s">
        <v>305</v>
      </c>
      <c r="D3054" s="5" t="s">
        <v>965</v>
      </c>
      <c r="E3054" s="3">
        <v>138938</v>
      </c>
      <c r="F3054" s="3">
        <v>134607</v>
      </c>
      <c r="G3054" s="57">
        <f t="shared" si="48"/>
        <v>-3.1172177518029625E-2</v>
      </c>
      <c r="H3054" s="5" t="s">
        <v>2834</v>
      </c>
    </row>
    <row r="3055" spans="1:8" ht="38.25" x14ac:dyDescent="0.2">
      <c r="A3055" s="1" t="s">
        <v>111</v>
      </c>
      <c r="B3055" s="2" t="s">
        <v>305</v>
      </c>
      <c r="D3055" s="5" t="s">
        <v>479</v>
      </c>
      <c r="E3055" s="3">
        <v>114470</v>
      </c>
      <c r="F3055" s="3">
        <v>116267</v>
      </c>
      <c r="G3055" s="57">
        <f t="shared" si="48"/>
        <v>1.5698436271512187E-2</v>
      </c>
      <c r="H3055" s="5" t="s">
        <v>2835</v>
      </c>
    </row>
    <row r="3056" spans="1:8" ht="25.5" x14ac:dyDescent="0.2">
      <c r="A3056" s="1" t="s">
        <v>111</v>
      </c>
      <c r="B3056" s="2" t="s">
        <v>305</v>
      </c>
      <c r="D3056" s="7" t="s">
        <v>2838</v>
      </c>
      <c r="E3056" s="6">
        <v>134372</v>
      </c>
      <c r="F3056" s="6">
        <v>92851</v>
      </c>
      <c r="G3056" s="57">
        <f t="shared" si="48"/>
        <v>-0.30900038698538385</v>
      </c>
      <c r="H3056" s="7" t="s">
        <v>2839</v>
      </c>
    </row>
    <row r="3057" spans="1:8" ht="25.5" x14ac:dyDescent="0.2">
      <c r="A3057" s="1" t="s">
        <v>111</v>
      </c>
      <c r="B3057" s="2" t="s">
        <v>305</v>
      </c>
      <c r="D3057" s="5" t="s">
        <v>2836</v>
      </c>
      <c r="E3057" s="3">
        <v>108450</v>
      </c>
      <c r="F3057" s="3">
        <v>106376</v>
      </c>
      <c r="G3057" s="57">
        <f t="shared" si="48"/>
        <v>-1.9124020285846012E-2</v>
      </c>
      <c r="H3057" s="5" t="s">
        <v>2837</v>
      </c>
    </row>
    <row r="3058" spans="1:8" x14ac:dyDescent="0.2">
      <c r="A3058" s="1" t="s">
        <v>111</v>
      </c>
      <c r="B3058" s="2" t="s">
        <v>305</v>
      </c>
      <c r="D3058" s="5" t="s">
        <v>464</v>
      </c>
      <c r="E3058" s="3">
        <v>102500</v>
      </c>
      <c r="F3058" s="3" t="s">
        <v>465</v>
      </c>
      <c r="G3058" s="57" t="str">
        <f t="shared" si="48"/>
        <v>-</v>
      </c>
    </row>
    <row r="3059" spans="1:8" x14ac:dyDescent="0.2">
      <c r="A3059" s="1" t="s">
        <v>111</v>
      </c>
      <c r="B3059" s="2" t="s">
        <v>305</v>
      </c>
      <c r="D3059" s="5" t="s">
        <v>464</v>
      </c>
      <c r="E3059" s="3">
        <v>102500</v>
      </c>
      <c r="F3059" s="3" t="s">
        <v>465</v>
      </c>
      <c r="G3059" s="57" t="str">
        <f t="shared" si="48"/>
        <v>-</v>
      </c>
    </row>
    <row r="3060" spans="1:8" x14ac:dyDescent="0.2">
      <c r="A3060" s="1" t="s">
        <v>111</v>
      </c>
      <c r="B3060" s="2" t="s">
        <v>305</v>
      </c>
      <c r="D3060" s="5" t="s">
        <v>464</v>
      </c>
      <c r="E3060" s="3" t="s">
        <v>465</v>
      </c>
      <c r="F3060" s="3">
        <v>102500</v>
      </c>
      <c r="G3060" s="57" t="str">
        <f t="shared" si="48"/>
        <v>-</v>
      </c>
    </row>
    <row r="3061" spans="1:8" x14ac:dyDescent="0.2">
      <c r="A3061" s="1" t="s">
        <v>111</v>
      </c>
      <c r="B3061" s="2" t="s">
        <v>305</v>
      </c>
      <c r="D3061" s="5" t="s">
        <v>464</v>
      </c>
      <c r="E3061" s="3">
        <v>107500</v>
      </c>
      <c r="F3061" s="3" t="s">
        <v>465</v>
      </c>
      <c r="G3061" s="57" t="str">
        <f t="shared" si="48"/>
        <v>-</v>
      </c>
    </row>
    <row r="3062" spans="1:8" x14ac:dyDescent="0.2">
      <c r="A3062" s="1" t="s">
        <v>111</v>
      </c>
      <c r="B3062" s="2" t="s">
        <v>305</v>
      </c>
      <c r="D3062" s="5" t="s">
        <v>464</v>
      </c>
      <c r="E3062" s="3">
        <v>107500</v>
      </c>
      <c r="F3062" s="3" t="s">
        <v>465</v>
      </c>
      <c r="G3062" s="57" t="str">
        <f t="shared" si="48"/>
        <v>-</v>
      </c>
    </row>
    <row r="3063" spans="1:8" x14ac:dyDescent="0.2">
      <c r="A3063" s="1" t="s">
        <v>111</v>
      </c>
      <c r="B3063" s="2" t="s">
        <v>305</v>
      </c>
      <c r="D3063" s="5" t="s">
        <v>464</v>
      </c>
      <c r="E3063" s="3">
        <v>112500</v>
      </c>
      <c r="F3063" s="3" t="s">
        <v>465</v>
      </c>
      <c r="G3063" s="57" t="str">
        <f t="shared" si="48"/>
        <v>-</v>
      </c>
    </row>
    <row r="3064" spans="1:8" ht="38.25" x14ac:dyDescent="0.2">
      <c r="A3064" s="1" t="s">
        <v>39</v>
      </c>
      <c r="B3064" s="17" t="s">
        <v>4193</v>
      </c>
      <c r="D3064" s="5" t="s">
        <v>963</v>
      </c>
      <c r="E3064" s="3">
        <v>87857</v>
      </c>
      <c r="F3064" s="3">
        <v>103912</v>
      </c>
      <c r="G3064" s="57">
        <f t="shared" si="48"/>
        <v>0.18274013453680413</v>
      </c>
      <c r="H3064" s="5" t="s">
        <v>4194</v>
      </c>
    </row>
    <row r="3065" spans="1:8" ht="25.5" x14ac:dyDescent="0.2">
      <c r="A3065" s="1" t="s">
        <v>39</v>
      </c>
      <c r="B3065" s="12" t="s">
        <v>306</v>
      </c>
      <c r="D3065" s="5" t="s">
        <v>455</v>
      </c>
      <c r="E3065" s="3">
        <v>96508</v>
      </c>
      <c r="F3065" s="3">
        <v>116163</v>
      </c>
      <c r="G3065" s="57">
        <f t="shared" si="48"/>
        <v>0.20366187259087329</v>
      </c>
      <c r="H3065" s="5" t="s">
        <v>4195</v>
      </c>
    </row>
    <row r="3066" spans="1:8" x14ac:dyDescent="0.2">
      <c r="A3066" s="1" t="s">
        <v>39</v>
      </c>
      <c r="B3066" s="12" t="s">
        <v>306</v>
      </c>
      <c r="D3066" s="5" t="s">
        <v>2829</v>
      </c>
      <c r="E3066" s="3">
        <v>128662</v>
      </c>
      <c r="F3066" s="3" t="s">
        <v>465</v>
      </c>
      <c r="G3066" s="57" t="str">
        <f t="shared" si="48"/>
        <v>-</v>
      </c>
    </row>
    <row r="3067" spans="1:8" x14ac:dyDescent="0.2">
      <c r="A3067" s="1" t="s">
        <v>39</v>
      </c>
      <c r="B3067" s="12" t="s">
        <v>306</v>
      </c>
      <c r="D3067" s="5" t="s">
        <v>2830</v>
      </c>
      <c r="E3067" s="3">
        <v>163208</v>
      </c>
      <c r="F3067" s="3" t="s">
        <v>465</v>
      </c>
      <c r="G3067" s="57" t="str">
        <f t="shared" si="48"/>
        <v>-</v>
      </c>
    </row>
    <row r="3068" spans="1:8" x14ac:dyDescent="0.2">
      <c r="A3068" s="1" t="s">
        <v>4</v>
      </c>
      <c r="B3068" s="2" t="s">
        <v>307</v>
      </c>
      <c r="D3068" s="5" t="s">
        <v>450</v>
      </c>
      <c r="E3068" s="3">
        <v>143000</v>
      </c>
      <c r="F3068" s="3">
        <v>119000</v>
      </c>
      <c r="G3068" s="57">
        <f t="shared" si="48"/>
        <v>-0.16783216783216784</v>
      </c>
      <c r="H3068" s="5" t="s">
        <v>2823</v>
      </c>
    </row>
    <row r="3069" spans="1:8" ht="25.5" x14ac:dyDescent="0.2">
      <c r="A3069" s="1" t="s">
        <v>4</v>
      </c>
      <c r="B3069" s="2" t="s">
        <v>307</v>
      </c>
      <c r="D3069" s="5" t="s">
        <v>944</v>
      </c>
      <c r="E3069" s="3">
        <v>104000</v>
      </c>
      <c r="F3069" s="3">
        <v>111000</v>
      </c>
      <c r="G3069" s="57">
        <f t="shared" si="48"/>
        <v>6.7307692307692304E-2</v>
      </c>
      <c r="H3069" s="5" t="s">
        <v>2824</v>
      </c>
    </row>
    <row r="3070" spans="1:8" ht="25.5" x14ac:dyDescent="0.2">
      <c r="A3070" s="1" t="s">
        <v>4</v>
      </c>
      <c r="B3070" s="2" t="s">
        <v>307</v>
      </c>
      <c r="D3070" s="5" t="s">
        <v>463</v>
      </c>
      <c r="E3070" s="3">
        <v>112000</v>
      </c>
      <c r="F3070" s="3">
        <v>216000</v>
      </c>
      <c r="G3070" s="57">
        <f t="shared" si="48"/>
        <v>0.9285714285714286</v>
      </c>
      <c r="H3070" s="5" t="s">
        <v>2825</v>
      </c>
    </row>
    <row r="3071" spans="1:8" x14ac:dyDescent="0.2">
      <c r="A3071" s="1" t="s">
        <v>4</v>
      </c>
      <c r="B3071" s="2" t="s">
        <v>307</v>
      </c>
      <c r="D3071" s="5" t="s">
        <v>960</v>
      </c>
      <c r="E3071" s="3">
        <v>112000</v>
      </c>
      <c r="F3071" s="3">
        <v>119000</v>
      </c>
      <c r="G3071" s="57">
        <f t="shared" si="48"/>
        <v>6.25E-2</v>
      </c>
      <c r="H3071" s="5" t="s">
        <v>2826</v>
      </c>
    </row>
    <row r="3072" spans="1:8" ht="25.5" x14ac:dyDescent="0.2">
      <c r="A3072" s="1" t="s">
        <v>4</v>
      </c>
      <c r="B3072" s="2" t="s">
        <v>307</v>
      </c>
      <c r="D3072" s="5" t="s">
        <v>961</v>
      </c>
      <c r="E3072" s="3" t="s">
        <v>465</v>
      </c>
      <c r="F3072" s="3">
        <v>113000</v>
      </c>
      <c r="G3072" s="57" t="str">
        <f t="shared" si="48"/>
        <v>-</v>
      </c>
      <c r="H3072" s="5" t="s">
        <v>2827</v>
      </c>
    </row>
    <row r="3073" spans="1:8" ht="25.5" x14ac:dyDescent="0.2">
      <c r="A3073" s="1" t="s">
        <v>4</v>
      </c>
      <c r="B3073" s="2" t="s">
        <v>307</v>
      </c>
      <c r="D3073" s="5" t="s">
        <v>962</v>
      </c>
      <c r="E3073" s="3" t="s">
        <v>465</v>
      </c>
      <c r="F3073" s="3">
        <v>168000</v>
      </c>
      <c r="G3073" s="57" t="str">
        <f t="shared" si="48"/>
        <v>-</v>
      </c>
      <c r="H3073" s="5" t="s">
        <v>2828</v>
      </c>
    </row>
    <row r="3074" spans="1:8" ht="25.5" x14ac:dyDescent="0.2">
      <c r="A3074" s="1" t="s">
        <v>1</v>
      </c>
      <c r="B3074" s="12" t="s">
        <v>308</v>
      </c>
      <c r="C3074" s="5" t="s">
        <v>950</v>
      </c>
      <c r="D3074" s="5" t="s">
        <v>450</v>
      </c>
      <c r="E3074" s="6">
        <v>140167</v>
      </c>
      <c r="F3074" s="3">
        <f>132722+6053+65+25000</f>
        <v>163840</v>
      </c>
      <c r="G3074" s="57">
        <f t="shared" si="48"/>
        <v>0.16889139383735116</v>
      </c>
      <c r="H3074" s="5" t="s">
        <v>4406</v>
      </c>
    </row>
    <row r="3075" spans="1:8" ht="25.5" x14ac:dyDescent="0.2">
      <c r="A3075" s="1" t="s">
        <v>1</v>
      </c>
      <c r="B3075" s="12" t="s">
        <v>308</v>
      </c>
      <c r="C3075" s="5" t="s">
        <v>951</v>
      </c>
      <c r="D3075" s="5" t="s">
        <v>4404</v>
      </c>
      <c r="E3075" s="6" t="s">
        <v>465</v>
      </c>
      <c r="F3075" s="3">
        <f>107844+20000</f>
        <v>127844</v>
      </c>
      <c r="G3075" s="57" t="str">
        <f t="shared" si="48"/>
        <v>-</v>
      </c>
      <c r="H3075" s="5" t="s">
        <v>4405</v>
      </c>
    </row>
    <row r="3076" spans="1:8" ht="51" x14ac:dyDescent="0.2">
      <c r="A3076" s="1" t="s">
        <v>1</v>
      </c>
      <c r="B3076" s="12" t="s">
        <v>308</v>
      </c>
      <c r="C3076" s="5" t="s">
        <v>952</v>
      </c>
      <c r="D3076" s="5" t="s">
        <v>452</v>
      </c>
      <c r="E3076" s="6">
        <v>110134</v>
      </c>
      <c r="F3076" s="3">
        <f>37913+2600+134883+7000</f>
        <v>182396</v>
      </c>
      <c r="G3076" s="57">
        <f t="shared" si="48"/>
        <v>0.65612798954001494</v>
      </c>
      <c r="H3076" s="5" t="s">
        <v>4407</v>
      </c>
    </row>
    <row r="3077" spans="1:8" ht="38.25" x14ac:dyDescent="0.2">
      <c r="A3077" s="1" t="s">
        <v>1</v>
      </c>
      <c r="B3077" s="12" t="s">
        <v>308</v>
      </c>
      <c r="C3077" s="5" t="s">
        <v>953</v>
      </c>
      <c r="D3077" s="5" t="s">
        <v>476</v>
      </c>
      <c r="E3077" s="6">
        <v>107349</v>
      </c>
      <c r="F3077" s="3">
        <f>107844+200+20000</f>
        <v>128044</v>
      </c>
      <c r="G3077" s="57">
        <f t="shared" si="48"/>
        <v>0.19278241995733542</v>
      </c>
      <c r="H3077" s="5" t="s">
        <v>4408</v>
      </c>
    </row>
    <row r="3078" spans="1:8" ht="38.25" x14ac:dyDescent="0.2">
      <c r="A3078" s="1" t="s">
        <v>1</v>
      </c>
      <c r="B3078" s="12" t="s">
        <v>308</v>
      </c>
      <c r="C3078" s="5" t="s">
        <v>954</v>
      </c>
      <c r="D3078" s="5" t="s">
        <v>938</v>
      </c>
      <c r="E3078" s="6">
        <v>108170</v>
      </c>
      <c r="F3078" s="3">
        <f>107844+300+20000</f>
        <v>128144</v>
      </c>
      <c r="G3078" s="57">
        <f t="shared" si="48"/>
        <v>0.18465378570768234</v>
      </c>
      <c r="H3078" s="5" t="s">
        <v>4409</v>
      </c>
    </row>
    <row r="3079" spans="1:8" ht="25.5" x14ac:dyDescent="0.2">
      <c r="A3079" s="1" t="s">
        <v>1</v>
      </c>
      <c r="B3079" s="12" t="s">
        <v>308</v>
      </c>
      <c r="C3079" s="5" t="s">
        <v>955</v>
      </c>
      <c r="D3079" s="5" t="s">
        <v>956</v>
      </c>
      <c r="E3079" s="6">
        <v>107149</v>
      </c>
      <c r="F3079" s="3">
        <f>107844+20000</f>
        <v>127844</v>
      </c>
      <c r="G3079" s="57">
        <f t="shared" si="48"/>
        <v>0.19314225984376895</v>
      </c>
      <c r="H3079" s="5" t="s">
        <v>4410</v>
      </c>
    </row>
    <row r="3080" spans="1:8" ht="25.5" x14ac:dyDescent="0.2">
      <c r="A3080" s="1" t="s">
        <v>1</v>
      </c>
      <c r="B3080" s="12" t="s">
        <v>308</v>
      </c>
      <c r="C3080" s="5" t="s">
        <v>957</v>
      </c>
      <c r="D3080" s="5" t="s">
        <v>958</v>
      </c>
      <c r="E3080" s="6">
        <v>107149</v>
      </c>
      <c r="F3080" s="3">
        <f>107844+20000</f>
        <v>127844</v>
      </c>
      <c r="G3080" s="57">
        <f t="shared" si="48"/>
        <v>0.19314225984376895</v>
      </c>
      <c r="H3080" s="5" t="s">
        <v>4410</v>
      </c>
    </row>
    <row r="3081" spans="1:8" ht="25.5" x14ac:dyDescent="0.2">
      <c r="A3081" s="1" t="s">
        <v>1</v>
      </c>
      <c r="B3081" s="12" t="s">
        <v>308</v>
      </c>
      <c r="C3081" s="5" t="s">
        <v>959</v>
      </c>
      <c r="D3081" s="5" t="s">
        <v>908</v>
      </c>
      <c r="E3081" s="6">
        <v>107149</v>
      </c>
      <c r="F3081" s="3">
        <f>107844+20000</f>
        <v>127844</v>
      </c>
      <c r="G3081" s="57">
        <f t="shared" si="48"/>
        <v>0.19314225984376895</v>
      </c>
      <c r="H3081" s="5" t="s">
        <v>4410</v>
      </c>
    </row>
    <row r="3082" spans="1:8" x14ac:dyDescent="0.2">
      <c r="A3082" s="1" t="s">
        <v>1</v>
      </c>
      <c r="B3082" s="12" t="s">
        <v>308</v>
      </c>
      <c r="D3082" s="5" t="s">
        <v>464</v>
      </c>
      <c r="E3082" s="3" t="s">
        <v>465</v>
      </c>
      <c r="F3082" s="3">
        <v>102500</v>
      </c>
      <c r="G3082" s="57" t="str">
        <f t="shared" si="48"/>
        <v>-</v>
      </c>
      <c r="H3082" s="5" t="s">
        <v>539</v>
      </c>
    </row>
    <row r="3083" spans="1:8" x14ac:dyDescent="0.2">
      <c r="A3083" s="1" t="s">
        <v>1</v>
      </c>
      <c r="B3083" s="12" t="s">
        <v>308</v>
      </c>
      <c r="D3083" s="5" t="s">
        <v>464</v>
      </c>
      <c r="E3083" s="3" t="s">
        <v>465</v>
      </c>
      <c r="F3083" s="3">
        <v>107500</v>
      </c>
      <c r="G3083" s="57" t="str">
        <f t="shared" si="48"/>
        <v>-</v>
      </c>
      <c r="H3083" s="5" t="s">
        <v>539</v>
      </c>
    </row>
    <row r="3084" spans="1:8" x14ac:dyDescent="0.2">
      <c r="A3084" s="1" t="s">
        <v>1</v>
      </c>
      <c r="B3084" s="12" t="s">
        <v>308</v>
      </c>
      <c r="D3084" s="5" t="s">
        <v>464</v>
      </c>
      <c r="E3084" s="3" t="s">
        <v>465</v>
      </c>
      <c r="F3084" s="3">
        <v>107500</v>
      </c>
      <c r="G3084" s="57" t="str">
        <f t="shared" si="48"/>
        <v>-</v>
      </c>
      <c r="H3084" s="5" t="s">
        <v>539</v>
      </c>
    </row>
    <row r="3085" spans="1:8" x14ac:dyDescent="0.2">
      <c r="A3085" s="1" t="s">
        <v>1</v>
      </c>
      <c r="B3085" s="12" t="s">
        <v>308</v>
      </c>
      <c r="D3085" s="5" t="s">
        <v>464</v>
      </c>
      <c r="E3085" s="3" t="s">
        <v>465</v>
      </c>
      <c r="F3085" s="3">
        <v>107500</v>
      </c>
      <c r="G3085" s="57" t="str">
        <f t="shared" si="48"/>
        <v>-</v>
      </c>
      <c r="H3085" s="5" t="s">
        <v>539</v>
      </c>
    </row>
    <row r="3086" spans="1:8" x14ac:dyDescent="0.2">
      <c r="A3086" s="1" t="s">
        <v>1</v>
      </c>
      <c r="B3086" s="12" t="s">
        <v>308</v>
      </c>
      <c r="D3086" s="5" t="s">
        <v>464</v>
      </c>
      <c r="E3086" s="3">
        <v>112500</v>
      </c>
      <c r="F3086" s="3" t="s">
        <v>465</v>
      </c>
      <c r="G3086" s="57" t="str">
        <f t="shared" si="48"/>
        <v>-</v>
      </c>
    </row>
    <row r="3087" spans="1:8" x14ac:dyDescent="0.2">
      <c r="A3087" s="1" t="s">
        <v>1</v>
      </c>
      <c r="B3087" s="12" t="s">
        <v>308</v>
      </c>
      <c r="D3087" s="5" t="s">
        <v>464</v>
      </c>
      <c r="E3087" s="3" t="s">
        <v>465</v>
      </c>
      <c r="F3087" s="3">
        <v>112500</v>
      </c>
      <c r="G3087" s="57" t="str">
        <f t="shared" si="48"/>
        <v>-</v>
      </c>
      <c r="H3087" s="5" t="s">
        <v>539</v>
      </c>
    </row>
    <row r="3088" spans="1:8" x14ac:dyDescent="0.2">
      <c r="A3088" s="1" t="s">
        <v>1</v>
      </c>
      <c r="B3088" s="12" t="s">
        <v>308</v>
      </c>
      <c r="D3088" s="5" t="s">
        <v>464</v>
      </c>
      <c r="E3088" s="3" t="s">
        <v>465</v>
      </c>
      <c r="F3088" s="3">
        <v>112500</v>
      </c>
      <c r="G3088" s="57" t="str">
        <f t="shared" si="48"/>
        <v>-</v>
      </c>
      <c r="H3088" s="5" t="s">
        <v>539</v>
      </c>
    </row>
    <row r="3089" spans="1:8" x14ac:dyDescent="0.2">
      <c r="A3089" s="1" t="s">
        <v>1</v>
      </c>
      <c r="B3089" s="12" t="s">
        <v>308</v>
      </c>
      <c r="D3089" s="5" t="s">
        <v>464</v>
      </c>
      <c r="E3089" s="3" t="s">
        <v>465</v>
      </c>
      <c r="F3089" s="3">
        <v>117500</v>
      </c>
      <c r="G3089" s="57" t="str">
        <f t="shared" si="48"/>
        <v>-</v>
      </c>
      <c r="H3089" s="5" t="s">
        <v>539</v>
      </c>
    </row>
    <row r="3090" spans="1:8" x14ac:dyDescent="0.2">
      <c r="A3090" s="1" t="s">
        <v>1</v>
      </c>
      <c r="B3090" s="12" t="s">
        <v>308</v>
      </c>
      <c r="D3090" s="5" t="s">
        <v>464</v>
      </c>
      <c r="E3090" s="3" t="s">
        <v>465</v>
      </c>
      <c r="F3090" s="3">
        <v>122500</v>
      </c>
      <c r="G3090" s="57" t="str">
        <f t="shared" si="48"/>
        <v>-</v>
      </c>
      <c r="H3090" s="5" t="s">
        <v>539</v>
      </c>
    </row>
    <row r="3091" spans="1:8" x14ac:dyDescent="0.2">
      <c r="A3091" s="1" t="s">
        <v>1</v>
      </c>
      <c r="B3091" s="12" t="s">
        <v>308</v>
      </c>
      <c r="D3091" s="5" t="s">
        <v>464</v>
      </c>
      <c r="E3091" s="3" t="s">
        <v>465</v>
      </c>
      <c r="F3091" s="3">
        <v>177500</v>
      </c>
      <c r="G3091" s="57" t="str">
        <f t="shared" si="48"/>
        <v>-</v>
      </c>
      <c r="H3091" s="5" t="s">
        <v>539</v>
      </c>
    </row>
    <row r="3092" spans="1:8" x14ac:dyDescent="0.2">
      <c r="A3092" s="1" t="s">
        <v>44</v>
      </c>
      <c r="B3092" s="2" t="s">
        <v>309</v>
      </c>
      <c r="D3092" s="5" t="s">
        <v>450</v>
      </c>
      <c r="E3092" s="3">
        <v>171000</v>
      </c>
      <c r="F3092" s="3">
        <v>171000</v>
      </c>
      <c r="G3092" s="57">
        <f t="shared" si="48"/>
        <v>0</v>
      </c>
      <c r="H3092" s="5" t="s">
        <v>2817</v>
      </c>
    </row>
    <row r="3093" spans="1:8" ht="25.5" x14ac:dyDescent="0.2">
      <c r="A3093" s="1" t="s">
        <v>44</v>
      </c>
      <c r="B3093" s="2" t="s">
        <v>309</v>
      </c>
      <c r="D3093" s="5" t="s">
        <v>945</v>
      </c>
      <c r="E3093" s="3">
        <v>147000</v>
      </c>
      <c r="F3093" s="3">
        <v>147000</v>
      </c>
      <c r="G3093" s="57">
        <f t="shared" si="48"/>
        <v>0</v>
      </c>
      <c r="H3093" s="5" t="s">
        <v>2818</v>
      </c>
    </row>
    <row r="3094" spans="1:8" ht="25.5" x14ac:dyDescent="0.2">
      <c r="A3094" s="1" t="s">
        <v>44</v>
      </c>
      <c r="B3094" s="2" t="s">
        <v>309</v>
      </c>
      <c r="D3094" s="5" t="s">
        <v>946</v>
      </c>
      <c r="E3094" s="3">
        <v>137000</v>
      </c>
      <c r="F3094" s="3">
        <v>137000</v>
      </c>
      <c r="G3094" s="57">
        <f t="shared" si="48"/>
        <v>0</v>
      </c>
      <c r="H3094" s="5" t="s">
        <v>2819</v>
      </c>
    </row>
    <row r="3095" spans="1:8" x14ac:dyDescent="0.2">
      <c r="A3095" s="1" t="s">
        <v>44</v>
      </c>
      <c r="B3095" s="2" t="s">
        <v>309</v>
      </c>
      <c r="D3095" s="5" t="s">
        <v>947</v>
      </c>
      <c r="E3095" s="3">
        <v>136000</v>
      </c>
      <c r="F3095" s="3">
        <v>136000</v>
      </c>
      <c r="G3095" s="57">
        <f t="shared" si="48"/>
        <v>0</v>
      </c>
      <c r="H3095" s="5" t="s">
        <v>2820</v>
      </c>
    </row>
    <row r="3096" spans="1:8" x14ac:dyDescent="0.2">
      <c r="A3096" s="1" t="s">
        <v>44</v>
      </c>
      <c r="B3096" s="2" t="s">
        <v>309</v>
      </c>
      <c r="D3096" s="5" t="s">
        <v>948</v>
      </c>
      <c r="E3096" s="3">
        <v>111000</v>
      </c>
      <c r="F3096" s="3">
        <v>111000</v>
      </c>
      <c r="G3096" s="57">
        <f t="shared" si="48"/>
        <v>0</v>
      </c>
      <c r="H3096" s="5" t="s">
        <v>2821</v>
      </c>
    </row>
    <row r="3097" spans="1:8" x14ac:dyDescent="0.2">
      <c r="A3097" s="1" t="s">
        <v>44</v>
      </c>
      <c r="B3097" s="2" t="s">
        <v>309</v>
      </c>
      <c r="D3097" s="5" t="s">
        <v>949</v>
      </c>
      <c r="E3097" s="3">
        <v>111000</v>
      </c>
      <c r="F3097" s="3">
        <v>111000</v>
      </c>
      <c r="G3097" s="57">
        <f t="shared" si="48"/>
        <v>0</v>
      </c>
      <c r="H3097" s="5" t="s">
        <v>2821</v>
      </c>
    </row>
    <row r="3098" spans="1:8" ht="25.5" x14ac:dyDescent="0.2">
      <c r="A3098" s="1" t="s">
        <v>44</v>
      </c>
      <c r="B3098" s="2" t="s">
        <v>309</v>
      </c>
      <c r="D3098" s="5" t="s">
        <v>904</v>
      </c>
      <c r="E3098" s="3">
        <v>112000</v>
      </c>
      <c r="F3098" s="3">
        <v>112000</v>
      </c>
      <c r="G3098" s="57">
        <f t="shared" ref="G3098:G3151" si="49">IF(ISERROR((F3098-E3098)/E3098),"-",(F3098-E3098)/E3098)</f>
        <v>0</v>
      </c>
      <c r="H3098" s="5" t="s">
        <v>2822</v>
      </c>
    </row>
    <row r="3099" spans="1:8" x14ac:dyDescent="0.2">
      <c r="A3099" s="1" t="s">
        <v>44</v>
      </c>
      <c r="B3099" s="2" t="s">
        <v>309</v>
      </c>
      <c r="D3099" s="5" t="s">
        <v>464</v>
      </c>
      <c r="E3099" s="3" t="s">
        <v>465</v>
      </c>
      <c r="F3099" s="3">
        <v>107500</v>
      </c>
      <c r="G3099" s="57" t="str">
        <f t="shared" si="49"/>
        <v>-</v>
      </c>
      <c r="H3099" s="5" t="s">
        <v>539</v>
      </c>
    </row>
    <row r="3100" spans="1:8" x14ac:dyDescent="0.2">
      <c r="A3100" s="1" t="s">
        <v>44</v>
      </c>
      <c r="B3100" s="2" t="s">
        <v>309</v>
      </c>
      <c r="D3100" s="5" t="s">
        <v>464</v>
      </c>
      <c r="E3100" s="3">
        <v>112500</v>
      </c>
      <c r="F3100" s="3" t="s">
        <v>465</v>
      </c>
      <c r="G3100" s="57" t="str">
        <f t="shared" si="49"/>
        <v>-</v>
      </c>
    </row>
    <row r="3101" spans="1:8" x14ac:dyDescent="0.2">
      <c r="A3101" s="1" t="s">
        <v>44</v>
      </c>
      <c r="B3101" s="2" t="s">
        <v>309</v>
      </c>
      <c r="D3101" s="5" t="s">
        <v>464</v>
      </c>
      <c r="E3101" s="3">
        <v>112500</v>
      </c>
      <c r="F3101" s="3" t="s">
        <v>465</v>
      </c>
      <c r="G3101" s="57" t="str">
        <f t="shared" si="49"/>
        <v>-</v>
      </c>
    </row>
    <row r="3102" spans="1:8" x14ac:dyDescent="0.2">
      <c r="A3102" s="1" t="s">
        <v>44</v>
      </c>
      <c r="B3102" s="2" t="s">
        <v>309</v>
      </c>
      <c r="D3102" s="5" t="s">
        <v>464</v>
      </c>
      <c r="E3102" s="3">
        <v>112500</v>
      </c>
      <c r="F3102" s="3" t="s">
        <v>465</v>
      </c>
      <c r="G3102" s="57" t="str">
        <f t="shared" si="49"/>
        <v>-</v>
      </c>
    </row>
    <row r="3103" spans="1:8" x14ac:dyDescent="0.2">
      <c r="A3103" s="1" t="s">
        <v>44</v>
      </c>
      <c r="B3103" s="2" t="s">
        <v>309</v>
      </c>
      <c r="D3103" s="5" t="s">
        <v>464</v>
      </c>
      <c r="E3103" s="3" t="s">
        <v>465</v>
      </c>
      <c r="F3103" s="3">
        <v>112500</v>
      </c>
      <c r="G3103" s="57" t="str">
        <f t="shared" si="49"/>
        <v>-</v>
      </c>
      <c r="H3103" s="5" t="s">
        <v>539</v>
      </c>
    </row>
    <row r="3104" spans="1:8" x14ac:dyDescent="0.2">
      <c r="A3104" s="1" t="s">
        <v>44</v>
      </c>
      <c r="B3104" s="2" t="s">
        <v>309</v>
      </c>
      <c r="D3104" s="5" t="s">
        <v>464</v>
      </c>
      <c r="E3104" s="3" t="s">
        <v>465</v>
      </c>
      <c r="F3104" s="3">
        <v>112500</v>
      </c>
      <c r="G3104" s="57" t="str">
        <f t="shared" si="49"/>
        <v>-</v>
      </c>
      <c r="H3104" s="5" t="s">
        <v>539</v>
      </c>
    </row>
    <row r="3105" spans="1:8" x14ac:dyDescent="0.2">
      <c r="A3105" s="1" t="s">
        <v>44</v>
      </c>
      <c r="B3105" s="2" t="s">
        <v>309</v>
      </c>
      <c r="D3105" s="5" t="s">
        <v>464</v>
      </c>
      <c r="E3105" s="3" t="s">
        <v>465</v>
      </c>
      <c r="F3105" s="3">
        <v>112500</v>
      </c>
      <c r="G3105" s="57" t="str">
        <f t="shared" si="49"/>
        <v>-</v>
      </c>
      <c r="H3105" s="5" t="s">
        <v>539</v>
      </c>
    </row>
    <row r="3106" spans="1:8" x14ac:dyDescent="0.2">
      <c r="A3106" s="1" t="s">
        <v>44</v>
      </c>
      <c r="B3106" s="2" t="s">
        <v>309</v>
      </c>
      <c r="D3106" s="5" t="s">
        <v>464</v>
      </c>
      <c r="E3106" s="3" t="s">
        <v>465</v>
      </c>
      <c r="F3106" s="3">
        <v>112500</v>
      </c>
      <c r="G3106" s="57" t="str">
        <f t="shared" si="49"/>
        <v>-</v>
      </c>
      <c r="H3106" s="5" t="s">
        <v>539</v>
      </c>
    </row>
    <row r="3107" spans="1:8" x14ac:dyDescent="0.2">
      <c r="A3107" s="1" t="s">
        <v>44</v>
      </c>
      <c r="B3107" s="2" t="s">
        <v>309</v>
      </c>
      <c r="D3107" s="5" t="s">
        <v>464</v>
      </c>
      <c r="E3107" s="3">
        <v>117500</v>
      </c>
      <c r="F3107" s="3" t="s">
        <v>465</v>
      </c>
      <c r="G3107" s="57" t="str">
        <f t="shared" si="49"/>
        <v>-</v>
      </c>
    </row>
    <row r="3108" spans="1:8" x14ac:dyDescent="0.2">
      <c r="A3108" s="1" t="s">
        <v>44</v>
      </c>
      <c r="B3108" s="2" t="s">
        <v>309</v>
      </c>
      <c r="D3108" s="5" t="s">
        <v>464</v>
      </c>
      <c r="E3108" s="3" t="s">
        <v>465</v>
      </c>
      <c r="F3108" s="3">
        <v>117500</v>
      </c>
      <c r="G3108" s="57" t="str">
        <f t="shared" si="49"/>
        <v>-</v>
      </c>
      <c r="H3108" s="5" t="s">
        <v>539</v>
      </c>
    </row>
    <row r="3109" spans="1:8" x14ac:dyDescent="0.2">
      <c r="A3109" s="1" t="s">
        <v>44</v>
      </c>
      <c r="B3109" s="2" t="s">
        <v>309</v>
      </c>
      <c r="D3109" s="5" t="s">
        <v>464</v>
      </c>
      <c r="E3109" s="3" t="s">
        <v>465</v>
      </c>
      <c r="F3109" s="3">
        <v>122500</v>
      </c>
      <c r="G3109" s="57" t="str">
        <f t="shared" si="49"/>
        <v>-</v>
      </c>
      <c r="H3109" s="5" t="s">
        <v>539</v>
      </c>
    </row>
    <row r="3110" spans="1:8" x14ac:dyDescent="0.2">
      <c r="A3110" s="1" t="s">
        <v>44</v>
      </c>
      <c r="B3110" s="2" t="s">
        <v>309</v>
      </c>
      <c r="D3110" s="5" t="s">
        <v>464</v>
      </c>
      <c r="E3110" s="3" t="s">
        <v>465</v>
      </c>
      <c r="F3110" s="3">
        <v>137500</v>
      </c>
      <c r="G3110" s="57" t="str">
        <f t="shared" si="49"/>
        <v>-</v>
      </c>
      <c r="H3110" s="5" t="s">
        <v>539</v>
      </c>
    </row>
    <row r="3111" spans="1:8" x14ac:dyDescent="0.2">
      <c r="A3111" s="1" t="s">
        <v>44</v>
      </c>
      <c r="B3111" s="2" t="s">
        <v>309</v>
      </c>
      <c r="D3111" s="5" t="s">
        <v>464</v>
      </c>
      <c r="E3111" s="3" t="s">
        <v>465</v>
      </c>
      <c r="F3111" s="3">
        <v>147500</v>
      </c>
      <c r="G3111" s="57" t="str">
        <f t="shared" si="49"/>
        <v>-</v>
      </c>
      <c r="H3111" s="5" t="s">
        <v>539</v>
      </c>
    </row>
    <row r="3112" spans="1:8" x14ac:dyDescent="0.2">
      <c r="A3112" s="1" t="s">
        <v>44</v>
      </c>
      <c r="B3112" s="2" t="s">
        <v>309</v>
      </c>
      <c r="D3112" s="5" t="s">
        <v>464</v>
      </c>
      <c r="E3112" s="3" t="s">
        <v>465</v>
      </c>
      <c r="F3112" s="3">
        <v>152500</v>
      </c>
      <c r="G3112" s="57" t="str">
        <f t="shared" si="49"/>
        <v>-</v>
      </c>
      <c r="H3112" s="5" t="s">
        <v>539</v>
      </c>
    </row>
    <row r="3113" spans="1:8" x14ac:dyDescent="0.2">
      <c r="A3113" s="1" t="s">
        <v>44</v>
      </c>
      <c r="B3113" s="2" t="s">
        <v>309</v>
      </c>
      <c r="D3113" s="5" t="s">
        <v>464</v>
      </c>
      <c r="E3113" s="3">
        <v>177500</v>
      </c>
      <c r="F3113" s="3" t="s">
        <v>465</v>
      </c>
      <c r="G3113" s="57" t="str">
        <f t="shared" si="49"/>
        <v>-</v>
      </c>
    </row>
    <row r="3114" spans="1:8" ht="25.5" x14ac:dyDescent="0.2">
      <c r="A3114" s="1" t="s">
        <v>6</v>
      </c>
      <c r="B3114" s="2" t="s">
        <v>310</v>
      </c>
      <c r="D3114" s="5" t="s">
        <v>450</v>
      </c>
      <c r="E3114" s="3">
        <v>105849</v>
      </c>
      <c r="F3114" s="3">
        <v>106150</v>
      </c>
      <c r="G3114" s="57">
        <f t="shared" si="49"/>
        <v>2.8436735349412841E-3</v>
      </c>
      <c r="H3114" s="5" t="s">
        <v>2815</v>
      </c>
    </row>
    <row r="3115" spans="1:8" ht="25.5" x14ac:dyDescent="0.2">
      <c r="A3115" s="1" t="s">
        <v>6</v>
      </c>
      <c r="B3115" s="2" t="s">
        <v>310</v>
      </c>
      <c r="D3115" s="5" t="s">
        <v>944</v>
      </c>
      <c r="E3115" s="3">
        <v>82817</v>
      </c>
      <c r="F3115" s="3">
        <v>149622</v>
      </c>
      <c r="G3115" s="57">
        <f t="shared" si="49"/>
        <v>0.80665805329823592</v>
      </c>
      <c r="H3115" s="5" t="s">
        <v>2816</v>
      </c>
    </row>
    <row r="3116" spans="1:8" ht="25.5" x14ac:dyDescent="0.2">
      <c r="A3116" s="1" t="s">
        <v>25</v>
      </c>
      <c r="B3116" s="2" t="s">
        <v>311</v>
      </c>
      <c r="C3116" s="5" t="s">
        <v>936</v>
      </c>
      <c r="D3116" s="5" t="s">
        <v>450</v>
      </c>
      <c r="E3116" s="3">
        <v>215657</v>
      </c>
      <c r="F3116" s="3">
        <v>220859</v>
      </c>
      <c r="G3116" s="57">
        <f t="shared" si="49"/>
        <v>2.4121637600448862E-2</v>
      </c>
      <c r="H3116" s="5" t="s">
        <v>2809</v>
      </c>
    </row>
    <row r="3117" spans="1:8" ht="25.5" x14ac:dyDescent="0.2">
      <c r="A3117" s="1" t="s">
        <v>25</v>
      </c>
      <c r="B3117" s="2" t="s">
        <v>311</v>
      </c>
      <c r="C3117" s="5" t="s">
        <v>937</v>
      </c>
      <c r="D3117" s="5" t="s">
        <v>938</v>
      </c>
      <c r="E3117" s="3">
        <v>153374</v>
      </c>
      <c r="F3117" s="3">
        <v>157048</v>
      </c>
      <c r="G3117" s="57">
        <f t="shared" si="49"/>
        <v>2.3954516410864945E-2</v>
      </c>
      <c r="H3117" s="5" t="s">
        <v>2810</v>
      </c>
    </row>
    <row r="3118" spans="1:8" ht="25.5" x14ac:dyDescent="0.2">
      <c r="A3118" s="1" t="s">
        <v>25</v>
      </c>
      <c r="B3118" s="2" t="s">
        <v>311</v>
      </c>
      <c r="C3118" s="5" t="s">
        <v>939</v>
      </c>
      <c r="D3118" s="5" t="s">
        <v>940</v>
      </c>
      <c r="E3118" s="3">
        <v>147372</v>
      </c>
      <c r="F3118" s="3">
        <v>150243</v>
      </c>
      <c r="G3118" s="57">
        <f t="shared" si="49"/>
        <v>1.948131259669408E-2</v>
      </c>
      <c r="H3118" s="5" t="s">
        <v>2811</v>
      </c>
    </row>
    <row r="3119" spans="1:8" ht="25.5" x14ac:dyDescent="0.2">
      <c r="A3119" s="1" t="s">
        <v>25</v>
      </c>
      <c r="B3119" s="2" t="s">
        <v>311</v>
      </c>
      <c r="C3119" s="5" t="s">
        <v>941</v>
      </c>
      <c r="D3119" s="5" t="s">
        <v>942</v>
      </c>
      <c r="E3119" s="3">
        <v>131616</v>
      </c>
      <c r="F3119" s="3">
        <v>149499</v>
      </c>
      <c r="G3119" s="57">
        <f t="shared" si="49"/>
        <v>0.13587253829321663</v>
      </c>
      <c r="H3119" s="5" t="s">
        <v>2812</v>
      </c>
    </row>
    <row r="3120" spans="1:8" ht="25.5" x14ac:dyDescent="0.2">
      <c r="A3120" s="1" t="s">
        <v>25</v>
      </c>
      <c r="B3120" s="2" t="s">
        <v>311</v>
      </c>
      <c r="C3120" s="5" t="s">
        <v>943</v>
      </c>
      <c r="D3120" s="5" t="s">
        <v>4677</v>
      </c>
      <c r="E3120" s="3">
        <v>152324</v>
      </c>
      <c r="F3120" s="3">
        <v>158596</v>
      </c>
      <c r="G3120" s="57">
        <f t="shared" si="49"/>
        <v>4.1175389301751526E-2</v>
      </c>
      <c r="H3120" s="5" t="s">
        <v>2813</v>
      </c>
    </row>
    <row r="3121" spans="1:8" ht="25.5" x14ac:dyDescent="0.2">
      <c r="A3121" s="1" t="s">
        <v>25</v>
      </c>
      <c r="B3121" s="2" t="s">
        <v>311</v>
      </c>
      <c r="D3121" s="5" t="s">
        <v>569</v>
      </c>
      <c r="E3121" s="3">
        <v>101950</v>
      </c>
      <c r="F3121" s="3">
        <v>104479</v>
      </c>
      <c r="G3121" s="57">
        <f t="shared" si="49"/>
        <v>2.4806277587052478E-2</v>
      </c>
      <c r="H3121" s="5" t="s">
        <v>2814</v>
      </c>
    </row>
    <row r="3122" spans="1:8" ht="38.25" x14ac:dyDescent="0.2">
      <c r="A3122" s="1" t="s">
        <v>25</v>
      </c>
      <c r="B3122" s="2" t="s">
        <v>311</v>
      </c>
      <c r="D3122" s="5" t="s">
        <v>464</v>
      </c>
      <c r="E3122" s="3">
        <v>102500</v>
      </c>
      <c r="F3122" s="3" t="s">
        <v>465</v>
      </c>
      <c r="G3122" s="57" t="str">
        <f t="shared" si="49"/>
        <v>-</v>
      </c>
      <c r="H3122" s="5" t="s">
        <v>4678</v>
      </c>
    </row>
    <row r="3123" spans="1:8" x14ac:dyDescent="0.2">
      <c r="A3123" s="1" t="s">
        <v>25</v>
      </c>
      <c r="B3123" s="2" t="s">
        <v>311</v>
      </c>
      <c r="D3123" s="5" t="s">
        <v>464</v>
      </c>
      <c r="E3123" s="3" t="s">
        <v>465</v>
      </c>
      <c r="F3123" s="3">
        <v>102500</v>
      </c>
      <c r="G3123" s="57" t="str">
        <f t="shared" si="49"/>
        <v>-</v>
      </c>
      <c r="H3123" s="1"/>
    </row>
    <row r="3124" spans="1:8" x14ac:dyDescent="0.2">
      <c r="A3124" s="1" t="s">
        <v>25</v>
      </c>
      <c r="B3124" s="2" t="s">
        <v>311</v>
      </c>
      <c r="D3124" s="5" t="s">
        <v>464</v>
      </c>
      <c r="E3124" s="3" t="s">
        <v>465</v>
      </c>
      <c r="F3124" s="3">
        <v>102500</v>
      </c>
      <c r="G3124" s="57" t="str">
        <f t="shared" si="49"/>
        <v>-</v>
      </c>
      <c r="H3124" s="1"/>
    </row>
    <row r="3125" spans="1:8" x14ac:dyDescent="0.2">
      <c r="A3125" s="1" t="s">
        <v>25</v>
      </c>
      <c r="B3125" s="2" t="s">
        <v>311</v>
      </c>
      <c r="D3125" s="5" t="s">
        <v>464</v>
      </c>
      <c r="E3125" s="3" t="s">
        <v>465</v>
      </c>
      <c r="F3125" s="3">
        <v>102500</v>
      </c>
      <c r="G3125" s="57" t="str">
        <f t="shared" si="49"/>
        <v>-</v>
      </c>
      <c r="H3125" s="1"/>
    </row>
    <row r="3126" spans="1:8" x14ac:dyDescent="0.2">
      <c r="A3126" s="1" t="s">
        <v>25</v>
      </c>
      <c r="B3126" s="2" t="s">
        <v>311</v>
      </c>
      <c r="D3126" s="5" t="s">
        <v>464</v>
      </c>
      <c r="E3126" s="3" t="s">
        <v>465</v>
      </c>
      <c r="F3126" s="3">
        <v>102500</v>
      </c>
      <c r="G3126" s="57" t="str">
        <f t="shared" si="49"/>
        <v>-</v>
      </c>
      <c r="H3126" s="1"/>
    </row>
    <row r="3127" spans="1:8" x14ac:dyDescent="0.2">
      <c r="A3127" s="1" t="s">
        <v>25</v>
      </c>
      <c r="B3127" s="2" t="s">
        <v>311</v>
      </c>
      <c r="D3127" s="5" t="s">
        <v>464</v>
      </c>
      <c r="E3127" s="3" t="s">
        <v>465</v>
      </c>
      <c r="F3127" s="3">
        <v>102500</v>
      </c>
      <c r="G3127" s="57" t="str">
        <f t="shared" si="49"/>
        <v>-</v>
      </c>
      <c r="H3127" s="1"/>
    </row>
    <row r="3128" spans="1:8" x14ac:dyDescent="0.2">
      <c r="A3128" s="1" t="s">
        <v>25</v>
      </c>
      <c r="B3128" s="2" t="s">
        <v>311</v>
      </c>
      <c r="D3128" s="5" t="s">
        <v>464</v>
      </c>
      <c r="E3128" s="3" t="s">
        <v>465</v>
      </c>
      <c r="F3128" s="3">
        <v>102500</v>
      </c>
      <c r="G3128" s="57" t="str">
        <f t="shared" si="49"/>
        <v>-</v>
      </c>
      <c r="H3128" s="1"/>
    </row>
    <row r="3129" spans="1:8" x14ac:dyDescent="0.2">
      <c r="A3129" s="1" t="s">
        <v>25</v>
      </c>
      <c r="B3129" s="2" t="s">
        <v>311</v>
      </c>
      <c r="D3129" s="5" t="s">
        <v>464</v>
      </c>
      <c r="E3129" s="3">
        <v>117500</v>
      </c>
      <c r="F3129" s="3" t="s">
        <v>465</v>
      </c>
      <c r="G3129" s="57" t="str">
        <f t="shared" si="49"/>
        <v>-</v>
      </c>
      <c r="H3129" s="1"/>
    </row>
    <row r="3130" spans="1:8" x14ac:dyDescent="0.2">
      <c r="A3130" s="1" t="s">
        <v>25</v>
      </c>
      <c r="B3130" s="2" t="s">
        <v>311</v>
      </c>
      <c r="D3130" s="5" t="s">
        <v>464</v>
      </c>
      <c r="E3130" s="3" t="s">
        <v>465</v>
      </c>
      <c r="F3130" s="3">
        <v>117500</v>
      </c>
      <c r="G3130" s="57" t="str">
        <f t="shared" si="49"/>
        <v>-</v>
      </c>
      <c r="H3130" s="1"/>
    </row>
    <row r="3131" spans="1:8" ht="25.5" x14ac:dyDescent="0.2">
      <c r="A3131" s="1" t="s">
        <v>28</v>
      </c>
      <c r="B3131" s="2" t="s">
        <v>312</v>
      </c>
      <c r="D3131" s="5" t="s">
        <v>455</v>
      </c>
      <c r="E3131" s="3">
        <v>111741</v>
      </c>
      <c r="F3131" s="3">
        <v>110026</v>
      </c>
      <c r="G3131" s="57">
        <f t="shared" si="49"/>
        <v>-1.5347992232036584E-2</v>
      </c>
      <c r="H3131" s="5" t="s">
        <v>2807</v>
      </c>
    </row>
    <row r="3132" spans="1:8" ht="25.5" x14ac:dyDescent="0.2">
      <c r="A3132" s="1" t="s">
        <v>28</v>
      </c>
      <c r="B3132" s="2" t="s">
        <v>312</v>
      </c>
      <c r="D3132" s="5" t="s">
        <v>455</v>
      </c>
      <c r="E3132" s="3">
        <v>108558</v>
      </c>
      <c r="F3132" s="3">
        <v>109818</v>
      </c>
      <c r="G3132" s="57">
        <f t="shared" si="49"/>
        <v>1.1606698723263141E-2</v>
      </c>
      <c r="H3132" s="5" t="s">
        <v>2808</v>
      </c>
    </row>
    <row r="3133" spans="1:8" ht="25.5" x14ac:dyDescent="0.2">
      <c r="A3133" s="1" t="s">
        <v>6</v>
      </c>
      <c r="B3133" s="2" t="s">
        <v>313</v>
      </c>
      <c r="C3133" s="5" t="s">
        <v>932</v>
      </c>
      <c r="D3133" s="5" t="s">
        <v>450</v>
      </c>
      <c r="E3133" s="6">
        <v>174000</v>
      </c>
      <c r="F3133" s="6">
        <v>175000</v>
      </c>
      <c r="G3133" s="57">
        <f t="shared" si="49"/>
        <v>5.7471264367816091E-3</v>
      </c>
      <c r="H3133" s="7" t="s">
        <v>2803</v>
      </c>
    </row>
    <row r="3134" spans="1:8" ht="25.5" x14ac:dyDescent="0.2">
      <c r="A3134" s="1" t="s">
        <v>6</v>
      </c>
      <c r="B3134" s="2" t="s">
        <v>313</v>
      </c>
      <c r="D3134" s="5" t="s">
        <v>4679</v>
      </c>
      <c r="E3134" s="6">
        <v>133000</v>
      </c>
      <c r="F3134" s="6">
        <v>141000</v>
      </c>
      <c r="G3134" s="57">
        <f t="shared" si="49"/>
        <v>6.0150375939849621E-2</v>
      </c>
      <c r="H3134" s="7" t="s">
        <v>2804</v>
      </c>
    </row>
    <row r="3135" spans="1:8" ht="38.25" x14ac:dyDescent="0.2">
      <c r="A3135" s="1" t="s">
        <v>6</v>
      </c>
      <c r="B3135" s="2" t="s">
        <v>313</v>
      </c>
      <c r="D3135" s="5" t="s">
        <v>933</v>
      </c>
      <c r="E3135" s="6">
        <v>133000</v>
      </c>
      <c r="F3135" s="6">
        <v>141000</v>
      </c>
      <c r="G3135" s="57">
        <f t="shared" si="49"/>
        <v>6.0150375939849621E-2</v>
      </c>
      <c r="H3135" s="7" t="s">
        <v>2804</v>
      </c>
    </row>
    <row r="3136" spans="1:8" ht="38.25" x14ac:dyDescent="0.2">
      <c r="A3136" s="1" t="s">
        <v>6</v>
      </c>
      <c r="B3136" s="2" t="s">
        <v>313</v>
      </c>
      <c r="D3136" s="5" t="s">
        <v>934</v>
      </c>
      <c r="E3136" s="6">
        <v>104000</v>
      </c>
      <c r="F3136" s="6">
        <v>113000</v>
      </c>
      <c r="G3136" s="57">
        <f t="shared" si="49"/>
        <v>8.6538461538461536E-2</v>
      </c>
      <c r="H3136" s="7" t="s">
        <v>2805</v>
      </c>
    </row>
    <row r="3137" spans="1:8" ht="38.25" x14ac:dyDescent="0.2">
      <c r="A3137" s="1" t="s">
        <v>6</v>
      </c>
      <c r="B3137" s="2" t="s">
        <v>313</v>
      </c>
      <c r="D3137" s="5" t="s">
        <v>4680</v>
      </c>
      <c r="E3137" s="6">
        <v>6000</v>
      </c>
      <c r="F3137" s="6">
        <v>139000</v>
      </c>
      <c r="G3137" s="57">
        <f t="shared" si="49"/>
        <v>22.166666666666668</v>
      </c>
      <c r="H3137" s="7" t="s">
        <v>2806</v>
      </c>
    </row>
    <row r="3138" spans="1:8" x14ac:dyDescent="0.2">
      <c r="A3138" s="1" t="s">
        <v>6</v>
      </c>
      <c r="B3138" s="2" t="s">
        <v>313</v>
      </c>
      <c r="D3138" s="5" t="s">
        <v>464</v>
      </c>
      <c r="E3138" s="3">
        <v>102500</v>
      </c>
      <c r="F3138" s="3" t="s">
        <v>465</v>
      </c>
      <c r="G3138" s="57" t="str">
        <f t="shared" si="49"/>
        <v>-</v>
      </c>
    </row>
    <row r="3139" spans="1:8" x14ac:dyDescent="0.2">
      <c r="A3139" s="1" t="s">
        <v>6</v>
      </c>
      <c r="B3139" s="2" t="s">
        <v>313</v>
      </c>
      <c r="D3139" s="5" t="s">
        <v>464</v>
      </c>
      <c r="E3139" s="3" t="s">
        <v>465</v>
      </c>
      <c r="F3139" s="3">
        <v>102500</v>
      </c>
      <c r="G3139" s="57" t="str">
        <f t="shared" si="49"/>
        <v>-</v>
      </c>
    </row>
    <row r="3140" spans="1:8" x14ac:dyDescent="0.2">
      <c r="A3140" s="1" t="s">
        <v>6</v>
      </c>
      <c r="B3140" s="2" t="s">
        <v>313</v>
      </c>
      <c r="D3140" s="5" t="s">
        <v>464</v>
      </c>
      <c r="E3140" s="3" t="s">
        <v>465</v>
      </c>
      <c r="F3140" s="3">
        <v>117500</v>
      </c>
      <c r="G3140" s="57" t="str">
        <f t="shared" si="49"/>
        <v>-</v>
      </c>
    </row>
    <row r="3141" spans="1:8" ht="38.25" x14ac:dyDescent="0.2">
      <c r="A3141" s="1" t="s">
        <v>20</v>
      </c>
      <c r="B3141" s="2" t="s">
        <v>314</v>
      </c>
      <c r="D3141" s="5" t="s">
        <v>450</v>
      </c>
      <c r="E3141" s="3">
        <v>132942</v>
      </c>
      <c r="F3141" s="3">
        <v>133065</v>
      </c>
      <c r="G3141" s="57">
        <f t="shared" si="49"/>
        <v>9.2521550751455519E-4</v>
      </c>
      <c r="H3141" s="5" t="s">
        <v>2801</v>
      </c>
    </row>
    <row r="3142" spans="1:8" ht="51" x14ac:dyDescent="0.2">
      <c r="A3142" s="1" t="s">
        <v>20</v>
      </c>
      <c r="B3142" s="2" t="s">
        <v>314</v>
      </c>
      <c r="D3142" s="5" t="s">
        <v>455</v>
      </c>
      <c r="E3142" s="3">
        <v>104087</v>
      </c>
      <c r="F3142" s="3">
        <v>157856</v>
      </c>
      <c r="G3142" s="57">
        <f t="shared" si="49"/>
        <v>0.51657747845552282</v>
      </c>
      <c r="H3142" s="5" t="s">
        <v>4681</v>
      </c>
    </row>
    <row r="3143" spans="1:8" ht="38.25" x14ac:dyDescent="0.2">
      <c r="A3143" s="1" t="s">
        <v>20</v>
      </c>
      <c r="B3143" s="2" t="s">
        <v>314</v>
      </c>
      <c r="D3143" s="7" t="s">
        <v>2800</v>
      </c>
      <c r="E3143" s="6">
        <v>108725</v>
      </c>
      <c r="F3143" s="6">
        <v>71995</v>
      </c>
      <c r="G3143" s="57">
        <f t="shared" si="49"/>
        <v>-0.33782478730742699</v>
      </c>
      <c r="H3143" s="7" t="s">
        <v>2802</v>
      </c>
    </row>
    <row r="3144" spans="1:8" ht="25.5" x14ac:dyDescent="0.2">
      <c r="A3144" s="1" t="s">
        <v>6</v>
      </c>
      <c r="B3144" s="2" t="s">
        <v>315</v>
      </c>
      <c r="D3144" s="5" t="s">
        <v>450</v>
      </c>
      <c r="E3144" s="3">
        <v>116269</v>
      </c>
      <c r="F3144" s="3">
        <v>119459</v>
      </c>
      <c r="G3144" s="57">
        <f t="shared" si="49"/>
        <v>2.7436375990160747E-2</v>
      </c>
      <c r="H3144" s="5" t="s">
        <v>2799</v>
      </c>
    </row>
    <row r="3145" spans="1:8" ht="25.5" x14ac:dyDescent="0.2">
      <c r="A3145" s="1" t="s">
        <v>4</v>
      </c>
      <c r="B3145" s="2" t="s">
        <v>316</v>
      </c>
      <c r="D3145" s="5" t="s">
        <v>450</v>
      </c>
      <c r="E3145" s="3">
        <v>121000</v>
      </c>
      <c r="F3145" s="3">
        <v>122000</v>
      </c>
      <c r="G3145" s="57">
        <f t="shared" si="49"/>
        <v>8.2644628099173556E-3</v>
      </c>
      <c r="H3145" s="5" t="s">
        <v>2798</v>
      </c>
    </row>
    <row r="3146" spans="1:8" x14ac:dyDescent="0.2">
      <c r="A3146" s="1" t="s">
        <v>28</v>
      </c>
      <c r="B3146" s="2" t="s">
        <v>317</v>
      </c>
      <c r="C3146" s="5" t="s">
        <v>924</v>
      </c>
      <c r="D3146" s="5" t="s">
        <v>450</v>
      </c>
      <c r="E3146" s="6">
        <f>69247.3+11841.29</f>
        <v>81088.59</v>
      </c>
      <c r="F3146" s="6">
        <f>159999.96+27360</f>
        <v>187359.96</v>
      </c>
      <c r="G3146" s="57">
        <f t="shared" si="49"/>
        <v>1.3105588591440547</v>
      </c>
      <c r="H3146" s="7" t="s">
        <v>2797</v>
      </c>
    </row>
    <row r="3147" spans="1:8" x14ac:dyDescent="0.2">
      <c r="A3147" s="1" t="s">
        <v>28</v>
      </c>
      <c r="B3147" s="2" t="s">
        <v>317</v>
      </c>
      <c r="C3147" s="5" t="s">
        <v>4411</v>
      </c>
      <c r="D3147" s="5" t="s">
        <v>4412</v>
      </c>
      <c r="E3147" s="6">
        <f>86805.22+14133.71</f>
        <v>100938.93</v>
      </c>
      <c r="F3147" s="6">
        <f>86787.04+14130.59</f>
        <v>100917.62999999999</v>
      </c>
      <c r="G3147" s="57">
        <f t="shared" si="49"/>
        <v>-2.1101868228643708E-4</v>
      </c>
      <c r="H3147" s="7" t="s">
        <v>4413</v>
      </c>
    </row>
    <row r="3148" spans="1:8" ht="25.5" x14ac:dyDescent="0.2">
      <c r="A3148" s="1" t="s">
        <v>28</v>
      </c>
      <c r="B3148" s="2" t="s">
        <v>317</v>
      </c>
      <c r="C3148" s="5" t="s">
        <v>925</v>
      </c>
      <c r="D3148" s="5" t="s">
        <v>926</v>
      </c>
      <c r="E3148" s="6">
        <f t="shared" ref="E3148:F3151" si="50">113384.04+19388.64</f>
        <v>132772.68</v>
      </c>
      <c r="F3148" s="6">
        <f t="shared" si="50"/>
        <v>132772.68</v>
      </c>
      <c r="G3148" s="57">
        <f t="shared" si="49"/>
        <v>0</v>
      </c>
      <c r="H3148" s="7" t="s">
        <v>2796</v>
      </c>
    </row>
    <row r="3149" spans="1:8" ht="25.5" x14ac:dyDescent="0.2">
      <c r="A3149" s="1" t="s">
        <v>28</v>
      </c>
      <c r="B3149" s="2" t="s">
        <v>317</v>
      </c>
      <c r="C3149" s="5" t="s">
        <v>927</v>
      </c>
      <c r="D3149" s="5" t="s">
        <v>4682</v>
      </c>
      <c r="E3149" s="6">
        <f t="shared" si="50"/>
        <v>132772.68</v>
      </c>
      <c r="F3149" s="6">
        <f t="shared" si="50"/>
        <v>132772.68</v>
      </c>
      <c r="G3149" s="57">
        <f t="shared" si="49"/>
        <v>0</v>
      </c>
      <c r="H3149" s="7" t="s">
        <v>2796</v>
      </c>
    </row>
    <row r="3150" spans="1:8" x14ac:dyDescent="0.2">
      <c r="A3150" s="1" t="s">
        <v>28</v>
      </c>
      <c r="B3150" s="2" t="s">
        <v>317</v>
      </c>
      <c r="C3150" s="5" t="s">
        <v>928</v>
      </c>
      <c r="D3150" s="5" t="s">
        <v>929</v>
      </c>
      <c r="E3150" s="6">
        <f t="shared" si="50"/>
        <v>132772.68</v>
      </c>
      <c r="F3150" s="6">
        <f t="shared" si="50"/>
        <v>132772.68</v>
      </c>
      <c r="G3150" s="57">
        <f t="shared" si="49"/>
        <v>0</v>
      </c>
      <c r="H3150" s="7" t="s">
        <v>2796</v>
      </c>
    </row>
    <row r="3151" spans="1:8" ht="25.5" x14ac:dyDescent="0.2">
      <c r="A3151" s="1" t="s">
        <v>28</v>
      </c>
      <c r="B3151" s="2" t="s">
        <v>317</v>
      </c>
      <c r="C3151" s="5" t="s">
        <v>930</v>
      </c>
      <c r="D3151" s="5" t="s">
        <v>931</v>
      </c>
      <c r="E3151" s="6">
        <f t="shared" si="50"/>
        <v>132772.68</v>
      </c>
      <c r="F3151" s="6">
        <f t="shared" si="50"/>
        <v>132772.68</v>
      </c>
      <c r="G3151" s="57">
        <f t="shared" si="49"/>
        <v>0</v>
      </c>
      <c r="H3151" s="7" t="s">
        <v>2796</v>
      </c>
    </row>
    <row r="3152" spans="1:8" x14ac:dyDescent="0.2">
      <c r="A3152" s="1" t="s">
        <v>28</v>
      </c>
      <c r="B3152" s="2" t="s">
        <v>317</v>
      </c>
      <c r="D3152" s="5" t="s">
        <v>464</v>
      </c>
      <c r="E3152" s="3" t="s">
        <v>465</v>
      </c>
      <c r="F3152" s="19">
        <v>102500</v>
      </c>
      <c r="G3152" s="57" t="str">
        <f>IF(ISERROR((#REF!-E3152)/E3152),"-",(#REF!-E3152)/E3152)</f>
        <v>-</v>
      </c>
    </row>
    <row r="3153" spans="1:8" x14ac:dyDescent="0.2">
      <c r="A3153" s="1" t="s">
        <v>28</v>
      </c>
      <c r="B3153" s="2" t="s">
        <v>317</v>
      </c>
      <c r="D3153" s="5" t="s">
        <v>464</v>
      </c>
      <c r="E3153" s="3" t="s">
        <v>465</v>
      </c>
      <c r="F3153" s="3">
        <v>132500</v>
      </c>
      <c r="G3153" s="57" t="str">
        <f t="shared" ref="G3153:G3216" si="51">IF(ISERROR((F3153-E3153)/E3153),"-",(F3153-E3153)/E3153)</f>
        <v>-</v>
      </c>
    </row>
    <row r="3154" spans="1:8" ht="38.25" x14ac:dyDescent="0.2">
      <c r="A3154" s="1" t="s">
        <v>39</v>
      </c>
      <c r="B3154" s="2" t="s">
        <v>318</v>
      </c>
      <c r="D3154" s="5" t="s">
        <v>529</v>
      </c>
      <c r="E3154" s="3">
        <v>94370</v>
      </c>
      <c r="F3154" s="3">
        <v>103700</v>
      </c>
      <c r="G3154" s="57">
        <f t="shared" si="51"/>
        <v>9.8866165094839462E-2</v>
      </c>
      <c r="H3154" s="5" t="s">
        <v>2793</v>
      </c>
    </row>
    <row r="3155" spans="1:8" ht="38.25" x14ac:dyDescent="0.2">
      <c r="A3155" s="1" t="s">
        <v>39</v>
      </c>
      <c r="B3155" s="2" t="s">
        <v>318</v>
      </c>
      <c r="D3155" s="5" t="s">
        <v>529</v>
      </c>
      <c r="E3155" s="3">
        <v>92660</v>
      </c>
      <c r="F3155" s="3">
        <v>102050</v>
      </c>
      <c r="G3155" s="57">
        <f t="shared" si="51"/>
        <v>0.10133822577163824</v>
      </c>
      <c r="H3155" s="5" t="s">
        <v>2794</v>
      </c>
    </row>
    <row r="3156" spans="1:8" ht="38.25" x14ac:dyDescent="0.2">
      <c r="A3156" s="1" t="s">
        <v>39</v>
      </c>
      <c r="B3156" s="2" t="s">
        <v>318</v>
      </c>
      <c r="D3156" s="5" t="s">
        <v>923</v>
      </c>
      <c r="E3156" s="3">
        <v>75920</v>
      </c>
      <c r="F3156" s="3">
        <v>118380</v>
      </c>
      <c r="G3156" s="57">
        <f t="shared" si="51"/>
        <v>0.55927291886195996</v>
      </c>
      <c r="H3156" s="5" t="s">
        <v>2795</v>
      </c>
    </row>
    <row r="3157" spans="1:8" x14ac:dyDescent="0.2">
      <c r="A3157" s="1" t="s">
        <v>39</v>
      </c>
      <c r="B3157" s="2" t="s">
        <v>318</v>
      </c>
      <c r="D3157" s="7" t="s">
        <v>450</v>
      </c>
      <c r="E3157" s="6">
        <v>117930</v>
      </c>
      <c r="F3157" s="6" t="s">
        <v>465</v>
      </c>
      <c r="G3157" s="57" t="str">
        <f t="shared" si="51"/>
        <v>-</v>
      </c>
      <c r="H3157" s="5" t="s">
        <v>4414</v>
      </c>
    </row>
    <row r="3158" spans="1:8" ht="25.5" x14ac:dyDescent="0.2">
      <c r="A3158" s="1" t="s">
        <v>4</v>
      </c>
      <c r="B3158" s="2" t="s">
        <v>319</v>
      </c>
      <c r="D3158" s="5" t="s">
        <v>450</v>
      </c>
      <c r="E3158" s="3">
        <v>64400</v>
      </c>
      <c r="F3158" s="3">
        <v>110400</v>
      </c>
      <c r="G3158" s="57">
        <f t="shared" si="51"/>
        <v>0.7142857142857143</v>
      </c>
      <c r="H3158" s="5" t="s">
        <v>4416</v>
      </c>
    </row>
    <row r="3159" spans="1:8" ht="25.5" x14ac:dyDescent="0.2">
      <c r="A3159" s="1" t="s">
        <v>4</v>
      </c>
      <c r="B3159" s="2" t="s">
        <v>319</v>
      </c>
      <c r="D3159" s="5" t="s">
        <v>506</v>
      </c>
      <c r="E3159" s="3">
        <v>118752</v>
      </c>
      <c r="F3159" s="3">
        <v>104878</v>
      </c>
      <c r="G3159" s="57">
        <f t="shared" si="51"/>
        <v>-0.11683171651845864</v>
      </c>
      <c r="H3159" s="5" t="s">
        <v>2791</v>
      </c>
    </row>
    <row r="3160" spans="1:8" ht="25.5" x14ac:dyDescent="0.2">
      <c r="A3160" s="1" t="s">
        <v>4</v>
      </c>
      <c r="B3160" s="2" t="s">
        <v>319</v>
      </c>
      <c r="D3160" s="5" t="s">
        <v>921</v>
      </c>
      <c r="E3160" s="3">
        <v>109029</v>
      </c>
      <c r="F3160" s="3">
        <v>104878</v>
      </c>
      <c r="G3160" s="57">
        <f t="shared" si="51"/>
        <v>-3.8072439442717078E-2</v>
      </c>
      <c r="H3160" s="5" t="s">
        <v>2791</v>
      </c>
    </row>
    <row r="3161" spans="1:8" ht="38.25" x14ac:dyDescent="0.2">
      <c r="A3161" s="1" t="s">
        <v>4</v>
      </c>
      <c r="B3161" s="2" t="s">
        <v>319</v>
      </c>
      <c r="D3161" s="5" t="s">
        <v>507</v>
      </c>
      <c r="E3161" s="3">
        <v>108529</v>
      </c>
      <c r="F3161" s="3">
        <v>262588</v>
      </c>
      <c r="G3161" s="57">
        <f t="shared" si="51"/>
        <v>1.4195192068479392</v>
      </c>
      <c r="H3161" s="5" t="s">
        <v>4415</v>
      </c>
    </row>
    <row r="3162" spans="1:8" ht="102" x14ac:dyDescent="0.2">
      <c r="A3162" s="1" t="s">
        <v>4</v>
      </c>
      <c r="B3162" s="2" t="s">
        <v>319</v>
      </c>
      <c r="D3162" s="5" t="s">
        <v>922</v>
      </c>
      <c r="E3162" s="3">
        <v>108885</v>
      </c>
      <c r="F3162" s="3">
        <v>280432</v>
      </c>
      <c r="G3162" s="57">
        <f t="shared" si="51"/>
        <v>1.5754879000780639</v>
      </c>
      <c r="H3162" s="5" t="s">
        <v>2792</v>
      </c>
    </row>
    <row r="3163" spans="1:8" ht="25.5" x14ac:dyDescent="0.2">
      <c r="A3163" s="1" t="s">
        <v>8</v>
      </c>
      <c r="B3163" s="2" t="s">
        <v>320</v>
      </c>
      <c r="D3163" s="5" t="s">
        <v>450</v>
      </c>
      <c r="E3163" s="3">
        <v>127537</v>
      </c>
      <c r="F3163" s="3">
        <v>131170</v>
      </c>
      <c r="G3163" s="57">
        <f t="shared" si="51"/>
        <v>2.8485851164760032E-2</v>
      </c>
      <c r="H3163" s="5" t="s">
        <v>2790</v>
      </c>
    </row>
    <row r="3164" spans="1:8" ht="25.5" x14ac:dyDescent="0.2">
      <c r="A3164" s="1" t="s">
        <v>4</v>
      </c>
      <c r="B3164" s="2" t="s">
        <v>321</v>
      </c>
      <c r="D3164" s="5" t="s">
        <v>450</v>
      </c>
      <c r="E3164" s="3">
        <v>137543</v>
      </c>
      <c r="F3164" s="3">
        <v>141028</v>
      </c>
      <c r="G3164" s="57">
        <f t="shared" si="51"/>
        <v>2.5337530808547146E-2</v>
      </c>
      <c r="H3164" s="5" t="s">
        <v>2789</v>
      </c>
    </row>
    <row r="3165" spans="1:8" ht="38.25" x14ac:dyDescent="0.2">
      <c r="A3165" s="1" t="s">
        <v>8</v>
      </c>
      <c r="B3165" s="2" t="s">
        <v>322</v>
      </c>
      <c r="D3165" s="5" t="s">
        <v>450</v>
      </c>
      <c r="E3165" s="3">
        <v>129334</v>
      </c>
      <c r="F3165" s="3">
        <v>132024</v>
      </c>
      <c r="G3165" s="57">
        <f t="shared" si="51"/>
        <v>2.0798861861536795E-2</v>
      </c>
      <c r="H3165" s="5" t="s">
        <v>2787</v>
      </c>
    </row>
    <row r="3166" spans="1:8" ht="38.25" x14ac:dyDescent="0.2">
      <c r="A3166" s="1" t="s">
        <v>8</v>
      </c>
      <c r="B3166" s="2" t="s">
        <v>322</v>
      </c>
      <c r="D3166" s="5" t="s">
        <v>919</v>
      </c>
      <c r="E3166" s="3">
        <v>89005</v>
      </c>
      <c r="F3166" s="3">
        <v>101136</v>
      </c>
      <c r="G3166" s="57">
        <f t="shared" si="51"/>
        <v>0.13629571372394808</v>
      </c>
      <c r="H3166" s="5" t="s">
        <v>2788</v>
      </c>
    </row>
    <row r="3167" spans="1:8" ht="51" x14ac:dyDescent="0.2">
      <c r="A3167" s="1" t="s">
        <v>8</v>
      </c>
      <c r="B3167" s="2" t="s">
        <v>322</v>
      </c>
      <c r="D3167" s="5" t="s">
        <v>855</v>
      </c>
      <c r="E3167" s="3">
        <v>89005</v>
      </c>
      <c r="F3167" s="3">
        <v>219598</v>
      </c>
      <c r="G3167" s="57">
        <f t="shared" si="51"/>
        <v>1.4672546486152462</v>
      </c>
      <c r="H3167" s="5" t="s">
        <v>4417</v>
      </c>
    </row>
    <row r="3168" spans="1:8" ht="51" x14ac:dyDescent="0.2">
      <c r="A3168" s="1" t="s">
        <v>8</v>
      </c>
      <c r="B3168" s="2" t="s">
        <v>322</v>
      </c>
      <c r="D3168" s="5" t="s">
        <v>920</v>
      </c>
      <c r="E3168" s="3">
        <v>89005</v>
      </c>
      <c r="F3168" s="3">
        <v>129537</v>
      </c>
      <c r="G3168" s="57">
        <f t="shared" si="51"/>
        <v>0.45539014662097638</v>
      </c>
      <c r="H3168" s="5" t="s">
        <v>4683</v>
      </c>
    </row>
    <row r="3169" spans="1:8" ht="25.5" x14ac:dyDescent="0.2">
      <c r="A3169" s="1" t="s">
        <v>28</v>
      </c>
      <c r="B3169" s="2" t="s">
        <v>323</v>
      </c>
      <c r="D3169" s="5" t="s">
        <v>450</v>
      </c>
      <c r="E3169" s="3">
        <v>130858</v>
      </c>
      <c r="F3169" s="3">
        <v>131066</v>
      </c>
      <c r="G3169" s="57">
        <f t="shared" si="51"/>
        <v>1.5895092390224518E-3</v>
      </c>
      <c r="H3169" s="5" t="s">
        <v>2785</v>
      </c>
    </row>
    <row r="3170" spans="1:8" ht="38.25" x14ac:dyDescent="0.2">
      <c r="A3170" s="1" t="s">
        <v>28</v>
      </c>
      <c r="B3170" s="2" t="s">
        <v>323</v>
      </c>
      <c r="D3170" s="5" t="s">
        <v>468</v>
      </c>
      <c r="E3170" s="3">
        <v>81275</v>
      </c>
      <c r="F3170" s="3">
        <v>121561</v>
      </c>
      <c r="G3170" s="57">
        <f t="shared" si="51"/>
        <v>0.49567517686865581</v>
      </c>
      <c r="H3170" s="5" t="s">
        <v>2786</v>
      </c>
    </row>
    <row r="3171" spans="1:8" ht="25.5" x14ac:dyDescent="0.2">
      <c r="A3171" s="1" t="s">
        <v>6</v>
      </c>
      <c r="B3171" s="2" t="s">
        <v>324</v>
      </c>
      <c r="C3171" s="5" t="s">
        <v>913</v>
      </c>
      <c r="D3171" s="5" t="s">
        <v>450</v>
      </c>
      <c r="E3171" s="3">
        <v>208977</v>
      </c>
      <c r="F3171" s="3">
        <v>210392</v>
      </c>
      <c r="G3171" s="57">
        <f t="shared" si="51"/>
        <v>6.7710800710125991E-3</v>
      </c>
      <c r="H3171" s="5" t="s">
        <v>2779</v>
      </c>
    </row>
    <row r="3172" spans="1:8" ht="25.5" x14ac:dyDescent="0.2">
      <c r="A3172" s="1" t="s">
        <v>6</v>
      </c>
      <c r="B3172" s="2" t="s">
        <v>324</v>
      </c>
      <c r="D3172" s="5" t="s">
        <v>914</v>
      </c>
      <c r="E3172" s="3" t="s">
        <v>465</v>
      </c>
      <c r="F3172" s="3">
        <v>104124</v>
      </c>
      <c r="G3172" s="57" t="str">
        <f t="shared" si="51"/>
        <v>-</v>
      </c>
      <c r="H3172" s="5" t="s">
        <v>2780</v>
      </c>
    </row>
    <row r="3173" spans="1:8" ht="38.25" x14ac:dyDescent="0.2">
      <c r="A3173" s="1" t="s">
        <v>6</v>
      </c>
      <c r="B3173" s="2" t="s">
        <v>324</v>
      </c>
      <c r="D3173" s="5" t="s">
        <v>915</v>
      </c>
      <c r="E3173" s="3">
        <v>133297</v>
      </c>
      <c r="F3173" s="3">
        <v>134371</v>
      </c>
      <c r="G3173" s="57">
        <f t="shared" si="51"/>
        <v>8.0571955857971292E-3</v>
      </c>
      <c r="H3173" s="5" t="s">
        <v>2781</v>
      </c>
    </row>
    <row r="3174" spans="1:8" ht="25.5" x14ac:dyDescent="0.2">
      <c r="A3174" s="1" t="s">
        <v>6</v>
      </c>
      <c r="B3174" s="2" t="s">
        <v>324</v>
      </c>
      <c r="D3174" s="5" t="s">
        <v>916</v>
      </c>
      <c r="E3174" s="3">
        <v>133439</v>
      </c>
      <c r="F3174" s="3">
        <v>134681</v>
      </c>
      <c r="G3174" s="57">
        <f t="shared" si="51"/>
        <v>9.3076237082112424E-3</v>
      </c>
      <c r="H3174" s="5" t="s">
        <v>2782</v>
      </c>
    </row>
    <row r="3175" spans="1:8" ht="25.5" x14ac:dyDescent="0.2">
      <c r="A3175" s="1" t="s">
        <v>6</v>
      </c>
      <c r="B3175" s="2" t="s">
        <v>324</v>
      </c>
      <c r="D3175" s="5" t="s">
        <v>451</v>
      </c>
      <c r="E3175" s="3">
        <v>125009</v>
      </c>
      <c r="F3175" s="3">
        <v>134502</v>
      </c>
      <c r="G3175" s="57">
        <f t="shared" si="51"/>
        <v>7.5938532425665353E-2</v>
      </c>
      <c r="H3175" s="5" t="s">
        <v>2783</v>
      </c>
    </row>
    <row r="3176" spans="1:8" ht="25.5" x14ac:dyDescent="0.2">
      <c r="A3176" s="1" t="s">
        <v>6</v>
      </c>
      <c r="B3176" s="2" t="s">
        <v>324</v>
      </c>
      <c r="D3176" s="5" t="s">
        <v>917</v>
      </c>
      <c r="E3176" s="3">
        <v>130907</v>
      </c>
      <c r="F3176" s="3">
        <v>134502</v>
      </c>
      <c r="G3176" s="57">
        <f t="shared" si="51"/>
        <v>2.7462244188622458E-2</v>
      </c>
      <c r="H3176" s="5" t="s">
        <v>2783</v>
      </c>
    </row>
    <row r="3177" spans="1:8" ht="25.5" x14ac:dyDescent="0.2">
      <c r="A3177" s="1" t="s">
        <v>6</v>
      </c>
      <c r="B3177" s="2" t="s">
        <v>324</v>
      </c>
      <c r="D3177" s="5" t="s">
        <v>517</v>
      </c>
      <c r="E3177" s="3">
        <v>87124</v>
      </c>
      <c r="F3177" s="3">
        <v>113536</v>
      </c>
      <c r="G3177" s="57">
        <f t="shared" si="51"/>
        <v>0.30315412515495155</v>
      </c>
      <c r="H3177" s="5" t="s">
        <v>2784</v>
      </c>
    </row>
    <row r="3178" spans="1:8" ht="38.25" x14ac:dyDescent="0.2">
      <c r="A3178" s="1" t="s">
        <v>6</v>
      </c>
      <c r="B3178" s="2" t="s">
        <v>324</v>
      </c>
      <c r="D3178" s="5" t="s">
        <v>918</v>
      </c>
      <c r="E3178" s="3">
        <v>107198</v>
      </c>
      <c r="F3178" s="3">
        <v>173594</v>
      </c>
      <c r="G3178" s="57">
        <f t="shared" si="51"/>
        <v>0.61937722718707433</v>
      </c>
      <c r="H3178" s="5" t="s">
        <v>4418</v>
      </c>
    </row>
    <row r="3179" spans="1:8" x14ac:dyDescent="0.2">
      <c r="A3179" s="1" t="s">
        <v>6</v>
      </c>
      <c r="B3179" s="2" t="s">
        <v>324</v>
      </c>
      <c r="D3179" s="5" t="s">
        <v>464</v>
      </c>
      <c r="E3179" s="3">
        <v>102500</v>
      </c>
      <c r="F3179" s="3" t="s">
        <v>465</v>
      </c>
      <c r="G3179" s="57" t="str">
        <f t="shared" si="51"/>
        <v>-</v>
      </c>
    </row>
    <row r="3180" spans="1:8" x14ac:dyDescent="0.2">
      <c r="A3180" s="1" t="s">
        <v>6</v>
      </c>
      <c r="B3180" s="2" t="s">
        <v>324</v>
      </c>
      <c r="D3180" s="5" t="s">
        <v>464</v>
      </c>
      <c r="E3180" s="3">
        <v>102500</v>
      </c>
      <c r="F3180" s="3" t="s">
        <v>465</v>
      </c>
      <c r="G3180" s="57" t="str">
        <f t="shared" si="51"/>
        <v>-</v>
      </c>
    </row>
    <row r="3181" spans="1:8" x14ac:dyDescent="0.2">
      <c r="A3181" s="1" t="s">
        <v>6</v>
      </c>
      <c r="B3181" s="2" t="s">
        <v>324</v>
      </c>
      <c r="D3181" s="5" t="s">
        <v>464</v>
      </c>
      <c r="E3181" s="3" t="s">
        <v>465</v>
      </c>
      <c r="F3181" s="3">
        <v>102500</v>
      </c>
      <c r="G3181" s="57" t="str">
        <f t="shared" si="51"/>
        <v>-</v>
      </c>
    </row>
    <row r="3182" spans="1:8" x14ac:dyDescent="0.2">
      <c r="A3182" s="1" t="s">
        <v>6</v>
      </c>
      <c r="B3182" s="2" t="s">
        <v>324</v>
      </c>
      <c r="D3182" s="5" t="s">
        <v>464</v>
      </c>
      <c r="E3182" s="3" t="s">
        <v>465</v>
      </c>
      <c r="F3182" s="3">
        <v>102500</v>
      </c>
      <c r="G3182" s="57" t="str">
        <f t="shared" si="51"/>
        <v>-</v>
      </c>
    </row>
    <row r="3183" spans="1:8" x14ac:dyDescent="0.2">
      <c r="A3183" s="1" t="s">
        <v>6</v>
      </c>
      <c r="B3183" s="2" t="s">
        <v>324</v>
      </c>
      <c r="D3183" s="5" t="s">
        <v>464</v>
      </c>
      <c r="E3183" s="3" t="s">
        <v>465</v>
      </c>
      <c r="F3183" s="3">
        <v>107500</v>
      </c>
      <c r="G3183" s="57" t="str">
        <f t="shared" si="51"/>
        <v>-</v>
      </c>
    </row>
    <row r="3184" spans="1:8" ht="25.5" x14ac:dyDescent="0.2">
      <c r="A3184" s="1" t="s">
        <v>39</v>
      </c>
      <c r="B3184" s="2" t="s">
        <v>325</v>
      </c>
      <c r="C3184" s="5" t="s">
        <v>910</v>
      </c>
      <c r="D3184" s="5" t="s">
        <v>450</v>
      </c>
      <c r="E3184" s="6">
        <v>176978</v>
      </c>
      <c r="F3184" s="3">
        <v>112595</v>
      </c>
      <c r="G3184" s="57">
        <f t="shared" si="51"/>
        <v>-0.36379097966978946</v>
      </c>
      <c r="H3184" s="5" t="s">
        <v>4419</v>
      </c>
    </row>
    <row r="3185" spans="1:8" x14ac:dyDescent="0.2">
      <c r="A3185" s="1" t="s">
        <v>39</v>
      </c>
      <c r="B3185" s="2" t="s">
        <v>325</v>
      </c>
      <c r="D3185" s="5" t="s">
        <v>911</v>
      </c>
      <c r="E3185" s="6">
        <v>127782</v>
      </c>
      <c r="F3185" s="3">
        <v>102084</v>
      </c>
      <c r="G3185" s="57">
        <f t="shared" si="51"/>
        <v>-0.20110813729633281</v>
      </c>
      <c r="H3185" s="5" t="s">
        <v>2776</v>
      </c>
    </row>
    <row r="3186" spans="1:8" ht="25.5" x14ac:dyDescent="0.2">
      <c r="A3186" s="1" t="s">
        <v>39</v>
      </c>
      <c r="B3186" s="2" t="s">
        <v>325</v>
      </c>
      <c r="D3186" s="5" t="s">
        <v>912</v>
      </c>
      <c r="E3186" s="6">
        <v>130690</v>
      </c>
      <c r="F3186" s="3">
        <v>107045</v>
      </c>
      <c r="G3186" s="57">
        <f t="shared" si="51"/>
        <v>-0.18092432473792947</v>
      </c>
      <c r="H3186" s="5" t="s">
        <v>2777</v>
      </c>
    </row>
    <row r="3187" spans="1:8" ht="25.5" x14ac:dyDescent="0.2">
      <c r="A3187" s="1" t="s">
        <v>39</v>
      </c>
      <c r="B3187" s="2" t="s">
        <v>325</v>
      </c>
      <c r="D3187" s="5" t="s">
        <v>1905</v>
      </c>
      <c r="E3187" s="6">
        <v>111594</v>
      </c>
      <c r="F3187" s="3">
        <v>54816</v>
      </c>
      <c r="G3187" s="57">
        <f t="shared" si="51"/>
        <v>-0.50879079520404324</v>
      </c>
      <c r="H3187" s="5" t="s">
        <v>2778</v>
      </c>
    </row>
    <row r="3188" spans="1:8" x14ac:dyDescent="0.2">
      <c r="A3188" s="1" t="s">
        <v>39</v>
      </c>
      <c r="B3188" s="2" t="s">
        <v>325</v>
      </c>
      <c r="D3188" s="5" t="s">
        <v>464</v>
      </c>
      <c r="E3188" s="3">
        <v>102500</v>
      </c>
      <c r="G3188" s="57">
        <f t="shared" si="51"/>
        <v>-1</v>
      </c>
    </row>
    <row r="3189" spans="1:8" x14ac:dyDescent="0.2">
      <c r="A3189" s="1" t="s">
        <v>39</v>
      </c>
      <c r="B3189" s="2" t="s">
        <v>325</v>
      </c>
      <c r="D3189" s="5" t="s">
        <v>464</v>
      </c>
      <c r="E3189" s="3">
        <v>102500</v>
      </c>
      <c r="G3189" s="57">
        <f t="shared" si="51"/>
        <v>-1</v>
      </c>
    </row>
    <row r="3190" spans="1:8" x14ac:dyDescent="0.2">
      <c r="A3190" s="1" t="s">
        <v>39</v>
      </c>
      <c r="B3190" s="2" t="s">
        <v>325</v>
      </c>
      <c r="D3190" s="5" t="s">
        <v>464</v>
      </c>
      <c r="F3190" s="3">
        <v>102500</v>
      </c>
      <c r="G3190" s="57" t="str">
        <f t="shared" si="51"/>
        <v>-</v>
      </c>
      <c r="H3190" s="5" t="s">
        <v>1241</v>
      </c>
    </row>
    <row r="3191" spans="1:8" x14ac:dyDescent="0.2">
      <c r="A3191" s="1" t="s">
        <v>39</v>
      </c>
      <c r="B3191" s="2" t="s">
        <v>325</v>
      </c>
      <c r="D3191" s="5" t="s">
        <v>464</v>
      </c>
      <c r="F3191" s="3">
        <v>102500</v>
      </c>
      <c r="G3191" s="57" t="str">
        <f t="shared" si="51"/>
        <v>-</v>
      </c>
      <c r="H3191" s="5" t="s">
        <v>1241</v>
      </c>
    </row>
    <row r="3192" spans="1:8" x14ac:dyDescent="0.2">
      <c r="A3192" s="1" t="s">
        <v>39</v>
      </c>
      <c r="B3192" s="2" t="s">
        <v>325</v>
      </c>
      <c r="D3192" s="5" t="s">
        <v>464</v>
      </c>
      <c r="E3192" s="3">
        <v>107500</v>
      </c>
      <c r="G3192" s="57">
        <f t="shared" si="51"/>
        <v>-1</v>
      </c>
    </row>
    <row r="3193" spans="1:8" x14ac:dyDescent="0.2">
      <c r="A3193" s="1" t="s">
        <v>39</v>
      </c>
      <c r="B3193" s="2" t="s">
        <v>325</v>
      </c>
      <c r="D3193" s="5" t="s">
        <v>464</v>
      </c>
      <c r="F3193" s="3">
        <v>107500</v>
      </c>
      <c r="G3193" s="57" t="str">
        <f t="shared" si="51"/>
        <v>-</v>
      </c>
      <c r="H3193" s="5" t="s">
        <v>1241</v>
      </c>
    </row>
    <row r="3194" spans="1:8" x14ac:dyDescent="0.2">
      <c r="A3194" s="1" t="s">
        <v>39</v>
      </c>
      <c r="B3194" s="2" t="s">
        <v>325</v>
      </c>
      <c r="D3194" s="5" t="s">
        <v>464</v>
      </c>
      <c r="F3194" s="3">
        <v>112500</v>
      </c>
      <c r="G3194" s="57" t="str">
        <f t="shared" si="51"/>
        <v>-</v>
      </c>
      <c r="H3194" s="5" t="s">
        <v>1241</v>
      </c>
    </row>
    <row r="3195" spans="1:8" x14ac:dyDescent="0.2">
      <c r="A3195" s="1" t="s">
        <v>39</v>
      </c>
      <c r="B3195" s="2" t="s">
        <v>325</v>
      </c>
      <c r="D3195" s="5" t="s">
        <v>464</v>
      </c>
      <c r="E3195" s="3">
        <v>117500</v>
      </c>
      <c r="G3195" s="57">
        <f t="shared" si="51"/>
        <v>-1</v>
      </c>
    </row>
    <row r="3196" spans="1:8" x14ac:dyDescent="0.2">
      <c r="A3196" s="1" t="s">
        <v>39</v>
      </c>
      <c r="B3196" s="2" t="s">
        <v>325</v>
      </c>
      <c r="D3196" s="5" t="s">
        <v>464</v>
      </c>
      <c r="E3196" s="3">
        <v>117500</v>
      </c>
      <c r="G3196" s="57">
        <f t="shared" si="51"/>
        <v>-1</v>
      </c>
    </row>
    <row r="3197" spans="1:8" x14ac:dyDescent="0.2">
      <c r="A3197" s="1" t="s">
        <v>39</v>
      </c>
      <c r="B3197" s="2" t="s">
        <v>325</v>
      </c>
      <c r="D3197" s="5" t="s">
        <v>464</v>
      </c>
      <c r="F3197" s="3">
        <v>127500</v>
      </c>
      <c r="G3197" s="57" t="str">
        <f t="shared" si="51"/>
        <v>-</v>
      </c>
      <c r="H3197" s="5" t="s">
        <v>1241</v>
      </c>
    </row>
    <row r="3198" spans="1:8" x14ac:dyDescent="0.2">
      <c r="A3198" s="1" t="s">
        <v>39</v>
      </c>
      <c r="B3198" s="2" t="s">
        <v>325</v>
      </c>
      <c r="D3198" s="5" t="s">
        <v>464</v>
      </c>
      <c r="F3198" s="3">
        <v>127500</v>
      </c>
      <c r="G3198" s="57" t="str">
        <f t="shared" si="51"/>
        <v>-</v>
      </c>
      <c r="H3198" s="5" t="s">
        <v>1241</v>
      </c>
    </row>
    <row r="3199" spans="1:8" x14ac:dyDescent="0.2">
      <c r="A3199" s="1" t="s">
        <v>39</v>
      </c>
      <c r="B3199" s="2" t="s">
        <v>325</v>
      </c>
      <c r="D3199" s="5" t="s">
        <v>464</v>
      </c>
      <c r="F3199" s="3">
        <v>147500</v>
      </c>
      <c r="G3199" s="57" t="str">
        <f t="shared" si="51"/>
        <v>-</v>
      </c>
      <c r="H3199" s="5" t="s">
        <v>1241</v>
      </c>
    </row>
    <row r="3200" spans="1:8" x14ac:dyDescent="0.2">
      <c r="A3200" s="1" t="s">
        <v>39</v>
      </c>
      <c r="B3200" s="2" t="s">
        <v>325</v>
      </c>
      <c r="D3200" s="5" t="s">
        <v>464</v>
      </c>
      <c r="F3200" s="3">
        <v>152500</v>
      </c>
      <c r="G3200" s="57" t="str">
        <f t="shared" si="51"/>
        <v>-</v>
      </c>
      <c r="H3200" s="5" t="s">
        <v>1241</v>
      </c>
    </row>
    <row r="3201" spans="1:8" x14ac:dyDescent="0.2">
      <c r="A3201" s="1" t="s">
        <v>39</v>
      </c>
      <c r="B3201" s="2" t="s">
        <v>325</v>
      </c>
      <c r="D3201" s="5" t="s">
        <v>464</v>
      </c>
      <c r="F3201" s="3">
        <v>157500</v>
      </c>
      <c r="G3201" s="57" t="str">
        <f t="shared" si="51"/>
        <v>-</v>
      </c>
      <c r="H3201" s="5" t="s">
        <v>1241</v>
      </c>
    </row>
    <row r="3202" spans="1:8" x14ac:dyDescent="0.2">
      <c r="A3202" s="1" t="s">
        <v>39</v>
      </c>
      <c r="B3202" s="2" t="s">
        <v>325</v>
      </c>
      <c r="D3202" s="5" t="s">
        <v>464</v>
      </c>
      <c r="F3202" s="3">
        <v>157500</v>
      </c>
      <c r="G3202" s="57" t="str">
        <f t="shared" si="51"/>
        <v>-</v>
      </c>
      <c r="H3202" s="5" t="s">
        <v>1241</v>
      </c>
    </row>
    <row r="3203" spans="1:8" x14ac:dyDescent="0.2">
      <c r="A3203" s="1" t="s">
        <v>39</v>
      </c>
      <c r="B3203" s="2" t="s">
        <v>325</v>
      </c>
      <c r="D3203" s="5" t="s">
        <v>464</v>
      </c>
      <c r="F3203" s="3">
        <v>162500</v>
      </c>
      <c r="G3203" s="57" t="str">
        <f t="shared" si="51"/>
        <v>-</v>
      </c>
      <c r="H3203" s="5" t="s">
        <v>1241</v>
      </c>
    </row>
    <row r="3204" spans="1:8" ht="25.5" x14ac:dyDescent="0.2">
      <c r="A3204" s="1" t="s">
        <v>28</v>
      </c>
      <c r="B3204" s="2" t="s">
        <v>326</v>
      </c>
      <c r="D3204" s="5" t="s">
        <v>450</v>
      </c>
      <c r="E3204" s="3">
        <v>140364</v>
      </c>
      <c r="F3204" s="3">
        <v>133794</v>
      </c>
      <c r="G3204" s="57">
        <f t="shared" si="51"/>
        <v>-4.6806873557322388E-2</v>
      </c>
      <c r="H3204" s="5" t="s">
        <v>2773</v>
      </c>
    </row>
    <row r="3205" spans="1:8" ht="25.5" x14ac:dyDescent="0.2">
      <c r="A3205" s="1" t="s">
        <v>28</v>
      </c>
      <c r="B3205" s="2" t="s">
        <v>326</v>
      </c>
      <c r="D3205" s="5" t="s">
        <v>472</v>
      </c>
      <c r="E3205" s="3">
        <v>113985</v>
      </c>
      <c r="F3205" s="3">
        <v>114102</v>
      </c>
      <c r="G3205" s="57">
        <f t="shared" si="51"/>
        <v>1.0264508487958942E-3</v>
      </c>
      <c r="H3205" s="5" t="s">
        <v>2774</v>
      </c>
    </row>
    <row r="3206" spans="1:8" ht="25.5" x14ac:dyDescent="0.2">
      <c r="A3206" s="1" t="s">
        <v>28</v>
      </c>
      <c r="B3206" s="2" t="s">
        <v>326</v>
      </c>
      <c r="D3206" s="5" t="s">
        <v>473</v>
      </c>
      <c r="E3206" s="3">
        <v>106313</v>
      </c>
      <c r="F3206" s="3">
        <v>108959</v>
      </c>
      <c r="G3206" s="57">
        <f t="shared" si="51"/>
        <v>2.4888771834112478E-2</v>
      </c>
      <c r="H3206" s="5" t="s">
        <v>2775</v>
      </c>
    </row>
    <row r="3207" spans="1:8" ht="25.5" x14ac:dyDescent="0.2">
      <c r="A3207" s="1" t="s">
        <v>1</v>
      </c>
      <c r="B3207" s="2" t="s">
        <v>327</v>
      </c>
      <c r="C3207" s="5" t="s">
        <v>901</v>
      </c>
      <c r="D3207" s="5" t="s">
        <v>450</v>
      </c>
      <c r="E3207" s="3">
        <f>119656+21438</f>
        <v>141094</v>
      </c>
      <c r="F3207" s="3">
        <f>119634+3502+21460</f>
        <v>144596</v>
      </c>
      <c r="G3207" s="57">
        <f t="shared" si="51"/>
        <v>2.4820332544261272E-2</v>
      </c>
      <c r="H3207" s="5" t="s">
        <v>2768</v>
      </c>
    </row>
    <row r="3208" spans="1:8" ht="25.5" x14ac:dyDescent="0.2">
      <c r="A3208" s="1" t="s">
        <v>1</v>
      </c>
      <c r="B3208" s="2" t="s">
        <v>327</v>
      </c>
      <c r="C3208" s="5" t="s">
        <v>902</v>
      </c>
      <c r="D3208" s="5" t="s">
        <v>463</v>
      </c>
      <c r="E3208" s="3">
        <f>95333+17365</f>
        <v>112698</v>
      </c>
      <c r="F3208" s="3">
        <f>101039+296+18187</f>
        <v>119522</v>
      </c>
      <c r="G3208" s="57">
        <f t="shared" si="51"/>
        <v>6.0551207652309716E-2</v>
      </c>
      <c r="H3208" s="5" t="s">
        <v>4454</v>
      </c>
    </row>
    <row r="3209" spans="1:8" ht="25.5" x14ac:dyDescent="0.2">
      <c r="A3209" s="1" t="s">
        <v>1</v>
      </c>
      <c r="B3209" s="2" t="s">
        <v>327</v>
      </c>
      <c r="C3209" s="5" t="s">
        <v>903</v>
      </c>
      <c r="D3209" s="5" t="s">
        <v>904</v>
      </c>
      <c r="E3209" s="3">
        <f>99078+17756</f>
        <v>116834</v>
      </c>
      <c r="F3209" s="3">
        <f>101394+18200</f>
        <v>119594</v>
      </c>
      <c r="G3209" s="57">
        <f t="shared" si="51"/>
        <v>2.3623260352294707E-2</v>
      </c>
      <c r="H3209" s="5" t="s">
        <v>2769</v>
      </c>
    </row>
    <row r="3210" spans="1:8" ht="25.5" x14ac:dyDescent="0.2">
      <c r="A3210" s="1" t="s">
        <v>1</v>
      </c>
      <c r="B3210" s="2" t="s">
        <v>327</v>
      </c>
      <c r="C3210" s="5" t="s">
        <v>905</v>
      </c>
      <c r="D3210" s="5" t="s">
        <v>906</v>
      </c>
      <c r="E3210" s="3">
        <f>89136+15950</f>
        <v>105086</v>
      </c>
      <c r="F3210" s="3">
        <f>91106+16348</f>
        <v>107454</v>
      </c>
      <c r="G3210" s="57">
        <f t="shared" si="51"/>
        <v>2.2533924595093541E-2</v>
      </c>
      <c r="H3210" s="5" t="s">
        <v>2770</v>
      </c>
    </row>
    <row r="3211" spans="1:8" ht="25.5" x14ac:dyDescent="0.2">
      <c r="A3211" s="1" t="s">
        <v>1</v>
      </c>
      <c r="B3211" s="2" t="s">
        <v>327</v>
      </c>
      <c r="C3211" s="5" t="s">
        <v>907</v>
      </c>
      <c r="D3211" s="5" t="s">
        <v>908</v>
      </c>
      <c r="E3211" s="3">
        <f>99110+17756</f>
        <v>116866</v>
      </c>
      <c r="F3211" s="3">
        <f>101394+18200</f>
        <v>119594</v>
      </c>
      <c r="G3211" s="57">
        <f t="shared" si="51"/>
        <v>2.3342974004415314E-2</v>
      </c>
      <c r="H3211" s="5" t="s">
        <v>2769</v>
      </c>
    </row>
    <row r="3212" spans="1:8" ht="51" x14ac:dyDescent="0.2">
      <c r="A3212" s="1" t="s">
        <v>1</v>
      </c>
      <c r="B3212" s="2" t="s">
        <v>327</v>
      </c>
      <c r="C3212" s="5" t="s">
        <v>909</v>
      </c>
      <c r="D3212" s="5" t="s">
        <v>4441</v>
      </c>
      <c r="E3212" s="3">
        <f>79944+14365</f>
        <v>94309</v>
      </c>
      <c r="F3212" s="3">
        <f>59089+80388+10636</f>
        <v>150113</v>
      </c>
      <c r="G3212" s="57">
        <f t="shared" si="51"/>
        <v>0.59171447051712989</v>
      </c>
      <c r="H3212" s="5" t="s">
        <v>4442</v>
      </c>
    </row>
    <row r="3213" spans="1:8" ht="25.5" x14ac:dyDescent="0.2">
      <c r="A3213" s="1" t="s">
        <v>1</v>
      </c>
      <c r="B3213" s="2" t="s">
        <v>327</v>
      </c>
      <c r="D3213" s="5" t="s">
        <v>464</v>
      </c>
      <c r="E3213" s="3" t="s">
        <v>465</v>
      </c>
      <c r="F3213" s="3">
        <v>107500</v>
      </c>
      <c r="G3213" s="57" t="str">
        <f t="shared" si="51"/>
        <v>-</v>
      </c>
      <c r="H3213" s="5" t="s">
        <v>2771</v>
      </c>
    </row>
    <row r="3214" spans="1:8" ht="25.5" x14ac:dyDescent="0.2">
      <c r="A3214" s="1" t="s">
        <v>1</v>
      </c>
      <c r="B3214" s="2" t="s">
        <v>327</v>
      </c>
      <c r="D3214" s="5" t="s">
        <v>464</v>
      </c>
      <c r="E3214" s="3" t="s">
        <v>465</v>
      </c>
      <c r="F3214" s="3">
        <v>107500</v>
      </c>
      <c r="G3214" s="57" t="str">
        <f t="shared" si="51"/>
        <v>-</v>
      </c>
      <c r="H3214" s="5" t="s">
        <v>2771</v>
      </c>
    </row>
    <row r="3215" spans="1:8" x14ac:dyDescent="0.2">
      <c r="A3215" s="1" t="s">
        <v>1</v>
      </c>
      <c r="B3215" s="2" t="s">
        <v>327</v>
      </c>
      <c r="D3215" s="5" t="s">
        <v>464</v>
      </c>
      <c r="E3215" s="3">
        <v>107500</v>
      </c>
      <c r="F3215" s="3" t="s">
        <v>465</v>
      </c>
      <c r="G3215" s="57" t="str">
        <f t="shared" si="51"/>
        <v>-</v>
      </c>
      <c r="H3215" s="5" t="s">
        <v>2772</v>
      </c>
    </row>
    <row r="3216" spans="1:8" ht="25.5" x14ac:dyDescent="0.2">
      <c r="A3216" s="1" t="s">
        <v>34</v>
      </c>
      <c r="B3216" s="2" t="s">
        <v>328</v>
      </c>
      <c r="D3216" s="5" t="s">
        <v>450</v>
      </c>
      <c r="E3216" s="3">
        <v>119376</v>
      </c>
      <c r="F3216" s="3">
        <v>119331</v>
      </c>
      <c r="G3216" s="57">
        <f t="shared" si="51"/>
        <v>-3.7696019300361881E-4</v>
      </c>
      <c r="H3216" s="5" t="s">
        <v>2767</v>
      </c>
    </row>
    <row r="3217" spans="1:8" ht="25.5" x14ac:dyDescent="0.2">
      <c r="A3217" s="1" t="s">
        <v>6</v>
      </c>
      <c r="B3217" s="2" t="s">
        <v>329</v>
      </c>
      <c r="C3217" s="5" t="s">
        <v>891</v>
      </c>
      <c r="D3217" s="5" t="s">
        <v>450</v>
      </c>
      <c r="E3217" s="3">
        <v>176465</v>
      </c>
      <c r="F3217" s="3">
        <v>174142</v>
      </c>
      <c r="G3217" s="57">
        <f t="shared" ref="G3217:G3280" si="52">IF(ISERROR((F3217-E3217)/E3217),"-",(F3217-E3217)/E3217)</f>
        <v>-1.3164083529311761E-2</v>
      </c>
      <c r="H3217" s="5" t="s">
        <v>2760</v>
      </c>
    </row>
    <row r="3218" spans="1:8" ht="38.25" x14ac:dyDescent="0.2">
      <c r="A3218" s="1" t="s">
        <v>6</v>
      </c>
      <c r="B3218" s="2" t="s">
        <v>329</v>
      </c>
      <c r="D3218" s="7" t="s">
        <v>892</v>
      </c>
      <c r="E3218" s="6">
        <v>134531</v>
      </c>
      <c r="F3218" s="6">
        <v>188905</v>
      </c>
      <c r="G3218" s="57">
        <f t="shared" si="52"/>
        <v>0.40417450253101517</v>
      </c>
      <c r="H3218" s="5" t="s">
        <v>4420</v>
      </c>
    </row>
    <row r="3219" spans="1:8" ht="38.25" x14ac:dyDescent="0.2">
      <c r="A3219" s="1" t="s">
        <v>6</v>
      </c>
      <c r="B3219" s="2" t="s">
        <v>329</v>
      </c>
      <c r="D3219" s="7" t="s">
        <v>893</v>
      </c>
      <c r="E3219" s="6" t="s">
        <v>465</v>
      </c>
      <c r="F3219" s="6">
        <v>140910</v>
      </c>
      <c r="G3219" s="57" t="str">
        <f t="shared" si="52"/>
        <v>-</v>
      </c>
      <c r="H3219" s="5" t="s">
        <v>4421</v>
      </c>
    </row>
    <row r="3220" spans="1:8" ht="51" x14ac:dyDescent="0.2">
      <c r="A3220" s="1" t="s">
        <v>6</v>
      </c>
      <c r="B3220" s="2" t="s">
        <v>329</v>
      </c>
      <c r="D3220" s="7" t="s">
        <v>893</v>
      </c>
      <c r="E3220" s="6">
        <v>167589</v>
      </c>
      <c r="F3220" s="6" t="s">
        <v>465</v>
      </c>
      <c r="G3220" s="57" t="str">
        <f t="shared" si="52"/>
        <v>-</v>
      </c>
      <c r="H3220" s="5" t="s">
        <v>4445</v>
      </c>
    </row>
    <row r="3221" spans="1:8" ht="25.5" x14ac:dyDescent="0.2">
      <c r="A3221" s="1" t="s">
        <v>6</v>
      </c>
      <c r="B3221" s="2" t="s">
        <v>329</v>
      </c>
      <c r="D3221" s="5" t="s">
        <v>894</v>
      </c>
      <c r="E3221" s="3">
        <v>125844</v>
      </c>
      <c r="F3221" s="3">
        <v>125794</v>
      </c>
      <c r="G3221" s="57">
        <f t="shared" si="52"/>
        <v>-3.9731731349925304E-4</v>
      </c>
      <c r="H3221" s="5" t="s">
        <v>2761</v>
      </c>
    </row>
    <row r="3222" spans="1:8" ht="25.5" x14ac:dyDescent="0.2">
      <c r="A3222" s="1" t="s">
        <v>6</v>
      </c>
      <c r="B3222" s="2" t="s">
        <v>329</v>
      </c>
      <c r="D3222" s="7" t="s">
        <v>452</v>
      </c>
      <c r="E3222" s="3">
        <v>30481</v>
      </c>
      <c r="F3222" s="3">
        <v>104912</v>
      </c>
      <c r="G3222" s="57">
        <f t="shared" si="52"/>
        <v>2.4418818280240151</v>
      </c>
      <c r="H3222" s="5" t="s">
        <v>2762</v>
      </c>
    </row>
    <row r="3223" spans="1:8" ht="114.75" x14ac:dyDescent="0.2">
      <c r="A3223" s="1" t="s">
        <v>6</v>
      </c>
      <c r="B3223" s="2" t="s">
        <v>329</v>
      </c>
      <c r="D3223" s="7" t="s">
        <v>895</v>
      </c>
      <c r="E3223" s="6" t="s">
        <v>465</v>
      </c>
      <c r="F3223" s="6">
        <v>146784</v>
      </c>
      <c r="G3223" s="57" t="str">
        <f t="shared" si="52"/>
        <v>-</v>
      </c>
      <c r="H3223" s="5" t="s">
        <v>4443</v>
      </c>
    </row>
    <row r="3224" spans="1:8" x14ac:dyDescent="0.2">
      <c r="A3224" s="1" t="s">
        <v>6</v>
      </c>
      <c r="B3224" s="2" t="s">
        <v>329</v>
      </c>
      <c r="D3224" s="7" t="s">
        <v>895</v>
      </c>
      <c r="E3224" s="6">
        <v>125839</v>
      </c>
      <c r="F3224" s="6" t="s">
        <v>465</v>
      </c>
      <c r="G3224" s="57" t="str">
        <f t="shared" si="52"/>
        <v>-</v>
      </c>
      <c r="H3224" s="5" t="s">
        <v>4422</v>
      </c>
    </row>
    <row r="3225" spans="1:8" x14ac:dyDescent="0.2">
      <c r="A3225" s="1" t="s">
        <v>6</v>
      </c>
      <c r="B3225" s="2" t="s">
        <v>329</v>
      </c>
      <c r="D3225" s="7" t="s">
        <v>896</v>
      </c>
      <c r="E3225" s="6">
        <v>345688</v>
      </c>
      <c r="F3225" s="6" t="s">
        <v>465</v>
      </c>
      <c r="G3225" s="57" t="str">
        <f t="shared" si="52"/>
        <v>-</v>
      </c>
      <c r="H3225" s="5" t="s">
        <v>4423</v>
      </c>
    </row>
    <row r="3226" spans="1:8" ht="127.5" x14ac:dyDescent="0.2">
      <c r="A3226" s="1" t="s">
        <v>6</v>
      </c>
      <c r="B3226" s="2" t="s">
        <v>329</v>
      </c>
      <c r="D3226" s="7" t="s">
        <v>896</v>
      </c>
      <c r="E3226" s="6" t="s">
        <v>465</v>
      </c>
      <c r="F3226" s="6">
        <v>146737</v>
      </c>
      <c r="G3226" s="57" t="str">
        <f t="shared" si="52"/>
        <v>-</v>
      </c>
      <c r="H3226" s="5" t="s">
        <v>4444</v>
      </c>
    </row>
    <row r="3227" spans="1:8" ht="25.5" x14ac:dyDescent="0.2">
      <c r="A3227" s="1" t="s">
        <v>6</v>
      </c>
      <c r="B3227" s="2" t="s">
        <v>329</v>
      </c>
      <c r="D3227" s="5" t="s">
        <v>897</v>
      </c>
      <c r="E3227" s="3" t="s">
        <v>465</v>
      </c>
      <c r="F3227" s="3">
        <v>115687</v>
      </c>
      <c r="G3227" s="57" t="str">
        <f t="shared" si="52"/>
        <v>-</v>
      </c>
      <c r="H3227" s="5" t="s">
        <v>2763</v>
      </c>
    </row>
    <row r="3228" spans="1:8" ht="25.5" x14ac:dyDescent="0.2">
      <c r="A3228" s="1" t="s">
        <v>6</v>
      </c>
      <c r="B3228" s="2" t="s">
        <v>329</v>
      </c>
      <c r="D3228" s="5" t="s">
        <v>898</v>
      </c>
      <c r="E3228" s="3">
        <v>100918</v>
      </c>
      <c r="F3228" s="3">
        <v>100837</v>
      </c>
      <c r="G3228" s="57">
        <f t="shared" si="52"/>
        <v>-8.0263183971144886E-4</v>
      </c>
      <c r="H3228" s="5" t="s">
        <v>2764</v>
      </c>
    </row>
    <row r="3229" spans="1:8" ht="25.5" x14ac:dyDescent="0.2">
      <c r="A3229" s="1" t="s">
        <v>6</v>
      </c>
      <c r="B3229" s="2" t="s">
        <v>329</v>
      </c>
      <c r="D3229" s="5" t="s">
        <v>899</v>
      </c>
      <c r="E3229" s="3" t="s">
        <v>465</v>
      </c>
      <c r="F3229" s="3">
        <v>105204</v>
      </c>
      <c r="G3229" s="57" t="str">
        <f t="shared" si="52"/>
        <v>-</v>
      </c>
      <c r="H3229" s="5" t="s">
        <v>2765</v>
      </c>
    </row>
    <row r="3230" spans="1:8" ht="25.5" x14ac:dyDescent="0.2">
      <c r="A3230" s="1" t="s">
        <v>6</v>
      </c>
      <c r="B3230" s="2" t="s">
        <v>329</v>
      </c>
      <c r="D3230" s="5" t="s">
        <v>900</v>
      </c>
      <c r="E3230" s="3">
        <v>104341</v>
      </c>
      <c r="F3230" s="3">
        <v>105559</v>
      </c>
      <c r="G3230" s="57">
        <f t="shared" si="52"/>
        <v>1.1673263625995535E-2</v>
      </c>
      <c r="H3230" s="5" t="s">
        <v>2766</v>
      </c>
    </row>
    <row r="3231" spans="1:8" ht="25.5" x14ac:dyDescent="0.2">
      <c r="A3231" s="1" t="s">
        <v>28</v>
      </c>
      <c r="B3231" s="2" t="s">
        <v>330</v>
      </c>
      <c r="D3231" s="5" t="s">
        <v>450</v>
      </c>
      <c r="E3231" s="3">
        <v>113164</v>
      </c>
      <c r="F3231" s="3">
        <v>114057</v>
      </c>
      <c r="G3231" s="57">
        <f t="shared" si="52"/>
        <v>7.8912021490933505E-3</v>
      </c>
      <c r="H3231" s="5" t="s">
        <v>2759</v>
      </c>
    </row>
    <row r="3232" spans="1:8" ht="25.5" x14ac:dyDescent="0.2">
      <c r="A3232" s="1" t="s">
        <v>4</v>
      </c>
      <c r="B3232" s="2" t="s">
        <v>331</v>
      </c>
      <c r="D3232" s="5" t="s">
        <v>450</v>
      </c>
      <c r="E3232" s="3">
        <v>160390</v>
      </c>
      <c r="F3232" s="3">
        <v>158156</v>
      </c>
      <c r="G3232" s="57">
        <f t="shared" si="52"/>
        <v>-1.3928549161419041E-2</v>
      </c>
      <c r="H3232" s="5" t="s">
        <v>2756</v>
      </c>
    </row>
    <row r="3233" spans="1:8" x14ac:dyDescent="0.2">
      <c r="A3233" s="1" t="s">
        <v>4</v>
      </c>
      <c r="B3233" s="2" t="s">
        <v>331</v>
      </c>
      <c r="D3233" s="5" t="s">
        <v>889</v>
      </c>
      <c r="E3233" s="3">
        <v>123961</v>
      </c>
      <c r="F3233" s="3">
        <v>129405</v>
      </c>
      <c r="G3233" s="57">
        <f t="shared" si="52"/>
        <v>4.391703842337509E-2</v>
      </c>
      <c r="H3233" s="5" t="s">
        <v>2757</v>
      </c>
    </row>
    <row r="3234" spans="1:8" x14ac:dyDescent="0.2">
      <c r="A3234" s="1" t="s">
        <v>4</v>
      </c>
      <c r="B3234" s="2" t="s">
        <v>331</v>
      </c>
      <c r="D3234" s="5" t="s">
        <v>890</v>
      </c>
      <c r="E3234" s="3">
        <v>123328</v>
      </c>
      <c r="F3234" s="3">
        <v>129426</v>
      </c>
      <c r="G3234" s="57">
        <f t="shared" si="52"/>
        <v>4.9445381421899325E-2</v>
      </c>
      <c r="H3234" s="5" t="s">
        <v>2758</v>
      </c>
    </row>
    <row r="3235" spans="1:8" ht="25.5" x14ac:dyDescent="0.2">
      <c r="A3235" s="1" t="s">
        <v>28</v>
      </c>
      <c r="B3235" s="2" t="s">
        <v>332</v>
      </c>
      <c r="C3235" s="5" t="s">
        <v>885</v>
      </c>
      <c r="D3235" s="5" t="s">
        <v>450</v>
      </c>
      <c r="E3235" s="3">
        <v>217814</v>
      </c>
      <c r="F3235" s="3">
        <v>217814</v>
      </c>
      <c r="G3235" s="57">
        <f t="shared" si="52"/>
        <v>0</v>
      </c>
      <c r="H3235" s="5" t="s">
        <v>2750</v>
      </c>
    </row>
    <row r="3236" spans="1:8" ht="51" x14ac:dyDescent="0.2">
      <c r="A3236" s="1" t="s">
        <v>28</v>
      </c>
      <c r="B3236" s="2" t="s">
        <v>332</v>
      </c>
      <c r="D3236" s="5" t="s">
        <v>455</v>
      </c>
      <c r="E3236" s="3">
        <v>153928</v>
      </c>
      <c r="F3236" s="3">
        <v>159734</v>
      </c>
      <c r="G3236" s="57">
        <f t="shared" si="52"/>
        <v>3.7718933527363441E-2</v>
      </c>
      <c r="H3236" s="5" t="s">
        <v>2751</v>
      </c>
    </row>
    <row r="3237" spans="1:8" ht="25.5" x14ac:dyDescent="0.2">
      <c r="A3237" s="1" t="s">
        <v>28</v>
      </c>
      <c r="B3237" s="2" t="s">
        <v>332</v>
      </c>
      <c r="D3237" s="5" t="s">
        <v>886</v>
      </c>
      <c r="E3237" s="3">
        <v>150733</v>
      </c>
      <c r="F3237" s="3">
        <v>150733</v>
      </c>
      <c r="G3237" s="57">
        <f t="shared" si="52"/>
        <v>0</v>
      </c>
      <c r="H3237" s="5" t="s">
        <v>2752</v>
      </c>
    </row>
    <row r="3238" spans="1:8" ht="38.25" x14ac:dyDescent="0.2">
      <c r="A3238" s="1" t="s">
        <v>28</v>
      </c>
      <c r="B3238" s="2" t="s">
        <v>332</v>
      </c>
      <c r="D3238" s="5" t="s">
        <v>887</v>
      </c>
      <c r="E3238" s="3">
        <v>88625</v>
      </c>
      <c r="F3238" s="3">
        <v>145218</v>
      </c>
      <c r="G3238" s="57">
        <f t="shared" si="52"/>
        <v>0.63856699576868825</v>
      </c>
      <c r="H3238" s="5" t="s">
        <v>2753</v>
      </c>
    </row>
    <row r="3239" spans="1:8" ht="38.25" x14ac:dyDescent="0.2">
      <c r="A3239" s="1" t="s">
        <v>28</v>
      </c>
      <c r="B3239" s="2" t="s">
        <v>332</v>
      </c>
      <c r="D3239" s="5" t="s">
        <v>888</v>
      </c>
      <c r="E3239" s="3">
        <v>93299</v>
      </c>
      <c r="F3239" s="3">
        <v>152476</v>
      </c>
      <c r="G3239" s="57">
        <f t="shared" si="52"/>
        <v>0.63427260742344505</v>
      </c>
      <c r="H3239" s="5" t="s">
        <v>2754</v>
      </c>
    </row>
    <row r="3240" spans="1:8" ht="25.5" x14ac:dyDescent="0.2">
      <c r="A3240" s="1" t="s">
        <v>28</v>
      </c>
      <c r="B3240" s="2" t="s">
        <v>332</v>
      </c>
      <c r="D3240" s="5" t="s">
        <v>4684</v>
      </c>
      <c r="E3240" s="3">
        <v>167172</v>
      </c>
      <c r="F3240" s="3">
        <v>167012</v>
      </c>
      <c r="G3240" s="57">
        <f t="shared" si="52"/>
        <v>-9.570980786256072E-4</v>
      </c>
      <c r="H3240" s="5" t="s">
        <v>2755</v>
      </c>
    </row>
    <row r="3241" spans="1:8" ht="25.5" x14ac:dyDescent="0.2">
      <c r="A3241" s="1" t="s">
        <v>28</v>
      </c>
      <c r="B3241" s="2" t="s">
        <v>332</v>
      </c>
      <c r="D3241" s="7" t="s">
        <v>2744</v>
      </c>
      <c r="E3241" s="6">
        <v>119170</v>
      </c>
      <c r="F3241" s="6" t="s">
        <v>465</v>
      </c>
      <c r="G3241" s="57" t="str">
        <f t="shared" si="52"/>
        <v>-</v>
      </c>
      <c r="H3241" s="5" t="s">
        <v>2749</v>
      </c>
    </row>
    <row r="3242" spans="1:8" x14ac:dyDescent="0.2">
      <c r="A3242" s="1" t="s">
        <v>28</v>
      </c>
      <c r="B3242" s="2" t="s">
        <v>332</v>
      </c>
      <c r="D3242" s="7" t="s">
        <v>2745</v>
      </c>
      <c r="E3242" s="6">
        <v>372752</v>
      </c>
      <c r="F3242" s="6" t="s">
        <v>465</v>
      </c>
      <c r="G3242" s="57" t="str">
        <f t="shared" si="52"/>
        <v>-</v>
      </c>
      <c r="H3242" s="5" t="s">
        <v>2747</v>
      </c>
    </row>
    <row r="3243" spans="1:8" x14ac:dyDescent="0.2">
      <c r="A3243" s="1" t="s">
        <v>28</v>
      </c>
      <c r="B3243" s="2" t="s">
        <v>332</v>
      </c>
      <c r="D3243" s="7" t="s">
        <v>2746</v>
      </c>
      <c r="E3243" s="6">
        <v>161595</v>
      </c>
      <c r="F3243" s="6" t="s">
        <v>465</v>
      </c>
      <c r="G3243" s="57" t="str">
        <f t="shared" si="52"/>
        <v>-</v>
      </c>
      <c r="H3243" s="5" t="s">
        <v>2748</v>
      </c>
    </row>
    <row r="3244" spans="1:8" ht="25.5" x14ac:dyDescent="0.2">
      <c r="A3244" s="1" t="s">
        <v>28</v>
      </c>
      <c r="B3244" s="2" t="s">
        <v>332</v>
      </c>
      <c r="D3244" s="7" t="s">
        <v>4685</v>
      </c>
      <c r="E3244" s="6">
        <v>257349</v>
      </c>
      <c r="F3244" s="6" t="s">
        <v>465</v>
      </c>
      <c r="G3244" s="57" t="str">
        <f t="shared" si="52"/>
        <v>-</v>
      </c>
      <c r="H3244" s="5" t="s">
        <v>2424</v>
      </c>
    </row>
    <row r="3245" spans="1:8" x14ac:dyDescent="0.2">
      <c r="A3245" s="1" t="s">
        <v>28</v>
      </c>
      <c r="B3245" s="2" t="s">
        <v>332</v>
      </c>
      <c r="D3245" s="5" t="s">
        <v>464</v>
      </c>
      <c r="E3245" s="3">
        <v>102500</v>
      </c>
      <c r="F3245" s="3" t="s">
        <v>465</v>
      </c>
      <c r="G3245" s="57" t="str">
        <f t="shared" si="52"/>
        <v>-</v>
      </c>
      <c r="H3245" s="1"/>
    </row>
    <row r="3246" spans="1:8" x14ac:dyDescent="0.2">
      <c r="A3246" s="1" t="s">
        <v>28</v>
      </c>
      <c r="B3246" s="2" t="s">
        <v>332</v>
      </c>
      <c r="D3246" s="5" t="s">
        <v>464</v>
      </c>
      <c r="E3246" s="3" t="s">
        <v>465</v>
      </c>
      <c r="F3246" s="3">
        <v>102500</v>
      </c>
      <c r="G3246" s="57" t="str">
        <f t="shared" si="52"/>
        <v>-</v>
      </c>
      <c r="H3246" s="1"/>
    </row>
    <row r="3247" spans="1:8" x14ac:dyDescent="0.2">
      <c r="A3247" s="1" t="s">
        <v>28</v>
      </c>
      <c r="B3247" s="2" t="s">
        <v>332</v>
      </c>
      <c r="D3247" s="5" t="s">
        <v>464</v>
      </c>
      <c r="E3247" s="3">
        <v>107500</v>
      </c>
      <c r="F3247" s="3" t="s">
        <v>465</v>
      </c>
      <c r="G3247" s="57" t="str">
        <f t="shared" si="52"/>
        <v>-</v>
      </c>
      <c r="H3247" s="1"/>
    </row>
    <row r="3248" spans="1:8" x14ac:dyDescent="0.2">
      <c r="A3248" s="1" t="s">
        <v>28</v>
      </c>
      <c r="B3248" s="2" t="s">
        <v>332</v>
      </c>
      <c r="D3248" s="5" t="s">
        <v>464</v>
      </c>
      <c r="E3248" s="3" t="s">
        <v>465</v>
      </c>
      <c r="F3248" s="3">
        <v>107500</v>
      </c>
      <c r="G3248" s="57" t="str">
        <f t="shared" si="52"/>
        <v>-</v>
      </c>
      <c r="H3248" s="1"/>
    </row>
    <row r="3249" spans="1:8" x14ac:dyDescent="0.2">
      <c r="A3249" s="1" t="s">
        <v>28</v>
      </c>
      <c r="B3249" s="2" t="s">
        <v>332</v>
      </c>
      <c r="D3249" s="5" t="s">
        <v>464</v>
      </c>
      <c r="E3249" s="3" t="s">
        <v>465</v>
      </c>
      <c r="F3249" s="3">
        <v>107500</v>
      </c>
      <c r="G3249" s="57" t="str">
        <f t="shared" si="52"/>
        <v>-</v>
      </c>
      <c r="H3249" s="1"/>
    </row>
    <row r="3250" spans="1:8" x14ac:dyDescent="0.2">
      <c r="A3250" s="1" t="s">
        <v>28</v>
      </c>
      <c r="B3250" s="2" t="s">
        <v>332</v>
      </c>
      <c r="D3250" s="5" t="s">
        <v>464</v>
      </c>
      <c r="E3250" s="3" t="s">
        <v>465</v>
      </c>
      <c r="F3250" s="3">
        <v>112500</v>
      </c>
      <c r="G3250" s="57" t="str">
        <f t="shared" si="52"/>
        <v>-</v>
      </c>
    </row>
    <row r="3251" spans="1:8" x14ac:dyDescent="0.2">
      <c r="A3251" s="1" t="s">
        <v>28</v>
      </c>
      <c r="B3251" s="2" t="s">
        <v>332</v>
      </c>
      <c r="D3251" s="5" t="s">
        <v>464</v>
      </c>
      <c r="E3251" s="3">
        <v>122500</v>
      </c>
      <c r="F3251" s="3" t="s">
        <v>465</v>
      </c>
      <c r="G3251" s="57" t="str">
        <f t="shared" si="52"/>
        <v>-</v>
      </c>
    </row>
    <row r="3252" spans="1:8" x14ac:dyDescent="0.2">
      <c r="A3252" s="1" t="s">
        <v>28</v>
      </c>
      <c r="B3252" s="2" t="s">
        <v>332</v>
      </c>
      <c r="D3252" s="5" t="s">
        <v>464</v>
      </c>
      <c r="E3252" s="3" t="s">
        <v>465</v>
      </c>
      <c r="F3252" s="3">
        <v>122500</v>
      </c>
      <c r="G3252" s="57" t="str">
        <f t="shared" si="52"/>
        <v>-</v>
      </c>
    </row>
    <row r="3253" spans="1:8" x14ac:dyDescent="0.2">
      <c r="A3253" s="1" t="s">
        <v>28</v>
      </c>
      <c r="B3253" s="2" t="s">
        <v>332</v>
      </c>
      <c r="D3253" s="5" t="s">
        <v>464</v>
      </c>
      <c r="E3253" s="3" t="s">
        <v>465</v>
      </c>
      <c r="F3253" s="3">
        <v>122500</v>
      </c>
      <c r="G3253" s="57" t="str">
        <f t="shared" si="52"/>
        <v>-</v>
      </c>
    </row>
    <row r="3254" spans="1:8" x14ac:dyDescent="0.2">
      <c r="A3254" s="1" t="s">
        <v>28</v>
      </c>
      <c r="B3254" s="2" t="s">
        <v>332</v>
      </c>
      <c r="D3254" s="5" t="s">
        <v>464</v>
      </c>
      <c r="E3254" s="3">
        <v>132500</v>
      </c>
      <c r="F3254" s="3" t="s">
        <v>465</v>
      </c>
      <c r="G3254" s="57" t="str">
        <f t="shared" si="52"/>
        <v>-</v>
      </c>
    </row>
    <row r="3255" spans="1:8" x14ac:dyDescent="0.2">
      <c r="A3255" s="1" t="s">
        <v>28</v>
      </c>
      <c r="B3255" s="2" t="s">
        <v>332</v>
      </c>
      <c r="D3255" s="5" t="s">
        <v>464</v>
      </c>
      <c r="E3255" s="3" t="s">
        <v>465</v>
      </c>
      <c r="F3255" s="3">
        <v>142500</v>
      </c>
      <c r="G3255" s="57" t="str">
        <f t="shared" si="52"/>
        <v>-</v>
      </c>
    </row>
    <row r="3256" spans="1:8" x14ac:dyDescent="0.2">
      <c r="A3256" s="1" t="s">
        <v>28</v>
      </c>
      <c r="B3256" s="2" t="s">
        <v>332</v>
      </c>
      <c r="D3256" s="5" t="s">
        <v>464</v>
      </c>
      <c r="E3256" s="3" t="s">
        <v>465</v>
      </c>
      <c r="F3256" s="3">
        <v>162500</v>
      </c>
      <c r="G3256" s="57" t="str">
        <f t="shared" si="52"/>
        <v>-</v>
      </c>
    </row>
    <row r="3257" spans="1:8" ht="25.5" x14ac:dyDescent="0.2">
      <c r="A3257" s="1" t="s">
        <v>4</v>
      </c>
      <c r="B3257" s="2" t="s">
        <v>333</v>
      </c>
      <c r="D3257" s="5" t="s">
        <v>450</v>
      </c>
      <c r="E3257" s="3">
        <v>136377</v>
      </c>
      <c r="F3257" s="3">
        <v>127886</v>
      </c>
      <c r="G3257" s="57">
        <f t="shared" si="52"/>
        <v>-6.2261231732623538E-2</v>
      </c>
      <c r="H3257" s="5" t="s">
        <v>2743</v>
      </c>
    </row>
    <row r="3258" spans="1:8" ht="38.25" x14ac:dyDescent="0.2">
      <c r="A3258" s="1" t="s">
        <v>4</v>
      </c>
      <c r="B3258" s="2" t="s">
        <v>333</v>
      </c>
      <c r="D3258" s="5" t="s">
        <v>655</v>
      </c>
      <c r="E3258" s="3">
        <v>16995</v>
      </c>
      <c r="F3258" s="3">
        <v>101970</v>
      </c>
      <c r="G3258" s="57">
        <f t="shared" si="52"/>
        <v>5</v>
      </c>
      <c r="H3258" s="5" t="s">
        <v>4597</v>
      </c>
    </row>
    <row r="3259" spans="1:8" ht="25.5" x14ac:dyDescent="0.2">
      <c r="A3259" s="1" t="s">
        <v>1</v>
      </c>
      <c r="B3259" s="2" t="s">
        <v>334</v>
      </c>
      <c r="C3259" s="29" t="s">
        <v>884</v>
      </c>
      <c r="D3259" s="29"/>
      <c r="G3259" s="57" t="str">
        <f t="shared" si="52"/>
        <v>-</v>
      </c>
    </row>
    <row r="3260" spans="1:8" ht="25.5" x14ac:dyDescent="0.2">
      <c r="A3260" s="1" t="s">
        <v>39</v>
      </c>
      <c r="B3260" s="2" t="s">
        <v>335</v>
      </c>
      <c r="C3260" s="7" t="s">
        <v>880</v>
      </c>
      <c r="D3260" s="7" t="s">
        <v>450</v>
      </c>
      <c r="E3260" s="6">
        <v>104625</v>
      </c>
      <c r="F3260" s="6">
        <v>212520</v>
      </c>
      <c r="G3260" s="57">
        <f t="shared" si="52"/>
        <v>1.0312544802867383</v>
      </c>
      <c r="H3260" s="7" t="s">
        <v>4596</v>
      </c>
    </row>
    <row r="3261" spans="1:8" x14ac:dyDescent="0.2">
      <c r="A3261" s="1" t="s">
        <v>39</v>
      </c>
      <c r="B3261" s="2" t="s">
        <v>335</v>
      </c>
      <c r="C3261" s="7" t="s">
        <v>2735</v>
      </c>
      <c r="D3261" s="7" t="s">
        <v>450</v>
      </c>
      <c r="E3261" s="6">
        <v>101985</v>
      </c>
      <c r="F3261" s="6" t="s">
        <v>465</v>
      </c>
      <c r="G3261" s="57" t="str">
        <f t="shared" si="52"/>
        <v>-</v>
      </c>
      <c r="H3261" s="7" t="s">
        <v>2736</v>
      </c>
    </row>
    <row r="3262" spans="1:8" ht="25.5" x14ac:dyDescent="0.2">
      <c r="A3262" s="1" t="s">
        <v>39</v>
      </c>
      <c r="B3262" s="2" t="s">
        <v>335</v>
      </c>
      <c r="D3262" s="5" t="s">
        <v>881</v>
      </c>
      <c r="E3262" s="3">
        <v>84463</v>
      </c>
      <c r="F3262" s="3">
        <v>106857</v>
      </c>
      <c r="G3262" s="57">
        <f t="shared" si="52"/>
        <v>0.2651338455891929</v>
      </c>
      <c r="H3262" s="5" t="s">
        <v>2738</v>
      </c>
    </row>
    <row r="3263" spans="1:8" ht="25.5" x14ac:dyDescent="0.2">
      <c r="A3263" s="1" t="s">
        <v>39</v>
      </c>
      <c r="B3263" s="2" t="s">
        <v>335</v>
      </c>
      <c r="D3263" s="5" t="s">
        <v>882</v>
      </c>
      <c r="E3263" s="3">
        <v>112698</v>
      </c>
      <c r="F3263" s="3">
        <v>118452</v>
      </c>
      <c r="G3263" s="57">
        <f t="shared" si="52"/>
        <v>5.1056806686897729E-2</v>
      </c>
      <c r="H3263" s="5" t="s">
        <v>2739</v>
      </c>
    </row>
    <row r="3264" spans="1:8" ht="25.5" x14ac:dyDescent="0.2">
      <c r="A3264" s="1" t="s">
        <v>39</v>
      </c>
      <c r="B3264" s="2" t="s">
        <v>335</v>
      </c>
      <c r="D3264" s="5" t="s">
        <v>2600</v>
      </c>
      <c r="E3264" s="3">
        <v>151450</v>
      </c>
      <c r="F3264" s="3">
        <v>158470</v>
      </c>
      <c r="G3264" s="57">
        <f t="shared" si="52"/>
        <v>4.63519313304721E-2</v>
      </c>
      <c r="H3264" s="5" t="s">
        <v>2740</v>
      </c>
    </row>
    <row r="3265" spans="1:8" ht="25.5" x14ac:dyDescent="0.2">
      <c r="A3265" s="1" t="s">
        <v>39</v>
      </c>
      <c r="B3265" s="2" t="s">
        <v>335</v>
      </c>
      <c r="D3265" s="5" t="s">
        <v>855</v>
      </c>
      <c r="E3265" s="3">
        <v>139890</v>
      </c>
      <c r="F3265" s="3">
        <v>147265</v>
      </c>
      <c r="G3265" s="57">
        <f t="shared" si="52"/>
        <v>5.2719994281220962E-2</v>
      </c>
      <c r="H3265" s="5" t="s">
        <v>2741</v>
      </c>
    </row>
    <row r="3266" spans="1:8" ht="25.5" x14ac:dyDescent="0.2">
      <c r="A3266" s="1" t="s">
        <v>39</v>
      </c>
      <c r="B3266" s="2" t="s">
        <v>335</v>
      </c>
      <c r="D3266" s="5" t="s">
        <v>883</v>
      </c>
      <c r="E3266" s="3" t="s">
        <v>465</v>
      </c>
      <c r="F3266" s="3">
        <v>149046</v>
      </c>
      <c r="G3266" s="57" t="str">
        <f t="shared" si="52"/>
        <v>-</v>
      </c>
      <c r="H3266" s="5" t="s">
        <v>4594</v>
      </c>
    </row>
    <row r="3267" spans="1:8" ht="25.5" x14ac:dyDescent="0.2">
      <c r="A3267" s="1" t="s">
        <v>39</v>
      </c>
      <c r="B3267" s="2" t="s">
        <v>335</v>
      </c>
      <c r="D3267" s="5" t="s">
        <v>463</v>
      </c>
      <c r="E3267" s="3">
        <v>145670</v>
      </c>
      <c r="F3267" s="3">
        <v>106434</v>
      </c>
      <c r="G3267" s="57">
        <f t="shared" si="52"/>
        <v>-0.26934852749365001</v>
      </c>
      <c r="H3267" s="5" t="s">
        <v>4595</v>
      </c>
    </row>
    <row r="3268" spans="1:8" x14ac:dyDescent="0.2">
      <c r="A3268" s="1" t="s">
        <v>39</v>
      </c>
      <c r="B3268" s="2" t="s">
        <v>335</v>
      </c>
      <c r="D3268" s="7" t="s">
        <v>883</v>
      </c>
      <c r="E3268" s="6">
        <v>145670</v>
      </c>
      <c r="F3268" s="6" t="s">
        <v>465</v>
      </c>
      <c r="G3268" s="57" t="str">
        <f t="shared" si="52"/>
        <v>-</v>
      </c>
      <c r="H3268" s="5" t="s">
        <v>2737</v>
      </c>
    </row>
    <row r="3269" spans="1:8" x14ac:dyDescent="0.2">
      <c r="A3269" s="1" t="s">
        <v>39</v>
      </c>
      <c r="B3269" s="2" t="s">
        <v>335</v>
      </c>
      <c r="D3269" s="7" t="s">
        <v>464</v>
      </c>
      <c r="E3269" s="6">
        <v>102500</v>
      </c>
      <c r="F3269" s="6" t="s">
        <v>465</v>
      </c>
      <c r="G3269" s="57" t="str">
        <f t="shared" si="52"/>
        <v>-</v>
      </c>
    </row>
    <row r="3270" spans="1:8" x14ac:dyDescent="0.2">
      <c r="A3270" s="1" t="s">
        <v>39</v>
      </c>
      <c r="B3270" s="2" t="s">
        <v>335</v>
      </c>
      <c r="D3270" s="7" t="s">
        <v>464</v>
      </c>
      <c r="E3270" s="6" t="s">
        <v>465</v>
      </c>
      <c r="F3270" s="6">
        <v>102500</v>
      </c>
      <c r="G3270" s="57" t="str">
        <f t="shared" si="52"/>
        <v>-</v>
      </c>
    </row>
    <row r="3271" spans="1:8" x14ac:dyDescent="0.2">
      <c r="A3271" s="1" t="s">
        <v>39</v>
      </c>
      <c r="B3271" s="2" t="s">
        <v>335</v>
      </c>
      <c r="D3271" s="7" t="s">
        <v>464</v>
      </c>
      <c r="E3271" s="6" t="s">
        <v>465</v>
      </c>
      <c r="F3271" s="6">
        <v>102500</v>
      </c>
      <c r="G3271" s="57" t="str">
        <f t="shared" si="52"/>
        <v>-</v>
      </c>
      <c r="H3271" s="5" t="s">
        <v>2742</v>
      </c>
    </row>
    <row r="3272" spans="1:8" x14ac:dyDescent="0.2">
      <c r="A3272" s="1" t="s">
        <v>39</v>
      </c>
      <c r="B3272" s="2" t="s">
        <v>335</v>
      </c>
      <c r="D3272" s="7" t="s">
        <v>464</v>
      </c>
      <c r="E3272" s="6" t="s">
        <v>465</v>
      </c>
      <c r="F3272" s="6">
        <v>102500</v>
      </c>
      <c r="G3272" s="57" t="str">
        <f t="shared" si="52"/>
        <v>-</v>
      </c>
      <c r="H3272" s="5" t="s">
        <v>2742</v>
      </c>
    </row>
    <row r="3273" spans="1:8" x14ac:dyDescent="0.2">
      <c r="A3273" s="1" t="s">
        <v>39</v>
      </c>
      <c r="B3273" s="2" t="s">
        <v>335</v>
      </c>
      <c r="D3273" s="7" t="s">
        <v>464</v>
      </c>
      <c r="E3273" s="6" t="s">
        <v>465</v>
      </c>
      <c r="F3273" s="6">
        <v>122500</v>
      </c>
      <c r="G3273" s="57" t="str">
        <f t="shared" si="52"/>
        <v>-</v>
      </c>
    </row>
    <row r="3274" spans="1:8" x14ac:dyDescent="0.2">
      <c r="A3274" s="1" t="s">
        <v>39</v>
      </c>
      <c r="B3274" s="2" t="s">
        <v>335</v>
      </c>
      <c r="D3274" s="7" t="s">
        <v>464</v>
      </c>
      <c r="E3274" s="6">
        <v>122500</v>
      </c>
      <c r="F3274" s="6" t="s">
        <v>465</v>
      </c>
      <c r="G3274" s="57" t="str">
        <f t="shared" si="52"/>
        <v>-</v>
      </c>
    </row>
    <row r="3275" spans="1:8" x14ac:dyDescent="0.2">
      <c r="A3275" s="1" t="s">
        <v>39</v>
      </c>
      <c r="B3275" s="2" t="s">
        <v>335</v>
      </c>
      <c r="D3275" s="7" t="s">
        <v>464</v>
      </c>
      <c r="E3275" s="6">
        <v>127500</v>
      </c>
      <c r="F3275" s="6" t="s">
        <v>465</v>
      </c>
      <c r="G3275" s="57" t="str">
        <f t="shared" si="52"/>
        <v>-</v>
      </c>
    </row>
    <row r="3276" spans="1:8" x14ac:dyDescent="0.2">
      <c r="A3276" s="1" t="s">
        <v>39</v>
      </c>
      <c r="B3276" s="2" t="s">
        <v>335</v>
      </c>
      <c r="D3276" s="7" t="s">
        <v>464</v>
      </c>
      <c r="E3276" s="6">
        <v>127500</v>
      </c>
      <c r="F3276" s="6" t="s">
        <v>465</v>
      </c>
      <c r="G3276" s="57" t="str">
        <f t="shared" si="52"/>
        <v>-</v>
      </c>
    </row>
    <row r="3277" spans="1:8" x14ac:dyDescent="0.2">
      <c r="A3277" s="1" t="s">
        <v>39</v>
      </c>
      <c r="B3277" s="2" t="s">
        <v>335</v>
      </c>
      <c r="D3277" s="7" t="s">
        <v>464</v>
      </c>
      <c r="E3277" s="6">
        <v>127500</v>
      </c>
      <c r="F3277" s="6" t="s">
        <v>465</v>
      </c>
      <c r="G3277" s="57" t="str">
        <f t="shared" si="52"/>
        <v>-</v>
      </c>
    </row>
    <row r="3278" spans="1:8" x14ac:dyDescent="0.2">
      <c r="A3278" s="1" t="s">
        <v>39</v>
      </c>
      <c r="B3278" s="2" t="s">
        <v>335</v>
      </c>
      <c r="D3278" s="7" t="s">
        <v>464</v>
      </c>
      <c r="E3278" s="6">
        <v>127500</v>
      </c>
      <c r="F3278" s="6" t="s">
        <v>465</v>
      </c>
      <c r="G3278" s="57" t="str">
        <f t="shared" si="52"/>
        <v>-</v>
      </c>
      <c r="H3278" s="5" t="s">
        <v>2742</v>
      </c>
    </row>
    <row r="3279" spans="1:8" x14ac:dyDescent="0.2">
      <c r="A3279" s="1" t="s">
        <v>39</v>
      </c>
      <c r="B3279" s="2" t="s">
        <v>335</v>
      </c>
      <c r="D3279" s="7" t="s">
        <v>464</v>
      </c>
      <c r="E3279" s="6" t="s">
        <v>465</v>
      </c>
      <c r="F3279" s="6">
        <v>127500</v>
      </c>
      <c r="G3279" s="57" t="str">
        <f t="shared" si="52"/>
        <v>-</v>
      </c>
    </row>
    <row r="3280" spans="1:8" x14ac:dyDescent="0.2">
      <c r="A3280" s="1" t="s">
        <v>39</v>
      </c>
      <c r="B3280" s="2" t="s">
        <v>335</v>
      </c>
      <c r="D3280" s="7" t="s">
        <v>464</v>
      </c>
      <c r="E3280" s="6" t="s">
        <v>465</v>
      </c>
      <c r="F3280" s="6">
        <v>132500</v>
      </c>
      <c r="G3280" s="57" t="str">
        <f t="shared" si="52"/>
        <v>-</v>
      </c>
    </row>
    <row r="3281" spans="1:8" x14ac:dyDescent="0.2">
      <c r="A3281" s="1" t="s">
        <v>39</v>
      </c>
      <c r="B3281" s="2" t="s">
        <v>335</v>
      </c>
      <c r="D3281" s="7" t="s">
        <v>464</v>
      </c>
      <c r="E3281" s="6" t="s">
        <v>465</v>
      </c>
      <c r="F3281" s="6">
        <v>137500</v>
      </c>
      <c r="G3281" s="57" t="str">
        <f t="shared" ref="G3281:G3344" si="53">IF(ISERROR((F3281-E3281)/E3281),"-",(F3281-E3281)/E3281)</f>
        <v>-</v>
      </c>
    </row>
    <row r="3282" spans="1:8" x14ac:dyDescent="0.2">
      <c r="A3282" s="1" t="s">
        <v>39</v>
      </c>
      <c r="B3282" s="2" t="s">
        <v>335</v>
      </c>
      <c r="D3282" s="7" t="s">
        <v>464</v>
      </c>
      <c r="E3282" s="6" t="s">
        <v>465</v>
      </c>
      <c r="F3282" s="6">
        <v>137500</v>
      </c>
      <c r="G3282" s="57" t="str">
        <f t="shared" si="53"/>
        <v>-</v>
      </c>
      <c r="H3282" s="5" t="s">
        <v>2742</v>
      </c>
    </row>
    <row r="3283" spans="1:8" x14ac:dyDescent="0.2">
      <c r="A3283" s="1" t="s">
        <v>39</v>
      </c>
      <c r="B3283" s="2" t="s">
        <v>335</v>
      </c>
      <c r="D3283" s="7" t="s">
        <v>464</v>
      </c>
      <c r="E3283" s="6" t="s">
        <v>465</v>
      </c>
      <c r="F3283" s="6">
        <v>152500</v>
      </c>
      <c r="G3283" s="57" t="str">
        <f t="shared" si="53"/>
        <v>-</v>
      </c>
      <c r="H3283" s="5" t="s">
        <v>2742</v>
      </c>
    </row>
    <row r="3284" spans="1:8" x14ac:dyDescent="0.2">
      <c r="A3284" s="1" t="s">
        <v>39</v>
      </c>
      <c r="B3284" s="2" t="s">
        <v>335</v>
      </c>
      <c r="D3284" s="7" t="s">
        <v>464</v>
      </c>
      <c r="E3284" s="6" t="s">
        <v>465</v>
      </c>
      <c r="F3284" s="6">
        <v>192500</v>
      </c>
      <c r="G3284" s="57" t="str">
        <f t="shared" si="53"/>
        <v>-</v>
      </c>
    </row>
    <row r="3285" spans="1:8" x14ac:dyDescent="0.2">
      <c r="A3285" s="1" t="s">
        <v>39</v>
      </c>
      <c r="B3285" s="2" t="s">
        <v>335</v>
      </c>
      <c r="D3285" s="7" t="s">
        <v>464</v>
      </c>
      <c r="E3285" s="6" t="s">
        <v>465</v>
      </c>
      <c r="F3285" s="6">
        <v>252500</v>
      </c>
      <c r="G3285" s="57" t="str">
        <f t="shared" si="53"/>
        <v>-</v>
      </c>
      <c r="H3285" s="5" t="s">
        <v>2742</v>
      </c>
    </row>
    <row r="3286" spans="1:8" x14ac:dyDescent="0.2">
      <c r="A3286" s="1" t="s">
        <v>39</v>
      </c>
      <c r="B3286" s="2" t="s">
        <v>335</v>
      </c>
      <c r="D3286" s="7" t="s">
        <v>464</v>
      </c>
      <c r="E3286" s="6">
        <v>177500</v>
      </c>
      <c r="F3286" s="6" t="s">
        <v>465</v>
      </c>
      <c r="G3286" s="57" t="str">
        <f t="shared" si="53"/>
        <v>-</v>
      </c>
      <c r="H3286" s="5" t="s">
        <v>2742</v>
      </c>
    </row>
    <row r="3287" spans="1:8" x14ac:dyDescent="0.2">
      <c r="A3287" s="1" t="s">
        <v>39</v>
      </c>
      <c r="B3287" s="2" t="s">
        <v>335</v>
      </c>
      <c r="D3287" s="7" t="s">
        <v>464</v>
      </c>
      <c r="E3287" s="6">
        <v>187500</v>
      </c>
      <c r="F3287" s="6" t="s">
        <v>465</v>
      </c>
      <c r="G3287" s="57" t="str">
        <f t="shared" si="53"/>
        <v>-</v>
      </c>
      <c r="H3287" s="5" t="s">
        <v>2742</v>
      </c>
    </row>
    <row r="3288" spans="1:8" ht="25.5" x14ac:dyDescent="0.2">
      <c r="A3288" s="1" t="s">
        <v>4</v>
      </c>
      <c r="B3288" s="2" t="s">
        <v>336</v>
      </c>
      <c r="C3288" s="5" t="s">
        <v>875</v>
      </c>
      <c r="D3288" s="5" t="s">
        <v>450</v>
      </c>
      <c r="E3288" s="3">
        <v>185890</v>
      </c>
      <c r="F3288" s="3">
        <v>185030</v>
      </c>
      <c r="G3288" s="57">
        <f t="shared" si="53"/>
        <v>-4.6263919522298138E-3</v>
      </c>
      <c r="H3288" s="5" t="s">
        <v>2731</v>
      </c>
    </row>
    <row r="3289" spans="1:8" ht="25.5" x14ac:dyDescent="0.2">
      <c r="A3289" s="1" t="s">
        <v>4</v>
      </c>
      <c r="B3289" s="2" t="s">
        <v>336</v>
      </c>
      <c r="D3289" s="5" t="s">
        <v>515</v>
      </c>
      <c r="E3289" s="3">
        <v>67360</v>
      </c>
      <c r="F3289" s="3">
        <v>145380</v>
      </c>
      <c r="G3289" s="57">
        <f t="shared" si="53"/>
        <v>1.1582541567695963</v>
      </c>
      <c r="H3289" s="5" t="s">
        <v>4425</v>
      </c>
    </row>
    <row r="3290" spans="1:8" ht="25.5" x14ac:dyDescent="0.2">
      <c r="A3290" s="1" t="s">
        <v>4</v>
      </c>
      <c r="B3290" s="2" t="s">
        <v>336</v>
      </c>
      <c r="D3290" s="5" t="s">
        <v>876</v>
      </c>
      <c r="E3290" s="3">
        <v>149540</v>
      </c>
      <c r="F3290" s="3">
        <v>145610</v>
      </c>
      <c r="G3290" s="57">
        <f t="shared" si="53"/>
        <v>-2.6280593821051225E-2</v>
      </c>
      <c r="H3290" s="5" t="s">
        <v>2732</v>
      </c>
    </row>
    <row r="3291" spans="1:8" ht="25.5" x14ac:dyDescent="0.2">
      <c r="A3291" s="1" t="s">
        <v>4</v>
      </c>
      <c r="B3291" s="2" t="s">
        <v>336</v>
      </c>
      <c r="D3291" s="5" t="s">
        <v>877</v>
      </c>
      <c r="E3291" s="3">
        <v>115410</v>
      </c>
      <c r="F3291" s="3">
        <v>120840</v>
      </c>
      <c r="G3291" s="57">
        <f t="shared" si="53"/>
        <v>4.7049649077203014E-2</v>
      </c>
      <c r="H3291" s="5" t="s">
        <v>2733</v>
      </c>
    </row>
    <row r="3292" spans="1:8" ht="25.5" x14ac:dyDescent="0.2">
      <c r="A3292" s="1" t="s">
        <v>4</v>
      </c>
      <c r="B3292" s="2" t="s">
        <v>336</v>
      </c>
      <c r="D3292" s="5" t="s">
        <v>878</v>
      </c>
      <c r="E3292" s="3">
        <v>135890</v>
      </c>
      <c r="F3292" s="3">
        <v>132850</v>
      </c>
      <c r="G3292" s="57">
        <f t="shared" si="53"/>
        <v>-2.2371035396276402E-2</v>
      </c>
      <c r="H3292" s="5" t="s">
        <v>2734</v>
      </c>
    </row>
    <row r="3293" spans="1:8" ht="25.5" x14ac:dyDescent="0.2">
      <c r="A3293" s="1" t="s">
        <v>4</v>
      </c>
      <c r="B3293" s="2" t="s">
        <v>336</v>
      </c>
      <c r="D3293" s="5" t="s">
        <v>879</v>
      </c>
      <c r="E3293" s="3">
        <v>142350</v>
      </c>
      <c r="F3293" s="3">
        <v>352402</v>
      </c>
      <c r="G3293" s="57">
        <f t="shared" si="53"/>
        <v>1.4756023884791007</v>
      </c>
      <c r="H3293" s="5" t="s">
        <v>4424</v>
      </c>
    </row>
    <row r="3294" spans="1:8" x14ac:dyDescent="0.2">
      <c r="A3294" s="1" t="s">
        <v>4</v>
      </c>
      <c r="B3294" s="2" t="s">
        <v>336</v>
      </c>
      <c r="D3294" s="5" t="s">
        <v>464</v>
      </c>
      <c r="E3294" s="3">
        <v>102500</v>
      </c>
      <c r="F3294" s="3" t="s">
        <v>465</v>
      </c>
      <c r="G3294" s="57" t="str">
        <f t="shared" si="53"/>
        <v>-</v>
      </c>
      <c r="H3294" s="1"/>
    </row>
    <row r="3295" spans="1:8" x14ac:dyDescent="0.2">
      <c r="A3295" s="1" t="s">
        <v>4</v>
      </c>
      <c r="B3295" s="2" t="s">
        <v>336</v>
      </c>
      <c r="D3295" s="5" t="s">
        <v>464</v>
      </c>
      <c r="E3295" s="3" t="s">
        <v>465</v>
      </c>
      <c r="F3295" s="3">
        <v>102500</v>
      </c>
      <c r="G3295" s="57" t="str">
        <f t="shared" si="53"/>
        <v>-</v>
      </c>
      <c r="H3295" s="1"/>
    </row>
    <row r="3296" spans="1:8" x14ac:dyDescent="0.2">
      <c r="A3296" s="1" t="s">
        <v>4</v>
      </c>
      <c r="B3296" s="2" t="s">
        <v>336</v>
      </c>
      <c r="D3296" s="5" t="s">
        <v>464</v>
      </c>
      <c r="F3296" s="3" t="s">
        <v>465</v>
      </c>
      <c r="G3296" s="57" t="str">
        <f t="shared" si="53"/>
        <v>-</v>
      </c>
      <c r="H3296" s="1"/>
    </row>
    <row r="3297" spans="1:8" x14ac:dyDescent="0.2">
      <c r="A3297" s="1" t="s">
        <v>4</v>
      </c>
      <c r="B3297" s="2" t="s">
        <v>336</v>
      </c>
      <c r="D3297" s="5" t="s">
        <v>464</v>
      </c>
      <c r="E3297" s="3" t="s">
        <v>465</v>
      </c>
      <c r="F3297" s="3">
        <v>112500</v>
      </c>
      <c r="G3297" s="57" t="str">
        <f t="shared" si="53"/>
        <v>-</v>
      </c>
      <c r="H3297" s="1"/>
    </row>
    <row r="3298" spans="1:8" x14ac:dyDescent="0.2">
      <c r="A3298" s="1" t="s">
        <v>4</v>
      </c>
      <c r="B3298" s="2" t="s">
        <v>336</v>
      </c>
      <c r="D3298" s="5" t="s">
        <v>464</v>
      </c>
      <c r="E3298" s="3" t="s">
        <v>465</v>
      </c>
      <c r="F3298" s="3">
        <v>112500</v>
      </c>
      <c r="G3298" s="57" t="str">
        <f t="shared" si="53"/>
        <v>-</v>
      </c>
      <c r="H3298" s="1"/>
    </row>
    <row r="3299" spans="1:8" x14ac:dyDescent="0.2">
      <c r="A3299" s="1" t="s">
        <v>4</v>
      </c>
      <c r="B3299" s="2" t="s">
        <v>336</v>
      </c>
      <c r="D3299" s="5" t="s">
        <v>464</v>
      </c>
      <c r="E3299" s="3" t="s">
        <v>465</v>
      </c>
      <c r="F3299" s="3">
        <v>117500</v>
      </c>
      <c r="G3299" s="57" t="str">
        <f t="shared" si="53"/>
        <v>-</v>
      </c>
      <c r="H3299" s="1"/>
    </row>
    <row r="3300" spans="1:8" x14ac:dyDescent="0.2">
      <c r="A3300" s="1" t="s">
        <v>4</v>
      </c>
      <c r="B3300" s="2" t="s">
        <v>336</v>
      </c>
      <c r="D3300" s="5" t="s">
        <v>464</v>
      </c>
      <c r="E3300" s="3" t="s">
        <v>465</v>
      </c>
      <c r="F3300" s="3">
        <v>117500</v>
      </c>
      <c r="G3300" s="57" t="str">
        <f t="shared" si="53"/>
        <v>-</v>
      </c>
      <c r="H3300" s="1"/>
    </row>
    <row r="3301" spans="1:8" x14ac:dyDescent="0.2">
      <c r="A3301" s="1" t="s">
        <v>4</v>
      </c>
      <c r="B3301" s="2" t="s">
        <v>336</v>
      </c>
      <c r="D3301" s="5" t="s">
        <v>464</v>
      </c>
      <c r="E3301" s="3" t="s">
        <v>465</v>
      </c>
      <c r="F3301" s="3">
        <v>117500</v>
      </c>
      <c r="G3301" s="57" t="str">
        <f t="shared" si="53"/>
        <v>-</v>
      </c>
      <c r="H3301" s="1"/>
    </row>
    <row r="3302" spans="1:8" x14ac:dyDescent="0.2">
      <c r="A3302" s="1" t="s">
        <v>4</v>
      </c>
      <c r="B3302" s="2" t="s">
        <v>336</v>
      </c>
      <c r="D3302" s="5" t="s">
        <v>464</v>
      </c>
      <c r="E3302" s="3" t="s">
        <v>465</v>
      </c>
      <c r="F3302" s="3">
        <v>117500</v>
      </c>
      <c r="G3302" s="57" t="str">
        <f t="shared" si="53"/>
        <v>-</v>
      </c>
    </row>
    <row r="3303" spans="1:8" x14ac:dyDescent="0.2">
      <c r="A3303" s="1" t="s">
        <v>4</v>
      </c>
      <c r="B3303" s="2" t="s">
        <v>336</v>
      </c>
      <c r="D3303" s="5" t="s">
        <v>464</v>
      </c>
      <c r="E3303" s="3" t="s">
        <v>465</v>
      </c>
      <c r="F3303" s="3">
        <v>122500</v>
      </c>
      <c r="G3303" s="57" t="str">
        <f t="shared" si="53"/>
        <v>-</v>
      </c>
    </row>
    <row r="3304" spans="1:8" x14ac:dyDescent="0.2">
      <c r="A3304" s="1" t="s">
        <v>4</v>
      </c>
      <c r="B3304" s="2" t="s">
        <v>336</v>
      </c>
      <c r="D3304" s="5" t="s">
        <v>464</v>
      </c>
      <c r="E3304" s="3" t="s">
        <v>465</v>
      </c>
      <c r="F3304" s="3">
        <v>122500</v>
      </c>
      <c r="G3304" s="57" t="str">
        <f t="shared" si="53"/>
        <v>-</v>
      </c>
    </row>
    <row r="3305" spans="1:8" x14ac:dyDescent="0.2">
      <c r="A3305" s="1" t="s">
        <v>4</v>
      </c>
      <c r="B3305" s="2" t="s">
        <v>336</v>
      </c>
      <c r="D3305" s="5" t="s">
        <v>464</v>
      </c>
      <c r="E3305" s="3" t="s">
        <v>465</v>
      </c>
      <c r="F3305" s="3">
        <v>127500</v>
      </c>
      <c r="G3305" s="57" t="str">
        <f t="shared" si="53"/>
        <v>-</v>
      </c>
    </row>
    <row r="3306" spans="1:8" x14ac:dyDescent="0.2">
      <c r="A3306" s="1" t="s">
        <v>4</v>
      </c>
      <c r="B3306" s="2" t="s">
        <v>336</v>
      </c>
      <c r="D3306" s="5" t="s">
        <v>464</v>
      </c>
      <c r="E3306" s="3" t="s">
        <v>465</v>
      </c>
      <c r="F3306" s="3">
        <v>127500</v>
      </c>
      <c r="G3306" s="57" t="str">
        <f t="shared" si="53"/>
        <v>-</v>
      </c>
    </row>
    <row r="3307" spans="1:8" x14ac:dyDescent="0.2">
      <c r="A3307" s="1" t="s">
        <v>4</v>
      </c>
      <c r="B3307" s="2" t="s">
        <v>336</v>
      </c>
      <c r="D3307" s="5" t="s">
        <v>464</v>
      </c>
      <c r="E3307" s="3" t="s">
        <v>465</v>
      </c>
      <c r="F3307" s="3">
        <v>147500</v>
      </c>
      <c r="G3307" s="57" t="str">
        <f t="shared" si="53"/>
        <v>-</v>
      </c>
    </row>
    <row r="3308" spans="1:8" x14ac:dyDescent="0.2">
      <c r="A3308" s="1" t="s">
        <v>4</v>
      </c>
      <c r="B3308" s="2" t="s">
        <v>336</v>
      </c>
      <c r="D3308" s="5" t="s">
        <v>464</v>
      </c>
      <c r="E3308" s="3" t="s">
        <v>465</v>
      </c>
      <c r="F3308" s="3">
        <v>160000</v>
      </c>
      <c r="G3308" s="57" t="str">
        <f t="shared" si="53"/>
        <v>-</v>
      </c>
    </row>
    <row r="3309" spans="1:8" ht="25.5" x14ac:dyDescent="0.2">
      <c r="A3309" s="1" t="s">
        <v>39</v>
      </c>
      <c r="B3309" s="2" t="s">
        <v>337</v>
      </c>
      <c r="D3309" s="5" t="s">
        <v>450</v>
      </c>
      <c r="E3309" s="3">
        <v>152980</v>
      </c>
      <c r="F3309" s="3">
        <v>171958</v>
      </c>
      <c r="G3309" s="57">
        <f t="shared" si="53"/>
        <v>0.12405543208262518</v>
      </c>
      <c r="H3309" s="5" t="s">
        <v>2726</v>
      </c>
    </row>
    <row r="3310" spans="1:8" ht="25.5" x14ac:dyDescent="0.2">
      <c r="A3310" s="1" t="s">
        <v>39</v>
      </c>
      <c r="B3310" s="2" t="s">
        <v>337</v>
      </c>
      <c r="D3310" s="5" t="s">
        <v>4457</v>
      </c>
      <c r="E3310" s="3">
        <v>114050</v>
      </c>
      <c r="F3310" s="3">
        <v>119402</v>
      </c>
      <c r="G3310" s="57">
        <f t="shared" si="53"/>
        <v>4.6926786497150375E-2</v>
      </c>
      <c r="H3310" s="5" t="s">
        <v>2727</v>
      </c>
    </row>
    <row r="3311" spans="1:8" ht="25.5" x14ac:dyDescent="0.2">
      <c r="A3311" s="1" t="s">
        <v>39</v>
      </c>
      <c r="B3311" s="2" t="s">
        <v>337</v>
      </c>
      <c r="D3311" s="5" t="s">
        <v>4456</v>
      </c>
      <c r="E3311" s="3">
        <v>103733</v>
      </c>
      <c r="F3311" s="3">
        <v>106824</v>
      </c>
      <c r="G3311" s="57">
        <f t="shared" si="53"/>
        <v>2.9797653591431848E-2</v>
      </c>
      <c r="H3311" s="5" t="s">
        <v>2728</v>
      </c>
    </row>
    <row r="3312" spans="1:8" ht="25.5" x14ac:dyDescent="0.2">
      <c r="A3312" s="1" t="s">
        <v>39</v>
      </c>
      <c r="B3312" s="2" t="s">
        <v>337</v>
      </c>
      <c r="D3312" s="5" t="s">
        <v>4455</v>
      </c>
      <c r="E3312" s="3">
        <v>102965</v>
      </c>
      <c r="F3312" s="3">
        <v>105100</v>
      </c>
      <c r="G3312" s="57">
        <f t="shared" si="53"/>
        <v>2.0735201281989024E-2</v>
      </c>
      <c r="H3312" s="5" t="s">
        <v>2729</v>
      </c>
    </row>
    <row r="3313" spans="1:8" ht="38.25" x14ac:dyDescent="0.2">
      <c r="A3313" s="1" t="s">
        <v>39</v>
      </c>
      <c r="B3313" s="2" t="s">
        <v>337</v>
      </c>
      <c r="D3313" s="5" t="s">
        <v>873</v>
      </c>
      <c r="E3313" s="3">
        <v>78140</v>
      </c>
      <c r="F3313" s="3">
        <v>146883</v>
      </c>
      <c r="G3313" s="57">
        <f t="shared" si="53"/>
        <v>0.87974148963399024</v>
      </c>
      <c r="H3313" s="5" t="s">
        <v>4446</v>
      </c>
    </row>
    <row r="3314" spans="1:8" ht="25.5" x14ac:dyDescent="0.2">
      <c r="A3314" s="1" t="s">
        <v>39</v>
      </c>
      <c r="B3314" s="2" t="s">
        <v>337</v>
      </c>
      <c r="D3314" s="5" t="s">
        <v>874</v>
      </c>
      <c r="E3314" s="3">
        <v>117828</v>
      </c>
      <c r="F3314" s="3">
        <v>122271</v>
      </c>
      <c r="G3314" s="57">
        <f t="shared" si="53"/>
        <v>3.770750585599348E-2</v>
      </c>
      <c r="H3314" s="5" t="s">
        <v>2730</v>
      </c>
    </row>
    <row r="3315" spans="1:8" ht="25.5" x14ac:dyDescent="0.2">
      <c r="A3315" s="1" t="s">
        <v>39</v>
      </c>
      <c r="B3315" s="2" t="s">
        <v>337</v>
      </c>
      <c r="D3315" s="5" t="s">
        <v>464</v>
      </c>
      <c r="E3315" s="3" t="s">
        <v>465</v>
      </c>
      <c r="F3315" s="3">
        <v>102500</v>
      </c>
      <c r="G3315" s="57" t="str">
        <f t="shared" si="53"/>
        <v>-</v>
      </c>
      <c r="H3315" s="5" t="s">
        <v>4447</v>
      </c>
    </row>
    <row r="3316" spans="1:8" x14ac:dyDescent="0.2">
      <c r="A3316" s="1" t="s">
        <v>39</v>
      </c>
      <c r="B3316" s="2" t="s">
        <v>337</v>
      </c>
      <c r="D3316" s="5" t="s">
        <v>464</v>
      </c>
      <c r="E3316" s="3">
        <v>107500</v>
      </c>
      <c r="F3316" s="3" t="s">
        <v>465</v>
      </c>
      <c r="G3316" s="57" t="str">
        <f t="shared" si="53"/>
        <v>-</v>
      </c>
    </row>
    <row r="3317" spans="1:8" x14ac:dyDescent="0.2">
      <c r="A3317" s="1" t="s">
        <v>39</v>
      </c>
      <c r="B3317" s="2" t="s">
        <v>337</v>
      </c>
      <c r="D3317" s="5" t="s">
        <v>464</v>
      </c>
      <c r="E3317" s="3">
        <v>117500</v>
      </c>
      <c r="F3317" s="3" t="s">
        <v>465</v>
      </c>
      <c r="G3317" s="57" t="str">
        <f t="shared" si="53"/>
        <v>-</v>
      </c>
    </row>
    <row r="3318" spans="1:8" x14ac:dyDescent="0.2">
      <c r="A3318" s="1" t="s">
        <v>39</v>
      </c>
      <c r="B3318" s="2" t="s">
        <v>337</v>
      </c>
      <c r="D3318" s="5" t="s">
        <v>464</v>
      </c>
      <c r="E3318" s="3" t="s">
        <v>465</v>
      </c>
      <c r="F3318" s="3">
        <v>127500</v>
      </c>
      <c r="G3318" s="57" t="str">
        <f t="shared" si="53"/>
        <v>-</v>
      </c>
    </row>
    <row r="3319" spans="1:8" ht="38.25" x14ac:dyDescent="0.2">
      <c r="A3319" s="1" t="s">
        <v>34</v>
      </c>
      <c r="B3319" s="2" t="s">
        <v>338</v>
      </c>
      <c r="C3319" s="5" t="s">
        <v>869</v>
      </c>
      <c r="D3319" s="5" t="s">
        <v>450</v>
      </c>
      <c r="E3319" s="3">
        <v>31015.88</v>
      </c>
      <c r="F3319" s="3">
        <v>184186.16</v>
      </c>
      <c r="G3319" s="57">
        <f t="shared" si="53"/>
        <v>4.9384470148839883</v>
      </c>
      <c r="H3319" s="5" t="s">
        <v>4448</v>
      </c>
    </row>
    <row r="3320" spans="1:8" x14ac:dyDescent="0.2">
      <c r="A3320" s="1" t="s">
        <v>34</v>
      </c>
      <c r="B3320" s="2" t="s">
        <v>338</v>
      </c>
      <c r="C3320" s="5" t="s">
        <v>2719</v>
      </c>
      <c r="D3320" s="5" t="s">
        <v>450</v>
      </c>
      <c r="E3320" s="3">
        <v>218488.24</v>
      </c>
      <c r="F3320" s="3" t="s">
        <v>465</v>
      </c>
      <c r="G3320" s="57" t="str">
        <f t="shared" si="53"/>
        <v>-</v>
      </c>
      <c r="H3320" s="5" t="s">
        <v>4449</v>
      </c>
    </row>
    <row r="3321" spans="1:8" ht="25.5" x14ac:dyDescent="0.2">
      <c r="A3321" s="1" t="s">
        <v>34</v>
      </c>
      <c r="B3321" s="2" t="s">
        <v>338</v>
      </c>
      <c r="D3321" s="5" t="s">
        <v>590</v>
      </c>
      <c r="E3321" s="3">
        <v>139472.76</v>
      </c>
      <c r="F3321" s="3">
        <v>140087.28</v>
      </c>
      <c r="G3321" s="57">
        <f t="shared" si="53"/>
        <v>4.4060216489584742E-3</v>
      </c>
      <c r="H3321" s="5" t="s">
        <v>2721</v>
      </c>
    </row>
    <row r="3322" spans="1:8" ht="38.25" x14ac:dyDescent="0.2">
      <c r="A3322" s="1" t="s">
        <v>34</v>
      </c>
      <c r="B3322" s="2" t="s">
        <v>338</v>
      </c>
      <c r="D3322" s="7" t="s">
        <v>2720</v>
      </c>
      <c r="E3322" s="6">
        <v>150754.35</v>
      </c>
      <c r="F3322" s="6">
        <v>17746.169999999998</v>
      </c>
      <c r="G3322" s="57">
        <f t="shared" si="53"/>
        <v>-0.88228419279443671</v>
      </c>
      <c r="H3322" s="5" t="s">
        <v>2722</v>
      </c>
    </row>
    <row r="3323" spans="1:8" ht="38.25" x14ac:dyDescent="0.2">
      <c r="A3323" s="1" t="s">
        <v>34</v>
      </c>
      <c r="B3323" s="2" t="s">
        <v>338</v>
      </c>
      <c r="D3323" s="5" t="s">
        <v>589</v>
      </c>
      <c r="E3323" s="3">
        <v>139699.54</v>
      </c>
      <c r="F3323" s="3">
        <v>221364.7</v>
      </c>
      <c r="G3323" s="57">
        <f t="shared" si="53"/>
        <v>0.58457715751963102</v>
      </c>
      <c r="H3323" s="5" t="s">
        <v>4450</v>
      </c>
    </row>
    <row r="3324" spans="1:8" ht="38.25" x14ac:dyDescent="0.2">
      <c r="A3324" s="1" t="s">
        <v>34</v>
      </c>
      <c r="B3324" s="2" t="s">
        <v>338</v>
      </c>
      <c r="D3324" s="5" t="s">
        <v>666</v>
      </c>
      <c r="E3324" s="3">
        <v>139672.71</v>
      </c>
      <c r="F3324" s="3">
        <v>111159.01</v>
      </c>
      <c r="G3324" s="57">
        <f t="shared" si="53"/>
        <v>-0.20414653657110254</v>
      </c>
      <c r="H3324" s="5" t="s">
        <v>2723</v>
      </c>
    </row>
    <row r="3325" spans="1:8" ht="25.5" x14ac:dyDescent="0.2">
      <c r="A3325" s="1" t="s">
        <v>34</v>
      </c>
      <c r="B3325" s="2" t="s">
        <v>338</v>
      </c>
      <c r="D3325" s="5" t="s">
        <v>870</v>
      </c>
      <c r="E3325" s="3">
        <v>99870.15</v>
      </c>
      <c r="F3325" s="3">
        <v>100255.07</v>
      </c>
      <c r="G3325" s="57">
        <f t="shared" si="53"/>
        <v>3.8542046847833194E-3</v>
      </c>
      <c r="H3325" s="5" t="s">
        <v>2724</v>
      </c>
    </row>
    <row r="3326" spans="1:8" ht="25.5" x14ac:dyDescent="0.2">
      <c r="A3326" s="1" t="s">
        <v>34</v>
      </c>
      <c r="B3326" s="2" t="s">
        <v>338</v>
      </c>
      <c r="D3326" s="5" t="s">
        <v>871</v>
      </c>
      <c r="E3326" s="3">
        <v>99767.8</v>
      </c>
      <c r="F3326" s="3">
        <v>100283.42</v>
      </c>
      <c r="G3326" s="57">
        <f t="shared" si="53"/>
        <v>5.1682005617042304E-3</v>
      </c>
      <c r="H3326" s="5" t="s">
        <v>2725</v>
      </c>
    </row>
    <row r="3327" spans="1:8" ht="38.25" x14ac:dyDescent="0.2">
      <c r="A3327" s="1" t="s">
        <v>34</v>
      </c>
      <c r="B3327" s="2" t="s">
        <v>338</v>
      </c>
      <c r="D3327" s="5" t="s">
        <v>872</v>
      </c>
      <c r="E3327" s="3">
        <v>94618.85</v>
      </c>
      <c r="F3327" s="3">
        <v>167682.9</v>
      </c>
      <c r="G3327" s="57">
        <f t="shared" si="53"/>
        <v>0.77219338429921713</v>
      </c>
      <c r="H3327" s="5" t="s">
        <v>4426</v>
      </c>
    </row>
    <row r="3328" spans="1:8" x14ac:dyDescent="0.2">
      <c r="A3328" s="1" t="s">
        <v>34</v>
      </c>
      <c r="B3328" s="2" t="s">
        <v>338</v>
      </c>
      <c r="D3328" s="5" t="s">
        <v>464</v>
      </c>
      <c r="E3328" s="3">
        <v>107500</v>
      </c>
      <c r="F3328" s="3" t="s">
        <v>465</v>
      </c>
      <c r="G3328" s="57" t="str">
        <f t="shared" si="53"/>
        <v>-</v>
      </c>
    </row>
    <row r="3329" spans="1:8" x14ac:dyDescent="0.2">
      <c r="A3329" s="1" t="s">
        <v>34</v>
      </c>
      <c r="B3329" s="2" t="s">
        <v>338</v>
      </c>
      <c r="D3329" s="5" t="s">
        <v>464</v>
      </c>
      <c r="E3329" s="3" t="s">
        <v>465</v>
      </c>
      <c r="F3329" s="3">
        <v>117500</v>
      </c>
      <c r="G3329" s="57" t="str">
        <f t="shared" si="53"/>
        <v>-</v>
      </c>
    </row>
    <row r="3330" spans="1:8" ht="25.5" x14ac:dyDescent="0.2">
      <c r="A3330" s="1" t="s">
        <v>1</v>
      </c>
      <c r="B3330" s="2" t="s">
        <v>339</v>
      </c>
      <c r="C3330" s="5" t="s">
        <v>864</v>
      </c>
      <c r="D3330" s="5" t="s">
        <v>450</v>
      </c>
      <c r="E3330" s="3">
        <f>128226+21706</f>
        <v>149932</v>
      </c>
      <c r="F3330" s="3">
        <f>128983+96+135+22575</f>
        <v>151789</v>
      </c>
      <c r="G3330" s="57">
        <f t="shared" si="53"/>
        <v>1.2385614812048128E-2</v>
      </c>
      <c r="H3330" s="5" t="s">
        <v>2715</v>
      </c>
    </row>
    <row r="3331" spans="1:8" ht="25.5" x14ac:dyDescent="0.2">
      <c r="A3331" s="1" t="s">
        <v>1</v>
      </c>
      <c r="B3331" s="2" t="s">
        <v>339</v>
      </c>
      <c r="C3331" s="5" t="s">
        <v>865</v>
      </c>
      <c r="D3331" s="5" t="s">
        <v>866</v>
      </c>
      <c r="E3331" s="3">
        <f>102737+17742</f>
        <v>120479</v>
      </c>
      <c r="F3331" s="3">
        <f>105041+2160+19089</f>
        <v>126290</v>
      </c>
      <c r="G3331" s="57">
        <f t="shared" si="53"/>
        <v>4.8232472049070794E-2</v>
      </c>
      <c r="H3331" s="5" t="s">
        <v>2717</v>
      </c>
    </row>
    <row r="3332" spans="1:8" ht="25.5" x14ac:dyDescent="0.2">
      <c r="A3332" s="1" t="s">
        <v>1</v>
      </c>
      <c r="B3332" s="2" t="s">
        <v>339</v>
      </c>
      <c r="C3332" s="5" t="s">
        <v>867</v>
      </c>
      <c r="D3332" s="5" t="s">
        <v>868</v>
      </c>
      <c r="E3332" s="3">
        <f>103533+17742</f>
        <v>121275</v>
      </c>
      <c r="F3332" s="3">
        <f>105685+19089</f>
        <v>124774</v>
      </c>
      <c r="G3332" s="57">
        <f t="shared" si="53"/>
        <v>2.8851783137497422E-2</v>
      </c>
      <c r="H3332" s="5" t="s">
        <v>2718</v>
      </c>
    </row>
    <row r="3333" spans="1:8" ht="25.5" x14ac:dyDescent="0.2">
      <c r="A3333" s="1" t="s">
        <v>1</v>
      </c>
      <c r="B3333" s="2" t="s">
        <v>339</v>
      </c>
      <c r="C3333" s="5" t="s">
        <v>2713</v>
      </c>
      <c r="D3333" s="5" t="s">
        <v>2714</v>
      </c>
      <c r="E3333" s="3">
        <f>105807+18033</f>
        <v>123840</v>
      </c>
      <c r="F3333" s="3">
        <f>9707+58016</f>
        <v>67723</v>
      </c>
      <c r="G3333" s="57">
        <f t="shared" si="53"/>
        <v>-0.45314114987080101</v>
      </c>
      <c r="H3333" s="5" t="s">
        <v>2716</v>
      </c>
    </row>
    <row r="3334" spans="1:8" ht="25.5" x14ac:dyDescent="0.2">
      <c r="A3334" s="1" t="s">
        <v>4</v>
      </c>
      <c r="B3334" s="2" t="s">
        <v>340</v>
      </c>
      <c r="D3334" s="5" t="s">
        <v>450</v>
      </c>
      <c r="E3334" s="6">
        <v>128238</v>
      </c>
      <c r="F3334" s="6">
        <v>128388</v>
      </c>
      <c r="G3334" s="57">
        <f t="shared" si="53"/>
        <v>1.1697000888972067E-3</v>
      </c>
      <c r="H3334" s="5" t="s">
        <v>2710</v>
      </c>
    </row>
    <row r="3335" spans="1:8" ht="25.5" x14ac:dyDescent="0.2">
      <c r="A3335" s="1" t="s">
        <v>4</v>
      </c>
      <c r="B3335" s="2" t="s">
        <v>340</v>
      </c>
      <c r="D3335" s="5" t="s">
        <v>463</v>
      </c>
      <c r="E3335" s="6">
        <v>106308</v>
      </c>
      <c r="F3335" s="6">
        <v>108102</v>
      </c>
      <c r="G3335" s="57">
        <f t="shared" si="53"/>
        <v>1.6875493848064117E-2</v>
      </c>
      <c r="H3335" s="5" t="s">
        <v>2711</v>
      </c>
    </row>
    <row r="3336" spans="1:8" ht="25.5" x14ac:dyDescent="0.2">
      <c r="A3336" s="1" t="s">
        <v>4</v>
      </c>
      <c r="B3336" s="2" t="s">
        <v>340</v>
      </c>
      <c r="D3336" s="5" t="s">
        <v>863</v>
      </c>
      <c r="E3336" s="6">
        <v>106118</v>
      </c>
      <c r="F3336" s="6">
        <v>107800</v>
      </c>
      <c r="G3336" s="57">
        <f t="shared" si="53"/>
        <v>1.5850279877117925E-2</v>
      </c>
      <c r="H3336" s="5" t="s">
        <v>2712</v>
      </c>
    </row>
    <row r="3337" spans="1:8" x14ac:dyDescent="0.2">
      <c r="A3337" s="1" t="s">
        <v>4</v>
      </c>
      <c r="B3337" s="2" t="s">
        <v>340</v>
      </c>
      <c r="D3337" s="5" t="s">
        <v>860</v>
      </c>
      <c r="E3337" s="6">
        <v>113820</v>
      </c>
      <c r="F3337" s="6" t="s">
        <v>465</v>
      </c>
      <c r="G3337" s="57" t="str">
        <f t="shared" si="53"/>
        <v>-</v>
      </c>
    </row>
    <row r="3338" spans="1:8" ht="38.25" x14ac:dyDescent="0.2">
      <c r="A3338" s="1" t="s">
        <v>20</v>
      </c>
      <c r="B3338" s="2" t="s">
        <v>341</v>
      </c>
      <c r="D3338" s="5" t="s">
        <v>450</v>
      </c>
      <c r="E3338" s="3">
        <v>157029</v>
      </c>
      <c r="F3338" s="3">
        <v>211817</v>
      </c>
      <c r="G3338" s="57">
        <f t="shared" si="53"/>
        <v>0.34890370568493717</v>
      </c>
      <c r="H3338" s="5" t="s">
        <v>4427</v>
      </c>
    </row>
    <row r="3339" spans="1:8" ht="25.5" x14ac:dyDescent="0.2">
      <c r="A3339" s="1" t="s">
        <v>20</v>
      </c>
      <c r="B3339" s="2" t="s">
        <v>341</v>
      </c>
      <c r="D3339" s="5" t="s">
        <v>861</v>
      </c>
      <c r="E3339" s="3">
        <v>126994</v>
      </c>
      <c r="F3339" s="3">
        <v>128021</v>
      </c>
      <c r="G3339" s="57">
        <f t="shared" si="53"/>
        <v>8.086996236042648E-3</v>
      </c>
      <c r="H3339" s="5" t="s">
        <v>2708</v>
      </c>
    </row>
    <row r="3340" spans="1:8" ht="25.5" x14ac:dyDescent="0.2">
      <c r="A3340" s="1" t="s">
        <v>20</v>
      </c>
      <c r="B3340" s="2" t="s">
        <v>341</v>
      </c>
      <c r="D3340" s="5" t="s">
        <v>862</v>
      </c>
      <c r="E3340" s="3">
        <v>57313</v>
      </c>
      <c r="F3340" s="3">
        <v>120927</v>
      </c>
      <c r="G3340" s="57">
        <f t="shared" si="53"/>
        <v>1.1099401531938653</v>
      </c>
      <c r="H3340" s="5" t="s">
        <v>2709</v>
      </c>
    </row>
    <row r="3341" spans="1:8" ht="25.5" x14ac:dyDescent="0.2">
      <c r="A3341" s="1" t="s">
        <v>8</v>
      </c>
      <c r="B3341" s="2" t="s">
        <v>342</v>
      </c>
      <c r="D3341" s="5" t="s">
        <v>450</v>
      </c>
      <c r="E3341" s="3">
        <v>133667</v>
      </c>
      <c r="F3341" s="3">
        <v>133835</v>
      </c>
      <c r="G3341" s="57">
        <f t="shared" si="53"/>
        <v>1.2568547210605461E-3</v>
      </c>
      <c r="H3341" s="5" t="s">
        <v>2704</v>
      </c>
    </row>
    <row r="3342" spans="1:8" ht="25.5" x14ac:dyDescent="0.2">
      <c r="A3342" s="1" t="s">
        <v>8</v>
      </c>
      <c r="B3342" s="2" t="s">
        <v>342</v>
      </c>
      <c r="D3342" s="5" t="s">
        <v>858</v>
      </c>
      <c r="E3342" s="3">
        <v>104719</v>
      </c>
      <c r="F3342" s="3">
        <v>107268</v>
      </c>
      <c r="G3342" s="57">
        <f t="shared" si="53"/>
        <v>2.4341332518454148E-2</v>
      </c>
      <c r="H3342" s="5" t="s">
        <v>2705</v>
      </c>
    </row>
    <row r="3343" spans="1:8" ht="38.25" x14ac:dyDescent="0.2">
      <c r="A3343" s="1" t="s">
        <v>8</v>
      </c>
      <c r="B3343" s="2" t="s">
        <v>342</v>
      </c>
      <c r="C3343" s="5" t="s">
        <v>859</v>
      </c>
      <c r="D3343" s="5" t="s">
        <v>452</v>
      </c>
      <c r="E3343" s="3">
        <v>104624</v>
      </c>
      <c r="F3343" s="3">
        <v>182334</v>
      </c>
      <c r="G3343" s="57">
        <f t="shared" si="53"/>
        <v>0.742755008411072</v>
      </c>
      <c r="H3343" s="5" t="s">
        <v>2706</v>
      </c>
    </row>
    <row r="3344" spans="1:8" ht="38.25" x14ac:dyDescent="0.2">
      <c r="A3344" s="1" t="s">
        <v>8</v>
      </c>
      <c r="B3344" s="2" t="s">
        <v>342</v>
      </c>
      <c r="D3344" s="5" t="s">
        <v>860</v>
      </c>
      <c r="E3344" s="3">
        <v>74848</v>
      </c>
      <c r="F3344" s="3">
        <v>120415</v>
      </c>
      <c r="G3344" s="57">
        <f t="shared" si="53"/>
        <v>0.60879382214621636</v>
      </c>
      <c r="H3344" s="5" t="s">
        <v>2707</v>
      </c>
    </row>
    <row r="3345" spans="1:8" x14ac:dyDescent="0.2">
      <c r="A3345" s="1" t="s">
        <v>8</v>
      </c>
      <c r="B3345" s="2" t="s">
        <v>342</v>
      </c>
      <c r="D3345" s="5" t="s">
        <v>464</v>
      </c>
      <c r="E3345" s="3" t="s">
        <v>465</v>
      </c>
      <c r="F3345" s="3">
        <v>112500</v>
      </c>
      <c r="G3345" s="57" t="str">
        <f t="shared" ref="G3345:G3408" si="54">IF(ISERROR((F3345-E3345)/E3345),"-",(F3345-E3345)/E3345)</f>
        <v>-</v>
      </c>
    </row>
    <row r="3346" spans="1:8" x14ac:dyDescent="0.2">
      <c r="A3346" s="1" t="s">
        <v>8</v>
      </c>
      <c r="B3346" s="2" t="s">
        <v>342</v>
      </c>
      <c r="D3346" s="5" t="s">
        <v>464</v>
      </c>
      <c r="E3346" s="3" t="s">
        <v>465</v>
      </c>
      <c r="F3346" s="3">
        <v>122500</v>
      </c>
      <c r="G3346" s="57" t="str">
        <f t="shared" si="54"/>
        <v>-</v>
      </c>
    </row>
    <row r="3347" spans="1:8" x14ac:dyDescent="0.2">
      <c r="A3347" s="1" t="s">
        <v>34</v>
      </c>
      <c r="B3347" s="2" t="s">
        <v>343</v>
      </c>
      <c r="C3347" s="5" t="s">
        <v>853</v>
      </c>
      <c r="D3347" s="5" t="s">
        <v>450</v>
      </c>
      <c r="E3347" s="3">
        <v>186590</v>
      </c>
      <c r="F3347" s="3">
        <v>191459</v>
      </c>
      <c r="G3347" s="57">
        <f t="shared" si="54"/>
        <v>2.6094646015327724E-2</v>
      </c>
      <c r="H3347" s="5" t="s">
        <v>2699</v>
      </c>
    </row>
    <row r="3348" spans="1:8" x14ac:dyDescent="0.2">
      <c r="A3348" s="1" t="s">
        <v>34</v>
      </c>
      <c r="B3348" s="2" t="s">
        <v>343</v>
      </c>
      <c r="D3348" s="5" t="s">
        <v>854</v>
      </c>
      <c r="E3348" s="3">
        <v>142262</v>
      </c>
      <c r="F3348" s="3">
        <v>145987</v>
      </c>
      <c r="G3348" s="57">
        <f t="shared" si="54"/>
        <v>2.6184082889316895E-2</v>
      </c>
      <c r="H3348" s="5" t="s">
        <v>2700</v>
      </c>
    </row>
    <row r="3349" spans="1:8" x14ac:dyDescent="0.2">
      <c r="A3349" s="1" t="s">
        <v>34</v>
      </c>
      <c r="B3349" s="2" t="s">
        <v>343</v>
      </c>
      <c r="D3349" s="5" t="s">
        <v>789</v>
      </c>
      <c r="E3349" s="3">
        <v>142334</v>
      </c>
      <c r="F3349" s="3">
        <v>145987</v>
      </c>
      <c r="G3349" s="57">
        <f t="shared" si="54"/>
        <v>2.5664985175713462E-2</v>
      </c>
      <c r="H3349" s="5" t="s">
        <v>2700</v>
      </c>
    </row>
    <row r="3350" spans="1:8" x14ac:dyDescent="0.2">
      <c r="A3350" s="1" t="s">
        <v>34</v>
      </c>
      <c r="B3350" s="2" t="s">
        <v>343</v>
      </c>
      <c r="D3350" s="5" t="s">
        <v>855</v>
      </c>
      <c r="E3350" s="3">
        <v>128875</v>
      </c>
      <c r="F3350" s="3">
        <v>131628</v>
      </c>
      <c r="G3350" s="57">
        <f t="shared" si="54"/>
        <v>2.1361784675072746E-2</v>
      </c>
      <c r="H3350" s="5" t="s">
        <v>2701</v>
      </c>
    </row>
    <row r="3351" spans="1:8" x14ac:dyDescent="0.2">
      <c r="A3351" s="1" t="s">
        <v>34</v>
      </c>
      <c r="B3351" s="2" t="s">
        <v>343</v>
      </c>
      <c r="D3351" s="5" t="s">
        <v>856</v>
      </c>
      <c r="E3351" s="3">
        <v>128875</v>
      </c>
      <c r="F3351" s="3">
        <v>131628</v>
      </c>
      <c r="G3351" s="57">
        <f t="shared" si="54"/>
        <v>2.1361784675072746E-2</v>
      </c>
      <c r="H3351" s="5" t="s">
        <v>2701</v>
      </c>
    </row>
    <row r="3352" spans="1:8" x14ac:dyDescent="0.2">
      <c r="A3352" s="1" t="s">
        <v>34</v>
      </c>
      <c r="B3352" s="2" t="s">
        <v>343</v>
      </c>
      <c r="D3352" s="5" t="s">
        <v>857</v>
      </c>
      <c r="E3352" s="3">
        <v>128875</v>
      </c>
      <c r="F3352" s="3">
        <v>132084</v>
      </c>
      <c r="G3352" s="57">
        <f t="shared" si="54"/>
        <v>2.4900096993210476E-2</v>
      </c>
      <c r="H3352" s="5" t="s">
        <v>2702</v>
      </c>
    </row>
    <row r="3353" spans="1:8" x14ac:dyDescent="0.2">
      <c r="A3353" s="1" t="s">
        <v>34</v>
      </c>
      <c r="B3353" s="2" t="s">
        <v>343</v>
      </c>
      <c r="D3353" s="5" t="s">
        <v>487</v>
      </c>
      <c r="E3353" s="3">
        <v>113368</v>
      </c>
      <c r="F3353" s="3">
        <v>116072</v>
      </c>
      <c r="G3353" s="57">
        <f t="shared" si="54"/>
        <v>2.3851527767976853E-2</v>
      </c>
      <c r="H3353" s="5" t="s">
        <v>2703</v>
      </c>
    </row>
    <row r="3354" spans="1:8" x14ac:dyDescent="0.2">
      <c r="A3354" s="1" t="s">
        <v>34</v>
      </c>
      <c r="B3354" s="2" t="s">
        <v>343</v>
      </c>
      <c r="D3354" s="5" t="s">
        <v>464</v>
      </c>
      <c r="E3354" s="3" t="s">
        <v>465</v>
      </c>
      <c r="F3354" s="3">
        <v>117500</v>
      </c>
      <c r="G3354" s="57" t="str">
        <f t="shared" si="54"/>
        <v>-</v>
      </c>
    </row>
    <row r="3355" spans="1:8" x14ac:dyDescent="0.2">
      <c r="A3355" s="1" t="s">
        <v>34</v>
      </c>
      <c r="B3355" s="2" t="s">
        <v>343</v>
      </c>
      <c r="D3355" s="5" t="s">
        <v>464</v>
      </c>
      <c r="E3355" s="3" t="s">
        <v>465</v>
      </c>
      <c r="F3355" s="3">
        <v>157500</v>
      </c>
      <c r="G3355" s="57" t="str">
        <f t="shared" si="54"/>
        <v>-</v>
      </c>
    </row>
    <row r="3356" spans="1:8" ht="76.5" x14ac:dyDescent="0.2">
      <c r="A3356" s="1" t="s">
        <v>34</v>
      </c>
      <c r="B3356" s="12" t="s">
        <v>344</v>
      </c>
      <c r="C3356" s="29" t="s">
        <v>2698</v>
      </c>
      <c r="D3356" s="29"/>
      <c r="G3356" s="57" t="str">
        <f t="shared" si="54"/>
        <v>-</v>
      </c>
    </row>
    <row r="3357" spans="1:8" ht="38.25" x14ac:dyDescent="0.2">
      <c r="A3357" s="1" t="s">
        <v>8</v>
      </c>
      <c r="B3357" s="2" t="s">
        <v>345</v>
      </c>
      <c r="D3357" s="5" t="s">
        <v>4167</v>
      </c>
      <c r="E3357" s="3">
        <v>139889</v>
      </c>
      <c r="F3357" s="3">
        <v>145187</v>
      </c>
      <c r="G3357" s="57">
        <f t="shared" si="54"/>
        <v>3.7872884930194653E-2</v>
      </c>
      <c r="H3357" s="5" t="s">
        <v>4458</v>
      </c>
    </row>
    <row r="3358" spans="1:8" ht="38.25" x14ac:dyDescent="0.2">
      <c r="A3358" s="1" t="s">
        <v>8</v>
      </c>
      <c r="B3358" s="2" t="s">
        <v>345</v>
      </c>
      <c r="D3358" s="5" t="s">
        <v>468</v>
      </c>
      <c r="E3358" s="3">
        <v>99059</v>
      </c>
      <c r="F3358" s="3">
        <v>238575</v>
      </c>
      <c r="G3358" s="57">
        <f t="shared" si="54"/>
        <v>1.4084131679100333</v>
      </c>
      <c r="H3358" s="5" t="s">
        <v>2695</v>
      </c>
    </row>
    <row r="3359" spans="1:8" ht="51" x14ac:dyDescent="0.2">
      <c r="A3359" s="1" t="s">
        <v>8</v>
      </c>
      <c r="B3359" s="2" t="s">
        <v>345</v>
      </c>
      <c r="D3359" s="5" t="s">
        <v>468</v>
      </c>
      <c r="E3359" s="3">
        <v>99241</v>
      </c>
      <c r="F3359" s="3">
        <v>157495</v>
      </c>
      <c r="G3359" s="57">
        <f t="shared" si="54"/>
        <v>0.58699529428361263</v>
      </c>
      <c r="H3359" s="5" t="s">
        <v>4459</v>
      </c>
    </row>
    <row r="3360" spans="1:8" ht="38.25" x14ac:dyDescent="0.2">
      <c r="A3360" s="1" t="s">
        <v>8</v>
      </c>
      <c r="B3360" s="2" t="s">
        <v>345</v>
      </c>
      <c r="D3360" s="5" t="s">
        <v>852</v>
      </c>
      <c r="E3360" s="3">
        <v>71200</v>
      </c>
      <c r="F3360" s="3">
        <v>156355</v>
      </c>
      <c r="G3360" s="57">
        <f t="shared" si="54"/>
        <v>1.1959971910112359</v>
      </c>
      <c r="H3360" s="5" t="s">
        <v>2696</v>
      </c>
    </row>
    <row r="3361" spans="1:8" ht="25.5" x14ac:dyDescent="0.2">
      <c r="A3361" s="1" t="s">
        <v>8</v>
      </c>
      <c r="B3361" s="2" t="s">
        <v>346</v>
      </c>
      <c r="D3361" s="5" t="s">
        <v>450</v>
      </c>
      <c r="E3361" s="3">
        <v>136000</v>
      </c>
      <c r="F3361" s="3">
        <v>134000</v>
      </c>
      <c r="G3361" s="57">
        <f t="shared" si="54"/>
        <v>-1.4705882352941176E-2</v>
      </c>
      <c r="H3361" s="5" t="s">
        <v>2692</v>
      </c>
    </row>
    <row r="3362" spans="1:8" ht="25.5" x14ac:dyDescent="0.2">
      <c r="A3362" s="1" t="s">
        <v>8</v>
      </c>
      <c r="B3362" s="2" t="s">
        <v>346</v>
      </c>
      <c r="D3362" s="5" t="s">
        <v>504</v>
      </c>
      <c r="E3362" s="3">
        <v>109000</v>
      </c>
      <c r="F3362" s="3">
        <v>108000</v>
      </c>
      <c r="G3362" s="57">
        <f t="shared" si="54"/>
        <v>-9.1743119266055051E-3</v>
      </c>
      <c r="H3362" s="5" t="s">
        <v>2693</v>
      </c>
    </row>
    <row r="3363" spans="1:8" ht="25.5" x14ac:dyDescent="0.2">
      <c r="A3363" s="1" t="s">
        <v>8</v>
      </c>
      <c r="B3363" s="2" t="s">
        <v>346</v>
      </c>
      <c r="D3363" s="5" t="s">
        <v>504</v>
      </c>
      <c r="E3363" s="3">
        <v>96000</v>
      </c>
      <c r="F3363" s="3">
        <v>103000</v>
      </c>
      <c r="G3363" s="57">
        <f t="shared" si="54"/>
        <v>7.2916666666666671E-2</v>
      </c>
      <c r="H3363" s="5" t="s">
        <v>2694</v>
      </c>
    </row>
    <row r="3364" spans="1:8" ht="38.25" x14ac:dyDescent="0.2">
      <c r="A3364" s="1" t="s">
        <v>6</v>
      </c>
      <c r="B3364" s="2" t="s">
        <v>347</v>
      </c>
      <c r="D3364" s="5" t="s">
        <v>4460</v>
      </c>
      <c r="E3364" s="3">
        <v>96384</v>
      </c>
      <c r="F3364" s="3">
        <v>118267</v>
      </c>
      <c r="G3364" s="57">
        <f t="shared" si="54"/>
        <v>0.22703975763612219</v>
      </c>
      <c r="H3364" s="5" t="s">
        <v>2690</v>
      </c>
    </row>
    <row r="3365" spans="1:8" ht="38.25" x14ac:dyDescent="0.2">
      <c r="A3365" s="1" t="s">
        <v>6</v>
      </c>
      <c r="B3365" s="2" t="s">
        <v>347</v>
      </c>
      <c r="D3365" s="5" t="s">
        <v>450</v>
      </c>
      <c r="E3365" s="3">
        <v>115112</v>
      </c>
      <c r="F3365" s="3">
        <v>41966</v>
      </c>
      <c r="G3365" s="57">
        <f t="shared" si="54"/>
        <v>-0.63543331711724238</v>
      </c>
      <c r="H3365" s="5" t="s">
        <v>4461</v>
      </c>
    </row>
    <row r="3366" spans="1:8" ht="25.5" x14ac:dyDescent="0.2">
      <c r="A3366" s="1" t="s">
        <v>6</v>
      </c>
      <c r="B3366" s="2" t="s">
        <v>347</v>
      </c>
      <c r="D3366" s="5" t="s">
        <v>851</v>
      </c>
      <c r="E3366" s="3">
        <v>100372</v>
      </c>
      <c r="F3366" s="3">
        <v>100690</v>
      </c>
      <c r="G3366" s="57">
        <f t="shared" si="54"/>
        <v>3.1682142430159805E-3</v>
      </c>
      <c r="H3366" s="5" t="s">
        <v>2691</v>
      </c>
    </row>
    <row r="3367" spans="1:8" ht="25.5" x14ac:dyDescent="0.2">
      <c r="A3367" s="1" t="s">
        <v>1</v>
      </c>
      <c r="B3367" s="2" t="s">
        <v>348</v>
      </c>
      <c r="C3367" s="5" t="s">
        <v>842</v>
      </c>
      <c r="D3367" s="5" t="s">
        <v>450</v>
      </c>
      <c r="E3367" s="36">
        <f>162366+29119</f>
        <v>191485</v>
      </c>
      <c r="F3367" s="3">
        <f>156878+271+29504</f>
        <v>186653</v>
      </c>
      <c r="G3367" s="57">
        <f t="shared" si="54"/>
        <v>-2.5234352560252762E-2</v>
      </c>
      <c r="H3367" s="5" t="s">
        <v>2682</v>
      </c>
    </row>
    <row r="3368" spans="1:8" ht="25.5" x14ac:dyDescent="0.2">
      <c r="A3368" s="1" t="s">
        <v>1</v>
      </c>
      <c r="B3368" s="2" t="s">
        <v>348</v>
      </c>
      <c r="C3368" s="5" t="s">
        <v>843</v>
      </c>
      <c r="D3368" s="5" t="s">
        <v>844</v>
      </c>
      <c r="E3368" s="36">
        <f>128560+22091</f>
        <v>150651</v>
      </c>
      <c r="F3368" s="3">
        <f>127714+298+23140</f>
        <v>151152</v>
      </c>
      <c r="G3368" s="57">
        <f t="shared" si="54"/>
        <v>3.3255670390505208E-3</v>
      </c>
      <c r="H3368" s="5" t="s">
        <v>2683</v>
      </c>
    </row>
    <row r="3369" spans="1:8" ht="25.5" x14ac:dyDescent="0.2">
      <c r="A3369" s="1" t="s">
        <v>1</v>
      </c>
      <c r="B3369" s="2" t="s">
        <v>348</v>
      </c>
      <c r="C3369" s="5" t="s">
        <v>845</v>
      </c>
      <c r="D3369" s="5" t="s">
        <v>529</v>
      </c>
      <c r="E3369" s="36">
        <f>126836+20935</f>
        <v>147771</v>
      </c>
      <c r="F3369" s="3">
        <f>126066+271+21924</f>
        <v>148261</v>
      </c>
      <c r="G3369" s="57">
        <f t="shared" si="54"/>
        <v>3.3159415582218431E-3</v>
      </c>
      <c r="H3369" s="5" t="s">
        <v>2684</v>
      </c>
    </row>
    <row r="3370" spans="1:8" x14ac:dyDescent="0.2">
      <c r="A3370" s="1" t="s">
        <v>1</v>
      </c>
      <c r="B3370" s="2" t="s">
        <v>348</v>
      </c>
      <c r="C3370" s="5" t="s">
        <v>846</v>
      </c>
      <c r="D3370" s="5" t="s">
        <v>529</v>
      </c>
      <c r="E3370" s="36">
        <f>121336+20935</f>
        <v>142271</v>
      </c>
      <c r="F3370" s="6">
        <f>120516+271+0</f>
        <v>120787</v>
      </c>
      <c r="G3370" s="57">
        <f t="shared" si="54"/>
        <v>-0.15100758411763465</v>
      </c>
      <c r="H3370" s="7" t="s">
        <v>2685</v>
      </c>
    </row>
    <row r="3371" spans="1:8" ht="25.5" x14ac:dyDescent="0.2">
      <c r="A3371" s="1" t="s">
        <v>1</v>
      </c>
      <c r="B3371" s="2" t="s">
        <v>348</v>
      </c>
      <c r="C3371" s="5" t="s">
        <v>847</v>
      </c>
      <c r="D3371" s="5" t="s">
        <v>529</v>
      </c>
      <c r="E3371" s="36">
        <f>20935+121336</f>
        <v>142271</v>
      </c>
      <c r="F3371" s="3">
        <f>120516+271+21924</f>
        <v>142711</v>
      </c>
      <c r="G3371" s="57">
        <f t="shared" si="54"/>
        <v>3.0926893042151947E-3</v>
      </c>
      <c r="H3371" s="5" t="s">
        <v>2686</v>
      </c>
    </row>
    <row r="3372" spans="1:8" x14ac:dyDescent="0.2">
      <c r="A3372" s="1" t="s">
        <v>1</v>
      </c>
      <c r="B3372" s="2" t="s">
        <v>348</v>
      </c>
      <c r="C3372" s="5" t="s">
        <v>848</v>
      </c>
      <c r="D3372" s="5" t="s">
        <v>529</v>
      </c>
      <c r="E3372" s="36">
        <f>117725+18466</f>
        <v>136191</v>
      </c>
      <c r="F3372" s="3">
        <f>119627+21623</f>
        <v>141250</v>
      </c>
      <c r="G3372" s="57">
        <f t="shared" si="54"/>
        <v>3.7146360625885708E-2</v>
      </c>
      <c r="H3372" s="5" t="s">
        <v>2687</v>
      </c>
    </row>
    <row r="3373" spans="1:8" ht="25.5" x14ac:dyDescent="0.2">
      <c r="A3373" s="1" t="s">
        <v>1</v>
      </c>
      <c r="B3373" s="2" t="s">
        <v>348</v>
      </c>
      <c r="C3373" s="5" t="s">
        <v>849</v>
      </c>
      <c r="D3373" s="5" t="s">
        <v>529</v>
      </c>
      <c r="E3373" s="8" t="s">
        <v>465</v>
      </c>
      <c r="F3373" s="3">
        <f>117177+283+21321</f>
        <v>138781</v>
      </c>
      <c r="G3373" s="57" t="str">
        <f t="shared" si="54"/>
        <v>-</v>
      </c>
      <c r="H3373" s="5" t="s">
        <v>2688</v>
      </c>
    </row>
    <row r="3374" spans="1:8" ht="25.5" x14ac:dyDescent="0.2">
      <c r="A3374" s="1" t="s">
        <v>1</v>
      </c>
      <c r="B3374" s="2" t="s">
        <v>348</v>
      </c>
      <c r="C3374" s="5" t="s">
        <v>850</v>
      </c>
      <c r="D3374" s="5" t="s">
        <v>529</v>
      </c>
      <c r="E3374" s="36">
        <f>121336+20935</f>
        <v>142271</v>
      </c>
      <c r="F3374" s="3">
        <f>120516+771+21924</f>
        <v>143211</v>
      </c>
      <c r="G3374" s="57">
        <f t="shared" si="54"/>
        <v>6.6071089680960985E-3</v>
      </c>
      <c r="H3374" s="5" t="s">
        <v>2689</v>
      </c>
    </row>
    <row r="3375" spans="1:8" ht="25.5" x14ac:dyDescent="0.2">
      <c r="A3375" s="1" t="s">
        <v>20</v>
      </c>
      <c r="B3375" s="2" t="s">
        <v>349</v>
      </c>
      <c r="D3375" s="5" t="s">
        <v>450</v>
      </c>
      <c r="E3375" s="3">
        <v>133469</v>
      </c>
      <c r="F3375" s="3">
        <v>146498</v>
      </c>
      <c r="G3375" s="57">
        <f t="shared" si="54"/>
        <v>9.7618173508455142E-2</v>
      </c>
      <c r="H3375" s="5" t="s">
        <v>2681</v>
      </c>
    </row>
    <row r="3376" spans="1:8" ht="38.25" x14ac:dyDescent="0.2">
      <c r="A3376" s="1" t="s">
        <v>8</v>
      </c>
      <c r="B3376" s="2" t="s">
        <v>350</v>
      </c>
      <c r="D3376" s="5" t="s">
        <v>450</v>
      </c>
      <c r="E3376" s="3">
        <v>136895</v>
      </c>
      <c r="F3376" s="3">
        <v>135829</v>
      </c>
      <c r="G3376" s="57">
        <f t="shared" si="54"/>
        <v>-7.7869900288542312E-3</v>
      </c>
      <c r="H3376" s="5" t="s">
        <v>2676</v>
      </c>
    </row>
    <row r="3377" spans="1:8" ht="38.25" x14ac:dyDescent="0.2">
      <c r="A3377" s="1" t="s">
        <v>8</v>
      </c>
      <c r="B3377" s="2" t="s">
        <v>350</v>
      </c>
      <c r="D3377" s="5" t="s">
        <v>522</v>
      </c>
      <c r="E3377" s="3">
        <v>100619</v>
      </c>
      <c r="F3377" s="3">
        <v>103851</v>
      </c>
      <c r="G3377" s="57">
        <f t="shared" si="54"/>
        <v>3.2121169957960223E-2</v>
      </c>
      <c r="H3377" s="5" t="s">
        <v>2677</v>
      </c>
    </row>
    <row r="3378" spans="1:8" ht="38.25" x14ac:dyDescent="0.2">
      <c r="A3378" s="1" t="s">
        <v>8</v>
      </c>
      <c r="B3378" s="2" t="s">
        <v>350</v>
      </c>
      <c r="D3378" s="5" t="s">
        <v>840</v>
      </c>
      <c r="E3378" s="3">
        <v>104944</v>
      </c>
      <c r="F3378" s="3">
        <v>108901</v>
      </c>
      <c r="G3378" s="57">
        <f t="shared" si="54"/>
        <v>3.7705824058545508E-2</v>
      </c>
      <c r="H3378" s="5" t="s">
        <v>2678</v>
      </c>
    </row>
    <row r="3379" spans="1:8" ht="38.25" x14ac:dyDescent="0.2">
      <c r="A3379" s="1" t="s">
        <v>8</v>
      </c>
      <c r="B3379" s="2" t="s">
        <v>350</v>
      </c>
      <c r="D3379" s="5" t="s">
        <v>841</v>
      </c>
      <c r="E3379" s="3">
        <v>105726</v>
      </c>
      <c r="F3379" s="3">
        <v>104724</v>
      </c>
      <c r="G3379" s="57">
        <f t="shared" si="54"/>
        <v>-9.4773281879575507E-3</v>
      </c>
      <c r="H3379" s="5" t="s">
        <v>2679</v>
      </c>
    </row>
    <row r="3380" spans="1:8" ht="38.25" x14ac:dyDescent="0.2">
      <c r="A3380" s="1" t="s">
        <v>8</v>
      </c>
      <c r="B3380" s="2" t="s">
        <v>350</v>
      </c>
      <c r="D3380" s="5" t="s">
        <v>740</v>
      </c>
      <c r="E3380" s="3">
        <v>93899</v>
      </c>
      <c r="F3380" s="3">
        <v>107379</v>
      </c>
      <c r="G3380" s="57">
        <f t="shared" si="54"/>
        <v>0.14355850435041906</v>
      </c>
      <c r="H3380" s="5" t="s">
        <v>2680</v>
      </c>
    </row>
    <row r="3381" spans="1:8" ht="51" x14ac:dyDescent="0.2">
      <c r="A3381" s="1" t="s">
        <v>4</v>
      </c>
      <c r="B3381" s="30" t="s">
        <v>4508</v>
      </c>
      <c r="D3381" s="5" t="s">
        <v>659</v>
      </c>
      <c r="E3381" s="3">
        <v>150805</v>
      </c>
      <c r="F3381" s="3">
        <v>151507</v>
      </c>
      <c r="G3381" s="57">
        <f t="shared" si="54"/>
        <v>4.6550180696926496E-3</v>
      </c>
      <c r="H3381" s="5" t="s">
        <v>4509</v>
      </c>
    </row>
    <row r="3382" spans="1:8" ht="38.25" x14ac:dyDescent="0.2">
      <c r="A3382" s="1" t="s">
        <v>4</v>
      </c>
      <c r="B3382" s="2" t="s">
        <v>351</v>
      </c>
      <c r="D3382" s="5" t="s">
        <v>660</v>
      </c>
      <c r="E3382" s="3">
        <v>121779</v>
      </c>
      <c r="F3382" s="3">
        <v>123213</v>
      </c>
      <c r="G3382" s="57">
        <f t="shared" si="54"/>
        <v>1.1775429261202671E-2</v>
      </c>
      <c r="H3382" s="5" t="s">
        <v>4510</v>
      </c>
    </row>
    <row r="3383" spans="1:8" x14ac:dyDescent="0.2">
      <c r="A3383" s="1" t="s">
        <v>4</v>
      </c>
      <c r="B3383" s="2" t="s">
        <v>351</v>
      </c>
      <c r="D3383" s="5" t="s">
        <v>464</v>
      </c>
      <c r="E3383" s="3">
        <v>152500</v>
      </c>
      <c r="F3383" s="3" t="s">
        <v>465</v>
      </c>
      <c r="G3383" s="57" t="str">
        <f t="shared" si="54"/>
        <v>-</v>
      </c>
    </row>
    <row r="3384" spans="1:8" ht="25.5" x14ac:dyDescent="0.2">
      <c r="A3384" s="1" t="s">
        <v>6</v>
      </c>
      <c r="B3384" s="2" t="s">
        <v>352</v>
      </c>
      <c r="D3384" s="5" t="s">
        <v>2670</v>
      </c>
      <c r="E3384" s="3" t="s">
        <v>465</v>
      </c>
      <c r="F3384" s="3">
        <v>113245</v>
      </c>
      <c r="G3384" s="57" t="str">
        <f t="shared" si="54"/>
        <v>-</v>
      </c>
      <c r="H3384" s="5" t="s">
        <v>2673</v>
      </c>
    </row>
    <row r="3385" spans="1:8" x14ac:dyDescent="0.2">
      <c r="A3385" s="1" t="s">
        <v>6</v>
      </c>
      <c r="B3385" s="2" t="s">
        <v>352</v>
      </c>
      <c r="D3385" s="5" t="s">
        <v>450</v>
      </c>
      <c r="E3385" s="3">
        <v>127721</v>
      </c>
      <c r="F3385" s="3" t="s">
        <v>465</v>
      </c>
      <c r="G3385" s="57" t="str">
        <f t="shared" si="54"/>
        <v>-</v>
      </c>
    </row>
    <row r="3386" spans="1:8" ht="25.5" x14ac:dyDescent="0.2">
      <c r="A3386" s="1" t="s">
        <v>6</v>
      </c>
      <c r="B3386" s="2" t="s">
        <v>352</v>
      </c>
      <c r="D3386" s="5" t="s">
        <v>2671</v>
      </c>
      <c r="E3386" s="3">
        <v>85762</v>
      </c>
      <c r="F3386" s="3">
        <v>108332</v>
      </c>
      <c r="G3386" s="57">
        <f t="shared" si="54"/>
        <v>0.26317016860614256</v>
      </c>
      <c r="H3386" s="5" t="s">
        <v>2674</v>
      </c>
    </row>
    <row r="3387" spans="1:8" ht="25.5" x14ac:dyDescent="0.2">
      <c r="A3387" s="1" t="s">
        <v>6</v>
      </c>
      <c r="B3387" s="2" t="s">
        <v>352</v>
      </c>
      <c r="D3387" s="5" t="s">
        <v>2672</v>
      </c>
      <c r="E3387" s="3">
        <v>86195</v>
      </c>
      <c r="F3387" s="3">
        <v>108067</v>
      </c>
      <c r="G3387" s="57">
        <f t="shared" si="54"/>
        <v>0.25375021753001914</v>
      </c>
      <c r="H3387" s="5" t="s">
        <v>2675</v>
      </c>
    </row>
    <row r="3388" spans="1:8" ht="38.25" x14ac:dyDescent="0.2">
      <c r="A3388" s="1" t="s">
        <v>34</v>
      </c>
      <c r="B3388" s="2" t="s">
        <v>353</v>
      </c>
      <c r="D3388" s="5" t="s">
        <v>838</v>
      </c>
      <c r="E3388" s="3">
        <v>116000</v>
      </c>
      <c r="F3388" s="3">
        <v>117000</v>
      </c>
      <c r="G3388" s="57">
        <f t="shared" si="54"/>
        <v>8.6206896551724137E-3</v>
      </c>
      <c r="H3388" s="5" t="s">
        <v>2667</v>
      </c>
    </row>
    <row r="3389" spans="1:8" ht="25.5" x14ac:dyDescent="0.2">
      <c r="A3389" s="1" t="s">
        <v>34</v>
      </c>
      <c r="B3389" s="2" t="s">
        <v>353</v>
      </c>
      <c r="D3389" s="5" t="s">
        <v>839</v>
      </c>
      <c r="E3389" s="3">
        <v>111000</v>
      </c>
      <c r="F3389" s="3">
        <v>114000</v>
      </c>
      <c r="G3389" s="57">
        <f t="shared" si="54"/>
        <v>2.7027027027027029E-2</v>
      </c>
      <c r="H3389" s="5" t="s">
        <v>2669</v>
      </c>
    </row>
    <row r="3390" spans="1:8" ht="25.5" x14ac:dyDescent="0.2">
      <c r="A3390" s="1" t="s">
        <v>34</v>
      </c>
      <c r="B3390" s="2" t="s">
        <v>353</v>
      </c>
      <c r="C3390" s="5" t="s">
        <v>2668</v>
      </c>
      <c r="D3390" s="5" t="s">
        <v>450</v>
      </c>
      <c r="E3390" s="3">
        <v>569000</v>
      </c>
      <c r="F3390" s="3" t="s">
        <v>465</v>
      </c>
      <c r="G3390" s="57" t="str">
        <f t="shared" si="54"/>
        <v>-</v>
      </c>
      <c r="H3390" s="5" t="s">
        <v>4462</v>
      </c>
    </row>
    <row r="3391" spans="1:8" x14ac:dyDescent="0.2">
      <c r="A3391" s="1" t="s">
        <v>34</v>
      </c>
      <c r="B3391" s="2" t="s">
        <v>353</v>
      </c>
      <c r="D3391" s="5" t="s">
        <v>464</v>
      </c>
      <c r="E3391" s="3">
        <v>162500</v>
      </c>
      <c r="F3391" s="3" t="s">
        <v>465</v>
      </c>
      <c r="G3391" s="57" t="str">
        <f t="shared" si="54"/>
        <v>-</v>
      </c>
      <c r="H3391" s="5" t="s">
        <v>539</v>
      </c>
    </row>
    <row r="3392" spans="1:8" x14ac:dyDescent="0.2">
      <c r="A3392" s="1" t="s">
        <v>34</v>
      </c>
      <c r="B3392" s="2" t="s">
        <v>353</v>
      </c>
      <c r="D3392" s="5" t="s">
        <v>464</v>
      </c>
      <c r="E3392" s="3">
        <v>177500</v>
      </c>
      <c r="F3392" s="3" t="s">
        <v>465</v>
      </c>
      <c r="G3392" s="57" t="str">
        <f t="shared" si="54"/>
        <v>-</v>
      </c>
      <c r="H3392" s="5" t="s">
        <v>539</v>
      </c>
    </row>
    <row r="3393" spans="1:8" ht="25.5" x14ac:dyDescent="0.2">
      <c r="A3393" s="1" t="s">
        <v>39</v>
      </c>
      <c r="B3393" s="2" t="s">
        <v>354</v>
      </c>
      <c r="D3393" s="5" t="s">
        <v>450</v>
      </c>
      <c r="E3393" s="3">
        <v>104831</v>
      </c>
      <c r="F3393" s="3">
        <v>111300</v>
      </c>
      <c r="G3393" s="57">
        <f t="shared" si="54"/>
        <v>6.1708845665881279E-2</v>
      </c>
      <c r="H3393" s="5" t="s">
        <v>2666</v>
      </c>
    </row>
    <row r="3394" spans="1:8" ht="38.25" x14ac:dyDescent="0.2">
      <c r="A3394" s="1" t="s">
        <v>111</v>
      </c>
      <c r="B3394" s="2" t="s">
        <v>355</v>
      </c>
      <c r="C3394" s="5" t="s">
        <v>830</v>
      </c>
      <c r="D3394" s="5" t="s">
        <v>450</v>
      </c>
      <c r="E3394" s="3">
        <v>34764</v>
      </c>
      <c r="F3394" s="3">
        <v>175457</v>
      </c>
      <c r="G3394" s="57">
        <f t="shared" si="54"/>
        <v>4.0470889425842822</v>
      </c>
      <c r="H3394" s="5" t="s">
        <v>2876</v>
      </c>
    </row>
    <row r="3395" spans="1:8" ht="25.5" x14ac:dyDescent="0.2">
      <c r="A3395" s="1" t="s">
        <v>111</v>
      </c>
      <c r="B3395" s="2" t="s">
        <v>355</v>
      </c>
      <c r="D3395" s="5" t="s">
        <v>451</v>
      </c>
      <c r="E3395" s="3">
        <v>68779</v>
      </c>
      <c r="F3395" s="3">
        <v>108782</v>
      </c>
      <c r="G3395" s="57">
        <f t="shared" si="54"/>
        <v>0.58161648177496039</v>
      </c>
      <c r="H3395" s="5" t="s">
        <v>2661</v>
      </c>
    </row>
    <row r="3396" spans="1:8" ht="25.5" x14ac:dyDescent="0.2">
      <c r="A3396" s="1" t="s">
        <v>111</v>
      </c>
      <c r="B3396" s="2" t="s">
        <v>355</v>
      </c>
      <c r="D3396" s="5" t="s">
        <v>831</v>
      </c>
      <c r="E3396" s="3" t="s">
        <v>465</v>
      </c>
      <c r="F3396" s="3">
        <v>137069</v>
      </c>
      <c r="G3396" s="57" t="str">
        <f t="shared" si="54"/>
        <v>-</v>
      </c>
      <c r="H3396" s="5" t="s">
        <v>2655</v>
      </c>
    </row>
    <row r="3397" spans="1:8" x14ac:dyDescent="0.2">
      <c r="A3397" s="1" t="s">
        <v>111</v>
      </c>
      <c r="B3397" s="2" t="s">
        <v>355</v>
      </c>
      <c r="D3397" s="5" t="s">
        <v>2658</v>
      </c>
      <c r="E3397" s="3">
        <v>124485</v>
      </c>
      <c r="F3397" s="3" t="s">
        <v>465</v>
      </c>
      <c r="G3397" s="57" t="str">
        <f t="shared" si="54"/>
        <v>-</v>
      </c>
    </row>
    <row r="3398" spans="1:8" x14ac:dyDescent="0.2">
      <c r="A3398" s="1" t="s">
        <v>111</v>
      </c>
      <c r="B3398" s="2" t="s">
        <v>355</v>
      </c>
      <c r="D3398" s="5" t="s">
        <v>2659</v>
      </c>
      <c r="E3398" s="3">
        <v>121241</v>
      </c>
      <c r="F3398" s="3" t="s">
        <v>465</v>
      </c>
      <c r="G3398" s="57" t="str">
        <f t="shared" si="54"/>
        <v>-</v>
      </c>
    </row>
    <row r="3399" spans="1:8" ht="25.5" x14ac:dyDescent="0.2">
      <c r="A3399" s="1" t="s">
        <v>111</v>
      </c>
      <c r="B3399" s="2" t="s">
        <v>355</v>
      </c>
      <c r="D3399" s="5" t="s">
        <v>832</v>
      </c>
      <c r="E3399" s="3" t="s">
        <v>465</v>
      </c>
      <c r="F3399" s="3">
        <v>124597</v>
      </c>
      <c r="G3399" s="57" t="str">
        <f t="shared" si="54"/>
        <v>-</v>
      </c>
      <c r="H3399" s="5" t="s">
        <v>2656</v>
      </c>
    </row>
    <row r="3400" spans="1:8" ht="25.5" x14ac:dyDescent="0.2">
      <c r="A3400" s="1" t="s">
        <v>111</v>
      </c>
      <c r="B3400" s="2" t="s">
        <v>355</v>
      </c>
      <c r="D3400" s="5" t="s">
        <v>833</v>
      </c>
      <c r="E3400" s="3">
        <v>121199</v>
      </c>
      <c r="F3400" s="3">
        <v>151931</v>
      </c>
      <c r="G3400" s="57">
        <f t="shared" si="54"/>
        <v>0.25356644856805749</v>
      </c>
      <c r="H3400" s="5" t="s">
        <v>2657</v>
      </c>
    </row>
    <row r="3401" spans="1:8" x14ac:dyDescent="0.2">
      <c r="A3401" s="1" t="s">
        <v>111</v>
      </c>
      <c r="B3401" s="2" t="s">
        <v>355</v>
      </c>
      <c r="D3401" s="5" t="s">
        <v>834</v>
      </c>
      <c r="E3401" s="3">
        <v>109574</v>
      </c>
      <c r="F3401" s="3">
        <v>109747</v>
      </c>
      <c r="G3401" s="57">
        <f t="shared" si="54"/>
        <v>1.5788416960227792E-3</v>
      </c>
      <c r="H3401" s="5" t="s">
        <v>2664</v>
      </c>
    </row>
    <row r="3402" spans="1:8" ht="25.5" x14ac:dyDescent="0.2">
      <c r="A3402" s="1" t="s">
        <v>111</v>
      </c>
      <c r="B3402" s="2" t="s">
        <v>355</v>
      </c>
      <c r="D3402" s="5" t="s">
        <v>835</v>
      </c>
      <c r="E3402" s="3">
        <v>109380</v>
      </c>
      <c r="F3402" s="3">
        <v>110364</v>
      </c>
      <c r="G3402" s="57">
        <f t="shared" si="54"/>
        <v>8.9961601755348328E-3</v>
      </c>
      <c r="H3402" s="5" t="s">
        <v>2665</v>
      </c>
    </row>
    <row r="3403" spans="1:8" x14ac:dyDescent="0.2">
      <c r="A3403" s="1" t="s">
        <v>111</v>
      </c>
      <c r="B3403" s="2" t="s">
        <v>355</v>
      </c>
      <c r="D3403" s="5" t="s">
        <v>2660</v>
      </c>
      <c r="E3403" s="3">
        <v>119293</v>
      </c>
      <c r="F3403" s="3" t="s">
        <v>465</v>
      </c>
      <c r="G3403" s="57" t="str">
        <f t="shared" si="54"/>
        <v>-</v>
      </c>
    </row>
    <row r="3404" spans="1:8" x14ac:dyDescent="0.2">
      <c r="A3404" s="1" t="s">
        <v>111</v>
      </c>
      <c r="B3404" s="2" t="s">
        <v>355</v>
      </c>
      <c r="D3404" s="5" t="s">
        <v>2645</v>
      </c>
      <c r="E3404" s="3">
        <v>113596</v>
      </c>
      <c r="F3404" s="3" t="s">
        <v>465</v>
      </c>
      <c r="G3404" s="57" t="str">
        <f t="shared" si="54"/>
        <v>-</v>
      </c>
    </row>
    <row r="3405" spans="1:8" ht="25.5" x14ac:dyDescent="0.2">
      <c r="A3405" s="1" t="s">
        <v>111</v>
      </c>
      <c r="B3405" s="2" t="s">
        <v>355</v>
      </c>
      <c r="D3405" s="5" t="s">
        <v>836</v>
      </c>
      <c r="E3405" s="3">
        <v>97953</v>
      </c>
      <c r="F3405" s="3">
        <v>114077</v>
      </c>
      <c r="G3405" s="57">
        <f t="shared" si="54"/>
        <v>0.16460955764499299</v>
      </c>
      <c r="H3405" s="5" t="s">
        <v>2662</v>
      </c>
    </row>
    <row r="3406" spans="1:8" ht="25.5" x14ac:dyDescent="0.2">
      <c r="A3406" s="1" t="s">
        <v>111</v>
      </c>
      <c r="B3406" s="2" t="s">
        <v>355</v>
      </c>
      <c r="D3406" s="5" t="s">
        <v>837</v>
      </c>
      <c r="E3406" s="3">
        <v>97514</v>
      </c>
      <c r="F3406" s="3">
        <v>117891</v>
      </c>
      <c r="G3406" s="57">
        <f t="shared" si="54"/>
        <v>0.20896486658325983</v>
      </c>
      <c r="H3406" s="5" t="s">
        <v>2663</v>
      </c>
    </row>
    <row r="3407" spans="1:8" x14ac:dyDescent="0.2">
      <c r="A3407" s="1" t="s">
        <v>111</v>
      </c>
      <c r="B3407" s="2" t="s">
        <v>355</v>
      </c>
      <c r="D3407" s="5" t="s">
        <v>464</v>
      </c>
      <c r="E3407" s="3" t="s">
        <v>465</v>
      </c>
      <c r="F3407" s="3">
        <v>102500</v>
      </c>
      <c r="G3407" s="57" t="str">
        <f t="shared" si="54"/>
        <v>-</v>
      </c>
      <c r="H3407" s="5" t="s">
        <v>539</v>
      </c>
    </row>
    <row r="3408" spans="1:8" x14ac:dyDescent="0.2">
      <c r="A3408" s="1" t="s">
        <v>111</v>
      </c>
      <c r="B3408" s="2" t="s">
        <v>355</v>
      </c>
      <c r="D3408" s="5" t="s">
        <v>464</v>
      </c>
      <c r="E3408" s="3" t="s">
        <v>465</v>
      </c>
      <c r="F3408" s="3">
        <v>102500</v>
      </c>
      <c r="G3408" s="57" t="str">
        <f t="shared" si="54"/>
        <v>-</v>
      </c>
      <c r="H3408" s="5" t="s">
        <v>539</v>
      </c>
    </row>
    <row r="3409" spans="1:10" x14ac:dyDescent="0.2">
      <c r="A3409" s="1" t="s">
        <v>111</v>
      </c>
      <c r="B3409" s="2" t="s">
        <v>355</v>
      </c>
      <c r="D3409" s="5" t="s">
        <v>464</v>
      </c>
      <c r="E3409" s="3" t="s">
        <v>465</v>
      </c>
      <c r="F3409" s="3">
        <v>102500</v>
      </c>
      <c r="G3409" s="57" t="str">
        <f t="shared" ref="G3409:G3472" si="55">IF(ISERROR((F3409-E3409)/E3409),"-",(F3409-E3409)/E3409)</f>
        <v>-</v>
      </c>
      <c r="H3409" s="5" t="s">
        <v>539</v>
      </c>
    </row>
    <row r="3410" spans="1:10" x14ac:dyDescent="0.2">
      <c r="A3410" s="1" t="s">
        <v>111</v>
      </c>
      <c r="B3410" s="2" t="s">
        <v>355</v>
      </c>
      <c r="D3410" s="5" t="s">
        <v>464</v>
      </c>
      <c r="E3410" s="3">
        <v>112500</v>
      </c>
      <c r="F3410" s="3" t="s">
        <v>465</v>
      </c>
      <c r="G3410" s="57" t="str">
        <f t="shared" si="55"/>
        <v>-</v>
      </c>
      <c r="H3410" s="5" t="s">
        <v>539</v>
      </c>
    </row>
    <row r="3411" spans="1:10" ht="38.25" x14ac:dyDescent="0.2">
      <c r="A3411" s="1" t="s">
        <v>4</v>
      </c>
      <c r="B3411" s="2" t="s">
        <v>356</v>
      </c>
      <c r="C3411" s="5" t="s">
        <v>820</v>
      </c>
      <c r="D3411" s="5" t="s">
        <v>450</v>
      </c>
      <c r="E3411" s="3">
        <v>205920</v>
      </c>
      <c r="F3411" s="3">
        <v>140725</v>
      </c>
      <c r="G3411" s="57">
        <f t="shared" si="55"/>
        <v>-0.31660353535353536</v>
      </c>
      <c r="H3411" s="5" t="s">
        <v>2647</v>
      </c>
    </row>
    <row r="3412" spans="1:10" ht="38.25" x14ac:dyDescent="0.2">
      <c r="A3412" s="1" t="s">
        <v>4</v>
      </c>
      <c r="B3412" s="2" t="s">
        <v>356</v>
      </c>
      <c r="C3412" s="5" t="s">
        <v>2643</v>
      </c>
      <c r="D3412" s="5" t="s">
        <v>2642</v>
      </c>
      <c r="E3412" s="3">
        <v>109732</v>
      </c>
      <c r="F3412" s="3">
        <v>62795</v>
      </c>
      <c r="G3412" s="57">
        <f t="shared" si="55"/>
        <v>-0.42774213538439104</v>
      </c>
      <c r="H3412" s="5" t="s">
        <v>2648</v>
      </c>
    </row>
    <row r="3413" spans="1:10" ht="25.5" x14ac:dyDescent="0.2">
      <c r="A3413" s="1" t="s">
        <v>4</v>
      </c>
      <c r="B3413" s="2" t="s">
        <v>356</v>
      </c>
      <c r="C3413" s="5" t="s">
        <v>821</v>
      </c>
      <c r="D3413" s="5" t="s">
        <v>822</v>
      </c>
      <c r="E3413" s="3">
        <v>105390</v>
      </c>
      <c r="F3413" s="3">
        <v>131999</v>
      </c>
      <c r="G3413" s="57">
        <f t="shared" si="55"/>
        <v>0.25248126008160166</v>
      </c>
      <c r="H3413" s="5" t="s">
        <v>2649</v>
      </c>
    </row>
    <row r="3414" spans="1:10" ht="25.5" x14ac:dyDescent="0.2">
      <c r="A3414" s="1" t="s">
        <v>4</v>
      </c>
      <c r="B3414" s="2" t="s">
        <v>356</v>
      </c>
      <c r="C3414" s="5" t="s">
        <v>823</v>
      </c>
      <c r="D3414" s="5" t="s">
        <v>613</v>
      </c>
      <c r="E3414" s="3">
        <v>123341</v>
      </c>
      <c r="F3414" s="3">
        <v>137189</v>
      </c>
      <c r="G3414" s="57">
        <f t="shared" si="55"/>
        <v>0.1122741018801534</v>
      </c>
      <c r="H3414" s="5" t="s">
        <v>4686</v>
      </c>
    </row>
    <row r="3415" spans="1:10" ht="38.25" x14ac:dyDescent="0.2">
      <c r="A3415" s="1" t="s">
        <v>4</v>
      </c>
      <c r="B3415" s="2" t="s">
        <v>356</v>
      </c>
      <c r="C3415" s="5" t="s">
        <v>824</v>
      </c>
      <c r="D3415" s="5" t="s">
        <v>825</v>
      </c>
      <c r="E3415" s="3">
        <v>149481</v>
      </c>
      <c r="F3415" s="3">
        <v>153471</v>
      </c>
      <c r="G3415" s="57">
        <f t="shared" si="55"/>
        <v>2.6692355550203706E-2</v>
      </c>
      <c r="H3415" s="5" t="s">
        <v>2650</v>
      </c>
    </row>
    <row r="3416" spans="1:10" ht="25.5" x14ac:dyDescent="0.2">
      <c r="A3416" s="1" t="s">
        <v>4</v>
      </c>
      <c r="B3416" s="2" t="s">
        <v>356</v>
      </c>
      <c r="C3416" s="5" t="s">
        <v>826</v>
      </c>
      <c r="D3416" s="5" t="s">
        <v>2644</v>
      </c>
      <c r="E3416" s="3" t="s">
        <v>465</v>
      </c>
      <c r="F3416" s="3">
        <v>138941</v>
      </c>
      <c r="G3416" s="57" t="str">
        <f t="shared" si="55"/>
        <v>-</v>
      </c>
      <c r="H3416" s="5" t="s">
        <v>2651</v>
      </c>
    </row>
    <row r="3417" spans="1:10" ht="25.5" x14ac:dyDescent="0.2">
      <c r="A3417" s="1" t="s">
        <v>4</v>
      </c>
      <c r="B3417" s="2" t="s">
        <v>356</v>
      </c>
      <c r="C3417" s="5" t="s">
        <v>827</v>
      </c>
      <c r="D3417" s="5" t="s">
        <v>4687</v>
      </c>
      <c r="E3417" s="3">
        <v>143604</v>
      </c>
      <c r="F3417" s="3">
        <v>148239</v>
      </c>
      <c r="G3417" s="57">
        <f t="shared" si="55"/>
        <v>3.2276259714214085E-2</v>
      </c>
      <c r="H3417" s="5" t="s">
        <v>2652</v>
      </c>
    </row>
    <row r="3418" spans="1:10" ht="25.5" x14ac:dyDescent="0.2">
      <c r="A3418" s="1" t="s">
        <v>4</v>
      </c>
      <c r="B3418" s="2" t="s">
        <v>356</v>
      </c>
      <c r="C3418" s="5" t="s">
        <v>828</v>
      </c>
      <c r="D3418" s="5" t="s">
        <v>829</v>
      </c>
      <c r="E3418" s="3">
        <v>142512</v>
      </c>
      <c r="F3418" s="3">
        <v>147324</v>
      </c>
      <c r="G3418" s="57">
        <f t="shared" si="55"/>
        <v>3.3765577635567534E-2</v>
      </c>
      <c r="H3418" s="5" t="s">
        <v>2653</v>
      </c>
    </row>
    <row r="3419" spans="1:10" ht="25.5" x14ac:dyDescent="0.2">
      <c r="A3419" s="1" t="s">
        <v>4</v>
      </c>
      <c r="B3419" s="2" t="s">
        <v>356</v>
      </c>
      <c r="C3419" s="5" t="s">
        <v>1470</v>
      </c>
      <c r="D3419" s="5" t="s">
        <v>886</v>
      </c>
      <c r="E3419" s="3">
        <v>156012</v>
      </c>
      <c r="F3419" s="3">
        <v>58872</v>
      </c>
      <c r="G3419" s="57">
        <f t="shared" si="55"/>
        <v>-0.62264441196831011</v>
      </c>
      <c r="H3419" s="5" t="s">
        <v>2654</v>
      </c>
    </row>
    <row r="3420" spans="1:10" x14ac:dyDescent="0.2">
      <c r="A3420" s="1" t="s">
        <v>4</v>
      </c>
      <c r="B3420" s="2" t="s">
        <v>356</v>
      </c>
      <c r="D3420" s="5" t="s">
        <v>2645</v>
      </c>
      <c r="E3420" s="3">
        <v>108538</v>
      </c>
      <c r="G3420" s="57">
        <f t="shared" si="55"/>
        <v>-1</v>
      </c>
      <c r="H3420" s="5" t="s">
        <v>2646</v>
      </c>
    </row>
    <row r="3421" spans="1:10" x14ac:dyDescent="0.2">
      <c r="A3421" s="1" t="s">
        <v>4</v>
      </c>
      <c r="B3421" s="2" t="s">
        <v>356</v>
      </c>
      <c r="D3421" s="5" t="s">
        <v>464</v>
      </c>
      <c r="E3421" s="3" t="s">
        <v>465</v>
      </c>
      <c r="F3421" s="3">
        <v>102500</v>
      </c>
      <c r="G3421" s="57" t="str">
        <f t="shared" si="55"/>
        <v>-</v>
      </c>
    </row>
    <row r="3422" spans="1:10" x14ac:dyDescent="0.2">
      <c r="A3422" s="1" t="s">
        <v>4</v>
      </c>
      <c r="B3422" s="2" t="s">
        <v>356</v>
      </c>
      <c r="D3422" s="5" t="s">
        <v>464</v>
      </c>
      <c r="E3422" s="3" t="s">
        <v>465</v>
      </c>
      <c r="F3422" s="3">
        <v>107500</v>
      </c>
      <c r="G3422" s="57" t="str">
        <f t="shared" si="55"/>
        <v>-</v>
      </c>
    </row>
    <row r="3423" spans="1:10" x14ac:dyDescent="0.2">
      <c r="A3423" s="1" t="s">
        <v>4</v>
      </c>
      <c r="B3423" s="2" t="s">
        <v>356</v>
      </c>
      <c r="D3423" s="5" t="s">
        <v>464</v>
      </c>
      <c r="E3423" s="3" t="s">
        <v>465</v>
      </c>
      <c r="F3423" s="3">
        <v>107500</v>
      </c>
      <c r="G3423" s="57" t="str">
        <f t="shared" si="55"/>
        <v>-</v>
      </c>
    </row>
    <row r="3424" spans="1:10" x14ac:dyDescent="0.2">
      <c r="A3424" s="1" t="s">
        <v>4</v>
      </c>
      <c r="B3424" s="2" t="s">
        <v>356</v>
      </c>
      <c r="D3424" s="5" t="s">
        <v>464</v>
      </c>
      <c r="E3424" s="3" t="s">
        <v>465</v>
      </c>
      <c r="F3424" s="3">
        <v>107500</v>
      </c>
      <c r="G3424" s="57" t="str">
        <f t="shared" si="55"/>
        <v>-</v>
      </c>
      <c r="J3424" s="5"/>
    </row>
    <row r="3425" spans="1:8" x14ac:dyDescent="0.2">
      <c r="A3425" s="1" t="s">
        <v>4</v>
      </c>
      <c r="B3425" s="2" t="s">
        <v>356</v>
      </c>
      <c r="D3425" s="5" t="s">
        <v>464</v>
      </c>
      <c r="E3425" s="3" t="s">
        <v>465</v>
      </c>
      <c r="F3425" s="3">
        <v>112500</v>
      </c>
      <c r="G3425" s="57" t="str">
        <f t="shared" si="55"/>
        <v>-</v>
      </c>
    </row>
    <row r="3426" spans="1:8" x14ac:dyDescent="0.2">
      <c r="A3426" s="1" t="s">
        <v>4</v>
      </c>
      <c r="B3426" s="2" t="s">
        <v>356</v>
      </c>
      <c r="D3426" s="5" t="s">
        <v>464</v>
      </c>
      <c r="E3426" s="3">
        <v>157500</v>
      </c>
      <c r="F3426" s="3" t="s">
        <v>465</v>
      </c>
      <c r="G3426" s="57" t="str">
        <f t="shared" si="55"/>
        <v>-</v>
      </c>
    </row>
    <row r="3427" spans="1:8" ht="38.25" x14ac:dyDescent="0.2">
      <c r="A3427" s="1" t="s">
        <v>20</v>
      </c>
      <c r="B3427" s="2" t="s">
        <v>357</v>
      </c>
      <c r="C3427" s="5" t="s">
        <v>807</v>
      </c>
      <c r="D3427" s="15" t="s">
        <v>450</v>
      </c>
      <c r="E3427" s="9">
        <v>184209</v>
      </c>
      <c r="F3427" s="9">
        <v>171012</v>
      </c>
      <c r="G3427" s="57">
        <f t="shared" si="55"/>
        <v>-7.164145074344902E-2</v>
      </c>
      <c r="H3427" s="5" t="s">
        <v>4688</v>
      </c>
    </row>
    <row r="3428" spans="1:8" ht="38.25" x14ac:dyDescent="0.2">
      <c r="A3428" s="1" t="s">
        <v>20</v>
      </c>
      <c r="B3428" s="2" t="s">
        <v>357</v>
      </c>
      <c r="C3428" s="5" t="s">
        <v>808</v>
      </c>
      <c r="D3428" s="15" t="s">
        <v>809</v>
      </c>
      <c r="E3428" s="9">
        <v>136005</v>
      </c>
      <c r="F3428" s="9">
        <v>131520</v>
      </c>
      <c r="G3428" s="57">
        <f t="shared" si="55"/>
        <v>-3.2976728796735418E-2</v>
      </c>
      <c r="H3428" s="5" t="s">
        <v>2877</v>
      </c>
    </row>
    <row r="3429" spans="1:8" ht="38.25" x14ac:dyDescent="0.2">
      <c r="A3429" s="1" t="s">
        <v>20</v>
      </c>
      <c r="B3429" s="2" t="s">
        <v>357</v>
      </c>
      <c r="C3429" s="5" t="s">
        <v>810</v>
      </c>
      <c r="D3429" s="15" t="s">
        <v>811</v>
      </c>
      <c r="E3429" s="9">
        <v>137149</v>
      </c>
      <c r="F3429" s="9">
        <v>135822</v>
      </c>
      <c r="G3429" s="57">
        <f t="shared" si="55"/>
        <v>-9.6756082800457891E-3</v>
      </c>
      <c r="H3429" s="5" t="s">
        <v>4689</v>
      </c>
    </row>
    <row r="3430" spans="1:8" ht="25.5" x14ac:dyDescent="0.2">
      <c r="A3430" s="1" t="s">
        <v>20</v>
      </c>
      <c r="B3430" s="2" t="s">
        <v>357</v>
      </c>
      <c r="C3430" s="5" t="s">
        <v>812</v>
      </c>
      <c r="D3430" s="15" t="s">
        <v>813</v>
      </c>
      <c r="E3430" s="9">
        <v>140157</v>
      </c>
      <c r="F3430" s="9">
        <v>131521</v>
      </c>
      <c r="G3430" s="57">
        <f t="shared" si="55"/>
        <v>-6.1616615652446902E-2</v>
      </c>
      <c r="H3430" s="5" t="s">
        <v>2640</v>
      </c>
    </row>
    <row r="3431" spans="1:8" ht="25.5" x14ac:dyDescent="0.2">
      <c r="A3431" s="1" t="s">
        <v>20</v>
      </c>
      <c r="B3431" s="2" t="s">
        <v>357</v>
      </c>
      <c r="C3431" s="5" t="s">
        <v>814</v>
      </c>
      <c r="D3431" s="15" t="s">
        <v>815</v>
      </c>
      <c r="E3431" s="9">
        <v>126135</v>
      </c>
      <c r="F3431" s="9">
        <v>127453</v>
      </c>
      <c r="G3431" s="57">
        <f t="shared" si="55"/>
        <v>1.0449121972489792E-2</v>
      </c>
      <c r="H3431" s="5" t="s">
        <v>4690</v>
      </c>
    </row>
    <row r="3432" spans="1:8" ht="76.5" x14ac:dyDescent="0.2">
      <c r="A3432" s="1" t="s">
        <v>20</v>
      </c>
      <c r="B3432" s="2" t="s">
        <v>357</v>
      </c>
      <c r="C3432" s="5" t="s">
        <v>2636</v>
      </c>
      <c r="D3432" s="15" t="s">
        <v>4463</v>
      </c>
      <c r="E3432" s="9">
        <v>102255</v>
      </c>
      <c r="F3432" s="9">
        <f>96295+9550</f>
        <v>105845</v>
      </c>
      <c r="G3432" s="57">
        <f t="shared" si="55"/>
        <v>3.5108307662217009E-2</v>
      </c>
      <c r="H3432" s="5" t="s">
        <v>4691</v>
      </c>
    </row>
    <row r="3433" spans="1:8" ht="25.5" x14ac:dyDescent="0.2">
      <c r="A3433" s="1" t="s">
        <v>20</v>
      </c>
      <c r="B3433" s="2" t="s">
        <v>357</v>
      </c>
      <c r="C3433" s="5" t="s">
        <v>2637</v>
      </c>
      <c r="D3433" s="15" t="s">
        <v>2638</v>
      </c>
      <c r="E3433" s="9">
        <v>100620</v>
      </c>
      <c r="F3433" s="9">
        <v>98223</v>
      </c>
      <c r="G3433" s="57">
        <f t="shared" si="55"/>
        <v>-2.3822301729278475E-2</v>
      </c>
      <c r="H3433" s="5" t="s">
        <v>2641</v>
      </c>
    </row>
    <row r="3434" spans="1:8" ht="25.5" x14ac:dyDescent="0.2">
      <c r="A3434" s="1" t="s">
        <v>20</v>
      </c>
      <c r="B3434" s="2" t="s">
        <v>357</v>
      </c>
      <c r="C3434" s="5" t="s">
        <v>2639</v>
      </c>
      <c r="D3434" s="15" t="s">
        <v>4692</v>
      </c>
      <c r="E3434" s="9">
        <v>110534</v>
      </c>
      <c r="F3434" s="9">
        <v>31344</v>
      </c>
      <c r="G3434" s="57">
        <f t="shared" si="55"/>
        <v>-0.71643114335860458</v>
      </c>
      <c r="H3434" s="5" t="s">
        <v>4464</v>
      </c>
    </row>
    <row r="3435" spans="1:8" ht="25.5" x14ac:dyDescent="0.2">
      <c r="A3435" s="1" t="s">
        <v>20</v>
      </c>
      <c r="B3435" s="2" t="s">
        <v>357</v>
      </c>
      <c r="C3435" s="5" t="s">
        <v>816</v>
      </c>
      <c r="D3435" s="15" t="s">
        <v>817</v>
      </c>
      <c r="E3435" s="9">
        <v>101382</v>
      </c>
      <c r="F3435" s="9">
        <v>100694</v>
      </c>
      <c r="G3435" s="57">
        <f t="shared" si="55"/>
        <v>-6.7862145153972106E-3</v>
      </c>
      <c r="H3435" s="5" t="s">
        <v>4693</v>
      </c>
    </row>
    <row r="3436" spans="1:8" ht="25.5" x14ac:dyDescent="0.2">
      <c r="A3436" s="1" t="s">
        <v>20</v>
      </c>
      <c r="B3436" s="2" t="s">
        <v>357</v>
      </c>
      <c r="C3436" s="5" t="s">
        <v>818</v>
      </c>
      <c r="D3436" s="15" t="s">
        <v>819</v>
      </c>
      <c r="E3436" s="9">
        <v>122630</v>
      </c>
      <c r="F3436" s="9">
        <v>117174</v>
      </c>
      <c r="G3436" s="57">
        <f t="shared" si="55"/>
        <v>-4.449155997716709E-2</v>
      </c>
      <c r="H3436" s="5" t="s">
        <v>4694</v>
      </c>
    </row>
    <row r="3437" spans="1:8" x14ac:dyDescent="0.2">
      <c r="A3437" s="1" t="s">
        <v>25</v>
      </c>
      <c r="B3437" s="2" t="s">
        <v>358</v>
      </c>
      <c r="C3437" s="5" t="s">
        <v>797</v>
      </c>
      <c r="D3437" s="5" t="s">
        <v>450</v>
      </c>
      <c r="E3437" s="9">
        <v>224736</v>
      </c>
      <c r="F3437" s="9">
        <v>195510</v>
      </c>
      <c r="G3437" s="57">
        <f t="shared" si="55"/>
        <v>-0.13004592054677488</v>
      </c>
      <c r="H3437" s="5" t="s">
        <v>2629</v>
      </c>
    </row>
    <row r="3438" spans="1:8" x14ac:dyDescent="0.2">
      <c r="A3438" s="1" t="s">
        <v>25</v>
      </c>
      <c r="B3438" s="2" t="s">
        <v>358</v>
      </c>
      <c r="C3438" s="5" t="s">
        <v>798</v>
      </c>
      <c r="D3438" s="5" t="s">
        <v>455</v>
      </c>
      <c r="E3438" s="9">
        <f>154969+22506</f>
        <v>177475</v>
      </c>
      <c r="F3438" s="9">
        <f>173787+24783</f>
        <v>198570</v>
      </c>
      <c r="G3438" s="57">
        <f t="shared" si="55"/>
        <v>0.11886181152274969</v>
      </c>
      <c r="H3438" s="5" t="s">
        <v>2630</v>
      </c>
    </row>
    <row r="3439" spans="1:8" ht="25.5" x14ac:dyDescent="0.2">
      <c r="A3439" s="1" t="s">
        <v>25</v>
      </c>
      <c r="B3439" s="2" t="s">
        <v>358</v>
      </c>
      <c r="C3439" s="5" t="s">
        <v>799</v>
      </c>
      <c r="D3439" s="5" t="s">
        <v>800</v>
      </c>
      <c r="E3439" s="9">
        <f>153380+21475</f>
        <v>174855</v>
      </c>
      <c r="F3439" s="9">
        <f>160383+20894</f>
        <v>181277</v>
      </c>
      <c r="G3439" s="57">
        <f t="shared" si="55"/>
        <v>3.6727574275828546E-2</v>
      </c>
      <c r="H3439" s="5" t="s">
        <v>2631</v>
      </c>
    </row>
    <row r="3440" spans="1:8" x14ac:dyDescent="0.2">
      <c r="A3440" s="1" t="s">
        <v>25</v>
      </c>
      <c r="B3440" s="2" t="s">
        <v>358</v>
      </c>
      <c r="C3440" s="5" t="s">
        <v>801</v>
      </c>
      <c r="D3440" s="5" t="s">
        <v>802</v>
      </c>
      <c r="E3440" s="9">
        <f>161607+22674</f>
        <v>184281</v>
      </c>
      <c r="F3440" s="9">
        <f>155755+22169</f>
        <v>177924</v>
      </c>
      <c r="G3440" s="57">
        <f t="shared" si="55"/>
        <v>-3.4496231298940208E-2</v>
      </c>
      <c r="H3440" s="5" t="s">
        <v>2632</v>
      </c>
    </row>
    <row r="3441" spans="1:8" ht="25.5" x14ac:dyDescent="0.2">
      <c r="A3441" s="1" t="s">
        <v>25</v>
      </c>
      <c r="B3441" s="2" t="s">
        <v>358</v>
      </c>
      <c r="C3441" s="5" t="s">
        <v>803</v>
      </c>
      <c r="D3441" s="5" t="s">
        <v>2628</v>
      </c>
      <c r="E3441" s="9">
        <f>137023+19215</f>
        <v>156238</v>
      </c>
      <c r="F3441" s="9">
        <f>150694+21034</f>
        <v>171728</v>
      </c>
      <c r="G3441" s="57">
        <f t="shared" si="55"/>
        <v>9.9143614229572838E-2</v>
      </c>
      <c r="H3441" s="5" t="s">
        <v>2633</v>
      </c>
    </row>
    <row r="3442" spans="1:8" x14ac:dyDescent="0.2">
      <c r="A3442" s="1" t="s">
        <v>25</v>
      </c>
      <c r="B3442" s="2" t="s">
        <v>358</v>
      </c>
      <c r="C3442" s="5" t="s">
        <v>804</v>
      </c>
      <c r="D3442" s="5" t="s">
        <v>517</v>
      </c>
      <c r="E3442" s="9">
        <f>159535+23161</f>
        <v>182696</v>
      </c>
      <c r="F3442" s="9">
        <f>145310+21057</f>
        <v>166367</v>
      </c>
      <c r="G3442" s="57">
        <f t="shared" si="55"/>
        <v>-8.9377983097604766E-2</v>
      </c>
      <c r="H3442" s="5" t="s">
        <v>2634</v>
      </c>
    </row>
    <row r="3443" spans="1:8" x14ac:dyDescent="0.2">
      <c r="A3443" s="1" t="s">
        <v>25</v>
      </c>
      <c r="B3443" s="2" t="s">
        <v>358</v>
      </c>
      <c r="C3443" s="5" t="s">
        <v>805</v>
      </c>
      <c r="D3443" s="5" t="s">
        <v>806</v>
      </c>
      <c r="E3443" s="9">
        <f>140271+19573</f>
        <v>159844</v>
      </c>
      <c r="F3443" s="9">
        <f>143744+20026</f>
        <v>163770</v>
      </c>
      <c r="G3443" s="57">
        <f t="shared" si="55"/>
        <v>2.4561447411225946E-2</v>
      </c>
      <c r="H3443" s="5" t="s">
        <v>2635</v>
      </c>
    </row>
    <row r="3444" spans="1:8" ht="38.25" x14ac:dyDescent="0.2">
      <c r="A3444" s="1" t="s">
        <v>25</v>
      </c>
      <c r="B3444" s="2" t="s">
        <v>358</v>
      </c>
      <c r="D3444" s="5" t="s">
        <v>464</v>
      </c>
      <c r="E3444" s="3" t="s">
        <v>465</v>
      </c>
      <c r="F3444" s="3">
        <v>102500</v>
      </c>
      <c r="G3444" s="57" t="str">
        <f t="shared" si="55"/>
        <v>-</v>
      </c>
      <c r="H3444" s="5" t="s">
        <v>4695</v>
      </c>
    </row>
    <row r="3445" spans="1:8" x14ac:dyDescent="0.2">
      <c r="A3445" s="1" t="s">
        <v>25</v>
      </c>
      <c r="B3445" s="2" t="s">
        <v>358</v>
      </c>
      <c r="D3445" s="5" t="s">
        <v>464</v>
      </c>
      <c r="E3445" s="3" t="s">
        <v>465</v>
      </c>
      <c r="F3445" s="3">
        <v>102500</v>
      </c>
      <c r="G3445" s="57" t="str">
        <f t="shared" si="55"/>
        <v>-</v>
      </c>
      <c r="H3445" s="1"/>
    </row>
    <row r="3446" spans="1:8" x14ac:dyDescent="0.2">
      <c r="A3446" s="1" t="s">
        <v>25</v>
      </c>
      <c r="B3446" s="2" t="s">
        <v>358</v>
      </c>
      <c r="D3446" s="5" t="s">
        <v>464</v>
      </c>
      <c r="E3446" s="3" t="s">
        <v>465</v>
      </c>
      <c r="F3446" s="3">
        <v>107500</v>
      </c>
      <c r="G3446" s="57" t="str">
        <f t="shared" si="55"/>
        <v>-</v>
      </c>
      <c r="H3446" s="1"/>
    </row>
    <row r="3447" spans="1:8" x14ac:dyDescent="0.2">
      <c r="A3447" s="1" t="s">
        <v>25</v>
      </c>
      <c r="B3447" s="2" t="s">
        <v>358</v>
      </c>
      <c r="D3447" s="5" t="s">
        <v>464</v>
      </c>
      <c r="E3447" s="3" t="s">
        <v>465</v>
      </c>
      <c r="F3447" s="3">
        <v>112500</v>
      </c>
      <c r="G3447" s="57" t="str">
        <f t="shared" si="55"/>
        <v>-</v>
      </c>
      <c r="H3447" s="1"/>
    </row>
    <row r="3448" spans="1:8" x14ac:dyDescent="0.2">
      <c r="A3448" s="1" t="s">
        <v>25</v>
      </c>
      <c r="B3448" s="2" t="s">
        <v>358</v>
      </c>
      <c r="D3448" s="5" t="s">
        <v>464</v>
      </c>
      <c r="E3448" s="3" t="s">
        <v>465</v>
      </c>
      <c r="F3448" s="3">
        <v>112500</v>
      </c>
      <c r="G3448" s="57" t="str">
        <f t="shared" si="55"/>
        <v>-</v>
      </c>
      <c r="H3448" s="1"/>
    </row>
    <row r="3449" spans="1:8" x14ac:dyDescent="0.2">
      <c r="A3449" s="1" t="s">
        <v>25</v>
      </c>
      <c r="B3449" s="2" t="s">
        <v>358</v>
      </c>
      <c r="D3449" s="5" t="s">
        <v>464</v>
      </c>
      <c r="E3449" s="3" t="s">
        <v>465</v>
      </c>
      <c r="F3449" s="3">
        <v>117500</v>
      </c>
      <c r="G3449" s="57" t="str">
        <f t="shared" si="55"/>
        <v>-</v>
      </c>
      <c r="H3449" s="1"/>
    </row>
    <row r="3450" spans="1:8" x14ac:dyDescent="0.2">
      <c r="A3450" s="1" t="s">
        <v>25</v>
      </c>
      <c r="B3450" s="2" t="s">
        <v>358</v>
      </c>
      <c r="D3450" s="5" t="s">
        <v>464</v>
      </c>
      <c r="E3450" s="3">
        <v>102500</v>
      </c>
      <c r="F3450" s="3" t="s">
        <v>465</v>
      </c>
      <c r="G3450" s="57" t="str">
        <f t="shared" si="55"/>
        <v>-</v>
      </c>
      <c r="H3450" s="1"/>
    </row>
    <row r="3451" spans="1:8" x14ac:dyDescent="0.2">
      <c r="A3451" s="1" t="s">
        <v>25</v>
      </c>
      <c r="B3451" s="2" t="s">
        <v>358</v>
      </c>
      <c r="D3451" s="5" t="s">
        <v>464</v>
      </c>
      <c r="E3451" s="3">
        <v>102500</v>
      </c>
      <c r="F3451" s="3" t="s">
        <v>465</v>
      </c>
      <c r="G3451" s="57" t="str">
        <f t="shared" si="55"/>
        <v>-</v>
      </c>
    </row>
    <row r="3452" spans="1:8" x14ac:dyDescent="0.2">
      <c r="A3452" s="1" t="s">
        <v>25</v>
      </c>
      <c r="B3452" s="2" t="s">
        <v>358</v>
      </c>
      <c r="D3452" s="5" t="s">
        <v>464</v>
      </c>
      <c r="E3452" s="3">
        <v>107500</v>
      </c>
      <c r="F3452" s="3" t="s">
        <v>465</v>
      </c>
      <c r="G3452" s="57" t="str">
        <f t="shared" si="55"/>
        <v>-</v>
      </c>
    </row>
    <row r="3453" spans="1:8" x14ac:dyDescent="0.2">
      <c r="A3453" s="1" t="s">
        <v>25</v>
      </c>
      <c r="B3453" s="2" t="s">
        <v>358</v>
      </c>
      <c r="D3453" s="5" t="s">
        <v>464</v>
      </c>
      <c r="E3453" s="3">
        <v>107500</v>
      </c>
      <c r="F3453" s="3" t="s">
        <v>465</v>
      </c>
      <c r="G3453" s="57" t="str">
        <f t="shared" si="55"/>
        <v>-</v>
      </c>
    </row>
    <row r="3454" spans="1:8" x14ac:dyDescent="0.2">
      <c r="A3454" s="1" t="s">
        <v>25</v>
      </c>
      <c r="B3454" s="2" t="s">
        <v>358</v>
      </c>
      <c r="D3454" s="5" t="s">
        <v>464</v>
      </c>
      <c r="E3454" s="3">
        <v>112500</v>
      </c>
      <c r="F3454" s="3" t="s">
        <v>465</v>
      </c>
      <c r="G3454" s="57" t="str">
        <f t="shared" si="55"/>
        <v>-</v>
      </c>
    </row>
    <row r="3455" spans="1:8" x14ac:dyDescent="0.2">
      <c r="A3455" s="1" t="s">
        <v>25</v>
      </c>
      <c r="B3455" s="2" t="s">
        <v>358</v>
      </c>
      <c r="D3455" s="5" t="s">
        <v>464</v>
      </c>
      <c r="E3455" s="3">
        <v>117500</v>
      </c>
      <c r="F3455" s="3" t="s">
        <v>465</v>
      </c>
      <c r="G3455" s="57" t="str">
        <f t="shared" si="55"/>
        <v>-</v>
      </c>
    </row>
    <row r="3456" spans="1:8" x14ac:dyDescent="0.2">
      <c r="A3456" s="1" t="s">
        <v>25</v>
      </c>
      <c r="B3456" s="2" t="s">
        <v>358</v>
      </c>
      <c r="D3456" s="5" t="s">
        <v>464</v>
      </c>
      <c r="E3456" s="3">
        <v>117500</v>
      </c>
      <c r="F3456" s="3" t="s">
        <v>465</v>
      </c>
      <c r="G3456" s="57" t="str">
        <f t="shared" si="55"/>
        <v>-</v>
      </c>
    </row>
    <row r="3457" spans="1:8" x14ac:dyDescent="0.2">
      <c r="A3457" s="1" t="s">
        <v>25</v>
      </c>
      <c r="B3457" s="2" t="s">
        <v>358</v>
      </c>
      <c r="D3457" s="5" t="s">
        <v>464</v>
      </c>
      <c r="E3457" s="3">
        <v>117500</v>
      </c>
      <c r="F3457" s="3" t="s">
        <v>465</v>
      </c>
      <c r="G3457" s="57" t="str">
        <f t="shared" si="55"/>
        <v>-</v>
      </c>
    </row>
    <row r="3458" spans="1:8" x14ac:dyDescent="0.2">
      <c r="A3458" s="1" t="s">
        <v>25</v>
      </c>
      <c r="B3458" s="2" t="s">
        <v>358</v>
      </c>
      <c r="D3458" s="5" t="s">
        <v>464</v>
      </c>
      <c r="E3458" s="3">
        <v>122500</v>
      </c>
      <c r="F3458" s="3" t="s">
        <v>465</v>
      </c>
      <c r="G3458" s="57" t="str">
        <f t="shared" si="55"/>
        <v>-</v>
      </c>
    </row>
    <row r="3459" spans="1:8" x14ac:dyDescent="0.2">
      <c r="A3459" s="1" t="s">
        <v>25</v>
      </c>
      <c r="B3459" s="2" t="s">
        <v>358</v>
      </c>
      <c r="D3459" s="5" t="s">
        <v>464</v>
      </c>
      <c r="E3459" s="3">
        <v>122500</v>
      </c>
      <c r="F3459" s="3" t="s">
        <v>465</v>
      </c>
      <c r="G3459" s="57" t="str">
        <f t="shared" si="55"/>
        <v>-</v>
      </c>
    </row>
    <row r="3460" spans="1:8" x14ac:dyDescent="0.2">
      <c r="A3460" s="1" t="s">
        <v>25</v>
      </c>
      <c r="B3460" s="2" t="s">
        <v>358</v>
      </c>
      <c r="D3460" s="5" t="s">
        <v>464</v>
      </c>
      <c r="E3460" s="3">
        <v>137500</v>
      </c>
      <c r="F3460" s="3" t="s">
        <v>465</v>
      </c>
      <c r="G3460" s="57" t="str">
        <f t="shared" si="55"/>
        <v>-</v>
      </c>
    </row>
    <row r="3461" spans="1:8" x14ac:dyDescent="0.2">
      <c r="A3461" s="1" t="s">
        <v>25</v>
      </c>
      <c r="B3461" s="2" t="s">
        <v>358</v>
      </c>
      <c r="D3461" s="5" t="s">
        <v>464</v>
      </c>
      <c r="E3461" s="3">
        <v>137500</v>
      </c>
      <c r="F3461" s="3" t="s">
        <v>465</v>
      </c>
      <c r="G3461" s="57" t="str">
        <f t="shared" si="55"/>
        <v>-</v>
      </c>
    </row>
    <row r="3462" spans="1:8" x14ac:dyDescent="0.2">
      <c r="A3462" s="1" t="s">
        <v>25</v>
      </c>
      <c r="B3462" s="2" t="s">
        <v>358</v>
      </c>
      <c r="D3462" s="5" t="s">
        <v>464</v>
      </c>
      <c r="E3462" s="3">
        <v>167500</v>
      </c>
      <c r="F3462" s="3" t="s">
        <v>465</v>
      </c>
      <c r="G3462" s="57" t="str">
        <f t="shared" si="55"/>
        <v>-</v>
      </c>
    </row>
    <row r="3463" spans="1:8" x14ac:dyDescent="0.2">
      <c r="A3463" s="1" t="s">
        <v>25</v>
      </c>
      <c r="B3463" s="2" t="s">
        <v>358</v>
      </c>
      <c r="D3463" s="5" t="s">
        <v>464</v>
      </c>
      <c r="E3463" s="3">
        <v>187500</v>
      </c>
      <c r="F3463" s="3" t="s">
        <v>465</v>
      </c>
      <c r="G3463" s="57" t="str">
        <f t="shared" si="55"/>
        <v>-</v>
      </c>
    </row>
    <row r="3464" spans="1:8" x14ac:dyDescent="0.2">
      <c r="A3464" s="1" t="s">
        <v>4</v>
      </c>
      <c r="B3464" s="2" t="s">
        <v>359</v>
      </c>
      <c r="D3464" s="5" t="s">
        <v>450</v>
      </c>
      <c r="E3464" s="3">
        <v>121277</v>
      </c>
      <c r="F3464" s="3">
        <v>129720</v>
      </c>
      <c r="G3464" s="57">
        <f t="shared" si="55"/>
        <v>6.9617487239954812E-2</v>
      </c>
      <c r="H3464" s="5" t="s">
        <v>2626</v>
      </c>
    </row>
    <row r="3465" spans="1:8" x14ac:dyDescent="0.2">
      <c r="A3465" s="1" t="s">
        <v>4</v>
      </c>
      <c r="B3465" s="2" t="s">
        <v>359</v>
      </c>
      <c r="C3465" s="5" t="s">
        <v>2625</v>
      </c>
      <c r="D3465" s="5" t="s">
        <v>451</v>
      </c>
      <c r="E3465" s="3">
        <v>155304</v>
      </c>
      <c r="F3465" s="3" t="s">
        <v>465</v>
      </c>
      <c r="G3465" s="57" t="str">
        <f t="shared" si="55"/>
        <v>-</v>
      </c>
    </row>
    <row r="3466" spans="1:8" ht="25.5" x14ac:dyDescent="0.2">
      <c r="A3466" s="1" t="s">
        <v>4</v>
      </c>
      <c r="B3466" s="2" t="s">
        <v>359</v>
      </c>
      <c r="D3466" s="5" t="s">
        <v>455</v>
      </c>
      <c r="E3466" s="3" t="s">
        <v>465</v>
      </c>
      <c r="F3466" s="3">
        <v>103068</v>
      </c>
      <c r="G3466" s="57" t="str">
        <f t="shared" si="55"/>
        <v>-</v>
      </c>
      <c r="H3466" s="5" t="s">
        <v>2627</v>
      </c>
    </row>
    <row r="3467" spans="1:8" ht="25.5" x14ac:dyDescent="0.2">
      <c r="A3467" s="1" t="s">
        <v>20</v>
      </c>
      <c r="B3467" s="2" t="s">
        <v>360</v>
      </c>
      <c r="D3467" s="5" t="s">
        <v>450</v>
      </c>
      <c r="E3467" s="3">
        <v>141000</v>
      </c>
      <c r="F3467" s="3">
        <v>141000</v>
      </c>
      <c r="G3467" s="57">
        <f t="shared" si="55"/>
        <v>0</v>
      </c>
      <c r="H3467" s="5" t="s">
        <v>2621</v>
      </c>
    </row>
    <row r="3468" spans="1:8" ht="25.5" x14ac:dyDescent="0.2">
      <c r="A3468" s="1" t="s">
        <v>20</v>
      </c>
      <c r="B3468" s="2" t="s">
        <v>360</v>
      </c>
      <c r="D3468" s="5" t="s">
        <v>487</v>
      </c>
      <c r="E3468" s="3">
        <v>105000</v>
      </c>
      <c r="F3468" s="3">
        <v>105000</v>
      </c>
      <c r="G3468" s="57">
        <f t="shared" si="55"/>
        <v>0</v>
      </c>
      <c r="H3468" s="5" t="s">
        <v>2622</v>
      </c>
    </row>
    <row r="3469" spans="1:8" ht="25.5" x14ac:dyDescent="0.2">
      <c r="A3469" s="1" t="s">
        <v>20</v>
      </c>
      <c r="B3469" s="2" t="s">
        <v>360</v>
      </c>
      <c r="D3469" s="5" t="s">
        <v>795</v>
      </c>
      <c r="E3469" s="3">
        <v>102000</v>
      </c>
      <c r="F3469" s="3">
        <v>104000</v>
      </c>
      <c r="G3469" s="57">
        <f t="shared" si="55"/>
        <v>1.9607843137254902E-2</v>
      </c>
      <c r="H3469" s="5" t="s">
        <v>2623</v>
      </c>
    </row>
    <row r="3470" spans="1:8" ht="25.5" x14ac:dyDescent="0.2">
      <c r="A3470" s="1" t="s">
        <v>20</v>
      </c>
      <c r="B3470" s="2" t="s">
        <v>360</v>
      </c>
      <c r="D3470" s="5" t="s">
        <v>796</v>
      </c>
      <c r="E3470" s="3">
        <v>103000</v>
      </c>
      <c r="F3470" s="3">
        <v>109000</v>
      </c>
      <c r="G3470" s="57">
        <f t="shared" si="55"/>
        <v>5.8252427184466021E-2</v>
      </c>
      <c r="H3470" s="5" t="s">
        <v>2624</v>
      </c>
    </row>
    <row r="3471" spans="1:8" x14ac:dyDescent="0.2">
      <c r="A3471" s="1" t="s">
        <v>20</v>
      </c>
      <c r="B3471" s="2" t="s">
        <v>360</v>
      </c>
      <c r="E3471" s="3" t="s">
        <v>465</v>
      </c>
      <c r="F3471" s="3">
        <v>102500</v>
      </c>
      <c r="G3471" s="57" t="str">
        <f t="shared" si="55"/>
        <v>-</v>
      </c>
      <c r="H3471" s="5" t="s">
        <v>1241</v>
      </c>
    </row>
    <row r="3472" spans="1:8" x14ac:dyDescent="0.2">
      <c r="A3472" s="1" t="s">
        <v>20</v>
      </c>
      <c r="B3472" s="2" t="s">
        <v>360</v>
      </c>
      <c r="E3472" s="3" t="s">
        <v>465</v>
      </c>
      <c r="F3472" s="3">
        <v>107500</v>
      </c>
      <c r="G3472" s="57" t="str">
        <f t="shared" si="55"/>
        <v>-</v>
      </c>
      <c r="H3472" s="5" t="s">
        <v>1241</v>
      </c>
    </row>
    <row r="3473" spans="1:8" x14ac:dyDescent="0.2">
      <c r="A3473" s="1" t="s">
        <v>20</v>
      </c>
      <c r="B3473" s="2" t="s">
        <v>360</v>
      </c>
      <c r="E3473" s="3" t="s">
        <v>465</v>
      </c>
      <c r="F3473" s="3">
        <v>107500</v>
      </c>
      <c r="G3473" s="57" t="str">
        <f t="shared" ref="G3473:G3536" si="56">IF(ISERROR((F3473-E3473)/E3473),"-",(F3473-E3473)/E3473)</f>
        <v>-</v>
      </c>
      <c r="H3473" s="5" t="s">
        <v>1241</v>
      </c>
    </row>
    <row r="3474" spans="1:8" x14ac:dyDescent="0.2">
      <c r="A3474" s="1" t="s">
        <v>20</v>
      </c>
      <c r="B3474" s="2" t="s">
        <v>360</v>
      </c>
      <c r="C3474" s="7"/>
      <c r="E3474" s="3" t="s">
        <v>465</v>
      </c>
      <c r="F3474" s="3">
        <v>107500</v>
      </c>
      <c r="G3474" s="57" t="str">
        <f t="shared" si="56"/>
        <v>-</v>
      </c>
      <c r="H3474" s="5" t="s">
        <v>1241</v>
      </c>
    </row>
    <row r="3475" spans="1:8" x14ac:dyDescent="0.2">
      <c r="A3475" s="1" t="s">
        <v>20</v>
      </c>
      <c r="B3475" s="2" t="s">
        <v>360</v>
      </c>
      <c r="E3475" s="3" t="s">
        <v>465</v>
      </c>
      <c r="F3475" s="3">
        <v>107500</v>
      </c>
      <c r="G3475" s="57" t="str">
        <f t="shared" si="56"/>
        <v>-</v>
      </c>
      <c r="H3475" s="5" t="s">
        <v>1241</v>
      </c>
    </row>
    <row r="3476" spans="1:8" x14ac:dyDescent="0.2">
      <c r="A3476" s="1" t="s">
        <v>20</v>
      </c>
      <c r="B3476" s="2" t="s">
        <v>360</v>
      </c>
      <c r="E3476" s="3" t="s">
        <v>465</v>
      </c>
      <c r="F3476" s="3">
        <v>122500</v>
      </c>
      <c r="G3476" s="57" t="str">
        <f t="shared" si="56"/>
        <v>-</v>
      </c>
      <c r="H3476" s="5" t="s">
        <v>1241</v>
      </c>
    </row>
    <row r="3477" spans="1:8" ht="25.5" x14ac:dyDescent="0.2">
      <c r="A3477" s="1" t="s">
        <v>20</v>
      </c>
      <c r="B3477" s="2" t="s">
        <v>361</v>
      </c>
      <c r="D3477" s="5" t="s">
        <v>783</v>
      </c>
      <c r="E3477" s="3">
        <v>144437</v>
      </c>
      <c r="F3477" s="3">
        <v>148585</v>
      </c>
      <c r="G3477" s="57">
        <f t="shared" si="56"/>
        <v>2.8718403179240775E-2</v>
      </c>
      <c r="H3477" s="5" t="s">
        <v>2620</v>
      </c>
    </row>
    <row r="3478" spans="1:8" ht="25.5" x14ac:dyDescent="0.2">
      <c r="A3478" s="1" t="s">
        <v>6</v>
      </c>
      <c r="B3478" s="2" t="s">
        <v>362</v>
      </c>
      <c r="C3478" s="5" t="s">
        <v>786</v>
      </c>
      <c r="D3478" s="5" t="s">
        <v>450</v>
      </c>
      <c r="E3478" s="3">
        <f>152000+6000+28000</f>
        <v>186000</v>
      </c>
      <c r="F3478" s="3">
        <v>186000</v>
      </c>
      <c r="G3478" s="57">
        <f t="shared" si="56"/>
        <v>0</v>
      </c>
      <c r="H3478" s="5" t="s">
        <v>2612</v>
      </c>
    </row>
    <row r="3479" spans="1:8" ht="25.5" x14ac:dyDescent="0.2">
      <c r="A3479" s="1" t="s">
        <v>6</v>
      </c>
      <c r="B3479" s="2" t="s">
        <v>362</v>
      </c>
      <c r="D3479" s="5" t="s">
        <v>787</v>
      </c>
      <c r="E3479" s="3">
        <f>115000+1000+21000</f>
        <v>137000</v>
      </c>
      <c r="F3479" s="3">
        <v>137000</v>
      </c>
      <c r="G3479" s="57">
        <f t="shared" si="56"/>
        <v>0</v>
      </c>
      <c r="H3479" s="5" t="s">
        <v>2613</v>
      </c>
    </row>
    <row r="3480" spans="1:8" x14ac:dyDescent="0.2">
      <c r="A3480" s="1" t="s">
        <v>6</v>
      </c>
      <c r="B3480" s="2" t="s">
        <v>362</v>
      </c>
      <c r="D3480" s="5" t="s">
        <v>788</v>
      </c>
      <c r="E3480" s="3">
        <f>112000+20000</f>
        <v>132000</v>
      </c>
      <c r="F3480" s="3">
        <v>132000</v>
      </c>
      <c r="G3480" s="57">
        <f t="shared" si="56"/>
        <v>0</v>
      </c>
      <c r="H3480" s="5" t="s">
        <v>2614</v>
      </c>
    </row>
    <row r="3481" spans="1:8" ht="25.5" x14ac:dyDescent="0.2">
      <c r="A3481" s="1" t="s">
        <v>6</v>
      </c>
      <c r="B3481" s="2" t="s">
        <v>362</v>
      </c>
      <c r="D3481" s="5" t="s">
        <v>789</v>
      </c>
      <c r="E3481" s="3">
        <f>112000+2000+20000</f>
        <v>134000</v>
      </c>
      <c r="F3481" s="3">
        <v>134000</v>
      </c>
      <c r="G3481" s="57">
        <f t="shared" si="56"/>
        <v>0</v>
      </c>
      <c r="H3481" s="5" t="s">
        <v>2615</v>
      </c>
    </row>
    <row r="3482" spans="1:8" ht="25.5" x14ac:dyDescent="0.2">
      <c r="A3482" s="1" t="s">
        <v>6</v>
      </c>
      <c r="B3482" s="2" t="s">
        <v>362</v>
      </c>
      <c r="D3482" s="5" t="s">
        <v>790</v>
      </c>
      <c r="E3482" s="3">
        <f>108000+1000+20000</f>
        <v>129000</v>
      </c>
      <c r="F3482" s="3">
        <f>106000+3000+20000</f>
        <v>129000</v>
      </c>
      <c r="G3482" s="57">
        <f t="shared" si="56"/>
        <v>0</v>
      </c>
      <c r="H3482" s="5" t="s">
        <v>2616</v>
      </c>
    </row>
    <row r="3483" spans="1:8" x14ac:dyDescent="0.2">
      <c r="A3483" s="1" t="s">
        <v>6</v>
      </c>
      <c r="B3483" s="2" t="s">
        <v>362</v>
      </c>
      <c r="D3483" s="5" t="s">
        <v>791</v>
      </c>
      <c r="E3483" s="3">
        <f>103000+19000</f>
        <v>122000</v>
      </c>
      <c r="F3483" s="3">
        <v>122000</v>
      </c>
      <c r="G3483" s="57">
        <f t="shared" si="56"/>
        <v>0</v>
      </c>
      <c r="H3483" s="5" t="s">
        <v>2617</v>
      </c>
    </row>
    <row r="3484" spans="1:8" ht="38.25" x14ac:dyDescent="0.2">
      <c r="A3484" s="1" t="s">
        <v>6</v>
      </c>
      <c r="B3484" s="2" t="s">
        <v>362</v>
      </c>
      <c r="D3484" s="5" t="s">
        <v>792</v>
      </c>
      <c r="E3484" s="3">
        <f>98000+18000</f>
        <v>116000</v>
      </c>
      <c r="F3484" s="3">
        <f>93000+17000</f>
        <v>110000</v>
      </c>
      <c r="G3484" s="57">
        <f t="shared" si="56"/>
        <v>-5.1724137931034482E-2</v>
      </c>
      <c r="H3484" s="5" t="s">
        <v>2878</v>
      </c>
    </row>
    <row r="3485" spans="1:8" ht="25.5" x14ac:dyDescent="0.2">
      <c r="A3485" s="1" t="s">
        <v>6</v>
      </c>
      <c r="B3485" s="2" t="s">
        <v>362</v>
      </c>
      <c r="D3485" s="5" t="s">
        <v>793</v>
      </c>
      <c r="E3485" s="3">
        <f>97000+1000+18000</f>
        <v>116000</v>
      </c>
      <c r="F3485" s="3">
        <f>97000+1000+57000+18000</f>
        <v>173000</v>
      </c>
      <c r="G3485" s="57">
        <f t="shared" si="56"/>
        <v>0.49137931034482757</v>
      </c>
      <c r="H3485" s="5" t="s">
        <v>2618</v>
      </c>
    </row>
    <row r="3486" spans="1:8" ht="25.5" x14ac:dyDescent="0.2">
      <c r="A3486" s="1" t="s">
        <v>6</v>
      </c>
      <c r="B3486" s="2" t="s">
        <v>362</v>
      </c>
      <c r="D3486" s="5" t="s">
        <v>794</v>
      </c>
      <c r="E3486" s="3">
        <f>97000+3000+18000</f>
        <v>118000</v>
      </c>
      <c r="F3486" s="3">
        <f>97000+3000+18000</f>
        <v>118000</v>
      </c>
      <c r="G3486" s="57">
        <f t="shared" si="56"/>
        <v>0</v>
      </c>
      <c r="H3486" s="5" t="s">
        <v>2619</v>
      </c>
    </row>
    <row r="3487" spans="1:8" ht="25.5" x14ac:dyDescent="0.2">
      <c r="A3487" s="1" t="s">
        <v>39</v>
      </c>
      <c r="B3487" s="2" t="s">
        <v>363</v>
      </c>
      <c r="D3487" s="5" t="s">
        <v>450</v>
      </c>
      <c r="E3487" s="3">
        <v>128259</v>
      </c>
      <c r="F3487" s="3">
        <v>132677</v>
      </c>
      <c r="G3487" s="57">
        <f t="shared" si="56"/>
        <v>3.4445925821969606E-2</v>
      </c>
      <c r="H3487" s="5" t="s">
        <v>2610</v>
      </c>
    </row>
    <row r="3488" spans="1:8" ht="25.5" x14ac:dyDescent="0.2">
      <c r="A3488" s="1" t="s">
        <v>39</v>
      </c>
      <c r="B3488" s="2" t="s">
        <v>363</v>
      </c>
      <c r="D3488" s="5" t="s">
        <v>455</v>
      </c>
      <c r="E3488" s="3">
        <v>116850</v>
      </c>
      <c r="F3488" s="3">
        <v>109943</v>
      </c>
      <c r="G3488" s="57">
        <f t="shared" si="56"/>
        <v>-5.9109970047068895E-2</v>
      </c>
      <c r="H3488" s="5" t="s">
        <v>2611</v>
      </c>
    </row>
    <row r="3489" spans="1:8" x14ac:dyDescent="0.2">
      <c r="A3489" s="1" t="s">
        <v>39</v>
      </c>
      <c r="B3489" s="2" t="s">
        <v>364</v>
      </c>
      <c r="C3489" s="5" t="s">
        <v>780</v>
      </c>
      <c r="D3489" s="5" t="s">
        <v>450</v>
      </c>
      <c r="E3489" s="9">
        <v>242842</v>
      </c>
      <c r="F3489" s="9" t="s">
        <v>465</v>
      </c>
      <c r="G3489" s="57" t="str">
        <f t="shared" si="56"/>
        <v>-</v>
      </c>
    </row>
    <row r="3490" spans="1:8" ht="25.5" x14ac:dyDescent="0.2">
      <c r="A3490" s="1" t="s">
        <v>39</v>
      </c>
      <c r="B3490" s="2" t="s">
        <v>364</v>
      </c>
      <c r="C3490" s="5" t="s">
        <v>781</v>
      </c>
      <c r="D3490" s="5" t="s">
        <v>450</v>
      </c>
      <c r="E3490" s="9" t="s">
        <v>465</v>
      </c>
      <c r="F3490" s="9">
        <v>224884</v>
      </c>
      <c r="G3490" s="57" t="str">
        <f t="shared" si="56"/>
        <v>-</v>
      </c>
      <c r="H3490" s="5" t="s">
        <v>2604</v>
      </c>
    </row>
    <row r="3491" spans="1:8" ht="25.5" x14ac:dyDescent="0.2">
      <c r="A3491" s="1" t="s">
        <v>39</v>
      </c>
      <c r="B3491" s="2" t="s">
        <v>364</v>
      </c>
      <c r="D3491" s="5" t="s">
        <v>2598</v>
      </c>
      <c r="E3491" s="9">
        <v>160586</v>
      </c>
      <c r="F3491" s="9">
        <v>12730</v>
      </c>
      <c r="G3491" s="57">
        <f t="shared" si="56"/>
        <v>-0.92072783430685112</v>
      </c>
      <c r="H3491" s="5" t="s">
        <v>2605</v>
      </c>
    </row>
    <row r="3492" spans="1:8" ht="25.5" x14ac:dyDescent="0.2">
      <c r="A3492" s="1" t="s">
        <v>39</v>
      </c>
      <c r="B3492" s="2" t="s">
        <v>364</v>
      </c>
      <c r="D3492" s="5" t="s">
        <v>2596</v>
      </c>
      <c r="E3492" s="9">
        <v>124417</v>
      </c>
      <c r="F3492" s="9">
        <v>52488</v>
      </c>
      <c r="G3492" s="57">
        <f t="shared" si="56"/>
        <v>-0.57812839081476008</v>
      </c>
      <c r="H3492" s="5" t="s">
        <v>2597</v>
      </c>
    </row>
    <row r="3493" spans="1:8" ht="25.5" x14ac:dyDescent="0.2">
      <c r="A3493" s="1" t="s">
        <v>39</v>
      </c>
      <c r="B3493" s="2" t="s">
        <v>364</v>
      </c>
      <c r="D3493" s="5" t="s">
        <v>562</v>
      </c>
      <c r="E3493" s="9" t="s">
        <v>465</v>
      </c>
      <c r="F3493" s="9">
        <v>146882</v>
      </c>
      <c r="G3493" s="57" t="str">
        <f t="shared" si="56"/>
        <v>-</v>
      </c>
      <c r="H3493" s="5" t="s">
        <v>2606</v>
      </c>
    </row>
    <row r="3494" spans="1:8" ht="25.5" x14ac:dyDescent="0.2">
      <c r="A3494" s="1" t="s">
        <v>39</v>
      </c>
      <c r="B3494" s="2" t="s">
        <v>364</v>
      </c>
      <c r="D3494" s="5" t="s">
        <v>2599</v>
      </c>
      <c r="E3494" s="9">
        <v>159867</v>
      </c>
      <c r="F3494" s="9">
        <v>66961</v>
      </c>
      <c r="G3494" s="57">
        <f t="shared" si="56"/>
        <v>-0.58114557726109828</v>
      </c>
      <c r="H3494" s="5" t="s">
        <v>2609</v>
      </c>
    </row>
    <row r="3495" spans="1:8" ht="38.25" x14ac:dyDescent="0.2">
      <c r="A3495" s="1" t="s">
        <v>39</v>
      </c>
      <c r="B3495" s="2" t="s">
        <v>364</v>
      </c>
      <c r="C3495" s="7"/>
      <c r="D3495" s="5" t="s">
        <v>873</v>
      </c>
      <c r="E3495" s="9" t="s">
        <v>465</v>
      </c>
      <c r="F3495" s="9">
        <v>102446</v>
      </c>
      <c r="G3495" s="57" t="str">
        <f t="shared" si="56"/>
        <v>-</v>
      </c>
      <c r="H3495" s="5" t="s">
        <v>2607</v>
      </c>
    </row>
    <row r="3496" spans="1:8" ht="25.5" x14ac:dyDescent="0.2">
      <c r="A3496" s="1" t="s">
        <v>39</v>
      </c>
      <c r="B3496" s="2" t="s">
        <v>364</v>
      </c>
      <c r="C3496" s="7"/>
      <c r="D3496" s="5" t="s">
        <v>4465</v>
      </c>
      <c r="E3496" s="9">
        <v>119454</v>
      </c>
      <c r="F3496" s="9">
        <v>120287</v>
      </c>
      <c r="G3496" s="57">
        <f t="shared" si="56"/>
        <v>6.9733956167227556E-3</v>
      </c>
      <c r="H3496" s="5" t="s">
        <v>2608</v>
      </c>
    </row>
    <row r="3497" spans="1:8" ht="25.5" x14ac:dyDescent="0.2">
      <c r="A3497" s="1" t="s">
        <v>39</v>
      </c>
      <c r="B3497" s="2" t="s">
        <v>364</v>
      </c>
      <c r="C3497" s="7"/>
      <c r="D3497" s="5" t="s">
        <v>2600</v>
      </c>
      <c r="E3497" s="9">
        <v>160684</v>
      </c>
      <c r="F3497" s="9">
        <v>123609</v>
      </c>
      <c r="G3497" s="57">
        <f t="shared" si="56"/>
        <v>-0.23073236912200343</v>
      </c>
      <c r="H3497" s="5" t="s">
        <v>2601</v>
      </c>
    </row>
    <row r="3498" spans="1:8" ht="25.5" x14ac:dyDescent="0.2">
      <c r="A3498" s="1" t="s">
        <v>39</v>
      </c>
      <c r="B3498" s="2" t="s">
        <v>364</v>
      </c>
      <c r="C3498" s="7"/>
      <c r="D3498" s="5" t="s">
        <v>2602</v>
      </c>
      <c r="E3498" s="9">
        <v>117191</v>
      </c>
      <c r="F3498" s="9">
        <v>49660</v>
      </c>
      <c r="G3498" s="57">
        <f t="shared" si="56"/>
        <v>-0.57624732274662727</v>
      </c>
      <c r="H3498" s="5" t="s">
        <v>2603</v>
      </c>
    </row>
    <row r="3499" spans="1:8" x14ac:dyDescent="0.2">
      <c r="A3499" s="1" t="s">
        <v>39</v>
      </c>
      <c r="B3499" s="2" t="s">
        <v>364</v>
      </c>
      <c r="D3499" s="5" t="s">
        <v>464</v>
      </c>
      <c r="E3499" s="3">
        <v>102500</v>
      </c>
      <c r="F3499" s="3" t="s">
        <v>465</v>
      </c>
      <c r="G3499" s="57" t="str">
        <f t="shared" si="56"/>
        <v>-</v>
      </c>
      <c r="H3499" s="5" t="s">
        <v>539</v>
      </c>
    </row>
    <row r="3500" spans="1:8" x14ac:dyDescent="0.2">
      <c r="A3500" s="1" t="s">
        <v>39</v>
      </c>
      <c r="B3500" s="2" t="s">
        <v>364</v>
      </c>
      <c r="D3500" s="5" t="s">
        <v>464</v>
      </c>
      <c r="E3500" s="3">
        <v>102500</v>
      </c>
      <c r="F3500" s="3" t="s">
        <v>465</v>
      </c>
      <c r="G3500" s="57" t="str">
        <f t="shared" si="56"/>
        <v>-</v>
      </c>
    </row>
    <row r="3501" spans="1:8" x14ac:dyDescent="0.2">
      <c r="A3501" s="1" t="s">
        <v>39</v>
      </c>
      <c r="B3501" s="2" t="s">
        <v>364</v>
      </c>
      <c r="D3501" s="5" t="s">
        <v>464</v>
      </c>
      <c r="E3501" s="3">
        <v>102500</v>
      </c>
      <c r="F3501" s="3" t="s">
        <v>465</v>
      </c>
      <c r="G3501" s="57" t="str">
        <f t="shared" si="56"/>
        <v>-</v>
      </c>
    </row>
    <row r="3502" spans="1:8" x14ac:dyDescent="0.2">
      <c r="A3502" s="1" t="s">
        <v>39</v>
      </c>
      <c r="B3502" s="2" t="s">
        <v>364</v>
      </c>
      <c r="D3502" s="5" t="s">
        <v>464</v>
      </c>
      <c r="E3502" s="3">
        <v>102500</v>
      </c>
      <c r="F3502" s="3" t="s">
        <v>465</v>
      </c>
      <c r="G3502" s="57" t="str">
        <f t="shared" si="56"/>
        <v>-</v>
      </c>
    </row>
    <row r="3503" spans="1:8" x14ac:dyDescent="0.2">
      <c r="A3503" s="1" t="s">
        <v>39</v>
      </c>
      <c r="B3503" s="2" t="s">
        <v>364</v>
      </c>
      <c r="D3503" s="5" t="s">
        <v>464</v>
      </c>
      <c r="E3503" s="3">
        <v>102500</v>
      </c>
      <c r="F3503" s="3" t="s">
        <v>465</v>
      </c>
      <c r="G3503" s="57" t="str">
        <f t="shared" si="56"/>
        <v>-</v>
      </c>
    </row>
    <row r="3504" spans="1:8" x14ac:dyDescent="0.2">
      <c r="A3504" s="1" t="s">
        <v>39</v>
      </c>
      <c r="B3504" s="2" t="s">
        <v>364</v>
      </c>
      <c r="D3504" s="5" t="s">
        <v>464</v>
      </c>
      <c r="E3504" s="3" t="s">
        <v>465</v>
      </c>
      <c r="F3504" s="3">
        <v>102500</v>
      </c>
      <c r="G3504" s="57" t="str">
        <f t="shared" si="56"/>
        <v>-</v>
      </c>
    </row>
    <row r="3505" spans="1:8" x14ac:dyDescent="0.2">
      <c r="A3505" s="1" t="s">
        <v>39</v>
      </c>
      <c r="B3505" s="2" t="s">
        <v>364</v>
      </c>
      <c r="D3505" s="5" t="s">
        <v>464</v>
      </c>
      <c r="E3505" s="3" t="s">
        <v>465</v>
      </c>
      <c r="F3505" s="3">
        <v>102500</v>
      </c>
      <c r="G3505" s="57" t="str">
        <f t="shared" si="56"/>
        <v>-</v>
      </c>
    </row>
    <row r="3506" spans="1:8" x14ac:dyDescent="0.2">
      <c r="A3506" s="1" t="s">
        <v>39</v>
      </c>
      <c r="B3506" s="2" t="s">
        <v>364</v>
      </c>
      <c r="D3506" s="5" t="s">
        <v>464</v>
      </c>
      <c r="E3506" s="3" t="s">
        <v>465</v>
      </c>
      <c r="F3506" s="3">
        <v>102500</v>
      </c>
      <c r="G3506" s="57" t="str">
        <f t="shared" si="56"/>
        <v>-</v>
      </c>
    </row>
    <row r="3507" spans="1:8" x14ac:dyDescent="0.2">
      <c r="A3507" s="1" t="s">
        <v>39</v>
      </c>
      <c r="B3507" s="2" t="s">
        <v>364</v>
      </c>
      <c r="D3507" s="5" t="s">
        <v>464</v>
      </c>
      <c r="E3507" s="3" t="s">
        <v>465</v>
      </c>
      <c r="F3507" s="3">
        <v>102500</v>
      </c>
      <c r="G3507" s="57" t="str">
        <f t="shared" si="56"/>
        <v>-</v>
      </c>
    </row>
    <row r="3508" spans="1:8" x14ac:dyDescent="0.2">
      <c r="A3508" s="1" t="s">
        <v>39</v>
      </c>
      <c r="B3508" s="2" t="s">
        <v>364</v>
      </c>
      <c r="D3508" s="5" t="s">
        <v>464</v>
      </c>
      <c r="E3508" s="3" t="s">
        <v>465</v>
      </c>
      <c r="F3508" s="3">
        <v>102500</v>
      </c>
      <c r="G3508" s="57" t="str">
        <f t="shared" si="56"/>
        <v>-</v>
      </c>
    </row>
    <row r="3509" spans="1:8" x14ac:dyDescent="0.2">
      <c r="A3509" s="1" t="s">
        <v>39</v>
      </c>
      <c r="B3509" s="2" t="s">
        <v>364</v>
      </c>
      <c r="D3509" s="5" t="s">
        <v>464</v>
      </c>
      <c r="E3509" s="3" t="s">
        <v>465</v>
      </c>
      <c r="F3509" s="3">
        <v>102500</v>
      </c>
      <c r="G3509" s="57" t="str">
        <f t="shared" si="56"/>
        <v>-</v>
      </c>
    </row>
    <row r="3510" spans="1:8" x14ac:dyDescent="0.2">
      <c r="A3510" s="1" t="s">
        <v>39</v>
      </c>
      <c r="B3510" s="2" t="s">
        <v>364</v>
      </c>
      <c r="D3510" s="5" t="s">
        <v>464</v>
      </c>
      <c r="E3510" s="3">
        <v>107500</v>
      </c>
      <c r="F3510" s="3" t="s">
        <v>465</v>
      </c>
      <c r="G3510" s="57" t="str">
        <f t="shared" si="56"/>
        <v>-</v>
      </c>
    </row>
    <row r="3511" spans="1:8" x14ac:dyDescent="0.2">
      <c r="A3511" s="1" t="s">
        <v>39</v>
      </c>
      <c r="B3511" s="2" t="s">
        <v>364</v>
      </c>
      <c r="D3511" s="5" t="s">
        <v>464</v>
      </c>
      <c r="E3511" s="3" t="s">
        <v>465</v>
      </c>
      <c r="F3511" s="3">
        <v>107500</v>
      </c>
      <c r="G3511" s="57" t="str">
        <f t="shared" si="56"/>
        <v>-</v>
      </c>
      <c r="H3511" s="5" t="s">
        <v>539</v>
      </c>
    </row>
    <row r="3512" spans="1:8" x14ac:dyDescent="0.2">
      <c r="A3512" s="1" t="s">
        <v>39</v>
      </c>
      <c r="B3512" s="2" t="s">
        <v>364</v>
      </c>
      <c r="D3512" s="5" t="s">
        <v>464</v>
      </c>
      <c r="E3512" s="3" t="s">
        <v>465</v>
      </c>
      <c r="F3512" s="3">
        <v>112500</v>
      </c>
      <c r="G3512" s="57" t="str">
        <f t="shared" si="56"/>
        <v>-</v>
      </c>
      <c r="H3512" s="5" t="s">
        <v>539</v>
      </c>
    </row>
    <row r="3513" spans="1:8" x14ac:dyDescent="0.2">
      <c r="A3513" s="1" t="s">
        <v>39</v>
      </c>
      <c r="B3513" s="2" t="s">
        <v>364</v>
      </c>
      <c r="D3513" s="5" t="s">
        <v>464</v>
      </c>
      <c r="E3513" s="3" t="s">
        <v>465</v>
      </c>
      <c r="F3513" s="3">
        <v>112500</v>
      </c>
      <c r="G3513" s="57" t="str">
        <f t="shared" si="56"/>
        <v>-</v>
      </c>
    </row>
    <row r="3514" spans="1:8" x14ac:dyDescent="0.2">
      <c r="A3514" s="1" t="s">
        <v>39</v>
      </c>
      <c r="B3514" s="2" t="s">
        <v>364</v>
      </c>
      <c r="D3514" s="5" t="s">
        <v>464</v>
      </c>
      <c r="E3514" s="3" t="s">
        <v>465</v>
      </c>
      <c r="F3514" s="3">
        <v>112500</v>
      </c>
      <c r="G3514" s="57" t="str">
        <f t="shared" si="56"/>
        <v>-</v>
      </c>
    </row>
    <row r="3515" spans="1:8" x14ac:dyDescent="0.2">
      <c r="A3515" s="1" t="s">
        <v>39</v>
      </c>
      <c r="B3515" s="2" t="s">
        <v>364</v>
      </c>
      <c r="D3515" s="5" t="s">
        <v>464</v>
      </c>
      <c r="E3515" s="3">
        <v>117500</v>
      </c>
      <c r="F3515" s="3" t="s">
        <v>465</v>
      </c>
      <c r="G3515" s="57" t="str">
        <f t="shared" si="56"/>
        <v>-</v>
      </c>
    </row>
    <row r="3516" spans="1:8" x14ac:dyDescent="0.2">
      <c r="A3516" s="1" t="s">
        <v>39</v>
      </c>
      <c r="B3516" s="2" t="s">
        <v>364</v>
      </c>
      <c r="D3516" s="5" t="s">
        <v>464</v>
      </c>
      <c r="E3516" s="3">
        <v>117500</v>
      </c>
      <c r="F3516" s="3" t="s">
        <v>465</v>
      </c>
      <c r="G3516" s="57" t="str">
        <f t="shared" si="56"/>
        <v>-</v>
      </c>
    </row>
    <row r="3517" spans="1:8" x14ac:dyDescent="0.2">
      <c r="A3517" s="1" t="s">
        <v>39</v>
      </c>
      <c r="B3517" s="2" t="s">
        <v>364</v>
      </c>
      <c r="D3517" s="5" t="s">
        <v>464</v>
      </c>
      <c r="E3517" s="3" t="s">
        <v>465</v>
      </c>
      <c r="F3517" s="3">
        <v>117500</v>
      </c>
      <c r="G3517" s="57" t="str">
        <f t="shared" si="56"/>
        <v>-</v>
      </c>
      <c r="H3517" s="5" t="s">
        <v>539</v>
      </c>
    </row>
    <row r="3518" spans="1:8" x14ac:dyDescent="0.2">
      <c r="A3518" s="1" t="s">
        <v>39</v>
      </c>
      <c r="B3518" s="2" t="s">
        <v>364</v>
      </c>
      <c r="D3518" s="5" t="s">
        <v>464</v>
      </c>
      <c r="E3518" s="3" t="s">
        <v>465</v>
      </c>
      <c r="F3518" s="3">
        <v>117500</v>
      </c>
      <c r="G3518" s="57" t="str">
        <f t="shared" si="56"/>
        <v>-</v>
      </c>
    </row>
    <row r="3519" spans="1:8" x14ac:dyDescent="0.2">
      <c r="A3519" s="1" t="s">
        <v>39</v>
      </c>
      <c r="B3519" s="2" t="s">
        <v>364</v>
      </c>
      <c r="D3519" s="5" t="s">
        <v>464</v>
      </c>
      <c r="E3519" s="3" t="s">
        <v>465</v>
      </c>
      <c r="F3519" s="3">
        <v>117500</v>
      </c>
      <c r="G3519" s="57" t="str">
        <f t="shared" si="56"/>
        <v>-</v>
      </c>
    </row>
    <row r="3520" spans="1:8" x14ac:dyDescent="0.2">
      <c r="A3520" s="1" t="s">
        <v>39</v>
      </c>
      <c r="B3520" s="2" t="s">
        <v>364</v>
      </c>
      <c r="D3520" s="5" t="s">
        <v>464</v>
      </c>
      <c r="E3520" s="3" t="s">
        <v>465</v>
      </c>
      <c r="F3520" s="3">
        <v>122500</v>
      </c>
      <c r="G3520" s="57" t="str">
        <f t="shared" si="56"/>
        <v>-</v>
      </c>
    </row>
    <row r="3521" spans="1:8" x14ac:dyDescent="0.2">
      <c r="A3521" s="1" t="s">
        <v>39</v>
      </c>
      <c r="B3521" s="2" t="s">
        <v>364</v>
      </c>
      <c r="D3521" s="5" t="s">
        <v>464</v>
      </c>
      <c r="E3521" s="3" t="s">
        <v>465</v>
      </c>
      <c r="F3521" s="3">
        <v>127500</v>
      </c>
      <c r="G3521" s="57" t="str">
        <f t="shared" si="56"/>
        <v>-</v>
      </c>
      <c r="H3521" s="5" t="s">
        <v>539</v>
      </c>
    </row>
    <row r="3522" spans="1:8" x14ac:dyDescent="0.2">
      <c r="A3522" s="1" t="s">
        <v>39</v>
      </c>
      <c r="B3522" s="2" t="s">
        <v>364</v>
      </c>
      <c r="D3522" s="5" t="s">
        <v>464</v>
      </c>
      <c r="E3522" s="3">
        <v>132500</v>
      </c>
      <c r="F3522" s="3" t="s">
        <v>465</v>
      </c>
      <c r="G3522" s="57" t="str">
        <f t="shared" si="56"/>
        <v>-</v>
      </c>
    </row>
    <row r="3523" spans="1:8" x14ac:dyDescent="0.2">
      <c r="A3523" s="1" t="s">
        <v>39</v>
      </c>
      <c r="B3523" s="2" t="s">
        <v>364</v>
      </c>
      <c r="D3523" s="5" t="s">
        <v>464</v>
      </c>
      <c r="E3523" s="3" t="s">
        <v>465</v>
      </c>
      <c r="F3523" s="3">
        <v>132500</v>
      </c>
      <c r="G3523" s="57" t="str">
        <f t="shared" si="56"/>
        <v>-</v>
      </c>
      <c r="H3523" s="5" t="s">
        <v>539</v>
      </c>
    </row>
    <row r="3524" spans="1:8" x14ac:dyDescent="0.2">
      <c r="A3524" s="1" t="s">
        <v>39</v>
      </c>
      <c r="B3524" s="2" t="s">
        <v>364</v>
      </c>
      <c r="D3524" s="5" t="s">
        <v>464</v>
      </c>
      <c r="E3524" s="3" t="s">
        <v>465</v>
      </c>
      <c r="F3524" s="3">
        <v>137500</v>
      </c>
      <c r="G3524" s="57" t="str">
        <f t="shared" si="56"/>
        <v>-</v>
      </c>
      <c r="H3524" s="5" t="s">
        <v>539</v>
      </c>
    </row>
    <row r="3525" spans="1:8" x14ac:dyDescent="0.2">
      <c r="A3525" s="1" t="s">
        <v>39</v>
      </c>
      <c r="B3525" s="2" t="s">
        <v>364</v>
      </c>
      <c r="D3525" s="5" t="s">
        <v>464</v>
      </c>
      <c r="E3525" s="3" t="s">
        <v>465</v>
      </c>
      <c r="F3525" s="3">
        <v>137500</v>
      </c>
      <c r="G3525" s="57" t="str">
        <f t="shared" si="56"/>
        <v>-</v>
      </c>
    </row>
    <row r="3526" spans="1:8" x14ac:dyDescent="0.2">
      <c r="A3526" s="1" t="s">
        <v>39</v>
      </c>
      <c r="B3526" s="2" t="s">
        <v>364</v>
      </c>
      <c r="D3526" s="5" t="s">
        <v>464</v>
      </c>
      <c r="E3526" s="3" t="s">
        <v>465</v>
      </c>
      <c r="F3526" s="3">
        <v>147500</v>
      </c>
      <c r="G3526" s="57" t="str">
        <f t="shared" si="56"/>
        <v>-</v>
      </c>
    </row>
    <row r="3527" spans="1:8" x14ac:dyDescent="0.2">
      <c r="A3527" s="1" t="s">
        <v>39</v>
      </c>
      <c r="B3527" s="2" t="s">
        <v>364</v>
      </c>
      <c r="D3527" s="5" t="s">
        <v>464</v>
      </c>
      <c r="E3527" s="3">
        <v>152500</v>
      </c>
      <c r="F3527" s="3" t="s">
        <v>465</v>
      </c>
      <c r="G3527" s="57" t="str">
        <f t="shared" si="56"/>
        <v>-</v>
      </c>
      <c r="H3527" s="5" t="s">
        <v>539</v>
      </c>
    </row>
    <row r="3528" spans="1:8" x14ac:dyDescent="0.2">
      <c r="A3528" s="1" t="s">
        <v>39</v>
      </c>
      <c r="B3528" s="2" t="s">
        <v>364</v>
      </c>
      <c r="D3528" s="5" t="s">
        <v>464</v>
      </c>
      <c r="E3528" s="3" t="s">
        <v>465</v>
      </c>
      <c r="F3528" s="3">
        <v>152500</v>
      </c>
      <c r="G3528" s="57" t="str">
        <f t="shared" si="56"/>
        <v>-</v>
      </c>
      <c r="H3528" s="5" t="s">
        <v>539</v>
      </c>
    </row>
    <row r="3529" spans="1:8" ht="51" x14ac:dyDescent="0.2">
      <c r="A3529" s="1" t="s">
        <v>39</v>
      </c>
      <c r="B3529" s="17" t="s">
        <v>4466</v>
      </c>
      <c r="C3529" s="5" t="s">
        <v>782</v>
      </c>
      <c r="D3529" s="5" t="s">
        <v>783</v>
      </c>
      <c r="E3529" s="3">
        <v>205039</v>
      </c>
      <c r="F3529" s="3">
        <v>202863</v>
      </c>
      <c r="G3529" s="57">
        <f t="shared" si="56"/>
        <v>-1.0612615161018147E-2</v>
      </c>
      <c r="H3529" s="5" t="s">
        <v>2592</v>
      </c>
    </row>
    <row r="3530" spans="1:8" ht="51" x14ac:dyDescent="0.2">
      <c r="A3530" s="1" t="s">
        <v>39</v>
      </c>
      <c r="B3530" s="12" t="s">
        <v>365</v>
      </c>
      <c r="D3530" s="5" t="s">
        <v>784</v>
      </c>
      <c r="E3530" s="3">
        <v>138276</v>
      </c>
      <c r="F3530" s="3">
        <v>145927</v>
      </c>
      <c r="G3530" s="57">
        <f t="shared" si="56"/>
        <v>5.5331366253001245E-2</v>
      </c>
      <c r="H3530" s="5" t="s">
        <v>2591</v>
      </c>
    </row>
    <row r="3531" spans="1:8" ht="51" x14ac:dyDescent="0.2">
      <c r="A3531" s="1" t="s">
        <v>39</v>
      </c>
      <c r="B3531" s="12" t="s">
        <v>365</v>
      </c>
      <c r="D3531" s="5" t="s">
        <v>785</v>
      </c>
      <c r="E3531" s="3">
        <v>133926</v>
      </c>
      <c r="F3531" s="3">
        <v>139876</v>
      </c>
      <c r="G3531" s="57">
        <f t="shared" si="56"/>
        <v>4.4427519675044429E-2</v>
      </c>
      <c r="H3531" s="5" t="s">
        <v>2593</v>
      </c>
    </row>
    <row r="3532" spans="1:8" ht="25.5" x14ac:dyDescent="0.2">
      <c r="A3532" s="1" t="s">
        <v>20</v>
      </c>
      <c r="B3532" s="2" t="s">
        <v>366</v>
      </c>
      <c r="D3532" s="5" t="s">
        <v>450</v>
      </c>
      <c r="E3532" s="3">
        <v>142417</v>
      </c>
      <c r="F3532" s="3">
        <v>150897</v>
      </c>
      <c r="G3532" s="57">
        <f t="shared" si="56"/>
        <v>5.9543453379863359E-2</v>
      </c>
      <c r="H3532" s="5" t="s">
        <v>2587</v>
      </c>
    </row>
    <row r="3533" spans="1:8" ht="25.5" x14ac:dyDescent="0.2">
      <c r="A3533" s="1" t="s">
        <v>20</v>
      </c>
      <c r="B3533" s="2" t="s">
        <v>366</v>
      </c>
      <c r="D3533" s="5" t="s">
        <v>574</v>
      </c>
      <c r="E3533" s="3">
        <v>115579</v>
      </c>
      <c r="F3533" s="3">
        <v>121039</v>
      </c>
      <c r="G3533" s="57">
        <f t="shared" si="56"/>
        <v>4.7240415646440964E-2</v>
      </c>
      <c r="H3533" s="5" t="s">
        <v>2588</v>
      </c>
    </row>
    <row r="3534" spans="1:8" ht="38.25" x14ac:dyDescent="0.2">
      <c r="A3534" s="1" t="s">
        <v>20</v>
      </c>
      <c r="B3534" s="2" t="s">
        <v>366</v>
      </c>
      <c r="D3534" s="5" t="s">
        <v>2586</v>
      </c>
      <c r="E3534" s="3">
        <v>114714</v>
      </c>
      <c r="F3534" s="3">
        <v>39694</v>
      </c>
      <c r="G3534" s="57">
        <f t="shared" si="56"/>
        <v>-0.65397423156720191</v>
      </c>
      <c r="H3534" s="5" t="s">
        <v>2589</v>
      </c>
    </row>
    <row r="3535" spans="1:8" x14ac:dyDescent="0.2">
      <c r="A3535" s="1" t="s">
        <v>20</v>
      </c>
      <c r="B3535" s="2" t="s">
        <v>366</v>
      </c>
      <c r="D3535" s="5" t="s">
        <v>464</v>
      </c>
      <c r="E3535" s="3">
        <v>112500</v>
      </c>
      <c r="F3535" s="3" t="s">
        <v>465</v>
      </c>
      <c r="G3535" s="57" t="str">
        <f t="shared" si="56"/>
        <v>-</v>
      </c>
    </row>
    <row r="3536" spans="1:8" x14ac:dyDescent="0.2">
      <c r="A3536" s="1" t="s">
        <v>20</v>
      </c>
      <c r="B3536" s="2" t="s">
        <v>366</v>
      </c>
      <c r="D3536" s="5" t="s">
        <v>464</v>
      </c>
      <c r="E3536" s="3">
        <v>122500</v>
      </c>
      <c r="F3536" s="3" t="s">
        <v>465</v>
      </c>
      <c r="G3536" s="57" t="str">
        <f t="shared" si="56"/>
        <v>-</v>
      </c>
    </row>
    <row r="3537" spans="1:8" x14ac:dyDescent="0.2">
      <c r="A3537" s="1" t="s">
        <v>20</v>
      </c>
      <c r="B3537" s="2" t="s">
        <v>366</v>
      </c>
      <c r="D3537" s="5" t="s">
        <v>464</v>
      </c>
      <c r="E3537" s="3">
        <v>122500</v>
      </c>
      <c r="F3537" s="3" t="s">
        <v>465</v>
      </c>
      <c r="G3537" s="57" t="str">
        <f t="shared" ref="G3537:G3600" si="57">IF(ISERROR((F3537-E3537)/E3537),"-",(F3537-E3537)/E3537)</f>
        <v>-</v>
      </c>
    </row>
    <row r="3538" spans="1:8" ht="25.5" x14ac:dyDescent="0.2">
      <c r="A3538" s="1" t="s">
        <v>1</v>
      </c>
      <c r="B3538" s="2" t="s">
        <v>367</v>
      </c>
      <c r="C3538" s="5" t="s">
        <v>776</v>
      </c>
      <c r="D3538" s="5" t="s">
        <v>450</v>
      </c>
      <c r="E3538" s="3">
        <v>119429</v>
      </c>
      <c r="F3538" s="3">
        <v>124937</v>
      </c>
      <c r="G3538" s="57">
        <f t="shared" si="57"/>
        <v>4.6119451724455536E-2</v>
      </c>
      <c r="H3538" s="5" t="s">
        <v>2582</v>
      </c>
    </row>
    <row r="3539" spans="1:8" ht="25.5" x14ac:dyDescent="0.2">
      <c r="A3539" s="1" t="s">
        <v>1</v>
      </c>
      <c r="B3539" s="2" t="s">
        <v>367</v>
      </c>
      <c r="C3539" s="5" t="s">
        <v>777</v>
      </c>
      <c r="D3539" s="5" t="s">
        <v>451</v>
      </c>
      <c r="E3539" s="3">
        <v>108806</v>
      </c>
      <c r="F3539" s="3">
        <v>112232</v>
      </c>
      <c r="G3539" s="57">
        <f t="shared" si="57"/>
        <v>3.1487234159880889E-2</v>
      </c>
      <c r="H3539" s="5" t="s">
        <v>2583</v>
      </c>
    </row>
    <row r="3540" spans="1:8" ht="25.5" x14ac:dyDescent="0.2">
      <c r="A3540" s="1" t="s">
        <v>1</v>
      </c>
      <c r="B3540" s="2" t="s">
        <v>367</v>
      </c>
      <c r="C3540" s="5" t="s">
        <v>778</v>
      </c>
      <c r="D3540" s="5" t="s">
        <v>451</v>
      </c>
      <c r="E3540" s="3">
        <v>96889</v>
      </c>
      <c r="F3540" s="3">
        <v>109378</v>
      </c>
      <c r="G3540" s="57">
        <f t="shared" si="57"/>
        <v>0.12890008153660373</v>
      </c>
      <c r="H3540" s="5" t="s">
        <v>2584</v>
      </c>
    </row>
    <row r="3541" spans="1:8" ht="25.5" x14ac:dyDescent="0.2">
      <c r="A3541" s="1" t="s">
        <v>1</v>
      </c>
      <c r="B3541" s="2" t="s">
        <v>367</v>
      </c>
      <c r="C3541" s="5" t="s">
        <v>779</v>
      </c>
      <c r="D3541" s="5" t="s">
        <v>451</v>
      </c>
      <c r="E3541" s="3">
        <v>98236</v>
      </c>
      <c r="F3541" s="3">
        <f>91846+16991</f>
        <v>108837</v>
      </c>
      <c r="G3541" s="57">
        <f t="shared" si="57"/>
        <v>0.10791359583044913</v>
      </c>
      <c r="H3541" s="5" t="s">
        <v>2585</v>
      </c>
    </row>
    <row r="3542" spans="1:8" ht="25.5" x14ac:dyDescent="0.2">
      <c r="A3542" s="1" t="s">
        <v>6</v>
      </c>
      <c r="B3542" s="2" t="s">
        <v>368</v>
      </c>
      <c r="C3542" s="5" t="s">
        <v>772</v>
      </c>
      <c r="D3542" s="5" t="s">
        <v>450</v>
      </c>
      <c r="E3542" s="3" t="s">
        <v>465</v>
      </c>
      <c r="F3542" s="3">
        <v>202000</v>
      </c>
      <c r="G3542" s="57" t="str">
        <f t="shared" si="57"/>
        <v>-</v>
      </c>
      <c r="H3542" s="5" t="s">
        <v>4468</v>
      </c>
    </row>
    <row r="3543" spans="1:8" x14ac:dyDescent="0.2">
      <c r="A3543" s="1" t="s">
        <v>6</v>
      </c>
      <c r="B3543" s="2" t="s">
        <v>368</v>
      </c>
      <c r="C3543" s="5" t="s">
        <v>2568</v>
      </c>
      <c r="D3543" s="5" t="s">
        <v>450</v>
      </c>
      <c r="E3543" s="3">
        <v>192000</v>
      </c>
      <c r="F3543" s="3">
        <v>18000</v>
      </c>
      <c r="G3543" s="57">
        <f t="shared" si="57"/>
        <v>-0.90625</v>
      </c>
      <c r="H3543" s="5" t="s">
        <v>2569</v>
      </c>
    </row>
    <row r="3544" spans="1:8" ht="25.5" x14ac:dyDescent="0.2">
      <c r="A3544" s="1" t="s">
        <v>6</v>
      </c>
      <c r="B3544" s="2" t="s">
        <v>368</v>
      </c>
      <c r="D3544" s="5" t="s">
        <v>773</v>
      </c>
      <c r="E3544" s="3">
        <v>155000</v>
      </c>
      <c r="F3544" s="3">
        <v>159000</v>
      </c>
      <c r="G3544" s="57">
        <f t="shared" si="57"/>
        <v>2.5806451612903226E-2</v>
      </c>
      <c r="H3544" s="5" t="s">
        <v>2570</v>
      </c>
    </row>
    <row r="3545" spans="1:8" ht="38.25" x14ac:dyDescent="0.2">
      <c r="A3545" s="1" t="s">
        <v>6</v>
      </c>
      <c r="B3545" s="2" t="s">
        <v>368</v>
      </c>
      <c r="D3545" s="5" t="s">
        <v>451</v>
      </c>
      <c r="E3545" s="3">
        <v>60000</v>
      </c>
      <c r="F3545" s="3">
        <v>104000</v>
      </c>
      <c r="G3545" s="57">
        <f t="shared" si="57"/>
        <v>0.73333333333333328</v>
      </c>
      <c r="H3545" s="5" t="s">
        <v>4467</v>
      </c>
    </row>
    <row r="3546" spans="1:8" ht="25.5" x14ac:dyDescent="0.2">
      <c r="A3546" s="1" t="s">
        <v>6</v>
      </c>
      <c r="B3546" s="2" t="s">
        <v>368</v>
      </c>
      <c r="D3546" s="5" t="s">
        <v>451</v>
      </c>
      <c r="E3546" s="3">
        <v>91000</v>
      </c>
      <c r="F3546" s="3">
        <v>101000</v>
      </c>
      <c r="G3546" s="57">
        <f t="shared" si="57"/>
        <v>0.10989010989010989</v>
      </c>
      <c r="H3546" s="5" t="s">
        <v>2464</v>
      </c>
    </row>
    <row r="3547" spans="1:8" ht="25.5" x14ac:dyDescent="0.2">
      <c r="A3547" s="1" t="s">
        <v>6</v>
      </c>
      <c r="B3547" s="2" t="s">
        <v>368</v>
      </c>
      <c r="D3547" s="5" t="s">
        <v>468</v>
      </c>
      <c r="E3547" s="3" t="s">
        <v>465</v>
      </c>
      <c r="F3547" s="3">
        <v>152000</v>
      </c>
      <c r="G3547" s="57" t="str">
        <f t="shared" si="57"/>
        <v>-</v>
      </c>
      <c r="H3547" s="5" t="s">
        <v>2571</v>
      </c>
    </row>
    <row r="3548" spans="1:8" ht="25.5" x14ac:dyDescent="0.2">
      <c r="A3548" s="1" t="s">
        <v>6</v>
      </c>
      <c r="B3548" s="2" t="s">
        <v>368</v>
      </c>
      <c r="D3548" s="5" t="s">
        <v>468</v>
      </c>
      <c r="E3548" s="3" t="s">
        <v>465</v>
      </c>
      <c r="F3548" s="3">
        <v>135000</v>
      </c>
      <c r="G3548" s="57" t="str">
        <f t="shared" si="57"/>
        <v>-</v>
      </c>
      <c r="H3548" s="5" t="s">
        <v>2572</v>
      </c>
    </row>
    <row r="3549" spans="1:8" x14ac:dyDescent="0.2">
      <c r="A3549" s="1" t="s">
        <v>6</v>
      </c>
      <c r="B3549" s="2" t="s">
        <v>368</v>
      </c>
      <c r="D3549" s="5" t="s">
        <v>468</v>
      </c>
      <c r="E3549" s="3">
        <v>148000</v>
      </c>
      <c r="F3549" s="3" t="s">
        <v>465</v>
      </c>
      <c r="G3549" s="57" t="str">
        <f t="shared" si="57"/>
        <v>-</v>
      </c>
    </row>
    <row r="3550" spans="1:8" x14ac:dyDescent="0.2">
      <c r="A3550" s="1" t="s">
        <v>6</v>
      </c>
      <c r="B3550" s="2" t="s">
        <v>368</v>
      </c>
      <c r="D3550" s="5" t="s">
        <v>468</v>
      </c>
      <c r="E3550" s="3">
        <v>135000</v>
      </c>
      <c r="F3550" s="3" t="s">
        <v>465</v>
      </c>
      <c r="G3550" s="57" t="str">
        <f t="shared" si="57"/>
        <v>-</v>
      </c>
    </row>
    <row r="3551" spans="1:8" ht="25.5" x14ac:dyDescent="0.2">
      <c r="A3551" s="1" t="s">
        <v>6</v>
      </c>
      <c r="B3551" s="2" t="s">
        <v>368</v>
      </c>
      <c r="D3551" s="5" t="s">
        <v>774</v>
      </c>
      <c r="E3551" s="3">
        <v>111000</v>
      </c>
      <c r="F3551" s="3">
        <v>109000</v>
      </c>
      <c r="G3551" s="57">
        <f t="shared" si="57"/>
        <v>-1.8018018018018018E-2</v>
      </c>
      <c r="H3551" s="5" t="s">
        <v>2573</v>
      </c>
    </row>
    <row r="3552" spans="1:8" ht="38.25" x14ac:dyDescent="0.2">
      <c r="A3552" s="1" t="s">
        <v>6</v>
      </c>
      <c r="B3552" s="2" t="s">
        <v>368</v>
      </c>
      <c r="D3552" s="5" t="s">
        <v>775</v>
      </c>
      <c r="E3552" s="3" t="s">
        <v>465</v>
      </c>
      <c r="F3552" s="3">
        <v>110000</v>
      </c>
      <c r="G3552" s="57" t="str">
        <f t="shared" si="57"/>
        <v>-</v>
      </c>
      <c r="H3552" s="5" t="s">
        <v>2879</v>
      </c>
    </row>
    <row r="3553" spans="1:8" ht="25.5" x14ac:dyDescent="0.2">
      <c r="A3553" s="1" t="s">
        <v>6</v>
      </c>
      <c r="B3553" s="2" t="s">
        <v>368</v>
      </c>
      <c r="D3553" s="5" t="s">
        <v>775</v>
      </c>
      <c r="E3553" s="3" t="s">
        <v>465</v>
      </c>
      <c r="F3553" s="3">
        <v>109000</v>
      </c>
      <c r="G3553" s="57" t="str">
        <f t="shared" si="57"/>
        <v>-</v>
      </c>
      <c r="H3553" s="5" t="s">
        <v>2574</v>
      </c>
    </row>
    <row r="3554" spans="1:8" ht="25.5" x14ac:dyDescent="0.2">
      <c r="A3554" s="1" t="s">
        <v>6</v>
      </c>
      <c r="B3554" s="2" t="s">
        <v>368</v>
      </c>
      <c r="D3554" s="5" t="s">
        <v>775</v>
      </c>
      <c r="E3554" s="3" t="s">
        <v>465</v>
      </c>
      <c r="F3554" s="3">
        <v>103000</v>
      </c>
      <c r="G3554" s="57" t="str">
        <f t="shared" si="57"/>
        <v>-</v>
      </c>
      <c r="H3554" s="5" t="s">
        <v>2575</v>
      </c>
    </row>
    <row r="3555" spans="1:8" ht="25.5" x14ac:dyDescent="0.2">
      <c r="A3555" s="1" t="s">
        <v>6</v>
      </c>
      <c r="B3555" s="2" t="s">
        <v>368</v>
      </c>
      <c r="D3555" s="5" t="s">
        <v>775</v>
      </c>
      <c r="E3555" s="3" t="s">
        <v>465</v>
      </c>
      <c r="F3555" s="3">
        <v>106000</v>
      </c>
      <c r="G3555" s="57" t="str">
        <f t="shared" si="57"/>
        <v>-</v>
      </c>
      <c r="H3555" s="5" t="s">
        <v>2576</v>
      </c>
    </row>
    <row r="3556" spans="1:8" ht="25.5" x14ac:dyDescent="0.2">
      <c r="A3556" s="1" t="s">
        <v>6</v>
      </c>
      <c r="B3556" s="2" t="s">
        <v>368</v>
      </c>
      <c r="D3556" s="5" t="s">
        <v>775</v>
      </c>
      <c r="E3556" s="3" t="s">
        <v>465</v>
      </c>
      <c r="F3556" s="3">
        <v>106000</v>
      </c>
      <c r="G3556" s="57" t="str">
        <f t="shared" si="57"/>
        <v>-</v>
      </c>
      <c r="H3556" s="5" t="s">
        <v>2577</v>
      </c>
    </row>
    <row r="3557" spans="1:8" ht="25.5" x14ac:dyDescent="0.2">
      <c r="A3557" s="1" t="s">
        <v>6</v>
      </c>
      <c r="B3557" s="2" t="s">
        <v>368</v>
      </c>
      <c r="D3557" s="5" t="s">
        <v>775</v>
      </c>
      <c r="E3557" s="3" t="s">
        <v>465</v>
      </c>
      <c r="F3557" s="3">
        <v>101000</v>
      </c>
      <c r="G3557" s="57" t="str">
        <f t="shared" si="57"/>
        <v>-</v>
      </c>
      <c r="H3557" s="5" t="s">
        <v>2578</v>
      </c>
    </row>
    <row r="3558" spans="1:8" ht="25.5" x14ac:dyDescent="0.2">
      <c r="A3558" s="1" t="s">
        <v>6</v>
      </c>
      <c r="B3558" s="2" t="s">
        <v>368</v>
      </c>
      <c r="D3558" s="5" t="s">
        <v>775</v>
      </c>
      <c r="E3558" s="3" t="s">
        <v>465</v>
      </c>
      <c r="F3558" s="3">
        <v>102000</v>
      </c>
      <c r="G3558" s="57" t="str">
        <f t="shared" si="57"/>
        <v>-</v>
      </c>
      <c r="H3558" s="5" t="s">
        <v>2579</v>
      </c>
    </row>
    <row r="3559" spans="1:8" ht="25.5" x14ac:dyDescent="0.2">
      <c r="A3559" s="1" t="s">
        <v>6</v>
      </c>
      <c r="B3559" s="2" t="s">
        <v>368</v>
      </c>
      <c r="D3559" s="5" t="s">
        <v>775</v>
      </c>
      <c r="E3559" s="3" t="s">
        <v>465</v>
      </c>
      <c r="F3559" s="3">
        <v>100000</v>
      </c>
      <c r="G3559" s="57" t="str">
        <f t="shared" si="57"/>
        <v>-</v>
      </c>
      <c r="H3559" s="5" t="s">
        <v>2580</v>
      </c>
    </row>
    <row r="3560" spans="1:8" ht="25.5" x14ac:dyDescent="0.2">
      <c r="A3560" s="1" t="s">
        <v>6</v>
      </c>
      <c r="B3560" s="2" t="s">
        <v>368</v>
      </c>
      <c r="D3560" s="5" t="s">
        <v>775</v>
      </c>
      <c r="E3560" s="3" t="s">
        <v>465</v>
      </c>
      <c r="F3560" s="3">
        <v>102000</v>
      </c>
      <c r="G3560" s="57" t="str">
        <f t="shared" si="57"/>
        <v>-</v>
      </c>
      <c r="H3560" s="5" t="s">
        <v>2581</v>
      </c>
    </row>
    <row r="3561" spans="1:8" x14ac:dyDescent="0.2">
      <c r="A3561" s="1" t="s">
        <v>6</v>
      </c>
      <c r="B3561" s="2" t="s">
        <v>368</v>
      </c>
      <c r="D3561" s="5" t="s">
        <v>775</v>
      </c>
      <c r="E3561" s="3">
        <v>106000</v>
      </c>
      <c r="F3561" s="3" t="s">
        <v>465</v>
      </c>
      <c r="G3561" s="57" t="str">
        <f t="shared" si="57"/>
        <v>-</v>
      </c>
    </row>
    <row r="3562" spans="1:8" x14ac:dyDescent="0.2">
      <c r="A3562" s="1" t="s">
        <v>6</v>
      </c>
      <c r="B3562" s="2" t="s">
        <v>368</v>
      </c>
      <c r="D3562" s="5" t="s">
        <v>775</v>
      </c>
      <c r="E3562" s="3">
        <v>103000</v>
      </c>
      <c r="F3562" s="3" t="s">
        <v>465</v>
      </c>
      <c r="G3562" s="57" t="str">
        <f t="shared" si="57"/>
        <v>-</v>
      </c>
    </row>
    <row r="3563" spans="1:8" x14ac:dyDescent="0.2">
      <c r="A3563" s="1" t="s">
        <v>6</v>
      </c>
      <c r="B3563" s="2" t="s">
        <v>368</v>
      </c>
      <c r="D3563" s="5" t="s">
        <v>775</v>
      </c>
      <c r="E3563" s="3">
        <v>102000</v>
      </c>
      <c r="F3563" s="3" t="s">
        <v>465</v>
      </c>
      <c r="G3563" s="57" t="str">
        <f t="shared" si="57"/>
        <v>-</v>
      </c>
    </row>
    <row r="3564" spans="1:8" x14ac:dyDescent="0.2">
      <c r="A3564" s="1" t="s">
        <v>6</v>
      </c>
      <c r="B3564" s="2" t="s">
        <v>368</v>
      </c>
      <c r="D3564" s="5" t="s">
        <v>775</v>
      </c>
      <c r="E3564" s="3">
        <v>101000</v>
      </c>
      <c r="F3564" s="3" t="s">
        <v>465</v>
      </c>
      <c r="G3564" s="57" t="str">
        <f t="shared" si="57"/>
        <v>-</v>
      </c>
    </row>
    <row r="3565" spans="1:8" x14ac:dyDescent="0.2">
      <c r="A3565" s="1" t="s">
        <v>6</v>
      </c>
      <c r="B3565" s="2" t="s">
        <v>368</v>
      </c>
      <c r="D3565" s="5" t="s">
        <v>775</v>
      </c>
      <c r="E3565" s="3">
        <v>101000</v>
      </c>
      <c r="F3565" s="3" t="s">
        <v>465</v>
      </c>
      <c r="G3565" s="57" t="str">
        <f t="shared" si="57"/>
        <v>-</v>
      </c>
    </row>
    <row r="3566" spans="1:8" x14ac:dyDescent="0.2">
      <c r="A3566" s="1" t="s">
        <v>6</v>
      </c>
      <c r="B3566" s="2" t="s">
        <v>368</v>
      </c>
      <c r="D3566" s="5" t="s">
        <v>775</v>
      </c>
      <c r="E3566" s="3">
        <v>100000</v>
      </c>
      <c r="F3566" s="3" t="s">
        <v>465</v>
      </c>
      <c r="G3566" s="57" t="str">
        <f t="shared" si="57"/>
        <v>-</v>
      </c>
    </row>
    <row r="3567" spans="1:8" x14ac:dyDescent="0.2">
      <c r="A3567" s="1" t="s">
        <v>6</v>
      </c>
      <c r="B3567" s="2" t="s">
        <v>368</v>
      </c>
      <c r="D3567" s="5" t="s">
        <v>775</v>
      </c>
      <c r="E3567" s="3">
        <v>100000</v>
      </c>
      <c r="F3567" s="3" t="s">
        <v>465</v>
      </c>
      <c r="G3567" s="57" t="str">
        <f t="shared" si="57"/>
        <v>-</v>
      </c>
    </row>
    <row r="3568" spans="1:8" x14ac:dyDescent="0.2">
      <c r="A3568" s="1" t="s">
        <v>6</v>
      </c>
      <c r="B3568" s="2" t="s">
        <v>368</v>
      </c>
      <c r="D3568" s="5" t="s">
        <v>464</v>
      </c>
      <c r="E3568" s="3" t="s">
        <v>465</v>
      </c>
      <c r="F3568" s="3">
        <v>102500</v>
      </c>
      <c r="G3568" s="57" t="str">
        <f t="shared" si="57"/>
        <v>-</v>
      </c>
    </row>
    <row r="3569" spans="1:8" x14ac:dyDescent="0.2">
      <c r="A3569" s="1" t="s">
        <v>6</v>
      </c>
      <c r="B3569" s="2" t="s">
        <v>368</v>
      </c>
      <c r="D3569" s="5" t="s">
        <v>464</v>
      </c>
      <c r="E3569" s="3" t="s">
        <v>465</v>
      </c>
      <c r="F3569" s="3">
        <v>102500</v>
      </c>
      <c r="G3569" s="57" t="str">
        <f t="shared" si="57"/>
        <v>-</v>
      </c>
    </row>
    <row r="3570" spans="1:8" x14ac:dyDescent="0.2">
      <c r="A3570" s="1" t="s">
        <v>6</v>
      </c>
      <c r="B3570" s="2" t="s">
        <v>368</v>
      </c>
      <c r="D3570" s="5" t="s">
        <v>464</v>
      </c>
      <c r="E3570" s="3" t="s">
        <v>465</v>
      </c>
      <c r="F3570" s="3">
        <v>102500</v>
      </c>
      <c r="G3570" s="57" t="str">
        <f t="shared" si="57"/>
        <v>-</v>
      </c>
    </row>
    <row r="3571" spans="1:8" x14ac:dyDescent="0.2">
      <c r="A3571" s="1" t="s">
        <v>6</v>
      </c>
      <c r="B3571" s="2" t="s">
        <v>368</v>
      </c>
      <c r="D3571" s="5" t="s">
        <v>464</v>
      </c>
      <c r="E3571" s="3" t="s">
        <v>465</v>
      </c>
      <c r="F3571" s="3">
        <v>102500</v>
      </c>
      <c r="G3571" s="57" t="str">
        <f t="shared" si="57"/>
        <v>-</v>
      </c>
    </row>
    <row r="3572" spans="1:8" x14ac:dyDescent="0.2">
      <c r="A3572" s="1" t="s">
        <v>6</v>
      </c>
      <c r="B3572" s="2" t="s">
        <v>368</v>
      </c>
      <c r="D3572" s="5" t="s">
        <v>464</v>
      </c>
      <c r="E3572" s="3" t="s">
        <v>465</v>
      </c>
      <c r="F3572" s="3">
        <v>102500</v>
      </c>
      <c r="G3572" s="57" t="str">
        <f t="shared" si="57"/>
        <v>-</v>
      </c>
    </row>
    <row r="3573" spans="1:8" x14ac:dyDescent="0.2">
      <c r="A3573" s="1" t="s">
        <v>6</v>
      </c>
      <c r="B3573" s="2" t="s">
        <v>368</v>
      </c>
      <c r="D3573" s="5" t="s">
        <v>464</v>
      </c>
      <c r="E3573" s="3" t="s">
        <v>465</v>
      </c>
      <c r="F3573" s="3">
        <v>102500</v>
      </c>
      <c r="G3573" s="57" t="str">
        <f t="shared" si="57"/>
        <v>-</v>
      </c>
    </row>
    <row r="3574" spans="1:8" x14ac:dyDescent="0.2">
      <c r="A3574" s="1" t="s">
        <v>6</v>
      </c>
      <c r="B3574" s="2" t="s">
        <v>368</v>
      </c>
      <c r="D3574" s="5" t="s">
        <v>464</v>
      </c>
      <c r="E3574" s="3" t="s">
        <v>465</v>
      </c>
      <c r="F3574" s="3">
        <v>107500</v>
      </c>
      <c r="G3574" s="57" t="str">
        <f t="shared" si="57"/>
        <v>-</v>
      </c>
    </row>
    <row r="3575" spans="1:8" x14ac:dyDescent="0.2">
      <c r="A3575" s="1" t="s">
        <v>6</v>
      </c>
      <c r="B3575" s="2" t="s">
        <v>368</v>
      </c>
      <c r="D3575" s="5" t="s">
        <v>464</v>
      </c>
      <c r="E3575" s="3">
        <v>107500</v>
      </c>
      <c r="F3575" s="3" t="s">
        <v>465</v>
      </c>
      <c r="G3575" s="57" t="str">
        <f t="shared" si="57"/>
        <v>-</v>
      </c>
    </row>
    <row r="3576" spans="1:8" x14ac:dyDescent="0.2">
      <c r="A3576" s="1" t="s">
        <v>6</v>
      </c>
      <c r="B3576" s="2" t="s">
        <v>368</v>
      </c>
      <c r="D3576" s="5" t="s">
        <v>464</v>
      </c>
      <c r="E3576" s="3" t="s">
        <v>465</v>
      </c>
      <c r="F3576" s="3">
        <v>112500</v>
      </c>
      <c r="G3576" s="57" t="str">
        <f t="shared" si="57"/>
        <v>-</v>
      </c>
    </row>
    <row r="3577" spans="1:8" x14ac:dyDescent="0.2">
      <c r="A3577" s="1" t="s">
        <v>6</v>
      </c>
      <c r="B3577" s="2" t="s">
        <v>368</v>
      </c>
      <c r="D3577" s="5" t="s">
        <v>464</v>
      </c>
      <c r="E3577" s="3">
        <v>117500</v>
      </c>
      <c r="F3577" s="3" t="s">
        <v>465</v>
      </c>
      <c r="G3577" s="57" t="str">
        <f t="shared" si="57"/>
        <v>-</v>
      </c>
    </row>
    <row r="3578" spans="1:8" x14ac:dyDescent="0.2">
      <c r="A3578" s="1" t="s">
        <v>6</v>
      </c>
      <c r="B3578" s="2" t="s">
        <v>368</v>
      </c>
      <c r="D3578" s="5" t="s">
        <v>464</v>
      </c>
      <c r="E3578" s="3" t="s">
        <v>465</v>
      </c>
      <c r="F3578" s="3">
        <v>122500</v>
      </c>
      <c r="G3578" s="57" t="str">
        <f t="shared" si="57"/>
        <v>-</v>
      </c>
    </row>
    <row r="3579" spans="1:8" ht="38.25" x14ac:dyDescent="0.2">
      <c r="A3579" s="1" t="s">
        <v>111</v>
      </c>
      <c r="B3579" s="2" t="s">
        <v>369</v>
      </c>
      <c r="C3579" s="5" t="s">
        <v>771</v>
      </c>
      <c r="D3579" s="5" t="s">
        <v>450</v>
      </c>
      <c r="E3579" s="3">
        <v>188211</v>
      </c>
      <c r="F3579" s="3">
        <v>189201</v>
      </c>
      <c r="G3579" s="57">
        <f t="shared" si="57"/>
        <v>5.2600538757033325E-3</v>
      </c>
      <c r="H3579" s="5" t="s">
        <v>2563</v>
      </c>
    </row>
    <row r="3580" spans="1:8" ht="38.25" x14ac:dyDescent="0.2">
      <c r="A3580" s="1" t="s">
        <v>111</v>
      </c>
      <c r="B3580" s="2" t="s">
        <v>369</v>
      </c>
      <c r="D3580" s="5" t="s">
        <v>767</v>
      </c>
      <c r="E3580" s="3">
        <v>153859</v>
      </c>
      <c r="F3580" s="3">
        <v>155533</v>
      </c>
      <c r="G3580" s="57">
        <f t="shared" si="57"/>
        <v>1.0880091512358718E-2</v>
      </c>
      <c r="H3580" s="5" t="s">
        <v>2564</v>
      </c>
    </row>
    <row r="3581" spans="1:8" ht="38.25" x14ac:dyDescent="0.2">
      <c r="A3581" s="1" t="s">
        <v>111</v>
      </c>
      <c r="B3581" s="2" t="s">
        <v>369</v>
      </c>
      <c r="D3581" s="5" t="s">
        <v>768</v>
      </c>
      <c r="E3581" s="3">
        <v>148774</v>
      </c>
      <c r="F3581" s="3">
        <v>150331</v>
      </c>
      <c r="G3581" s="57">
        <f t="shared" si="57"/>
        <v>1.0465538333310927E-2</v>
      </c>
      <c r="H3581" s="5" t="s">
        <v>2565</v>
      </c>
    </row>
    <row r="3582" spans="1:8" ht="38.25" x14ac:dyDescent="0.2">
      <c r="A3582" s="1" t="s">
        <v>111</v>
      </c>
      <c r="B3582" s="2" t="s">
        <v>369</v>
      </c>
      <c r="D3582" s="5" t="s">
        <v>769</v>
      </c>
      <c r="E3582" s="3">
        <v>96569</v>
      </c>
      <c r="F3582" s="3">
        <v>147598</v>
      </c>
      <c r="G3582" s="57">
        <f t="shared" si="57"/>
        <v>0.52842009340471585</v>
      </c>
      <c r="H3582" s="5" t="s">
        <v>2566</v>
      </c>
    </row>
    <row r="3583" spans="1:8" ht="25.5" x14ac:dyDescent="0.2">
      <c r="A3583" s="1" t="s">
        <v>111</v>
      </c>
      <c r="B3583" s="2" t="s">
        <v>369</v>
      </c>
      <c r="D3583" s="5" t="s">
        <v>770</v>
      </c>
      <c r="E3583" s="3">
        <v>107788</v>
      </c>
      <c r="F3583" s="3">
        <v>112938</v>
      </c>
      <c r="G3583" s="57">
        <f t="shared" si="57"/>
        <v>4.7778973540653878E-2</v>
      </c>
      <c r="H3583" s="5" t="s">
        <v>2567</v>
      </c>
    </row>
    <row r="3584" spans="1:8" x14ac:dyDescent="0.2">
      <c r="A3584" s="1" t="s">
        <v>111</v>
      </c>
      <c r="B3584" s="2" t="s">
        <v>369</v>
      </c>
      <c r="D3584" s="5" t="s">
        <v>464</v>
      </c>
      <c r="E3584" s="3" t="s">
        <v>465</v>
      </c>
      <c r="F3584" s="3">
        <v>102500</v>
      </c>
      <c r="G3584" s="57" t="str">
        <f t="shared" si="57"/>
        <v>-</v>
      </c>
    </row>
    <row r="3585" spans="1:8" x14ac:dyDescent="0.2">
      <c r="A3585" s="1" t="s">
        <v>111</v>
      </c>
      <c r="B3585" s="2" t="s">
        <v>369</v>
      </c>
      <c r="D3585" s="5" t="s">
        <v>464</v>
      </c>
      <c r="E3585" s="3">
        <v>107500</v>
      </c>
      <c r="F3585" s="3" t="s">
        <v>465</v>
      </c>
      <c r="G3585" s="57" t="str">
        <f t="shared" si="57"/>
        <v>-</v>
      </c>
    </row>
    <row r="3586" spans="1:8" x14ac:dyDescent="0.2">
      <c r="A3586" s="1" t="s">
        <v>111</v>
      </c>
      <c r="B3586" s="2" t="s">
        <v>369</v>
      </c>
      <c r="D3586" s="5" t="s">
        <v>464</v>
      </c>
      <c r="E3586" s="3">
        <v>117500</v>
      </c>
      <c r="F3586" s="3" t="s">
        <v>465</v>
      </c>
      <c r="G3586" s="57" t="str">
        <f t="shared" si="57"/>
        <v>-</v>
      </c>
    </row>
    <row r="3587" spans="1:8" x14ac:dyDescent="0.2">
      <c r="A3587" s="1" t="s">
        <v>111</v>
      </c>
      <c r="B3587" s="2" t="s">
        <v>369</v>
      </c>
      <c r="D3587" s="5" t="s">
        <v>464</v>
      </c>
      <c r="E3587" s="3">
        <v>122500</v>
      </c>
      <c r="F3587" s="3" t="s">
        <v>465</v>
      </c>
      <c r="G3587" s="57" t="str">
        <f t="shared" si="57"/>
        <v>-</v>
      </c>
    </row>
    <row r="3588" spans="1:8" x14ac:dyDescent="0.2">
      <c r="A3588" s="1" t="s">
        <v>111</v>
      </c>
      <c r="B3588" s="2" t="s">
        <v>369</v>
      </c>
      <c r="D3588" s="5" t="s">
        <v>464</v>
      </c>
      <c r="E3588" s="3">
        <v>147500</v>
      </c>
      <c r="F3588" s="3" t="s">
        <v>465</v>
      </c>
      <c r="G3588" s="57" t="str">
        <f t="shared" si="57"/>
        <v>-</v>
      </c>
    </row>
    <row r="3589" spans="1:8" ht="51" x14ac:dyDescent="0.2">
      <c r="A3589" s="1" t="s">
        <v>39</v>
      </c>
      <c r="B3589" s="2" t="s">
        <v>370</v>
      </c>
      <c r="C3589" s="5" t="s">
        <v>760</v>
      </c>
      <c r="D3589" s="5" t="s">
        <v>450</v>
      </c>
      <c r="E3589" s="3">
        <v>58725</v>
      </c>
      <c r="F3589" s="3">
        <v>226575</v>
      </c>
      <c r="G3589" s="57">
        <f t="shared" si="57"/>
        <v>2.8582375478927204</v>
      </c>
      <c r="H3589" s="5" t="s">
        <v>4469</v>
      </c>
    </row>
    <row r="3590" spans="1:8" ht="38.25" x14ac:dyDescent="0.2">
      <c r="A3590" s="1" t="s">
        <v>39</v>
      </c>
      <c r="B3590" s="2" t="s">
        <v>370</v>
      </c>
      <c r="D3590" s="5" t="s">
        <v>761</v>
      </c>
      <c r="E3590" s="3" t="s">
        <v>465</v>
      </c>
      <c r="F3590" s="3">
        <v>171050</v>
      </c>
      <c r="G3590" s="57" t="str">
        <f t="shared" si="57"/>
        <v>-</v>
      </c>
      <c r="H3590" s="5" t="s">
        <v>2559</v>
      </c>
    </row>
    <row r="3591" spans="1:8" ht="25.5" x14ac:dyDescent="0.2">
      <c r="A3591" s="1" t="s">
        <v>39</v>
      </c>
      <c r="B3591" s="2" t="s">
        <v>370</v>
      </c>
      <c r="D3591" s="7" t="s">
        <v>2555</v>
      </c>
      <c r="E3591" s="6">
        <v>165415</v>
      </c>
      <c r="F3591" s="3" t="s">
        <v>465</v>
      </c>
      <c r="G3591" s="57" t="str">
        <f t="shared" si="57"/>
        <v>-</v>
      </c>
    </row>
    <row r="3592" spans="1:8" ht="25.5" x14ac:dyDescent="0.2">
      <c r="A3592" s="1" t="s">
        <v>39</v>
      </c>
      <c r="B3592" s="2" t="s">
        <v>370</v>
      </c>
      <c r="D3592" s="5" t="s">
        <v>762</v>
      </c>
      <c r="E3592" s="3" t="s">
        <v>465</v>
      </c>
      <c r="F3592" s="3">
        <v>148870</v>
      </c>
      <c r="G3592" s="57" t="str">
        <f t="shared" si="57"/>
        <v>-</v>
      </c>
      <c r="H3592" s="5" t="s">
        <v>2560</v>
      </c>
    </row>
    <row r="3593" spans="1:8" ht="38.25" x14ac:dyDescent="0.2">
      <c r="A3593" s="1" t="s">
        <v>39</v>
      </c>
      <c r="B3593" s="2" t="s">
        <v>370</v>
      </c>
      <c r="D3593" s="5" t="s">
        <v>763</v>
      </c>
      <c r="E3593" s="3" t="s">
        <v>465</v>
      </c>
      <c r="F3593" s="3">
        <v>147641</v>
      </c>
      <c r="G3593" s="57" t="str">
        <f t="shared" si="57"/>
        <v>-</v>
      </c>
      <c r="H3593" s="5" t="s">
        <v>2561</v>
      </c>
    </row>
    <row r="3594" spans="1:8" ht="51" x14ac:dyDescent="0.2">
      <c r="A3594" s="1" t="s">
        <v>39</v>
      </c>
      <c r="B3594" s="2" t="s">
        <v>370</v>
      </c>
      <c r="D3594" s="5" t="s">
        <v>764</v>
      </c>
      <c r="E3594" s="3" t="s">
        <v>465</v>
      </c>
      <c r="F3594" s="3">
        <v>145791</v>
      </c>
      <c r="G3594" s="57" t="str">
        <f t="shared" si="57"/>
        <v>-</v>
      </c>
      <c r="H3594" s="5" t="s">
        <v>2880</v>
      </c>
    </row>
    <row r="3595" spans="1:8" ht="38.25" x14ac:dyDescent="0.2">
      <c r="A3595" s="1" t="s">
        <v>39</v>
      </c>
      <c r="B3595" s="2" t="s">
        <v>370</v>
      </c>
      <c r="D3595" s="5" t="s">
        <v>520</v>
      </c>
      <c r="E3595" s="3">
        <v>103214</v>
      </c>
      <c r="F3595" s="3">
        <v>110141</v>
      </c>
      <c r="G3595" s="57">
        <f t="shared" si="57"/>
        <v>6.7112988548065189E-2</v>
      </c>
      <c r="H3595" s="5" t="s">
        <v>2562</v>
      </c>
    </row>
    <row r="3596" spans="1:8" ht="51" x14ac:dyDescent="0.2">
      <c r="A3596" s="1" t="s">
        <v>39</v>
      </c>
      <c r="B3596" s="2" t="s">
        <v>370</v>
      </c>
      <c r="C3596" s="5" t="s">
        <v>766</v>
      </c>
      <c r="D3596" s="5" t="s">
        <v>765</v>
      </c>
      <c r="E3596" s="3">
        <v>177967</v>
      </c>
      <c r="F3596" s="3">
        <v>160725</v>
      </c>
      <c r="G3596" s="57">
        <f t="shared" si="57"/>
        <v>-9.6883130018486571E-2</v>
      </c>
      <c r="H3596" s="5" t="s">
        <v>4470</v>
      </c>
    </row>
    <row r="3597" spans="1:8" x14ac:dyDescent="0.2">
      <c r="A3597" s="1" t="s">
        <v>39</v>
      </c>
      <c r="B3597" s="2" t="s">
        <v>370</v>
      </c>
      <c r="C3597" s="5" t="s">
        <v>2552</v>
      </c>
      <c r="D3597" s="7" t="s">
        <v>2553</v>
      </c>
      <c r="E3597" s="6">
        <v>181119</v>
      </c>
      <c r="F3597" s="6" t="s">
        <v>465</v>
      </c>
      <c r="G3597" s="57" t="str">
        <f t="shared" si="57"/>
        <v>-</v>
      </c>
      <c r="H3597" s="5" t="s">
        <v>2554</v>
      </c>
    </row>
    <row r="3598" spans="1:8" x14ac:dyDescent="0.2">
      <c r="A3598" s="1" t="s">
        <v>39</v>
      </c>
      <c r="B3598" s="2" t="s">
        <v>370</v>
      </c>
      <c r="D3598" s="7" t="s">
        <v>2556</v>
      </c>
      <c r="E3598" s="6">
        <v>148229</v>
      </c>
      <c r="F3598" s="6" t="s">
        <v>465</v>
      </c>
      <c r="G3598" s="57" t="str">
        <f t="shared" si="57"/>
        <v>-</v>
      </c>
    </row>
    <row r="3599" spans="1:8" x14ac:dyDescent="0.2">
      <c r="A3599" s="1" t="s">
        <v>39</v>
      </c>
      <c r="B3599" s="2" t="s">
        <v>370</v>
      </c>
      <c r="D3599" s="7" t="s">
        <v>2557</v>
      </c>
      <c r="E3599" s="6">
        <v>143270</v>
      </c>
      <c r="F3599" s="6" t="s">
        <v>465</v>
      </c>
      <c r="G3599" s="57" t="str">
        <f t="shared" si="57"/>
        <v>-</v>
      </c>
    </row>
    <row r="3600" spans="1:8" ht="25.5" x14ac:dyDescent="0.2">
      <c r="A3600" s="1" t="s">
        <v>39</v>
      </c>
      <c r="B3600" s="2" t="s">
        <v>370</v>
      </c>
      <c r="D3600" s="7" t="s">
        <v>2558</v>
      </c>
      <c r="E3600" s="6">
        <v>120411</v>
      </c>
      <c r="F3600" s="6">
        <v>38865</v>
      </c>
      <c r="G3600" s="57">
        <f t="shared" si="57"/>
        <v>-0.67723048558686494</v>
      </c>
      <c r="H3600" s="5" t="s">
        <v>4471</v>
      </c>
    </row>
    <row r="3601" spans="1:8" x14ac:dyDescent="0.2">
      <c r="A3601" s="1" t="s">
        <v>39</v>
      </c>
      <c r="B3601" s="2" t="s">
        <v>370</v>
      </c>
      <c r="D3601" s="5" t="s">
        <v>464</v>
      </c>
      <c r="E3601" s="3">
        <v>102500</v>
      </c>
      <c r="F3601" s="3" t="s">
        <v>465</v>
      </c>
      <c r="G3601" s="57" t="str">
        <f t="shared" ref="G3601:G3664" si="58">IF(ISERROR((F3601-E3601)/E3601),"-",(F3601-E3601)/E3601)</f>
        <v>-</v>
      </c>
      <c r="H3601" s="5" t="s">
        <v>539</v>
      </c>
    </row>
    <row r="3602" spans="1:8" x14ac:dyDescent="0.2">
      <c r="A3602" s="1" t="s">
        <v>39</v>
      </c>
      <c r="B3602" s="2" t="s">
        <v>370</v>
      </c>
      <c r="D3602" s="5" t="s">
        <v>464</v>
      </c>
      <c r="E3602" s="3">
        <v>102500</v>
      </c>
      <c r="F3602" s="3" t="s">
        <v>465</v>
      </c>
      <c r="G3602" s="57" t="str">
        <f t="shared" si="58"/>
        <v>-</v>
      </c>
    </row>
    <row r="3603" spans="1:8" x14ac:dyDescent="0.2">
      <c r="A3603" s="1" t="s">
        <v>39</v>
      </c>
      <c r="B3603" s="2" t="s">
        <v>370</v>
      </c>
      <c r="D3603" s="5" t="s">
        <v>464</v>
      </c>
      <c r="E3603" s="3">
        <v>102500</v>
      </c>
      <c r="F3603" s="3" t="s">
        <v>465</v>
      </c>
      <c r="G3603" s="57" t="str">
        <f t="shared" si="58"/>
        <v>-</v>
      </c>
    </row>
    <row r="3604" spans="1:8" x14ac:dyDescent="0.2">
      <c r="A3604" s="1" t="s">
        <v>39</v>
      </c>
      <c r="B3604" s="2" t="s">
        <v>370</v>
      </c>
      <c r="D3604" s="5" t="s">
        <v>464</v>
      </c>
      <c r="E3604" s="3">
        <v>102500</v>
      </c>
      <c r="F3604" s="3" t="s">
        <v>465</v>
      </c>
      <c r="G3604" s="57" t="str">
        <f t="shared" si="58"/>
        <v>-</v>
      </c>
    </row>
    <row r="3605" spans="1:8" x14ac:dyDescent="0.2">
      <c r="A3605" s="1" t="s">
        <v>39</v>
      </c>
      <c r="B3605" s="2" t="s">
        <v>370</v>
      </c>
      <c r="D3605" s="5" t="s">
        <v>464</v>
      </c>
      <c r="E3605" s="3" t="s">
        <v>465</v>
      </c>
      <c r="F3605" s="3">
        <v>102500</v>
      </c>
      <c r="G3605" s="57" t="str">
        <f t="shared" si="58"/>
        <v>-</v>
      </c>
      <c r="H3605" s="5" t="s">
        <v>539</v>
      </c>
    </row>
    <row r="3606" spans="1:8" x14ac:dyDescent="0.2">
      <c r="A3606" s="1" t="s">
        <v>39</v>
      </c>
      <c r="B3606" s="2" t="s">
        <v>370</v>
      </c>
      <c r="D3606" s="5" t="s">
        <v>464</v>
      </c>
      <c r="E3606" s="3" t="s">
        <v>465</v>
      </c>
      <c r="F3606" s="3">
        <v>102500</v>
      </c>
      <c r="G3606" s="57" t="str">
        <f t="shared" si="58"/>
        <v>-</v>
      </c>
      <c r="H3606" s="5" t="s">
        <v>539</v>
      </c>
    </row>
    <row r="3607" spans="1:8" x14ac:dyDescent="0.2">
      <c r="A3607" s="1" t="s">
        <v>39</v>
      </c>
      <c r="B3607" s="2" t="s">
        <v>370</v>
      </c>
      <c r="D3607" s="5" t="s">
        <v>464</v>
      </c>
      <c r="E3607" s="3" t="s">
        <v>465</v>
      </c>
      <c r="F3607" s="3">
        <v>102500</v>
      </c>
      <c r="G3607" s="57" t="str">
        <f t="shared" si="58"/>
        <v>-</v>
      </c>
    </row>
    <row r="3608" spans="1:8" x14ac:dyDescent="0.2">
      <c r="A3608" s="1" t="s">
        <v>39</v>
      </c>
      <c r="B3608" s="2" t="s">
        <v>370</v>
      </c>
      <c r="D3608" s="5" t="s">
        <v>464</v>
      </c>
      <c r="E3608" s="3" t="s">
        <v>465</v>
      </c>
      <c r="F3608" s="3">
        <v>102500</v>
      </c>
      <c r="G3608" s="57" t="str">
        <f t="shared" si="58"/>
        <v>-</v>
      </c>
    </row>
    <row r="3609" spans="1:8" x14ac:dyDescent="0.2">
      <c r="A3609" s="1" t="s">
        <v>39</v>
      </c>
      <c r="B3609" s="2" t="s">
        <v>370</v>
      </c>
      <c r="D3609" s="5" t="s">
        <v>464</v>
      </c>
      <c r="E3609" s="3">
        <v>107500</v>
      </c>
      <c r="F3609" s="3" t="s">
        <v>465</v>
      </c>
      <c r="G3609" s="57" t="str">
        <f t="shared" si="58"/>
        <v>-</v>
      </c>
    </row>
    <row r="3610" spans="1:8" x14ac:dyDescent="0.2">
      <c r="A3610" s="1" t="s">
        <v>39</v>
      </c>
      <c r="B3610" s="2" t="s">
        <v>370</v>
      </c>
      <c r="D3610" s="5" t="s">
        <v>464</v>
      </c>
      <c r="E3610" s="3">
        <v>107500</v>
      </c>
      <c r="F3610" s="3" t="s">
        <v>465</v>
      </c>
      <c r="G3610" s="57" t="str">
        <f t="shared" si="58"/>
        <v>-</v>
      </c>
    </row>
    <row r="3611" spans="1:8" x14ac:dyDescent="0.2">
      <c r="A3611" s="1" t="s">
        <v>39</v>
      </c>
      <c r="B3611" s="2" t="s">
        <v>370</v>
      </c>
      <c r="D3611" s="5" t="s">
        <v>464</v>
      </c>
      <c r="E3611" s="3" t="s">
        <v>465</v>
      </c>
      <c r="F3611" s="3">
        <v>107500</v>
      </c>
      <c r="G3611" s="57" t="str">
        <f t="shared" si="58"/>
        <v>-</v>
      </c>
      <c r="H3611" s="5" t="s">
        <v>539</v>
      </c>
    </row>
    <row r="3612" spans="1:8" x14ac:dyDescent="0.2">
      <c r="A3612" s="1" t="s">
        <v>39</v>
      </c>
      <c r="B3612" s="2" t="s">
        <v>370</v>
      </c>
      <c r="D3612" s="5" t="s">
        <v>464</v>
      </c>
      <c r="E3612" s="3" t="s">
        <v>465</v>
      </c>
      <c r="F3612" s="3">
        <v>107500</v>
      </c>
      <c r="G3612" s="57" t="str">
        <f t="shared" si="58"/>
        <v>-</v>
      </c>
      <c r="H3612" s="5" t="s">
        <v>539</v>
      </c>
    </row>
    <row r="3613" spans="1:8" x14ac:dyDescent="0.2">
      <c r="A3613" s="1" t="s">
        <v>39</v>
      </c>
      <c r="B3613" s="2" t="s">
        <v>370</v>
      </c>
      <c r="D3613" s="5" t="s">
        <v>464</v>
      </c>
      <c r="E3613" s="3" t="s">
        <v>465</v>
      </c>
      <c r="F3613" s="3">
        <v>112500</v>
      </c>
      <c r="G3613" s="57" t="str">
        <f t="shared" si="58"/>
        <v>-</v>
      </c>
    </row>
    <row r="3614" spans="1:8" x14ac:dyDescent="0.2">
      <c r="A3614" s="1" t="s">
        <v>39</v>
      </c>
      <c r="B3614" s="2" t="s">
        <v>370</v>
      </c>
      <c r="D3614" s="5" t="s">
        <v>464</v>
      </c>
      <c r="E3614" s="3" t="s">
        <v>465</v>
      </c>
      <c r="F3614" s="3">
        <v>117500</v>
      </c>
      <c r="G3614" s="57" t="str">
        <f t="shared" si="58"/>
        <v>-</v>
      </c>
      <c r="H3614" s="5" t="s">
        <v>539</v>
      </c>
    </row>
    <row r="3615" spans="1:8" x14ac:dyDescent="0.2">
      <c r="A3615" s="1" t="s">
        <v>39</v>
      </c>
      <c r="B3615" s="2" t="s">
        <v>370</v>
      </c>
      <c r="D3615" s="5" t="s">
        <v>464</v>
      </c>
      <c r="E3615" s="3" t="s">
        <v>465</v>
      </c>
      <c r="F3615" s="3">
        <v>127500</v>
      </c>
      <c r="G3615" s="57" t="str">
        <f t="shared" si="58"/>
        <v>-</v>
      </c>
      <c r="H3615" s="5" t="s">
        <v>539</v>
      </c>
    </row>
    <row r="3616" spans="1:8" x14ac:dyDescent="0.2">
      <c r="A3616" s="1" t="s">
        <v>39</v>
      </c>
      <c r="B3616" s="2" t="s">
        <v>370</v>
      </c>
      <c r="D3616" s="5" t="s">
        <v>464</v>
      </c>
      <c r="E3616" s="3">
        <v>132500</v>
      </c>
      <c r="F3616" s="3" t="s">
        <v>465</v>
      </c>
      <c r="G3616" s="57" t="str">
        <f t="shared" si="58"/>
        <v>-</v>
      </c>
      <c r="H3616" s="5" t="s">
        <v>539</v>
      </c>
    </row>
    <row r="3617" spans="1:8" x14ac:dyDescent="0.2">
      <c r="A3617" s="1" t="s">
        <v>39</v>
      </c>
      <c r="B3617" s="2" t="s">
        <v>370</v>
      </c>
      <c r="D3617" s="5" t="s">
        <v>464</v>
      </c>
      <c r="E3617" s="3" t="s">
        <v>465</v>
      </c>
      <c r="F3617" s="3">
        <v>147500</v>
      </c>
      <c r="G3617" s="57" t="str">
        <f t="shared" si="58"/>
        <v>-</v>
      </c>
    </row>
    <row r="3618" spans="1:8" x14ac:dyDescent="0.2">
      <c r="A3618" s="1" t="s">
        <v>39</v>
      </c>
      <c r="B3618" s="2" t="s">
        <v>370</v>
      </c>
      <c r="D3618" s="5" t="s">
        <v>464</v>
      </c>
      <c r="E3618" s="3" t="s">
        <v>465</v>
      </c>
      <c r="F3618" s="3">
        <v>152500</v>
      </c>
      <c r="G3618" s="57" t="str">
        <f t="shared" si="58"/>
        <v>-</v>
      </c>
      <c r="H3618" s="5" t="s">
        <v>539</v>
      </c>
    </row>
    <row r="3619" spans="1:8" x14ac:dyDescent="0.2">
      <c r="A3619" s="1" t="s">
        <v>39</v>
      </c>
      <c r="B3619" s="2" t="s">
        <v>370</v>
      </c>
      <c r="D3619" s="5" t="s">
        <v>464</v>
      </c>
      <c r="E3619" s="3">
        <v>157500</v>
      </c>
      <c r="F3619" s="3" t="s">
        <v>465</v>
      </c>
      <c r="G3619" s="57" t="str">
        <f t="shared" si="58"/>
        <v>-</v>
      </c>
      <c r="H3619" s="5" t="s">
        <v>539</v>
      </c>
    </row>
    <row r="3620" spans="1:8" x14ac:dyDescent="0.2">
      <c r="A3620" s="1" t="s">
        <v>39</v>
      </c>
      <c r="B3620" s="2" t="s">
        <v>370</v>
      </c>
      <c r="D3620" s="5" t="s">
        <v>464</v>
      </c>
      <c r="E3620" s="3" t="s">
        <v>465</v>
      </c>
      <c r="F3620" s="3">
        <v>157500</v>
      </c>
      <c r="G3620" s="57" t="str">
        <f t="shared" si="58"/>
        <v>-</v>
      </c>
      <c r="H3620" s="5" t="s">
        <v>539</v>
      </c>
    </row>
    <row r="3621" spans="1:8" x14ac:dyDescent="0.2">
      <c r="A3621" s="1" t="s">
        <v>39</v>
      </c>
      <c r="B3621" s="2" t="s">
        <v>370</v>
      </c>
      <c r="D3621" s="5" t="s">
        <v>464</v>
      </c>
      <c r="E3621" s="3" t="s">
        <v>465</v>
      </c>
      <c r="F3621" s="3">
        <v>167500</v>
      </c>
      <c r="G3621" s="57" t="str">
        <f t="shared" si="58"/>
        <v>-</v>
      </c>
      <c r="H3621" s="5" t="s">
        <v>539</v>
      </c>
    </row>
    <row r="3622" spans="1:8" x14ac:dyDescent="0.2">
      <c r="A3622" s="1" t="s">
        <v>39</v>
      </c>
      <c r="B3622" s="2" t="s">
        <v>370</v>
      </c>
      <c r="D3622" s="5" t="s">
        <v>464</v>
      </c>
      <c r="E3622" s="3" t="s">
        <v>465</v>
      </c>
      <c r="F3622" s="3">
        <v>167500</v>
      </c>
      <c r="G3622" s="57" t="str">
        <f t="shared" si="58"/>
        <v>-</v>
      </c>
      <c r="H3622" s="5" t="s">
        <v>539</v>
      </c>
    </row>
    <row r="3623" spans="1:8" x14ac:dyDescent="0.2">
      <c r="A3623" s="1" t="s">
        <v>39</v>
      </c>
      <c r="B3623" s="2" t="s">
        <v>370</v>
      </c>
      <c r="D3623" s="5" t="s">
        <v>464</v>
      </c>
      <c r="E3623" s="3" t="s">
        <v>465</v>
      </c>
      <c r="F3623" s="3">
        <v>167500</v>
      </c>
      <c r="G3623" s="57" t="str">
        <f t="shared" si="58"/>
        <v>-</v>
      </c>
    </row>
    <row r="3624" spans="1:8" ht="25.5" x14ac:dyDescent="0.2">
      <c r="A3624" s="1" t="s">
        <v>11</v>
      </c>
      <c r="B3624" s="2" t="s">
        <v>371</v>
      </c>
      <c r="C3624" s="37" t="s">
        <v>2849</v>
      </c>
      <c r="D3624" s="7"/>
      <c r="G3624" s="57" t="str">
        <f t="shared" si="58"/>
        <v>-</v>
      </c>
    </row>
    <row r="3625" spans="1:8" ht="25.5" x14ac:dyDescent="0.2">
      <c r="A3625" s="1" t="s">
        <v>39</v>
      </c>
      <c r="B3625" s="2" t="s">
        <v>372</v>
      </c>
      <c r="D3625" s="5" t="s">
        <v>450</v>
      </c>
      <c r="E3625" s="3">
        <v>129620</v>
      </c>
      <c r="F3625" s="3">
        <v>131305</v>
      </c>
      <c r="G3625" s="57">
        <f t="shared" si="58"/>
        <v>1.2999537108470915E-2</v>
      </c>
      <c r="H3625" s="5" t="s">
        <v>2549</v>
      </c>
    </row>
    <row r="3626" spans="1:8" ht="38.25" x14ac:dyDescent="0.2">
      <c r="A3626" s="1" t="s">
        <v>39</v>
      </c>
      <c r="B3626" s="2" t="s">
        <v>372</v>
      </c>
      <c r="D3626" s="5" t="s">
        <v>758</v>
      </c>
      <c r="E3626" s="3">
        <v>97592</v>
      </c>
      <c r="F3626" s="3">
        <v>193153</v>
      </c>
      <c r="G3626" s="57">
        <f t="shared" si="58"/>
        <v>0.97918886793999504</v>
      </c>
      <c r="H3626" s="5" t="s">
        <v>2550</v>
      </c>
    </row>
    <row r="3627" spans="1:8" ht="38.25" x14ac:dyDescent="0.2">
      <c r="A3627" s="1" t="s">
        <v>39</v>
      </c>
      <c r="B3627" s="2" t="s">
        <v>372</v>
      </c>
      <c r="D3627" s="5" t="s">
        <v>759</v>
      </c>
      <c r="E3627" s="3">
        <v>96638</v>
      </c>
      <c r="F3627" s="3">
        <v>161672</v>
      </c>
      <c r="G3627" s="57">
        <f t="shared" si="58"/>
        <v>0.6729650861979759</v>
      </c>
      <c r="H3627" s="5" t="s">
        <v>2551</v>
      </c>
    </row>
    <row r="3628" spans="1:8" ht="25.5" x14ac:dyDescent="0.2">
      <c r="A3628" s="1" t="s">
        <v>34</v>
      </c>
      <c r="B3628" s="2" t="s">
        <v>373</v>
      </c>
      <c r="D3628" s="5" t="s">
        <v>450</v>
      </c>
      <c r="E3628" s="3">
        <v>134721</v>
      </c>
      <c r="F3628" s="3">
        <v>137178.12</v>
      </c>
      <c r="G3628" s="57">
        <f t="shared" si="58"/>
        <v>1.8238581958269277E-2</v>
      </c>
      <c r="H3628" s="5" t="s">
        <v>2548</v>
      </c>
    </row>
    <row r="3629" spans="1:8" ht="25.5" x14ac:dyDescent="0.2">
      <c r="A3629" s="1" t="s">
        <v>20</v>
      </c>
      <c r="B3629" s="2" t="s">
        <v>374</v>
      </c>
      <c r="C3629" s="5" t="s">
        <v>745</v>
      </c>
      <c r="D3629" s="5" t="s">
        <v>450</v>
      </c>
      <c r="E3629" s="3">
        <v>267775</v>
      </c>
      <c r="F3629" s="3">
        <v>267775</v>
      </c>
      <c r="G3629" s="57">
        <f t="shared" si="58"/>
        <v>0</v>
      </c>
      <c r="H3629" s="5" t="s">
        <v>2540</v>
      </c>
    </row>
    <row r="3630" spans="1:8" ht="25.5" x14ac:dyDescent="0.2">
      <c r="A3630" s="1" t="s">
        <v>20</v>
      </c>
      <c r="B3630" s="2" t="s">
        <v>374</v>
      </c>
      <c r="C3630" s="5" t="s">
        <v>746</v>
      </c>
      <c r="D3630" s="5" t="s">
        <v>747</v>
      </c>
      <c r="E3630" s="3" t="s">
        <v>465</v>
      </c>
      <c r="F3630" s="3">
        <v>137675</v>
      </c>
      <c r="G3630" s="57" t="str">
        <f t="shared" si="58"/>
        <v>-</v>
      </c>
      <c r="H3630" s="5" t="s">
        <v>2541</v>
      </c>
    </row>
    <row r="3631" spans="1:8" ht="25.5" x14ac:dyDescent="0.2">
      <c r="A3631" s="1" t="s">
        <v>20</v>
      </c>
      <c r="B3631" s="2" t="s">
        <v>374</v>
      </c>
      <c r="C3631" s="5" t="s">
        <v>748</v>
      </c>
      <c r="D3631" s="5" t="s">
        <v>749</v>
      </c>
      <c r="E3631" s="3">
        <v>154766</v>
      </c>
      <c r="F3631" s="3">
        <v>219114</v>
      </c>
      <c r="G3631" s="57">
        <f t="shared" si="58"/>
        <v>0.41577607484848095</v>
      </c>
      <c r="H3631" s="5" t="s">
        <v>2542</v>
      </c>
    </row>
    <row r="3632" spans="1:8" ht="25.5" x14ac:dyDescent="0.2">
      <c r="A3632" s="1" t="s">
        <v>20</v>
      </c>
      <c r="B3632" s="2" t="s">
        <v>374</v>
      </c>
      <c r="C3632" s="5" t="s">
        <v>750</v>
      </c>
      <c r="D3632" s="5" t="s">
        <v>751</v>
      </c>
      <c r="E3632" s="3">
        <v>148519</v>
      </c>
      <c r="F3632" s="3">
        <v>149464</v>
      </c>
      <c r="G3632" s="57">
        <f t="shared" si="58"/>
        <v>6.3628222651647267E-3</v>
      </c>
      <c r="H3632" s="5" t="s">
        <v>2543</v>
      </c>
    </row>
    <row r="3633" spans="1:8" ht="25.5" x14ac:dyDescent="0.2">
      <c r="A3633" s="1" t="s">
        <v>20</v>
      </c>
      <c r="B3633" s="2" t="s">
        <v>374</v>
      </c>
      <c r="C3633" s="5" t="s">
        <v>752</v>
      </c>
      <c r="D3633" s="5" t="s">
        <v>753</v>
      </c>
      <c r="E3633" s="3">
        <v>143746</v>
      </c>
      <c r="F3633" s="3">
        <v>142746</v>
      </c>
      <c r="G3633" s="57">
        <f t="shared" si="58"/>
        <v>-6.9567153172957856E-3</v>
      </c>
      <c r="H3633" s="5" t="s">
        <v>2544</v>
      </c>
    </row>
    <row r="3634" spans="1:8" ht="25.5" x14ac:dyDescent="0.2">
      <c r="A3634" s="1" t="s">
        <v>20</v>
      </c>
      <c r="B3634" s="2" t="s">
        <v>374</v>
      </c>
      <c r="C3634" s="5" t="s">
        <v>754</v>
      </c>
      <c r="D3634" s="5" t="s">
        <v>755</v>
      </c>
      <c r="E3634" s="3">
        <v>114739</v>
      </c>
      <c r="F3634" s="3">
        <v>175666</v>
      </c>
      <c r="G3634" s="57">
        <f t="shared" si="58"/>
        <v>0.53100515082055799</v>
      </c>
      <c r="H3634" s="5" t="s">
        <v>2545</v>
      </c>
    </row>
    <row r="3635" spans="1:8" ht="25.5" x14ac:dyDescent="0.2">
      <c r="A3635" s="1" t="s">
        <v>20</v>
      </c>
      <c r="B3635" s="2" t="s">
        <v>374</v>
      </c>
      <c r="C3635" s="5" t="s">
        <v>756</v>
      </c>
      <c r="D3635" s="5" t="s">
        <v>757</v>
      </c>
      <c r="E3635" s="3">
        <v>110558</v>
      </c>
      <c r="F3635" s="3">
        <v>110889</v>
      </c>
      <c r="G3635" s="57">
        <f t="shared" si="58"/>
        <v>2.9939036523815555E-3</v>
      </c>
      <c r="H3635" s="5" t="s">
        <v>2546</v>
      </c>
    </row>
    <row r="3636" spans="1:8" x14ac:dyDescent="0.2">
      <c r="A3636" s="1" t="s">
        <v>20</v>
      </c>
      <c r="B3636" s="2" t="s">
        <v>374</v>
      </c>
      <c r="D3636" s="5" t="s">
        <v>464</v>
      </c>
      <c r="E3636" s="3" t="s">
        <v>465</v>
      </c>
      <c r="F3636" s="3">
        <v>102500</v>
      </c>
      <c r="G3636" s="57" t="str">
        <f t="shared" si="58"/>
        <v>-</v>
      </c>
    </row>
    <row r="3637" spans="1:8" x14ac:dyDescent="0.2">
      <c r="A3637" s="1" t="s">
        <v>20</v>
      </c>
      <c r="B3637" s="2" t="s">
        <v>374</v>
      </c>
      <c r="D3637" s="5" t="s">
        <v>464</v>
      </c>
      <c r="E3637" s="3" t="s">
        <v>465</v>
      </c>
      <c r="F3637" s="3">
        <v>107500</v>
      </c>
      <c r="G3637" s="57" t="str">
        <f t="shared" si="58"/>
        <v>-</v>
      </c>
    </row>
    <row r="3638" spans="1:8" x14ac:dyDescent="0.2">
      <c r="A3638" s="1" t="s">
        <v>20</v>
      </c>
      <c r="B3638" s="2" t="s">
        <v>374</v>
      </c>
      <c r="D3638" s="5" t="s">
        <v>464</v>
      </c>
      <c r="E3638" s="3" t="s">
        <v>465</v>
      </c>
      <c r="F3638" s="3">
        <v>107500</v>
      </c>
      <c r="G3638" s="57" t="str">
        <f t="shared" si="58"/>
        <v>-</v>
      </c>
    </row>
    <row r="3639" spans="1:8" x14ac:dyDescent="0.2">
      <c r="A3639" s="1" t="s">
        <v>20</v>
      </c>
      <c r="B3639" s="2" t="s">
        <v>374</v>
      </c>
      <c r="D3639" s="5" t="s">
        <v>464</v>
      </c>
      <c r="E3639" s="3">
        <v>132500</v>
      </c>
      <c r="F3639" s="3" t="s">
        <v>465</v>
      </c>
      <c r="G3639" s="57" t="str">
        <f t="shared" si="58"/>
        <v>-</v>
      </c>
    </row>
    <row r="3640" spans="1:8" ht="25.5" x14ac:dyDescent="0.2">
      <c r="A3640" s="1" t="s">
        <v>20</v>
      </c>
      <c r="B3640" s="2" t="s">
        <v>375</v>
      </c>
      <c r="D3640" s="5" t="s">
        <v>450</v>
      </c>
      <c r="E3640" s="3">
        <v>157518</v>
      </c>
      <c r="F3640" s="3">
        <v>158395</v>
      </c>
      <c r="G3640" s="57">
        <f t="shared" si="58"/>
        <v>5.5676176690917867E-3</v>
      </c>
      <c r="H3640" s="5" t="s">
        <v>2547</v>
      </c>
    </row>
    <row r="3641" spans="1:8" ht="25.5" x14ac:dyDescent="0.2">
      <c r="A3641" s="1" t="s">
        <v>111</v>
      </c>
      <c r="B3641" s="2" t="s">
        <v>376</v>
      </c>
      <c r="C3641" s="5" t="s">
        <v>741</v>
      </c>
      <c r="D3641" s="5" t="s">
        <v>450</v>
      </c>
      <c r="E3641" s="3">
        <v>238967</v>
      </c>
      <c r="F3641" s="3">
        <v>229547</v>
      </c>
      <c r="G3641" s="57">
        <f t="shared" si="58"/>
        <v>-3.9419668824565733E-2</v>
      </c>
      <c r="H3641" s="5" t="s">
        <v>2537</v>
      </c>
    </row>
    <row r="3642" spans="1:8" ht="25.5" x14ac:dyDescent="0.2">
      <c r="A3642" s="1" t="s">
        <v>111</v>
      </c>
      <c r="B3642" s="2" t="s">
        <v>376</v>
      </c>
      <c r="D3642" s="5" t="s">
        <v>455</v>
      </c>
      <c r="E3642" s="3">
        <v>75681</v>
      </c>
      <c r="F3642" s="3">
        <v>138067</v>
      </c>
      <c r="G3642" s="57">
        <f t="shared" si="58"/>
        <v>0.82432843117823495</v>
      </c>
      <c r="H3642" s="5" t="s">
        <v>4472</v>
      </c>
    </row>
    <row r="3643" spans="1:8" ht="25.5" x14ac:dyDescent="0.2">
      <c r="A3643" s="1" t="s">
        <v>111</v>
      </c>
      <c r="B3643" s="2" t="s">
        <v>376</v>
      </c>
      <c r="D3643" s="5" t="s">
        <v>742</v>
      </c>
      <c r="E3643" s="3">
        <v>131495</v>
      </c>
      <c r="F3643" s="3">
        <v>131952</v>
      </c>
      <c r="G3643" s="57">
        <f t="shared" si="58"/>
        <v>3.475417316247766E-3</v>
      </c>
      <c r="H3643" s="5" t="s">
        <v>2538</v>
      </c>
    </row>
    <row r="3644" spans="1:8" ht="25.5" x14ac:dyDescent="0.2">
      <c r="A3644" s="1" t="s">
        <v>111</v>
      </c>
      <c r="B3644" s="2" t="s">
        <v>376</v>
      </c>
      <c r="D3644" s="5" t="s">
        <v>743</v>
      </c>
      <c r="E3644" s="3">
        <v>136129</v>
      </c>
      <c r="F3644" s="3">
        <v>125814</v>
      </c>
      <c r="G3644" s="57">
        <f t="shared" si="58"/>
        <v>-7.5773714638320999E-2</v>
      </c>
      <c r="H3644" s="5" t="s">
        <v>2539</v>
      </c>
    </row>
    <row r="3645" spans="1:8" ht="25.5" x14ac:dyDescent="0.2">
      <c r="A3645" s="1" t="s">
        <v>111</v>
      </c>
      <c r="B3645" s="2" t="s">
        <v>376</v>
      </c>
      <c r="D3645" s="5" t="s">
        <v>744</v>
      </c>
      <c r="E3645" s="3">
        <v>74293</v>
      </c>
      <c r="F3645" s="3">
        <v>140766</v>
      </c>
      <c r="G3645" s="57">
        <f t="shared" si="58"/>
        <v>0.8947410927005236</v>
      </c>
      <c r="H3645" s="5" t="s">
        <v>2881</v>
      </c>
    </row>
    <row r="3646" spans="1:8" ht="25.5" x14ac:dyDescent="0.2">
      <c r="A3646" s="1" t="s">
        <v>111</v>
      </c>
      <c r="B3646" s="2" t="s">
        <v>376</v>
      </c>
      <c r="D3646" s="7" t="s">
        <v>2533</v>
      </c>
      <c r="E3646" s="3" t="s">
        <v>465</v>
      </c>
      <c r="F3646" s="3">
        <v>134902</v>
      </c>
      <c r="G3646" s="57" t="str">
        <f t="shared" si="58"/>
        <v>-</v>
      </c>
      <c r="H3646" s="5" t="s">
        <v>2594</v>
      </c>
    </row>
    <row r="3647" spans="1:8" x14ac:dyDescent="0.2">
      <c r="A3647" s="1" t="s">
        <v>111</v>
      </c>
      <c r="B3647" s="2" t="s">
        <v>376</v>
      </c>
      <c r="C3647" s="5" t="s">
        <v>2535</v>
      </c>
      <c r="D3647" s="7" t="s">
        <v>2534</v>
      </c>
      <c r="E3647" s="6">
        <v>273192</v>
      </c>
      <c r="F3647" s="3" t="s">
        <v>465</v>
      </c>
      <c r="G3647" s="57" t="str">
        <f t="shared" si="58"/>
        <v>-</v>
      </c>
      <c r="H3647" s="5" t="s">
        <v>539</v>
      </c>
    </row>
    <row r="3648" spans="1:8" ht="25.5" x14ac:dyDescent="0.2">
      <c r="A3648" s="1" t="s">
        <v>111</v>
      </c>
      <c r="B3648" s="2" t="s">
        <v>376</v>
      </c>
      <c r="D3648" s="7" t="s">
        <v>1455</v>
      </c>
      <c r="E3648" s="3">
        <v>104209</v>
      </c>
      <c r="F3648" s="3">
        <v>56019</v>
      </c>
      <c r="G3648" s="57">
        <f t="shared" si="58"/>
        <v>-0.46243606598278458</v>
      </c>
      <c r="H3648" s="5" t="s">
        <v>2595</v>
      </c>
    </row>
    <row r="3649" spans="1:8" x14ac:dyDescent="0.2">
      <c r="A3649" s="1" t="s">
        <v>111</v>
      </c>
      <c r="B3649" s="2" t="s">
        <v>376</v>
      </c>
      <c r="D3649" s="7" t="s">
        <v>1796</v>
      </c>
      <c r="E3649" s="3">
        <v>161485</v>
      </c>
      <c r="F3649" s="3" t="s">
        <v>465</v>
      </c>
      <c r="G3649" s="57" t="str">
        <f t="shared" si="58"/>
        <v>-</v>
      </c>
      <c r="H3649" s="5" t="s">
        <v>539</v>
      </c>
    </row>
    <row r="3650" spans="1:8" x14ac:dyDescent="0.2">
      <c r="A3650" s="1" t="s">
        <v>111</v>
      </c>
      <c r="B3650" s="2" t="s">
        <v>376</v>
      </c>
      <c r="D3650" s="7" t="s">
        <v>2536</v>
      </c>
      <c r="E3650" s="3">
        <v>110907</v>
      </c>
      <c r="F3650" s="3" t="s">
        <v>465</v>
      </c>
      <c r="G3650" s="57" t="str">
        <f t="shared" si="58"/>
        <v>-</v>
      </c>
    </row>
    <row r="3651" spans="1:8" x14ac:dyDescent="0.2">
      <c r="A3651" s="1" t="s">
        <v>111</v>
      </c>
      <c r="B3651" s="2" t="s">
        <v>376</v>
      </c>
      <c r="D3651" s="5" t="s">
        <v>464</v>
      </c>
      <c r="E3651" s="3">
        <v>122500</v>
      </c>
      <c r="F3651" s="3" t="s">
        <v>465</v>
      </c>
      <c r="G3651" s="57" t="str">
        <f t="shared" si="58"/>
        <v>-</v>
      </c>
    </row>
    <row r="3652" spans="1:8" x14ac:dyDescent="0.2">
      <c r="A3652" s="1" t="s">
        <v>111</v>
      </c>
      <c r="B3652" s="2" t="s">
        <v>376</v>
      </c>
      <c r="D3652" s="5" t="s">
        <v>464</v>
      </c>
      <c r="E3652" s="3" t="s">
        <v>465</v>
      </c>
      <c r="F3652" s="3">
        <v>127500</v>
      </c>
      <c r="G3652" s="57" t="str">
        <f t="shared" si="58"/>
        <v>-</v>
      </c>
    </row>
    <row r="3653" spans="1:8" x14ac:dyDescent="0.2">
      <c r="A3653" s="1" t="s">
        <v>111</v>
      </c>
      <c r="B3653" s="2" t="s">
        <v>376</v>
      </c>
      <c r="D3653" s="5" t="s">
        <v>464</v>
      </c>
      <c r="E3653" s="3" t="s">
        <v>465</v>
      </c>
      <c r="F3653" s="3">
        <v>132500</v>
      </c>
      <c r="G3653" s="57" t="str">
        <f t="shared" si="58"/>
        <v>-</v>
      </c>
    </row>
    <row r="3654" spans="1:8" x14ac:dyDescent="0.2">
      <c r="A3654" s="1" t="s">
        <v>111</v>
      </c>
      <c r="B3654" s="2" t="s">
        <v>376</v>
      </c>
      <c r="D3654" s="5" t="s">
        <v>464</v>
      </c>
      <c r="E3654" s="3" t="s">
        <v>465</v>
      </c>
      <c r="F3654" s="3">
        <v>137500</v>
      </c>
      <c r="G3654" s="57" t="str">
        <f t="shared" si="58"/>
        <v>-</v>
      </c>
    </row>
    <row r="3655" spans="1:8" x14ac:dyDescent="0.2">
      <c r="A3655" s="1" t="s">
        <v>111</v>
      </c>
      <c r="B3655" s="2" t="s">
        <v>376</v>
      </c>
      <c r="D3655" s="5" t="s">
        <v>464</v>
      </c>
      <c r="E3655" s="3">
        <v>137500</v>
      </c>
      <c r="F3655" s="3" t="s">
        <v>465</v>
      </c>
      <c r="G3655" s="57" t="str">
        <f t="shared" si="58"/>
        <v>-</v>
      </c>
    </row>
    <row r="3656" spans="1:8" ht="38.25" x14ac:dyDescent="0.2">
      <c r="A3656" s="1" t="s">
        <v>4</v>
      </c>
      <c r="B3656" s="2" t="s">
        <v>377</v>
      </c>
      <c r="C3656" s="5" t="s">
        <v>727</v>
      </c>
      <c r="D3656" s="5" t="s">
        <v>450</v>
      </c>
      <c r="E3656" s="3">
        <v>176073</v>
      </c>
      <c r="F3656" s="3">
        <v>253133</v>
      </c>
      <c r="G3656" s="57">
        <f t="shared" si="58"/>
        <v>0.43765937991628473</v>
      </c>
      <c r="H3656" s="5" t="s">
        <v>4473</v>
      </c>
    </row>
    <row r="3657" spans="1:8" ht="25.5" x14ac:dyDescent="0.2">
      <c r="A3657" s="1" t="s">
        <v>4</v>
      </c>
      <c r="B3657" s="2" t="s">
        <v>377</v>
      </c>
      <c r="C3657" s="5" t="s">
        <v>728</v>
      </c>
      <c r="D3657" s="5" t="s">
        <v>729</v>
      </c>
      <c r="E3657" s="3">
        <v>216305</v>
      </c>
      <c r="F3657" s="3">
        <v>183547</v>
      </c>
      <c r="G3657" s="57">
        <f t="shared" si="58"/>
        <v>-0.15144356348674326</v>
      </c>
      <c r="H3657" s="5" t="s">
        <v>4474</v>
      </c>
    </row>
    <row r="3658" spans="1:8" x14ac:dyDescent="0.2">
      <c r="A3658" s="1" t="s">
        <v>4</v>
      </c>
      <c r="B3658" s="2" t="s">
        <v>377</v>
      </c>
      <c r="C3658" s="5" t="s">
        <v>730</v>
      </c>
      <c r="D3658" s="5" t="s">
        <v>731</v>
      </c>
      <c r="E3658" s="3">
        <v>165140</v>
      </c>
      <c r="F3658" s="3">
        <v>165140</v>
      </c>
      <c r="G3658" s="57">
        <f t="shared" si="58"/>
        <v>0</v>
      </c>
      <c r="H3658" s="5" t="s">
        <v>2530</v>
      </c>
    </row>
    <row r="3659" spans="1:8" ht="25.5" x14ac:dyDescent="0.2">
      <c r="A3659" s="1" t="s">
        <v>4</v>
      </c>
      <c r="B3659" s="2" t="s">
        <v>377</v>
      </c>
      <c r="C3659" s="5" t="s">
        <v>732</v>
      </c>
      <c r="D3659" s="5" t="s">
        <v>733</v>
      </c>
      <c r="E3659" s="3">
        <v>125330</v>
      </c>
      <c r="F3659" s="3">
        <v>147611</v>
      </c>
      <c r="G3659" s="57">
        <f t="shared" si="58"/>
        <v>0.17777866432617889</v>
      </c>
      <c r="H3659" s="5" t="s">
        <v>2882</v>
      </c>
    </row>
    <row r="3660" spans="1:8" ht="25.5" x14ac:dyDescent="0.2">
      <c r="A3660" s="1" t="s">
        <v>4</v>
      </c>
      <c r="B3660" s="2" t="s">
        <v>377</v>
      </c>
      <c r="C3660" s="5" t="s">
        <v>734</v>
      </c>
      <c r="D3660" s="5" t="s">
        <v>735</v>
      </c>
      <c r="E3660" s="3">
        <v>138620</v>
      </c>
      <c r="F3660" s="3">
        <v>158128</v>
      </c>
      <c r="G3660" s="57">
        <f t="shared" si="58"/>
        <v>0.14073005338335018</v>
      </c>
      <c r="H3660" s="5" t="s">
        <v>2883</v>
      </c>
    </row>
    <row r="3661" spans="1:8" x14ac:dyDescent="0.2">
      <c r="A3661" s="1" t="s">
        <v>4</v>
      </c>
      <c r="B3661" s="2" t="s">
        <v>377</v>
      </c>
      <c r="C3661" s="5" t="s">
        <v>736</v>
      </c>
      <c r="D3661" s="5" t="s">
        <v>737</v>
      </c>
      <c r="E3661" s="3">
        <v>147647</v>
      </c>
      <c r="F3661" s="3">
        <v>147447</v>
      </c>
      <c r="G3661" s="57">
        <f t="shared" si="58"/>
        <v>-1.3545822129809614E-3</v>
      </c>
      <c r="H3661" s="5" t="s">
        <v>2531</v>
      </c>
    </row>
    <row r="3662" spans="1:8" ht="25.5" x14ac:dyDescent="0.2">
      <c r="A3662" s="1" t="s">
        <v>4</v>
      </c>
      <c r="B3662" s="2" t="s">
        <v>377</v>
      </c>
      <c r="C3662" s="5" t="s">
        <v>738</v>
      </c>
      <c r="D3662" s="5" t="s">
        <v>451</v>
      </c>
      <c r="E3662" s="3">
        <v>27151</v>
      </c>
      <c r="F3662" s="3">
        <v>121668</v>
      </c>
      <c r="G3662" s="57">
        <f t="shared" si="58"/>
        <v>3.4811609148834295</v>
      </c>
      <c r="H3662" s="5" t="s">
        <v>4475</v>
      </c>
    </row>
    <row r="3663" spans="1:8" ht="51" x14ac:dyDescent="0.2">
      <c r="A3663" s="1" t="s">
        <v>4</v>
      </c>
      <c r="B3663" s="2" t="s">
        <v>377</v>
      </c>
      <c r="C3663" s="5" t="s">
        <v>739</v>
      </c>
      <c r="D3663" s="5" t="s">
        <v>740</v>
      </c>
      <c r="E3663" s="3">
        <v>123932</v>
      </c>
      <c r="F3663" s="3">
        <v>127947</v>
      </c>
      <c r="G3663" s="57">
        <f t="shared" si="58"/>
        <v>3.239679824419843E-2</v>
      </c>
      <c r="H3663" s="5" t="s">
        <v>4476</v>
      </c>
    </row>
    <row r="3664" spans="1:8" x14ac:dyDescent="0.2">
      <c r="A3664" s="1" t="s">
        <v>4</v>
      </c>
      <c r="B3664" s="2" t="s">
        <v>377</v>
      </c>
      <c r="C3664" s="5" t="s">
        <v>2529</v>
      </c>
      <c r="D3664" s="5" t="s">
        <v>520</v>
      </c>
      <c r="E3664" s="3">
        <v>113662</v>
      </c>
      <c r="F3664" s="3">
        <v>114800</v>
      </c>
      <c r="G3664" s="57">
        <f t="shared" si="58"/>
        <v>1.0012141260931534E-2</v>
      </c>
      <c r="H3664" s="5" t="s">
        <v>2532</v>
      </c>
    </row>
    <row r="3665" spans="1:8" x14ac:dyDescent="0.2">
      <c r="A3665" s="1" t="s">
        <v>4</v>
      </c>
      <c r="B3665" s="2" t="s">
        <v>377</v>
      </c>
      <c r="D3665" s="5" t="s">
        <v>464</v>
      </c>
      <c r="E3665" s="3">
        <v>102500</v>
      </c>
      <c r="F3665" s="3" t="s">
        <v>465</v>
      </c>
      <c r="G3665" s="57" t="str">
        <f t="shared" ref="G3665:G3728" si="59">IF(ISERROR((F3665-E3665)/E3665),"-",(F3665-E3665)/E3665)</f>
        <v>-</v>
      </c>
      <c r="H3665" s="1"/>
    </row>
    <row r="3666" spans="1:8" x14ac:dyDescent="0.2">
      <c r="A3666" s="1" t="s">
        <v>4</v>
      </c>
      <c r="B3666" s="2" t="s">
        <v>377</v>
      </c>
      <c r="D3666" s="5" t="s">
        <v>464</v>
      </c>
      <c r="E3666" s="3">
        <v>102500</v>
      </c>
      <c r="F3666" s="3" t="s">
        <v>465</v>
      </c>
      <c r="G3666" s="57" t="str">
        <f t="shared" si="59"/>
        <v>-</v>
      </c>
      <c r="H3666" s="1"/>
    </row>
    <row r="3667" spans="1:8" x14ac:dyDescent="0.2">
      <c r="A3667" s="1" t="s">
        <v>4</v>
      </c>
      <c r="B3667" s="2" t="s">
        <v>377</v>
      </c>
      <c r="D3667" s="5" t="s">
        <v>464</v>
      </c>
      <c r="E3667" s="3">
        <v>102500</v>
      </c>
      <c r="F3667" s="3" t="s">
        <v>465</v>
      </c>
      <c r="G3667" s="57" t="str">
        <f t="shared" si="59"/>
        <v>-</v>
      </c>
      <c r="H3667" s="1"/>
    </row>
    <row r="3668" spans="1:8" x14ac:dyDescent="0.2">
      <c r="A3668" s="1" t="s">
        <v>4</v>
      </c>
      <c r="B3668" s="2" t="s">
        <v>377</v>
      </c>
      <c r="D3668" s="5" t="s">
        <v>464</v>
      </c>
      <c r="E3668" s="3">
        <v>102500</v>
      </c>
      <c r="F3668" s="3" t="s">
        <v>465</v>
      </c>
      <c r="G3668" s="57" t="str">
        <f t="shared" si="59"/>
        <v>-</v>
      </c>
      <c r="H3668" s="1"/>
    </row>
    <row r="3669" spans="1:8" x14ac:dyDescent="0.2">
      <c r="A3669" s="1" t="s">
        <v>4</v>
      </c>
      <c r="B3669" s="2" t="s">
        <v>377</v>
      </c>
      <c r="D3669" s="5" t="s">
        <v>464</v>
      </c>
      <c r="E3669" s="3">
        <v>102500</v>
      </c>
      <c r="F3669" s="3" t="s">
        <v>465</v>
      </c>
      <c r="G3669" s="57" t="str">
        <f t="shared" si="59"/>
        <v>-</v>
      </c>
      <c r="H3669" s="1"/>
    </row>
    <row r="3670" spans="1:8" x14ac:dyDescent="0.2">
      <c r="A3670" s="1" t="s">
        <v>4</v>
      </c>
      <c r="B3670" s="2" t="s">
        <v>377</v>
      </c>
      <c r="D3670" s="5" t="s">
        <v>464</v>
      </c>
      <c r="E3670" s="3">
        <v>102500</v>
      </c>
      <c r="F3670" s="3" t="s">
        <v>465</v>
      </c>
      <c r="G3670" s="57" t="str">
        <f t="shared" si="59"/>
        <v>-</v>
      </c>
      <c r="H3670" s="1"/>
    </row>
    <row r="3671" spans="1:8" x14ac:dyDescent="0.2">
      <c r="A3671" s="1" t="s">
        <v>4</v>
      </c>
      <c r="B3671" s="2" t="s">
        <v>377</v>
      </c>
      <c r="D3671" s="5" t="s">
        <v>464</v>
      </c>
      <c r="E3671" s="3" t="s">
        <v>465</v>
      </c>
      <c r="F3671" s="3">
        <v>102500</v>
      </c>
      <c r="G3671" s="57" t="str">
        <f t="shared" si="59"/>
        <v>-</v>
      </c>
      <c r="H3671" s="1"/>
    </row>
    <row r="3672" spans="1:8" x14ac:dyDescent="0.2">
      <c r="A3672" s="1" t="s">
        <v>4</v>
      </c>
      <c r="B3672" s="2" t="s">
        <v>377</v>
      </c>
      <c r="D3672" s="5" t="s">
        <v>464</v>
      </c>
      <c r="E3672" s="3" t="s">
        <v>465</v>
      </c>
      <c r="F3672" s="3">
        <v>102500</v>
      </c>
      <c r="G3672" s="57" t="str">
        <f t="shared" si="59"/>
        <v>-</v>
      </c>
    </row>
    <row r="3673" spans="1:8" x14ac:dyDescent="0.2">
      <c r="A3673" s="1" t="s">
        <v>4</v>
      </c>
      <c r="B3673" s="2" t="s">
        <v>377</v>
      </c>
      <c r="D3673" s="5" t="s">
        <v>464</v>
      </c>
      <c r="E3673" s="3" t="s">
        <v>465</v>
      </c>
      <c r="F3673" s="3">
        <v>107500</v>
      </c>
      <c r="G3673" s="57" t="str">
        <f t="shared" si="59"/>
        <v>-</v>
      </c>
    </row>
    <row r="3674" spans="1:8" x14ac:dyDescent="0.2">
      <c r="A3674" s="1" t="s">
        <v>4</v>
      </c>
      <c r="B3674" s="2" t="s">
        <v>377</v>
      </c>
      <c r="D3674" s="5" t="s">
        <v>464</v>
      </c>
      <c r="E3674" s="3" t="s">
        <v>465</v>
      </c>
      <c r="F3674" s="3">
        <v>107500</v>
      </c>
      <c r="G3674" s="57" t="str">
        <f t="shared" si="59"/>
        <v>-</v>
      </c>
    </row>
    <row r="3675" spans="1:8" x14ac:dyDescent="0.2">
      <c r="A3675" s="1" t="s">
        <v>4</v>
      </c>
      <c r="B3675" s="2" t="s">
        <v>377</v>
      </c>
      <c r="D3675" s="5" t="s">
        <v>464</v>
      </c>
      <c r="E3675" s="3">
        <v>112500</v>
      </c>
      <c r="F3675" s="3" t="s">
        <v>465</v>
      </c>
      <c r="G3675" s="57" t="str">
        <f t="shared" si="59"/>
        <v>-</v>
      </c>
    </row>
    <row r="3676" spans="1:8" x14ac:dyDescent="0.2">
      <c r="A3676" s="1" t="s">
        <v>4</v>
      </c>
      <c r="B3676" s="2" t="s">
        <v>377</v>
      </c>
      <c r="D3676" s="5" t="s">
        <v>464</v>
      </c>
      <c r="E3676" s="3">
        <v>112500</v>
      </c>
      <c r="F3676" s="3" t="s">
        <v>465</v>
      </c>
      <c r="G3676" s="57" t="str">
        <f t="shared" si="59"/>
        <v>-</v>
      </c>
    </row>
    <row r="3677" spans="1:8" x14ac:dyDescent="0.2">
      <c r="A3677" s="1" t="s">
        <v>4</v>
      </c>
      <c r="B3677" s="2" t="s">
        <v>377</v>
      </c>
      <c r="D3677" s="5" t="s">
        <v>464</v>
      </c>
      <c r="E3677" s="3">
        <v>112500</v>
      </c>
      <c r="F3677" s="3" t="s">
        <v>465</v>
      </c>
      <c r="G3677" s="57" t="str">
        <f t="shared" si="59"/>
        <v>-</v>
      </c>
    </row>
    <row r="3678" spans="1:8" x14ac:dyDescent="0.2">
      <c r="A3678" s="1" t="s">
        <v>4</v>
      </c>
      <c r="B3678" s="2" t="s">
        <v>377</v>
      </c>
      <c r="D3678" s="5" t="s">
        <v>464</v>
      </c>
      <c r="E3678" s="3" t="s">
        <v>465</v>
      </c>
      <c r="F3678" s="3">
        <v>112500</v>
      </c>
      <c r="G3678" s="57" t="str">
        <f t="shared" si="59"/>
        <v>-</v>
      </c>
    </row>
    <row r="3679" spans="1:8" x14ac:dyDescent="0.2">
      <c r="A3679" s="1" t="s">
        <v>4</v>
      </c>
      <c r="B3679" s="2" t="s">
        <v>377</v>
      </c>
      <c r="D3679" s="5" t="s">
        <v>464</v>
      </c>
      <c r="E3679" s="3" t="s">
        <v>465</v>
      </c>
      <c r="F3679" s="3">
        <v>112500</v>
      </c>
      <c r="G3679" s="57" t="str">
        <f t="shared" si="59"/>
        <v>-</v>
      </c>
    </row>
    <row r="3680" spans="1:8" x14ac:dyDescent="0.2">
      <c r="A3680" s="1" t="s">
        <v>4</v>
      </c>
      <c r="B3680" s="2" t="s">
        <v>377</v>
      </c>
      <c r="D3680" s="5" t="s">
        <v>464</v>
      </c>
      <c r="E3680" s="3" t="s">
        <v>465</v>
      </c>
      <c r="F3680" s="3">
        <v>112500</v>
      </c>
      <c r="G3680" s="57" t="str">
        <f t="shared" si="59"/>
        <v>-</v>
      </c>
    </row>
    <row r="3681" spans="1:8" x14ac:dyDescent="0.2">
      <c r="A3681" s="1" t="s">
        <v>4</v>
      </c>
      <c r="B3681" s="2" t="s">
        <v>377</v>
      </c>
      <c r="D3681" s="5" t="s">
        <v>464</v>
      </c>
      <c r="E3681" s="3" t="s">
        <v>465</v>
      </c>
      <c r="F3681" s="3">
        <v>117500</v>
      </c>
      <c r="G3681" s="57" t="str">
        <f t="shared" si="59"/>
        <v>-</v>
      </c>
    </row>
    <row r="3682" spans="1:8" x14ac:dyDescent="0.2">
      <c r="A3682" s="1" t="s">
        <v>4</v>
      </c>
      <c r="B3682" s="2" t="s">
        <v>377</v>
      </c>
      <c r="D3682" s="5" t="s">
        <v>464</v>
      </c>
      <c r="E3682" s="3">
        <v>122500</v>
      </c>
      <c r="F3682" s="3" t="s">
        <v>465</v>
      </c>
      <c r="G3682" s="57" t="str">
        <f t="shared" si="59"/>
        <v>-</v>
      </c>
    </row>
    <row r="3683" spans="1:8" x14ac:dyDescent="0.2">
      <c r="A3683" s="1" t="s">
        <v>4</v>
      </c>
      <c r="B3683" s="2" t="s">
        <v>377</v>
      </c>
      <c r="D3683" s="5" t="s">
        <v>464</v>
      </c>
      <c r="E3683" s="3">
        <v>127500</v>
      </c>
      <c r="F3683" s="3" t="s">
        <v>465</v>
      </c>
      <c r="G3683" s="57" t="str">
        <f t="shared" si="59"/>
        <v>-</v>
      </c>
    </row>
    <row r="3684" spans="1:8" x14ac:dyDescent="0.2">
      <c r="A3684" s="1" t="s">
        <v>4</v>
      </c>
      <c r="B3684" s="2" t="s">
        <v>377</v>
      </c>
      <c r="D3684" s="5" t="s">
        <v>464</v>
      </c>
      <c r="E3684" s="3">
        <v>127500</v>
      </c>
      <c r="F3684" s="3" t="s">
        <v>465</v>
      </c>
      <c r="G3684" s="57" t="str">
        <f t="shared" si="59"/>
        <v>-</v>
      </c>
    </row>
    <row r="3685" spans="1:8" x14ac:dyDescent="0.2">
      <c r="A3685" s="1" t="s">
        <v>4</v>
      </c>
      <c r="B3685" s="2" t="s">
        <v>377</v>
      </c>
      <c r="D3685" s="5" t="s">
        <v>464</v>
      </c>
      <c r="E3685" s="3" t="s">
        <v>465</v>
      </c>
      <c r="F3685" s="3">
        <v>142500</v>
      </c>
      <c r="G3685" s="57" t="str">
        <f t="shared" si="59"/>
        <v>-</v>
      </c>
    </row>
    <row r="3686" spans="1:8" ht="38.25" x14ac:dyDescent="0.2">
      <c r="A3686" s="1" t="s">
        <v>4</v>
      </c>
      <c r="B3686" s="2" t="s">
        <v>378</v>
      </c>
      <c r="D3686" s="7" t="s">
        <v>2525</v>
      </c>
      <c r="E3686" s="6">
        <v>81000</v>
      </c>
      <c r="F3686" s="6">
        <v>141000</v>
      </c>
      <c r="G3686" s="57">
        <f t="shared" si="59"/>
        <v>0.7407407407407407</v>
      </c>
      <c r="H3686" s="7" t="s">
        <v>2526</v>
      </c>
    </row>
    <row r="3687" spans="1:8" ht="38.25" x14ac:dyDescent="0.2">
      <c r="A3687" s="1" t="s">
        <v>4</v>
      </c>
      <c r="B3687" s="2" t="s">
        <v>378</v>
      </c>
      <c r="D3687" s="7" t="s">
        <v>450</v>
      </c>
      <c r="E3687" s="6">
        <v>145000</v>
      </c>
      <c r="F3687" s="6">
        <v>84000</v>
      </c>
      <c r="G3687" s="57">
        <f t="shared" si="59"/>
        <v>-0.4206896551724138</v>
      </c>
      <c r="H3687" s="7" t="s">
        <v>2527</v>
      </c>
    </row>
    <row r="3688" spans="1:8" ht="38.25" x14ac:dyDescent="0.2">
      <c r="A3688" s="1" t="s">
        <v>4</v>
      </c>
      <c r="B3688" s="2" t="s">
        <v>378</v>
      </c>
      <c r="D3688" s="7" t="s">
        <v>1761</v>
      </c>
      <c r="E3688" s="6">
        <v>109000</v>
      </c>
      <c r="F3688" s="6">
        <v>85000</v>
      </c>
      <c r="G3688" s="57">
        <f t="shared" si="59"/>
        <v>-0.22018348623853212</v>
      </c>
      <c r="H3688" s="7" t="s">
        <v>2528</v>
      </c>
    </row>
    <row r="3689" spans="1:8" ht="38.25" x14ac:dyDescent="0.2">
      <c r="A3689" s="1" t="s">
        <v>4</v>
      </c>
      <c r="B3689" s="2" t="s">
        <v>378</v>
      </c>
      <c r="D3689" s="7" t="s">
        <v>452</v>
      </c>
      <c r="E3689" s="6">
        <v>111000</v>
      </c>
      <c r="F3689" s="6">
        <v>60000</v>
      </c>
      <c r="G3689" s="57">
        <f t="shared" si="59"/>
        <v>-0.45945945945945948</v>
      </c>
      <c r="H3689" s="7" t="s">
        <v>4696</v>
      </c>
    </row>
    <row r="3690" spans="1:8" x14ac:dyDescent="0.2">
      <c r="A3690" s="1" t="s">
        <v>4</v>
      </c>
      <c r="B3690" s="2" t="s">
        <v>378</v>
      </c>
      <c r="D3690" s="5" t="s">
        <v>464</v>
      </c>
      <c r="E3690" s="3" t="s">
        <v>465</v>
      </c>
      <c r="F3690" s="3">
        <v>102500</v>
      </c>
      <c r="G3690" s="57" t="str">
        <f t="shared" si="59"/>
        <v>-</v>
      </c>
    </row>
    <row r="3691" spans="1:8" x14ac:dyDescent="0.2">
      <c r="A3691" s="1" t="s">
        <v>4</v>
      </c>
      <c r="B3691" s="2" t="s">
        <v>378</v>
      </c>
      <c r="D3691" s="5" t="s">
        <v>464</v>
      </c>
      <c r="E3691" s="3" t="s">
        <v>465</v>
      </c>
      <c r="F3691" s="3">
        <v>107500</v>
      </c>
      <c r="G3691" s="57" t="str">
        <f t="shared" si="59"/>
        <v>-</v>
      </c>
    </row>
    <row r="3692" spans="1:8" ht="25.5" x14ac:dyDescent="0.2">
      <c r="A3692" s="1" t="s">
        <v>25</v>
      </c>
      <c r="B3692" s="2" t="s">
        <v>379</v>
      </c>
      <c r="C3692" s="5" t="s">
        <v>720</v>
      </c>
      <c r="D3692" s="5" t="s">
        <v>450</v>
      </c>
      <c r="E3692" s="3">
        <v>204242</v>
      </c>
      <c r="F3692" s="3">
        <v>112035</v>
      </c>
      <c r="G3692" s="57">
        <f t="shared" si="59"/>
        <v>-0.45145954309103908</v>
      </c>
      <c r="H3692" s="5" t="s">
        <v>2884</v>
      </c>
    </row>
    <row r="3693" spans="1:8" ht="25.5" x14ac:dyDescent="0.2">
      <c r="A3693" s="1" t="s">
        <v>25</v>
      </c>
      <c r="B3693" s="2" t="s">
        <v>379</v>
      </c>
      <c r="C3693" s="5" t="s">
        <v>721</v>
      </c>
      <c r="D3693" s="5" t="s">
        <v>505</v>
      </c>
      <c r="E3693" s="3">
        <v>158680</v>
      </c>
      <c r="F3693" s="3">
        <v>167325</v>
      </c>
      <c r="G3693" s="57">
        <f t="shared" si="59"/>
        <v>5.4480715906226371E-2</v>
      </c>
      <c r="H3693" s="5" t="s">
        <v>4477</v>
      </c>
    </row>
    <row r="3694" spans="1:8" ht="25.5" x14ac:dyDescent="0.2">
      <c r="A3694" s="1" t="s">
        <v>25</v>
      </c>
      <c r="B3694" s="2" t="s">
        <v>379</v>
      </c>
      <c r="D3694" s="5" t="s">
        <v>496</v>
      </c>
      <c r="E3694" s="3" t="s">
        <v>465</v>
      </c>
      <c r="F3694" s="3">
        <v>147331</v>
      </c>
      <c r="G3694" s="57" t="str">
        <f t="shared" si="59"/>
        <v>-</v>
      </c>
      <c r="H3694" s="5" t="s">
        <v>4478</v>
      </c>
    </row>
    <row r="3695" spans="1:8" ht="25.5" x14ac:dyDescent="0.2">
      <c r="A3695" s="1" t="s">
        <v>25</v>
      </c>
      <c r="B3695" s="2" t="s">
        <v>379</v>
      </c>
      <c r="D3695" s="5" t="s">
        <v>496</v>
      </c>
      <c r="E3695" s="3">
        <v>133325</v>
      </c>
      <c r="F3695" s="3">
        <v>22907</v>
      </c>
      <c r="G3695" s="57">
        <f t="shared" si="59"/>
        <v>-0.82818676167260452</v>
      </c>
      <c r="H3695" s="5" t="s">
        <v>4479</v>
      </c>
    </row>
    <row r="3696" spans="1:8" ht="25.5" x14ac:dyDescent="0.2">
      <c r="A3696" s="1" t="s">
        <v>25</v>
      </c>
      <c r="B3696" s="2" t="s">
        <v>379</v>
      </c>
      <c r="D3696" s="5" t="s">
        <v>722</v>
      </c>
      <c r="E3696" s="3">
        <v>158318</v>
      </c>
      <c r="F3696" s="3">
        <v>158223</v>
      </c>
      <c r="G3696" s="57">
        <f t="shared" si="59"/>
        <v>-6.0005811089073886E-4</v>
      </c>
      <c r="H3696" s="5" t="s">
        <v>2518</v>
      </c>
    </row>
    <row r="3697" spans="1:8" ht="25.5" x14ac:dyDescent="0.2">
      <c r="A3697" s="1" t="s">
        <v>25</v>
      </c>
      <c r="B3697" s="2" t="s">
        <v>379</v>
      </c>
      <c r="D3697" s="5" t="s">
        <v>4480</v>
      </c>
      <c r="E3697" s="3" t="s">
        <v>465</v>
      </c>
      <c r="F3697" s="3">
        <v>118542</v>
      </c>
      <c r="G3697" s="57" t="str">
        <f t="shared" si="59"/>
        <v>-</v>
      </c>
      <c r="H3697" s="5" t="s">
        <v>2519</v>
      </c>
    </row>
    <row r="3698" spans="1:8" ht="25.5" x14ac:dyDescent="0.2">
      <c r="A3698" s="1" t="s">
        <v>25</v>
      </c>
      <c r="B3698" s="2" t="s">
        <v>379</v>
      </c>
      <c r="D3698" s="5" t="s">
        <v>4480</v>
      </c>
      <c r="E3698" s="3" t="s">
        <v>465</v>
      </c>
      <c r="F3698" s="3">
        <v>109480</v>
      </c>
      <c r="G3698" s="57" t="str">
        <f t="shared" si="59"/>
        <v>-</v>
      </c>
      <c r="H3698" s="5" t="s">
        <v>2520</v>
      </c>
    </row>
    <row r="3699" spans="1:8" ht="25.5" x14ac:dyDescent="0.2">
      <c r="A3699" s="1" t="s">
        <v>25</v>
      </c>
      <c r="B3699" s="2" t="s">
        <v>379</v>
      </c>
      <c r="D3699" s="5" t="s">
        <v>723</v>
      </c>
      <c r="E3699" s="3">
        <v>144716</v>
      </c>
      <c r="F3699" s="3">
        <v>157622</v>
      </c>
      <c r="G3699" s="57">
        <f t="shared" si="59"/>
        <v>8.9181569418723572E-2</v>
      </c>
      <c r="H3699" s="5" t="s">
        <v>2521</v>
      </c>
    </row>
    <row r="3700" spans="1:8" ht="25.5" x14ac:dyDescent="0.2">
      <c r="A3700" s="1" t="s">
        <v>25</v>
      </c>
      <c r="B3700" s="2" t="s">
        <v>379</v>
      </c>
      <c r="D3700" s="5" t="s">
        <v>724</v>
      </c>
      <c r="E3700" s="3">
        <v>111825</v>
      </c>
      <c r="F3700" s="3">
        <v>111597</v>
      </c>
      <c r="G3700" s="57">
        <f t="shared" si="59"/>
        <v>-2.0389000670690814E-3</v>
      </c>
      <c r="H3700" s="5" t="s">
        <v>2522</v>
      </c>
    </row>
    <row r="3701" spans="1:8" ht="25.5" x14ac:dyDescent="0.2">
      <c r="A3701" s="1" t="s">
        <v>25</v>
      </c>
      <c r="B3701" s="2" t="s">
        <v>379</v>
      </c>
      <c r="D3701" s="5" t="s">
        <v>725</v>
      </c>
      <c r="E3701" s="3">
        <v>140649</v>
      </c>
      <c r="F3701" s="3">
        <v>140631</v>
      </c>
      <c r="G3701" s="57">
        <f t="shared" si="59"/>
        <v>-1.2797815839430071E-4</v>
      </c>
      <c r="H3701" s="5" t="s">
        <v>2523</v>
      </c>
    </row>
    <row r="3702" spans="1:8" ht="25.5" x14ac:dyDescent="0.2">
      <c r="A3702" s="1" t="s">
        <v>25</v>
      </c>
      <c r="B3702" s="2" t="s">
        <v>379</v>
      </c>
      <c r="D3702" s="5" t="s">
        <v>726</v>
      </c>
      <c r="E3702" s="3">
        <v>101345</v>
      </c>
      <c r="F3702" s="3">
        <v>114620</v>
      </c>
      <c r="G3702" s="57">
        <f t="shared" si="59"/>
        <v>0.13098820859440524</v>
      </c>
      <c r="H3702" s="5" t="s">
        <v>2524</v>
      </c>
    </row>
    <row r="3703" spans="1:8" x14ac:dyDescent="0.2">
      <c r="A3703" s="1" t="s">
        <v>25</v>
      </c>
      <c r="B3703" s="2" t="s">
        <v>379</v>
      </c>
      <c r="D3703" s="5" t="s">
        <v>464</v>
      </c>
      <c r="E3703" s="3">
        <v>102500</v>
      </c>
      <c r="F3703" s="3" t="s">
        <v>465</v>
      </c>
      <c r="G3703" s="57" t="str">
        <f t="shared" si="59"/>
        <v>-</v>
      </c>
    </row>
    <row r="3704" spans="1:8" x14ac:dyDescent="0.2">
      <c r="A3704" s="1" t="s">
        <v>25</v>
      </c>
      <c r="B3704" s="2" t="s">
        <v>379</v>
      </c>
      <c r="D3704" s="5" t="s">
        <v>464</v>
      </c>
      <c r="E3704" s="3" t="s">
        <v>465</v>
      </c>
      <c r="F3704" s="3">
        <v>102500</v>
      </c>
      <c r="G3704" s="57" t="str">
        <f t="shared" si="59"/>
        <v>-</v>
      </c>
    </row>
    <row r="3705" spans="1:8" x14ac:dyDescent="0.2">
      <c r="A3705" s="1" t="s">
        <v>25</v>
      </c>
      <c r="B3705" s="2" t="s">
        <v>379</v>
      </c>
      <c r="D3705" s="5" t="s">
        <v>464</v>
      </c>
      <c r="E3705" s="3" t="s">
        <v>465</v>
      </c>
      <c r="F3705" s="3">
        <v>102500</v>
      </c>
      <c r="G3705" s="57" t="str">
        <f t="shared" si="59"/>
        <v>-</v>
      </c>
    </row>
    <row r="3706" spans="1:8" x14ac:dyDescent="0.2">
      <c r="A3706" s="1" t="s">
        <v>25</v>
      </c>
      <c r="B3706" s="2" t="s">
        <v>379</v>
      </c>
      <c r="D3706" s="5" t="s">
        <v>464</v>
      </c>
      <c r="E3706" s="3">
        <v>107500</v>
      </c>
      <c r="F3706" s="3" t="s">
        <v>465</v>
      </c>
      <c r="G3706" s="57" t="str">
        <f t="shared" si="59"/>
        <v>-</v>
      </c>
    </row>
    <row r="3707" spans="1:8" x14ac:dyDescent="0.2">
      <c r="A3707" s="1" t="s">
        <v>25</v>
      </c>
      <c r="B3707" s="2" t="s">
        <v>379</v>
      </c>
      <c r="D3707" s="5" t="s">
        <v>464</v>
      </c>
      <c r="E3707" s="3" t="s">
        <v>465</v>
      </c>
      <c r="F3707" s="3">
        <v>137500</v>
      </c>
      <c r="G3707" s="57" t="str">
        <f t="shared" si="59"/>
        <v>-</v>
      </c>
    </row>
    <row r="3708" spans="1:8" ht="25.5" x14ac:dyDescent="0.2">
      <c r="A3708" s="1" t="s">
        <v>4</v>
      </c>
      <c r="B3708" s="2" t="s">
        <v>380</v>
      </c>
      <c r="D3708" s="5" t="s">
        <v>450</v>
      </c>
      <c r="E3708" s="3">
        <v>127757</v>
      </c>
      <c r="F3708" s="3">
        <v>178200</v>
      </c>
      <c r="G3708" s="57">
        <f t="shared" si="59"/>
        <v>0.39483550803478479</v>
      </c>
      <c r="H3708" s="5" t="s">
        <v>2516</v>
      </c>
    </row>
    <row r="3709" spans="1:8" ht="25.5" x14ac:dyDescent="0.2">
      <c r="A3709" s="1" t="s">
        <v>4</v>
      </c>
      <c r="B3709" s="2" t="s">
        <v>380</v>
      </c>
      <c r="D3709" s="5" t="s">
        <v>452</v>
      </c>
      <c r="E3709" s="3">
        <v>132515</v>
      </c>
      <c r="F3709" s="3">
        <v>127547</v>
      </c>
      <c r="G3709" s="57">
        <f t="shared" si="59"/>
        <v>-3.7490095460891222E-2</v>
      </c>
      <c r="H3709" s="5" t="s">
        <v>2517</v>
      </c>
    </row>
    <row r="3710" spans="1:8" x14ac:dyDescent="0.2">
      <c r="A3710" s="1" t="s">
        <v>4</v>
      </c>
      <c r="B3710" s="2" t="s">
        <v>380</v>
      </c>
      <c r="D3710" s="5" t="s">
        <v>2514</v>
      </c>
      <c r="E3710" s="3">
        <v>112921</v>
      </c>
      <c r="F3710" s="3" t="s">
        <v>465</v>
      </c>
      <c r="G3710" s="57" t="str">
        <f t="shared" si="59"/>
        <v>-</v>
      </c>
      <c r="H3710" s="5" t="s">
        <v>2515</v>
      </c>
    </row>
    <row r="3711" spans="1:8" x14ac:dyDescent="0.2">
      <c r="A3711" s="1" t="s">
        <v>4</v>
      </c>
      <c r="B3711" s="2" t="s">
        <v>380</v>
      </c>
      <c r="D3711" s="5" t="s">
        <v>464</v>
      </c>
      <c r="G3711" s="57" t="str">
        <f t="shared" si="59"/>
        <v>-</v>
      </c>
    </row>
    <row r="3712" spans="1:8" ht="25.5" x14ac:dyDescent="0.2">
      <c r="A3712" s="1" t="s">
        <v>44</v>
      </c>
      <c r="B3712" s="2" t="s">
        <v>381</v>
      </c>
      <c r="D3712" s="5" t="s">
        <v>529</v>
      </c>
      <c r="E3712" s="3">
        <v>144186</v>
      </c>
      <c r="F3712" s="3">
        <v>144600</v>
      </c>
      <c r="G3712" s="57">
        <f t="shared" si="59"/>
        <v>2.8712912488036285E-3</v>
      </c>
      <c r="H3712" s="5" t="s">
        <v>2507</v>
      </c>
    </row>
    <row r="3713" spans="1:8" ht="25.5" x14ac:dyDescent="0.2">
      <c r="A3713" s="1" t="s">
        <v>44</v>
      </c>
      <c r="B3713" s="2" t="s">
        <v>381</v>
      </c>
      <c r="D3713" s="5" t="s">
        <v>714</v>
      </c>
      <c r="E3713" s="3">
        <v>129267</v>
      </c>
      <c r="F3713" s="3">
        <v>132669</v>
      </c>
      <c r="G3713" s="57">
        <f t="shared" si="59"/>
        <v>2.6317621666782705E-2</v>
      </c>
      <c r="H3713" s="5" t="s">
        <v>2508</v>
      </c>
    </row>
    <row r="3714" spans="1:8" ht="25.5" x14ac:dyDescent="0.2">
      <c r="A3714" s="1" t="s">
        <v>44</v>
      </c>
      <c r="B3714" s="2" t="s">
        <v>381</v>
      </c>
      <c r="D3714" s="5" t="s">
        <v>715</v>
      </c>
      <c r="E3714" s="3">
        <v>126264</v>
      </c>
      <c r="F3714" s="3">
        <v>129697</v>
      </c>
      <c r="G3714" s="57">
        <f t="shared" si="59"/>
        <v>2.7189064182981688E-2</v>
      </c>
      <c r="H3714" s="5" t="s">
        <v>2509</v>
      </c>
    </row>
    <row r="3715" spans="1:8" ht="25.5" x14ac:dyDescent="0.2">
      <c r="A3715" s="1" t="s">
        <v>44</v>
      </c>
      <c r="B3715" s="2" t="s">
        <v>381</v>
      </c>
      <c r="D3715" s="5" t="s">
        <v>716</v>
      </c>
      <c r="E3715" s="3">
        <v>120259</v>
      </c>
      <c r="F3715" s="3">
        <v>123672</v>
      </c>
      <c r="G3715" s="57">
        <f t="shared" si="59"/>
        <v>2.8380412276835829E-2</v>
      </c>
      <c r="H3715" s="5" t="s">
        <v>2510</v>
      </c>
    </row>
    <row r="3716" spans="1:8" ht="25.5" x14ac:dyDescent="0.2">
      <c r="A3716" s="1" t="s">
        <v>44</v>
      </c>
      <c r="B3716" s="2" t="s">
        <v>381</v>
      </c>
      <c r="D3716" s="5" t="s">
        <v>717</v>
      </c>
      <c r="E3716" s="3">
        <v>117191</v>
      </c>
      <c r="F3716" s="3">
        <v>120500</v>
      </c>
      <c r="G3716" s="57">
        <f t="shared" si="59"/>
        <v>2.8235956686093643E-2</v>
      </c>
      <c r="H3716" s="5" t="s">
        <v>2511</v>
      </c>
    </row>
    <row r="3717" spans="1:8" ht="38.25" x14ac:dyDescent="0.2">
      <c r="A3717" s="1" t="s">
        <v>44</v>
      </c>
      <c r="B3717" s="2" t="s">
        <v>381</v>
      </c>
      <c r="D3717" s="5" t="s">
        <v>718</v>
      </c>
      <c r="E3717" s="3">
        <v>84229</v>
      </c>
      <c r="F3717" s="3">
        <v>110163</v>
      </c>
      <c r="G3717" s="57">
        <f t="shared" si="59"/>
        <v>0.30789870472165171</v>
      </c>
      <c r="H3717" s="5" t="s">
        <v>2512</v>
      </c>
    </row>
    <row r="3718" spans="1:8" ht="38.25" x14ac:dyDescent="0.2">
      <c r="A3718" s="1" t="s">
        <v>44</v>
      </c>
      <c r="B3718" s="2" t="s">
        <v>381</v>
      </c>
      <c r="D3718" s="5" t="s">
        <v>719</v>
      </c>
      <c r="E3718" s="3">
        <v>84229</v>
      </c>
      <c r="F3718" s="3">
        <v>107070</v>
      </c>
      <c r="G3718" s="57">
        <f t="shared" si="59"/>
        <v>0.27117738546106446</v>
      </c>
      <c r="H3718" s="5" t="s">
        <v>2513</v>
      </c>
    </row>
    <row r="3719" spans="1:8" x14ac:dyDescent="0.2">
      <c r="A3719" s="1" t="s">
        <v>44</v>
      </c>
      <c r="B3719" s="2" t="s">
        <v>381</v>
      </c>
      <c r="D3719" s="5" t="s">
        <v>2506</v>
      </c>
      <c r="E3719" s="3">
        <v>150127</v>
      </c>
      <c r="F3719" s="3" t="s">
        <v>465</v>
      </c>
      <c r="G3719" s="57" t="str">
        <f t="shared" si="59"/>
        <v>-</v>
      </c>
    </row>
    <row r="3720" spans="1:8" x14ac:dyDescent="0.2">
      <c r="A3720" s="1" t="s">
        <v>44</v>
      </c>
      <c r="B3720" s="2" t="s">
        <v>381</v>
      </c>
      <c r="D3720" s="5" t="s">
        <v>464</v>
      </c>
      <c r="E3720" s="3" t="s">
        <v>465</v>
      </c>
      <c r="F3720" s="3">
        <v>102500</v>
      </c>
      <c r="G3720" s="57" t="str">
        <f t="shared" si="59"/>
        <v>-</v>
      </c>
    </row>
    <row r="3721" spans="1:8" x14ac:dyDescent="0.2">
      <c r="A3721" s="1" t="s">
        <v>44</v>
      </c>
      <c r="B3721" s="2" t="s">
        <v>381</v>
      </c>
      <c r="D3721" s="5" t="s">
        <v>464</v>
      </c>
      <c r="E3721" s="3" t="s">
        <v>465</v>
      </c>
      <c r="F3721" s="3">
        <v>107500</v>
      </c>
      <c r="G3721" s="57" t="str">
        <f t="shared" si="59"/>
        <v>-</v>
      </c>
    </row>
    <row r="3722" spans="1:8" ht="25.5" x14ac:dyDescent="0.2">
      <c r="A3722" s="1" t="s">
        <v>34</v>
      </c>
      <c r="B3722" s="2" t="s">
        <v>382</v>
      </c>
      <c r="C3722" s="5" t="s">
        <v>709</v>
      </c>
      <c r="D3722" s="5" t="s">
        <v>450</v>
      </c>
      <c r="E3722" s="6">
        <v>206331</v>
      </c>
      <c r="F3722" s="3">
        <v>198393</v>
      </c>
      <c r="G3722" s="57">
        <f t="shared" si="59"/>
        <v>-3.8472163659362867E-2</v>
      </c>
      <c r="H3722" s="5" t="s">
        <v>4697</v>
      </c>
    </row>
    <row r="3723" spans="1:8" ht="25.5" x14ac:dyDescent="0.2">
      <c r="A3723" s="1" t="s">
        <v>34</v>
      </c>
      <c r="B3723" s="2" t="s">
        <v>382</v>
      </c>
      <c r="D3723" s="5" t="s">
        <v>710</v>
      </c>
      <c r="E3723" s="6">
        <v>159406</v>
      </c>
      <c r="F3723" s="3">
        <v>160180</v>
      </c>
      <c r="G3723" s="57">
        <f t="shared" si="59"/>
        <v>4.8555261407977118E-3</v>
      </c>
      <c r="H3723" s="5" t="s">
        <v>4698</v>
      </c>
    </row>
    <row r="3724" spans="1:8" x14ac:dyDescent="0.2">
      <c r="A3724" s="1" t="s">
        <v>34</v>
      </c>
      <c r="B3724" s="2" t="s">
        <v>382</v>
      </c>
      <c r="D3724" s="5" t="s">
        <v>711</v>
      </c>
      <c r="E3724" s="6">
        <v>150149</v>
      </c>
      <c r="F3724" s="3">
        <v>150149</v>
      </c>
      <c r="G3724" s="57">
        <f t="shared" si="59"/>
        <v>0</v>
      </c>
      <c r="H3724" s="5" t="s">
        <v>4699</v>
      </c>
    </row>
    <row r="3725" spans="1:8" ht="25.5" x14ac:dyDescent="0.2">
      <c r="A3725" s="1" t="s">
        <v>34</v>
      </c>
      <c r="B3725" s="2" t="s">
        <v>382</v>
      </c>
      <c r="D3725" s="5" t="s">
        <v>2505</v>
      </c>
      <c r="E3725" s="6">
        <v>161945</v>
      </c>
      <c r="F3725" s="3">
        <v>161930</v>
      </c>
      <c r="G3725" s="57">
        <f t="shared" si="59"/>
        <v>-9.2624039025595106E-5</v>
      </c>
      <c r="H3725" s="5" t="s">
        <v>4700</v>
      </c>
    </row>
    <row r="3726" spans="1:8" ht="25.5" x14ac:dyDescent="0.2">
      <c r="A3726" s="1" t="s">
        <v>34</v>
      </c>
      <c r="B3726" s="2" t="s">
        <v>382</v>
      </c>
      <c r="D3726" s="5" t="s">
        <v>712</v>
      </c>
      <c r="E3726" s="6">
        <v>136281</v>
      </c>
      <c r="F3726" s="3">
        <v>136322</v>
      </c>
      <c r="G3726" s="57">
        <f t="shared" si="59"/>
        <v>3.0084898114924311E-4</v>
      </c>
      <c r="H3726" s="5" t="s">
        <v>4701</v>
      </c>
    </row>
    <row r="3727" spans="1:8" ht="25.5" x14ac:dyDescent="0.2">
      <c r="A3727" s="1" t="s">
        <v>34</v>
      </c>
      <c r="B3727" s="2" t="s">
        <v>382</v>
      </c>
      <c r="D3727" s="5" t="s">
        <v>507</v>
      </c>
      <c r="E3727" s="6">
        <v>116182</v>
      </c>
      <c r="F3727" s="3">
        <v>116251</v>
      </c>
      <c r="G3727" s="57">
        <f t="shared" si="59"/>
        <v>5.938957842006507E-4</v>
      </c>
      <c r="H3727" s="5" t="s">
        <v>4702</v>
      </c>
    </row>
    <row r="3728" spans="1:8" ht="25.5" x14ac:dyDescent="0.2">
      <c r="A3728" s="1" t="s">
        <v>34</v>
      </c>
      <c r="B3728" s="2" t="s">
        <v>382</v>
      </c>
      <c r="D3728" s="5" t="s">
        <v>713</v>
      </c>
      <c r="E3728" s="6">
        <v>111909</v>
      </c>
      <c r="F3728" s="3">
        <v>111638</v>
      </c>
      <c r="G3728" s="57">
        <f t="shared" si="59"/>
        <v>-2.4216104156055368E-3</v>
      </c>
      <c r="H3728" s="5" t="s">
        <v>4703</v>
      </c>
    </row>
    <row r="3729" spans="1:8" x14ac:dyDescent="0.2">
      <c r="A3729" s="1" t="s">
        <v>34</v>
      </c>
      <c r="B3729" s="2" t="s">
        <v>382</v>
      </c>
      <c r="D3729" s="5" t="s">
        <v>464</v>
      </c>
      <c r="E3729" s="3" t="s">
        <v>465</v>
      </c>
      <c r="F3729" s="3">
        <v>102500</v>
      </c>
      <c r="G3729" s="57" t="str">
        <f t="shared" ref="G3729:G3792" si="60">IF(ISERROR((F3729-E3729)/E3729),"-",(F3729-E3729)/E3729)</f>
        <v>-</v>
      </c>
    </row>
    <row r="3730" spans="1:8" x14ac:dyDescent="0.2">
      <c r="A3730" s="1" t="s">
        <v>34</v>
      </c>
      <c r="B3730" s="2" t="s">
        <v>382</v>
      </c>
      <c r="D3730" s="5" t="s">
        <v>464</v>
      </c>
      <c r="E3730" s="3" t="s">
        <v>465</v>
      </c>
      <c r="F3730" s="3">
        <v>102500</v>
      </c>
      <c r="G3730" s="57" t="str">
        <f t="shared" si="60"/>
        <v>-</v>
      </c>
    </row>
    <row r="3731" spans="1:8" x14ac:dyDescent="0.2">
      <c r="A3731" s="1" t="s">
        <v>34</v>
      </c>
      <c r="B3731" s="2" t="s">
        <v>382</v>
      </c>
      <c r="D3731" s="5" t="s">
        <v>464</v>
      </c>
      <c r="E3731" s="3" t="s">
        <v>465</v>
      </c>
      <c r="F3731" s="3">
        <v>107500</v>
      </c>
      <c r="G3731" s="57" t="str">
        <f t="shared" si="60"/>
        <v>-</v>
      </c>
    </row>
    <row r="3732" spans="1:8" x14ac:dyDescent="0.2">
      <c r="A3732" s="1" t="s">
        <v>34</v>
      </c>
      <c r="B3732" s="2" t="s">
        <v>382</v>
      </c>
      <c r="D3732" s="5" t="s">
        <v>464</v>
      </c>
      <c r="E3732" s="3">
        <v>112500</v>
      </c>
      <c r="F3732" s="3" t="s">
        <v>465</v>
      </c>
      <c r="G3732" s="57" t="str">
        <f t="shared" si="60"/>
        <v>-</v>
      </c>
    </row>
    <row r="3733" spans="1:8" x14ac:dyDescent="0.2">
      <c r="A3733" s="1" t="s">
        <v>6</v>
      </c>
      <c r="B3733" s="2" t="s">
        <v>383</v>
      </c>
      <c r="C3733" s="5" t="s">
        <v>701</v>
      </c>
      <c r="D3733" s="5" t="s">
        <v>450</v>
      </c>
      <c r="E3733" s="3">
        <v>190800</v>
      </c>
      <c r="F3733" s="3">
        <v>192469</v>
      </c>
      <c r="G3733" s="57">
        <f t="shared" si="60"/>
        <v>8.7473794549266255E-3</v>
      </c>
      <c r="H3733" s="5" t="s">
        <v>2498</v>
      </c>
    </row>
    <row r="3734" spans="1:8" ht="25.5" x14ac:dyDescent="0.2">
      <c r="A3734" s="1" t="s">
        <v>6</v>
      </c>
      <c r="B3734" s="2" t="s">
        <v>383</v>
      </c>
      <c r="D3734" s="5" t="s">
        <v>702</v>
      </c>
      <c r="E3734" s="3">
        <v>150316</v>
      </c>
      <c r="F3734" s="3">
        <v>153668</v>
      </c>
      <c r="G3734" s="57">
        <f t="shared" si="60"/>
        <v>2.229968865589824E-2</v>
      </c>
      <c r="H3734" s="5" t="s">
        <v>2499</v>
      </c>
    </row>
    <row r="3735" spans="1:8" ht="25.5" x14ac:dyDescent="0.2">
      <c r="A3735" s="1" t="s">
        <v>6</v>
      </c>
      <c r="B3735" s="2" t="s">
        <v>383</v>
      </c>
      <c r="D3735" s="5" t="s">
        <v>703</v>
      </c>
      <c r="E3735" s="3">
        <v>141508</v>
      </c>
      <c r="F3735" s="3">
        <v>142746</v>
      </c>
      <c r="G3735" s="57">
        <f t="shared" si="60"/>
        <v>8.7486219860361258E-3</v>
      </c>
      <c r="H3735" s="5" t="s">
        <v>2500</v>
      </c>
    </row>
    <row r="3736" spans="1:8" ht="25.5" x14ac:dyDescent="0.2">
      <c r="A3736" s="1" t="s">
        <v>6</v>
      </c>
      <c r="B3736" s="2" t="s">
        <v>383</v>
      </c>
      <c r="D3736" s="5" t="s">
        <v>704</v>
      </c>
      <c r="E3736" s="3">
        <v>141508</v>
      </c>
      <c r="F3736" s="3">
        <v>142746</v>
      </c>
      <c r="G3736" s="57">
        <f t="shared" si="60"/>
        <v>8.7486219860361258E-3</v>
      </c>
      <c r="H3736" s="5" t="s">
        <v>2500</v>
      </c>
    </row>
    <row r="3737" spans="1:8" ht="25.5" x14ac:dyDescent="0.2">
      <c r="A3737" s="1" t="s">
        <v>6</v>
      </c>
      <c r="B3737" s="2" t="s">
        <v>383</v>
      </c>
      <c r="D3737" s="5" t="s">
        <v>705</v>
      </c>
      <c r="E3737" s="3">
        <v>140566</v>
      </c>
      <c r="F3737" s="3">
        <v>107687</v>
      </c>
      <c r="G3737" s="57">
        <f t="shared" si="60"/>
        <v>-0.23390435809512969</v>
      </c>
      <c r="H3737" s="5" t="s">
        <v>2501</v>
      </c>
    </row>
    <row r="3738" spans="1:8" ht="25.5" x14ac:dyDescent="0.2">
      <c r="A3738" s="1" t="s">
        <v>6</v>
      </c>
      <c r="B3738" s="2" t="s">
        <v>383</v>
      </c>
      <c r="D3738" s="5" t="s">
        <v>706</v>
      </c>
      <c r="E3738" s="3">
        <v>137384</v>
      </c>
      <c r="F3738" s="3">
        <v>138936</v>
      </c>
      <c r="G3738" s="57">
        <f t="shared" si="60"/>
        <v>1.1296803121178594E-2</v>
      </c>
      <c r="H3738" s="5" t="s">
        <v>2502</v>
      </c>
    </row>
    <row r="3739" spans="1:8" ht="25.5" x14ac:dyDescent="0.2">
      <c r="A3739" s="1" t="s">
        <v>6</v>
      </c>
      <c r="B3739" s="2" t="s">
        <v>383</v>
      </c>
      <c r="D3739" s="5" t="s">
        <v>707</v>
      </c>
      <c r="E3739" s="3">
        <v>128072</v>
      </c>
      <c r="F3739" s="3">
        <v>132038</v>
      </c>
      <c r="G3739" s="57">
        <f t="shared" si="60"/>
        <v>3.0966956087200948E-2</v>
      </c>
      <c r="H3739" s="5" t="s">
        <v>2503</v>
      </c>
    </row>
    <row r="3740" spans="1:8" ht="25.5" x14ac:dyDescent="0.2">
      <c r="A3740" s="1" t="s">
        <v>6</v>
      </c>
      <c r="B3740" s="2" t="s">
        <v>383</v>
      </c>
      <c r="D3740" s="5" t="s">
        <v>708</v>
      </c>
      <c r="E3740" s="3">
        <v>123452</v>
      </c>
      <c r="F3740" s="3">
        <v>127810</v>
      </c>
      <c r="G3740" s="57">
        <f t="shared" si="60"/>
        <v>3.5301169685383792E-2</v>
      </c>
      <c r="H3740" s="5" t="s">
        <v>2504</v>
      </c>
    </row>
    <row r="3741" spans="1:8" x14ac:dyDescent="0.2">
      <c r="A3741" s="1" t="s">
        <v>6</v>
      </c>
      <c r="B3741" s="2" t="s">
        <v>383</v>
      </c>
      <c r="D3741" s="7" t="s">
        <v>464</v>
      </c>
      <c r="E3741" s="6">
        <v>102500</v>
      </c>
      <c r="F3741" s="6" t="s">
        <v>465</v>
      </c>
      <c r="G3741" s="57" t="str">
        <f t="shared" si="60"/>
        <v>-</v>
      </c>
      <c r="H3741" s="7" t="s">
        <v>1630</v>
      </c>
    </row>
    <row r="3742" spans="1:8" x14ac:dyDescent="0.2">
      <c r="A3742" s="1" t="s">
        <v>6</v>
      </c>
      <c r="B3742" s="2" t="s">
        <v>383</v>
      </c>
      <c r="D3742" s="7" t="s">
        <v>464</v>
      </c>
      <c r="E3742" s="6">
        <v>107500</v>
      </c>
      <c r="F3742" s="6" t="s">
        <v>465</v>
      </c>
      <c r="G3742" s="57" t="str">
        <f t="shared" si="60"/>
        <v>-</v>
      </c>
      <c r="H3742" s="7" t="s">
        <v>1630</v>
      </c>
    </row>
    <row r="3743" spans="1:8" ht="25.5" x14ac:dyDescent="0.2">
      <c r="A3743" s="1" t="s">
        <v>39</v>
      </c>
      <c r="B3743" s="2" t="s">
        <v>384</v>
      </c>
      <c r="D3743" s="5" t="s">
        <v>450</v>
      </c>
      <c r="E3743" s="3">
        <v>125569</v>
      </c>
      <c r="F3743" s="3">
        <v>126959</v>
      </c>
      <c r="G3743" s="57">
        <f t="shared" si="60"/>
        <v>1.1069611130135623E-2</v>
      </c>
      <c r="H3743" s="5" t="s">
        <v>2495</v>
      </c>
    </row>
    <row r="3744" spans="1:8" ht="25.5" x14ac:dyDescent="0.2">
      <c r="A3744" s="1" t="s">
        <v>39</v>
      </c>
      <c r="B3744" s="2" t="s">
        <v>384</v>
      </c>
      <c r="D3744" s="5" t="s">
        <v>699</v>
      </c>
      <c r="E3744" s="3">
        <v>101001</v>
      </c>
      <c r="F3744" s="3">
        <v>102179</v>
      </c>
      <c r="G3744" s="57">
        <f t="shared" si="60"/>
        <v>1.1663250858902387E-2</v>
      </c>
      <c r="H3744" s="5" t="s">
        <v>2496</v>
      </c>
    </row>
    <row r="3745" spans="1:8" ht="38.25" x14ac:dyDescent="0.2">
      <c r="A3745" s="1" t="s">
        <v>39</v>
      </c>
      <c r="B3745" s="2" t="s">
        <v>384</v>
      </c>
      <c r="D3745" s="5" t="s">
        <v>700</v>
      </c>
      <c r="E3745" s="3">
        <v>66781</v>
      </c>
      <c r="F3745" s="3">
        <v>188037</v>
      </c>
      <c r="G3745" s="57">
        <f t="shared" si="60"/>
        <v>1.8157260298587923</v>
      </c>
      <c r="H3745" s="5" t="s">
        <v>2497</v>
      </c>
    </row>
    <row r="3746" spans="1:8" ht="38.25" x14ac:dyDescent="0.2">
      <c r="A3746" s="1" t="s">
        <v>4</v>
      </c>
      <c r="B3746" s="2" t="s">
        <v>385</v>
      </c>
      <c r="C3746" s="5" t="s">
        <v>697</v>
      </c>
      <c r="D3746" s="5" t="s">
        <v>450</v>
      </c>
      <c r="E3746" s="3">
        <v>152837</v>
      </c>
      <c r="F3746" s="3">
        <v>153775</v>
      </c>
      <c r="G3746" s="57">
        <f t="shared" si="60"/>
        <v>6.1372573395185722E-3</v>
      </c>
      <c r="H3746" s="5" t="s">
        <v>2492</v>
      </c>
    </row>
    <row r="3747" spans="1:8" ht="25.5" x14ac:dyDescent="0.2">
      <c r="A3747" s="1" t="s">
        <v>4</v>
      </c>
      <c r="B3747" s="2" t="s">
        <v>385</v>
      </c>
      <c r="D3747" s="5" t="s">
        <v>524</v>
      </c>
      <c r="E3747" s="3">
        <v>110422</v>
      </c>
      <c r="F3747" s="3">
        <v>113505</v>
      </c>
      <c r="G3747" s="57">
        <f t="shared" si="60"/>
        <v>2.7920160837514262E-2</v>
      </c>
      <c r="H3747" s="5" t="s">
        <v>2493</v>
      </c>
    </row>
    <row r="3748" spans="1:8" ht="38.25" x14ac:dyDescent="0.2">
      <c r="A3748" s="1" t="s">
        <v>4</v>
      </c>
      <c r="B3748" s="2" t="s">
        <v>385</v>
      </c>
      <c r="D3748" s="5" t="s">
        <v>698</v>
      </c>
      <c r="E3748" s="3">
        <v>99223</v>
      </c>
      <c r="F3748" s="3">
        <v>101705</v>
      </c>
      <c r="G3748" s="57">
        <f t="shared" si="60"/>
        <v>2.501436158955081E-2</v>
      </c>
      <c r="H3748" s="5" t="s">
        <v>2494</v>
      </c>
    </row>
    <row r="3749" spans="1:8" ht="51" x14ac:dyDescent="0.2">
      <c r="A3749" s="1" t="s">
        <v>4</v>
      </c>
      <c r="B3749" s="2" t="s">
        <v>385</v>
      </c>
      <c r="D3749" s="5" t="s">
        <v>2491</v>
      </c>
      <c r="E3749" s="3">
        <v>105604</v>
      </c>
      <c r="F3749" s="3">
        <v>92791</v>
      </c>
      <c r="G3749" s="57">
        <f t="shared" si="60"/>
        <v>-0.12133063141547669</v>
      </c>
      <c r="H3749" s="5" t="s">
        <v>4481</v>
      </c>
    </row>
    <row r="3750" spans="1:8" ht="25.5" x14ac:dyDescent="0.2">
      <c r="A3750" s="1" t="s">
        <v>34</v>
      </c>
      <c r="B3750" s="2" t="s">
        <v>386</v>
      </c>
      <c r="D3750" s="5" t="s">
        <v>450</v>
      </c>
      <c r="E3750" s="3">
        <v>121685</v>
      </c>
      <c r="F3750" s="3">
        <v>120221</v>
      </c>
      <c r="G3750" s="57">
        <f t="shared" si="60"/>
        <v>-1.2031063812302257E-2</v>
      </c>
      <c r="H3750" s="5" t="s">
        <v>2489</v>
      </c>
    </row>
    <row r="3751" spans="1:8" x14ac:dyDescent="0.2">
      <c r="A3751" s="1" t="s">
        <v>34</v>
      </c>
      <c r="B3751" s="2" t="s">
        <v>386</v>
      </c>
      <c r="D3751" s="5" t="s">
        <v>2486</v>
      </c>
      <c r="E3751" s="3">
        <v>189918</v>
      </c>
      <c r="F3751" s="3" t="s">
        <v>465</v>
      </c>
      <c r="G3751" s="57" t="str">
        <f t="shared" si="60"/>
        <v>-</v>
      </c>
    </row>
    <row r="3752" spans="1:8" x14ac:dyDescent="0.2">
      <c r="A3752" s="1" t="s">
        <v>34</v>
      </c>
      <c r="B3752" s="2" t="s">
        <v>386</v>
      </c>
      <c r="D3752" s="5" t="s">
        <v>2487</v>
      </c>
      <c r="E3752" s="3">
        <v>210731</v>
      </c>
      <c r="F3752" s="3" t="s">
        <v>465</v>
      </c>
      <c r="G3752" s="57" t="str">
        <f t="shared" si="60"/>
        <v>-</v>
      </c>
    </row>
    <row r="3753" spans="1:8" x14ac:dyDescent="0.2">
      <c r="A3753" s="1" t="s">
        <v>34</v>
      </c>
      <c r="B3753" s="2" t="s">
        <v>386</v>
      </c>
      <c r="D3753" s="5" t="s">
        <v>2488</v>
      </c>
      <c r="E3753" s="3">
        <v>132870</v>
      </c>
      <c r="F3753" s="3" t="s">
        <v>465</v>
      </c>
      <c r="G3753" s="57" t="str">
        <f t="shared" si="60"/>
        <v>-</v>
      </c>
    </row>
    <row r="3754" spans="1:8" x14ac:dyDescent="0.2">
      <c r="A3754" s="1" t="s">
        <v>34</v>
      </c>
      <c r="B3754" s="2" t="s">
        <v>386</v>
      </c>
      <c r="D3754" s="5" t="s">
        <v>2490</v>
      </c>
      <c r="E3754" s="3" t="s">
        <v>465</v>
      </c>
      <c r="F3754" s="3">
        <v>122500</v>
      </c>
      <c r="G3754" s="57" t="str">
        <f t="shared" si="60"/>
        <v>-</v>
      </c>
    </row>
    <row r="3755" spans="1:8" x14ac:dyDescent="0.2">
      <c r="A3755" s="1" t="s">
        <v>34</v>
      </c>
      <c r="B3755" s="2" t="s">
        <v>386</v>
      </c>
      <c r="D3755" s="5" t="s">
        <v>2490</v>
      </c>
      <c r="E3755" s="3">
        <v>102500</v>
      </c>
      <c r="F3755" s="3" t="s">
        <v>465</v>
      </c>
      <c r="G3755" s="57" t="str">
        <f t="shared" si="60"/>
        <v>-</v>
      </c>
    </row>
    <row r="3756" spans="1:8" x14ac:dyDescent="0.2">
      <c r="A3756" s="1" t="s">
        <v>34</v>
      </c>
      <c r="B3756" s="2" t="s">
        <v>386</v>
      </c>
      <c r="D3756" s="5" t="s">
        <v>2490</v>
      </c>
      <c r="E3756" s="3">
        <v>102500</v>
      </c>
      <c r="F3756" s="3" t="s">
        <v>465</v>
      </c>
      <c r="G3756" s="57" t="str">
        <f t="shared" si="60"/>
        <v>-</v>
      </c>
    </row>
    <row r="3757" spans="1:8" x14ac:dyDescent="0.2">
      <c r="A3757" s="1" t="s">
        <v>34</v>
      </c>
      <c r="B3757" s="2" t="s">
        <v>386</v>
      </c>
      <c r="D3757" s="5" t="s">
        <v>2490</v>
      </c>
      <c r="E3757" s="3">
        <v>122500</v>
      </c>
      <c r="F3757" s="3" t="s">
        <v>465</v>
      </c>
      <c r="G3757" s="57" t="str">
        <f t="shared" si="60"/>
        <v>-</v>
      </c>
    </row>
    <row r="3758" spans="1:8" x14ac:dyDescent="0.2">
      <c r="A3758" s="1" t="s">
        <v>34</v>
      </c>
      <c r="B3758" s="2" t="s">
        <v>386</v>
      </c>
      <c r="D3758" s="5" t="s">
        <v>2490</v>
      </c>
      <c r="E3758" s="3">
        <v>132500</v>
      </c>
      <c r="F3758" s="3" t="s">
        <v>465</v>
      </c>
      <c r="G3758" s="57" t="str">
        <f t="shared" si="60"/>
        <v>-</v>
      </c>
    </row>
    <row r="3759" spans="1:8" x14ac:dyDescent="0.2">
      <c r="A3759" s="1" t="s">
        <v>34</v>
      </c>
      <c r="B3759" s="2" t="s">
        <v>386</v>
      </c>
      <c r="D3759" s="5" t="s">
        <v>2490</v>
      </c>
      <c r="E3759" s="3">
        <v>187500</v>
      </c>
      <c r="F3759" s="3" t="s">
        <v>465</v>
      </c>
      <c r="G3759" s="57" t="str">
        <f t="shared" si="60"/>
        <v>-</v>
      </c>
    </row>
    <row r="3760" spans="1:8" x14ac:dyDescent="0.2">
      <c r="A3760" s="1" t="s">
        <v>34</v>
      </c>
      <c r="B3760" s="2" t="s">
        <v>386</v>
      </c>
      <c r="D3760" s="5" t="s">
        <v>2490</v>
      </c>
      <c r="E3760" s="3">
        <f>(215999-210000)/2+210000</f>
        <v>212999.5</v>
      </c>
      <c r="F3760" s="3" t="s">
        <v>465</v>
      </c>
      <c r="G3760" s="57" t="str">
        <f t="shared" si="60"/>
        <v>-</v>
      </c>
    </row>
    <row r="3761" spans="1:8" ht="51" x14ac:dyDescent="0.2">
      <c r="A3761" s="1" t="s">
        <v>34</v>
      </c>
      <c r="B3761" s="2" t="s">
        <v>387</v>
      </c>
      <c r="D3761" s="5" t="s">
        <v>4482</v>
      </c>
      <c r="E3761" s="3">
        <v>133427</v>
      </c>
      <c r="F3761" s="3">
        <v>158380</v>
      </c>
      <c r="G3761" s="57">
        <f t="shared" si="60"/>
        <v>0.18701612117487465</v>
      </c>
      <c r="H3761" s="5" t="s">
        <v>4704</v>
      </c>
    </row>
    <row r="3762" spans="1:8" ht="63.75" x14ac:dyDescent="0.2">
      <c r="A3762" s="1" t="s">
        <v>39</v>
      </c>
      <c r="B3762" s="2" t="s">
        <v>388</v>
      </c>
      <c r="C3762" s="5" t="s">
        <v>693</v>
      </c>
      <c r="D3762" s="5" t="s">
        <v>450</v>
      </c>
      <c r="E3762" s="3">
        <f>115679+35118+12838</f>
        <v>163635</v>
      </c>
      <c r="F3762" s="3">
        <v>180862</v>
      </c>
      <c r="G3762" s="57">
        <f t="shared" si="60"/>
        <v>0.10527698841934793</v>
      </c>
      <c r="H3762" s="5" t="s">
        <v>4483</v>
      </c>
    </row>
    <row r="3763" spans="1:8" x14ac:dyDescent="0.2">
      <c r="A3763" s="1" t="s">
        <v>39</v>
      </c>
      <c r="B3763" s="2" t="s">
        <v>388</v>
      </c>
      <c r="D3763" s="5" t="s">
        <v>468</v>
      </c>
      <c r="E3763" s="3">
        <v>137869</v>
      </c>
      <c r="F3763" s="3" t="s">
        <v>465</v>
      </c>
      <c r="G3763" s="57" t="str">
        <f t="shared" si="60"/>
        <v>-</v>
      </c>
    </row>
    <row r="3764" spans="1:8" x14ac:dyDescent="0.2">
      <c r="A3764" s="1" t="s">
        <v>39</v>
      </c>
      <c r="B3764" s="2" t="s">
        <v>388</v>
      </c>
      <c r="D3764" s="5" t="s">
        <v>468</v>
      </c>
      <c r="E3764" s="3">
        <v>129950</v>
      </c>
      <c r="F3764" s="3" t="s">
        <v>465</v>
      </c>
      <c r="G3764" s="57" t="str">
        <f t="shared" si="60"/>
        <v>-</v>
      </c>
    </row>
    <row r="3765" spans="1:8" x14ac:dyDescent="0.2">
      <c r="A3765" s="1" t="s">
        <v>39</v>
      </c>
      <c r="B3765" s="2" t="s">
        <v>388</v>
      </c>
      <c r="D3765" s="5" t="s">
        <v>468</v>
      </c>
      <c r="E3765" s="3">
        <v>108648</v>
      </c>
      <c r="F3765" s="3" t="s">
        <v>465</v>
      </c>
      <c r="G3765" s="57" t="str">
        <f t="shared" si="60"/>
        <v>-</v>
      </c>
    </row>
    <row r="3766" spans="1:8" ht="25.5" x14ac:dyDescent="0.2">
      <c r="A3766" s="1" t="s">
        <v>39</v>
      </c>
      <c r="B3766" s="2" t="s">
        <v>388</v>
      </c>
      <c r="D3766" s="5" t="s">
        <v>468</v>
      </c>
      <c r="E3766" s="3" t="s">
        <v>465</v>
      </c>
      <c r="F3766" s="3">
        <v>138351</v>
      </c>
      <c r="G3766" s="57" t="str">
        <f t="shared" si="60"/>
        <v>-</v>
      </c>
      <c r="H3766" s="5" t="s">
        <v>2483</v>
      </c>
    </row>
    <row r="3767" spans="1:8" ht="25.5" x14ac:dyDescent="0.2">
      <c r="A3767" s="1" t="s">
        <v>39</v>
      </c>
      <c r="B3767" s="2" t="s">
        <v>388</v>
      </c>
      <c r="D3767" s="5" t="s">
        <v>468</v>
      </c>
      <c r="E3767" s="3" t="s">
        <v>465</v>
      </c>
      <c r="F3767" s="3">
        <v>138277</v>
      </c>
      <c r="G3767" s="57" t="str">
        <f t="shared" si="60"/>
        <v>-</v>
      </c>
      <c r="H3767" s="5" t="s">
        <v>2484</v>
      </c>
    </row>
    <row r="3768" spans="1:8" ht="25.5" x14ac:dyDescent="0.2">
      <c r="A3768" s="1" t="s">
        <v>39</v>
      </c>
      <c r="B3768" s="2" t="s">
        <v>388</v>
      </c>
      <c r="D3768" s="5" t="s">
        <v>451</v>
      </c>
      <c r="E3768" s="3" t="s">
        <v>465</v>
      </c>
      <c r="F3768" s="3">
        <v>125052</v>
      </c>
      <c r="G3768" s="57" t="str">
        <f t="shared" si="60"/>
        <v>-</v>
      </c>
      <c r="H3768" s="5" t="s">
        <v>2485</v>
      </c>
    </row>
    <row r="3769" spans="1:8" ht="38.25" x14ac:dyDescent="0.2">
      <c r="A3769" s="1" t="s">
        <v>39</v>
      </c>
      <c r="B3769" s="2" t="s">
        <v>388</v>
      </c>
      <c r="D3769" s="5" t="s">
        <v>694</v>
      </c>
      <c r="E3769" s="3">
        <v>93528</v>
      </c>
      <c r="F3769" s="3">
        <v>106572</v>
      </c>
      <c r="G3769" s="57">
        <f t="shared" si="60"/>
        <v>0.13946625609443161</v>
      </c>
      <c r="H3769" s="5" t="s">
        <v>4484</v>
      </c>
    </row>
    <row r="3770" spans="1:8" ht="38.25" x14ac:dyDescent="0.2">
      <c r="A3770" s="1" t="s">
        <v>39</v>
      </c>
      <c r="B3770" s="2" t="s">
        <v>388</v>
      </c>
      <c r="D3770" s="5" t="s">
        <v>695</v>
      </c>
      <c r="E3770" s="3">
        <v>89393</v>
      </c>
      <c r="F3770" s="3">
        <v>128927</v>
      </c>
      <c r="G3770" s="57">
        <f t="shared" si="60"/>
        <v>0.44224939312921591</v>
      </c>
      <c r="H3770" s="5" t="s">
        <v>4485</v>
      </c>
    </row>
    <row r="3771" spans="1:8" ht="38.25" x14ac:dyDescent="0.2">
      <c r="A3771" s="1" t="s">
        <v>39</v>
      </c>
      <c r="B3771" s="2" t="s">
        <v>388</v>
      </c>
      <c r="D3771" s="5" t="s">
        <v>696</v>
      </c>
      <c r="E3771" s="3">
        <v>93844</v>
      </c>
      <c r="F3771" s="3">
        <v>144208</v>
      </c>
      <c r="G3771" s="57">
        <f t="shared" si="60"/>
        <v>0.53667789096798946</v>
      </c>
      <c r="H3771" s="5" t="s">
        <v>4486</v>
      </c>
    </row>
    <row r="3772" spans="1:8" x14ac:dyDescent="0.2">
      <c r="A3772" s="1" t="s">
        <v>39</v>
      </c>
      <c r="B3772" s="2" t="s">
        <v>388</v>
      </c>
      <c r="C3772" s="7"/>
      <c r="D3772" s="5" t="s">
        <v>464</v>
      </c>
      <c r="E3772" s="3">
        <v>102500</v>
      </c>
      <c r="F3772" s="3" t="s">
        <v>465</v>
      </c>
      <c r="G3772" s="57" t="str">
        <f t="shared" si="60"/>
        <v>-</v>
      </c>
    </row>
    <row r="3773" spans="1:8" x14ac:dyDescent="0.2">
      <c r="A3773" s="1" t="s">
        <v>39</v>
      </c>
      <c r="B3773" s="2" t="s">
        <v>388</v>
      </c>
      <c r="D3773" s="5" t="s">
        <v>464</v>
      </c>
      <c r="E3773" s="3">
        <v>102500</v>
      </c>
      <c r="F3773" s="3" t="s">
        <v>465</v>
      </c>
      <c r="G3773" s="57" t="str">
        <f t="shared" si="60"/>
        <v>-</v>
      </c>
    </row>
    <row r="3774" spans="1:8" x14ac:dyDescent="0.2">
      <c r="A3774" s="1" t="s">
        <v>39</v>
      </c>
      <c r="B3774" s="2" t="s">
        <v>388</v>
      </c>
      <c r="D3774" s="5" t="s">
        <v>464</v>
      </c>
      <c r="E3774" s="3" t="s">
        <v>465</v>
      </c>
      <c r="F3774" s="3">
        <v>102500</v>
      </c>
      <c r="G3774" s="57" t="str">
        <f t="shared" si="60"/>
        <v>-</v>
      </c>
    </row>
    <row r="3775" spans="1:8" x14ac:dyDescent="0.2">
      <c r="A3775" s="1" t="s">
        <v>39</v>
      </c>
      <c r="B3775" s="2" t="s">
        <v>388</v>
      </c>
      <c r="D3775" s="5" t="s">
        <v>464</v>
      </c>
      <c r="E3775" s="3" t="s">
        <v>465</v>
      </c>
      <c r="F3775" s="3">
        <v>102500</v>
      </c>
      <c r="G3775" s="57" t="str">
        <f t="shared" si="60"/>
        <v>-</v>
      </c>
    </row>
    <row r="3776" spans="1:8" x14ac:dyDescent="0.2">
      <c r="A3776" s="1" t="s">
        <v>39</v>
      </c>
      <c r="B3776" s="2" t="s">
        <v>388</v>
      </c>
      <c r="D3776" s="5" t="s">
        <v>464</v>
      </c>
      <c r="E3776" s="3" t="s">
        <v>465</v>
      </c>
      <c r="F3776" s="3">
        <v>107500</v>
      </c>
      <c r="G3776" s="57" t="str">
        <f t="shared" si="60"/>
        <v>-</v>
      </c>
    </row>
    <row r="3777" spans="1:8" x14ac:dyDescent="0.2">
      <c r="A3777" s="1" t="s">
        <v>39</v>
      </c>
      <c r="B3777" s="2" t="s">
        <v>388</v>
      </c>
      <c r="D3777" s="5" t="s">
        <v>464</v>
      </c>
      <c r="E3777" s="3">
        <v>142500</v>
      </c>
      <c r="F3777" s="3" t="s">
        <v>465</v>
      </c>
      <c r="G3777" s="57" t="str">
        <f t="shared" si="60"/>
        <v>-</v>
      </c>
    </row>
    <row r="3778" spans="1:8" x14ac:dyDescent="0.2">
      <c r="A3778" s="1" t="s">
        <v>39</v>
      </c>
      <c r="B3778" s="2" t="s">
        <v>388</v>
      </c>
      <c r="D3778" s="5" t="s">
        <v>464</v>
      </c>
      <c r="E3778" s="3" t="s">
        <v>465</v>
      </c>
      <c r="F3778" s="3">
        <v>192500</v>
      </c>
      <c r="G3778" s="57" t="str">
        <f t="shared" si="60"/>
        <v>-</v>
      </c>
    </row>
    <row r="3779" spans="1:8" ht="38.25" x14ac:dyDescent="0.2">
      <c r="A3779" s="1" t="s">
        <v>20</v>
      </c>
      <c r="B3779" s="2" t="s">
        <v>389</v>
      </c>
      <c r="D3779" s="5" t="s">
        <v>1874</v>
      </c>
      <c r="E3779" s="3">
        <v>145161</v>
      </c>
      <c r="F3779" s="3">
        <v>183254</v>
      </c>
      <c r="G3779" s="57">
        <f t="shared" si="60"/>
        <v>0.26241896928238301</v>
      </c>
      <c r="H3779" s="5" t="s">
        <v>4487</v>
      </c>
    </row>
    <row r="3780" spans="1:8" ht="38.25" x14ac:dyDescent="0.2">
      <c r="A3780" s="1" t="s">
        <v>20</v>
      </c>
      <c r="B3780" s="2" t="s">
        <v>389</v>
      </c>
      <c r="D3780" s="5" t="s">
        <v>455</v>
      </c>
      <c r="E3780" s="3">
        <v>124200</v>
      </c>
      <c r="F3780" s="3">
        <v>104255</v>
      </c>
      <c r="G3780" s="57">
        <f t="shared" si="60"/>
        <v>-0.16058776167471819</v>
      </c>
      <c r="H3780" s="5" t="s">
        <v>4488</v>
      </c>
    </row>
    <row r="3781" spans="1:8" ht="38.25" x14ac:dyDescent="0.2">
      <c r="A3781" s="1" t="s">
        <v>20</v>
      </c>
      <c r="B3781" s="2" t="s">
        <v>389</v>
      </c>
      <c r="C3781" s="7"/>
      <c r="D3781" s="7" t="s">
        <v>451</v>
      </c>
      <c r="E3781" s="6">
        <v>116699</v>
      </c>
      <c r="F3781" s="6">
        <v>97949</v>
      </c>
      <c r="G3781" s="57">
        <f t="shared" si="60"/>
        <v>-0.16066975723870813</v>
      </c>
      <c r="H3781" s="7" t="s">
        <v>4489</v>
      </c>
    </row>
    <row r="3782" spans="1:8" ht="25.5" x14ac:dyDescent="0.2">
      <c r="A3782" s="1" t="s">
        <v>4</v>
      </c>
      <c r="B3782" s="2" t="s">
        <v>390</v>
      </c>
      <c r="D3782" s="5" t="s">
        <v>450</v>
      </c>
      <c r="E3782" s="3">
        <v>148000</v>
      </c>
      <c r="F3782" s="3">
        <v>147000</v>
      </c>
      <c r="G3782" s="57">
        <f t="shared" si="60"/>
        <v>-6.7567567567567571E-3</v>
      </c>
      <c r="H3782" s="5" t="s">
        <v>2481</v>
      </c>
    </row>
    <row r="3783" spans="1:8" ht="25.5" x14ac:dyDescent="0.2">
      <c r="A3783" s="1" t="s">
        <v>4</v>
      </c>
      <c r="B3783" s="2" t="s">
        <v>390</v>
      </c>
      <c r="D3783" s="5" t="s">
        <v>468</v>
      </c>
      <c r="E3783" s="3">
        <v>101000</v>
      </c>
      <c r="F3783" s="3">
        <v>107000</v>
      </c>
      <c r="G3783" s="57">
        <f t="shared" si="60"/>
        <v>5.9405940594059403E-2</v>
      </c>
      <c r="H3783" s="5" t="s">
        <v>2482</v>
      </c>
    </row>
    <row r="3784" spans="1:8" ht="38.25" x14ac:dyDescent="0.2">
      <c r="A3784" s="1" t="s">
        <v>34</v>
      </c>
      <c r="B3784" s="2" t="s">
        <v>391</v>
      </c>
      <c r="D3784" s="5" t="s">
        <v>450</v>
      </c>
      <c r="E3784" s="3">
        <v>62057</v>
      </c>
      <c r="F3784" s="3">
        <v>120435</v>
      </c>
      <c r="G3784" s="57">
        <f t="shared" si="60"/>
        <v>0.94071579354464441</v>
      </c>
      <c r="H3784" s="5" t="s">
        <v>4490</v>
      </c>
    </row>
    <row r="3785" spans="1:8" ht="25.5" x14ac:dyDescent="0.2">
      <c r="A3785" s="1" t="s">
        <v>34</v>
      </c>
      <c r="B3785" s="2" t="s">
        <v>391</v>
      </c>
      <c r="D3785" s="5" t="s">
        <v>2378</v>
      </c>
      <c r="E3785" s="3">
        <v>246437</v>
      </c>
      <c r="F3785" s="3" t="s">
        <v>465</v>
      </c>
      <c r="G3785" s="57" t="str">
        <f t="shared" si="60"/>
        <v>-</v>
      </c>
      <c r="H3785" s="5" t="s">
        <v>4491</v>
      </c>
    </row>
    <row r="3786" spans="1:8" ht="25.5" x14ac:dyDescent="0.2">
      <c r="A3786" s="1" t="s">
        <v>34</v>
      </c>
      <c r="B3786" s="2" t="s">
        <v>391</v>
      </c>
      <c r="D3786" s="5" t="s">
        <v>2480</v>
      </c>
      <c r="E3786" s="3">
        <v>152370</v>
      </c>
      <c r="F3786" s="3" t="s">
        <v>465</v>
      </c>
      <c r="G3786" s="57" t="str">
        <f t="shared" si="60"/>
        <v>-</v>
      </c>
      <c r="H3786" s="5" t="s">
        <v>4492</v>
      </c>
    </row>
    <row r="3787" spans="1:8" ht="25.5" x14ac:dyDescent="0.2">
      <c r="A3787" s="1" t="s">
        <v>4</v>
      </c>
      <c r="B3787" s="2" t="s">
        <v>392</v>
      </c>
      <c r="D3787" s="5" t="s">
        <v>450</v>
      </c>
      <c r="E3787" s="3">
        <v>142476</v>
      </c>
      <c r="F3787" s="3">
        <v>140037</v>
      </c>
      <c r="G3787" s="57">
        <f t="shared" si="60"/>
        <v>-1.7118672618546282E-2</v>
      </c>
      <c r="H3787" s="5" t="s">
        <v>2476</v>
      </c>
    </row>
    <row r="3788" spans="1:8" ht="25.5" x14ac:dyDescent="0.2">
      <c r="A3788" s="1" t="s">
        <v>4</v>
      </c>
      <c r="B3788" s="2" t="s">
        <v>392</v>
      </c>
      <c r="D3788" s="5" t="s">
        <v>692</v>
      </c>
      <c r="E3788" s="3">
        <v>107399</v>
      </c>
      <c r="F3788" s="3">
        <v>107092</v>
      </c>
      <c r="G3788" s="57">
        <f t="shared" si="60"/>
        <v>-2.8584996135904432E-3</v>
      </c>
      <c r="H3788" s="5" t="s">
        <v>2477</v>
      </c>
    </row>
    <row r="3789" spans="1:8" ht="25.5" x14ac:dyDescent="0.2">
      <c r="A3789" s="1" t="s">
        <v>4</v>
      </c>
      <c r="B3789" s="2" t="s">
        <v>392</v>
      </c>
      <c r="D3789" s="5" t="s">
        <v>691</v>
      </c>
      <c r="E3789" s="3">
        <v>105003</v>
      </c>
      <c r="F3789" s="3">
        <v>100067</v>
      </c>
      <c r="G3789" s="57">
        <f t="shared" si="60"/>
        <v>-4.7008180718646132E-2</v>
      </c>
      <c r="H3789" s="5" t="s">
        <v>2478</v>
      </c>
    </row>
    <row r="3790" spans="1:8" ht="25.5" x14ac:dyDescent="0.2">
      <c r="A3790" s="1" t="s">
        <v>4</v>
      </c>
      <c r="B3790" s="2" t="s">
        <v>392</v>
      </c>
      <c r="D3790" s="5" t="s">
        <v>2473</v>
      </c>
      <c r="E3790" s="6">
        <v>107399</v>
      </c>
      <c r="F3790" s="3" t="s">
        <v>465</v>
      </c>
      <c r="G3790" s="57" t="str">
        <f t="shared" si="60"/>
        <v>-</v>
      </c>
      <c r="H3790" s="5" t="s">
        <v>2475</v>
      </c>
    </row>
    <row r="3791" spans="1:8" x14ac:dyDescent="0.2">
      <c r="A3791" s="1" t="s">
        <v>4</v>
      </c>
      <c r="B3791" s="2" t="s">
        <v>392</v>
      </c>
      <c r="D3791" s="5" t="s">
        <v>524</v>
      </c>
      <c r="E3791" s="6">
        <v>106057</v>
      </c>
      <c r="F3791" s="3" t="s">
        <v>465</v>
      </c>
      <c r="G3791" s="57" t="str">
        <f t="shared" si="60"/>
        <v>-</v>
      </c>
      <c r="H3791" s="5" t="s">
        <v>2475</v>
      </c>
    </row>
    <row r="3792" spans="1:8" ht="25.5" x14ac:dyDescent="0.2">
      <c r="A3792" s="1" t="s">
        <v>4</v>
      </c>
      <c r="B3792" s="2" t="s">
        <v>392</v>
      </c>
      <c r="D3792" s="5" t="s">
        <v>2474</v>
      </c>
      <c r="E3792" s="6">
        <v>104712</v>
      </c>
      <c r="F3792" s="6">
        <v>99877</v>
      </c>
      <c r="G3792" s="57">
        <f t="shared" si="60"/>
        <v>-4.6174268469707389E-2</v>
      </c>
      <c r="H3792" s="5" t="s">
        <v>2479</v>
      </c>
    </row>
    <row r="3793" spans="1:8" x14ac:dyDescent="0.2">
      <c r="A3793" s="1" t="s">
        <v>4</v>
      </c>
      <c r="B3793" s="2" t="s">
        <v>392</v>
      </c>
      <c r="D3793" s="5" t="s">
        <v>464</v>
      </c>
      <c r="E3793" s="3">
        <v>112500</v>
      </c>
      <c r="F3793" s="3" t="s">
        <v>465</v>
      </c>
      <c r="G3793" s="57" t="str">
        <f t="shared" ref="G3793:G3856" si="61">IF(ISERROR((F3793-E3793)/E3793),"-",(F3793-E3793)/E3793)</f>
        <v>-</v>
      </c>
    </row>
    <row r="3794" spans="1:8" x14ac:dyDescent="0.2">
      <c r="A3794" s="1" t="s">
        <v>4</v>
      </c>
      <c r="B3794" s="2" t="s">
        <v>392</v>
      </c>
      <c r="D3794" s="5" t="s">
        <v>464</v>
      </c>
      <c r="E3794" s="3" t="s">
        <v>465</v>
      </c>
      <c r="F3794" s="3">
        <v>117500</v>
      </c>
      <c r="G3794" s="57" t="str">
        <f t="shared" si="61"/>
        <v>-</v>
      </c>
    </row>
    <row r="3795" spans="1:8" ht="25.5" x14ac:dyDescent="0.2">
      <c r="A3795" s="1" t="s">
        <v>20</v>
      </c>
      <c r="B3795" s="2" t="s">
        <v>393</v>
      </c>
      <c r="D3795" s="5" t="s">
        <v>450</v>
      </c>
      <c r="E3795" s="3">
        <v>138473</v>
      </c>
      <c r="F3795" s="3">
        <v>140745</v>
      </c>
      <c r="G3795" s="57">
        <f t="shared" si="61"/>
        <v>1.6407530709957898E-2</v>
      </c>
      <c r="H3795" s="5" t="s">
        <v>2470</v>
      </c>
    </row>
    <row r="3796" spans="1:8" ht="25.5" x14ac:dyDescent="0.2">
      <c r="A3796" s="1" t="s">
        <v>20</v>
      </c>
      <c r="B3796" s="2" t="s">
        <v>393</v>
      </c>
      <c r="D3796" s="5" t="s">
        <v>685</v>
      </c>
      <c r="E3796" s="3">
        <v>111756</v>
      </c>
      <c r="F3796" s="3">
        <v>111450</v>
      </c>
      <c r="G3796" s="57">
        <f t="shared" si="61"/>
        <v>-2.7381080210458499E-3</v>
      </c>
      <c r="H3796" s="5" t="s">
        <v>2471</v>
      </c>
    </row>
    <row r="3797" spans="1:8" ht="25.5" x14ac:dyDescent="0.2">
      <c r="A3797" s="1" t="s">
        <v>20</v>
      </c>
      <c r="B3797" s="2" t="s">
        <v>393</v>
      </c>
      <c r="D3797" s="5" t="s">
        <v>686</v>
      </c>
      <c r="E3797" s="3">
        <v>105087</v>
      </c>
      <c r="F3797" s="3">
        <v>105105</v>
      </c>
      <c r="G3797" s="57">
        <f t="shared" si="61"/>
        <v>1.7128664820577236E-4</v>
      </c>
      <c r="H3797" s="5" t="s">
        <v>2472</v>
      </c>
    </row>
    <row r="3798" spans="1:8" ht="25.5" x14ac:dyDescent="0.2">
      <c r="A3798" s="1" t="s">
        <v>20</v>
      </c>
      <c r="B3798" s="2" t="s">
        <v>394</v>
      </c>
      <c r="C3798" s="5" t="s">
        <v>681</v>
      </c>
      <c r="D3798" s="5" t="s">
        <v>450</v>
      </c>
      <c r="E3798" s="3" t="s">
        <v>465</v>
      </c>
      <c r="F3798" s="3">
        <v>139091</v>
      </c>
      <c r="G3798" s="57" t="str">
        <f t="shared" si="61"/>
        <v>-</v>
      </c>
      <c r="H3798" s="5" t="s">
        <v>4498</v>
      </c>
    </row>
    <row r="3799" spans="1:8" ht="25.5" x14ac:dyDescent="0.2">
      <c r="A3799" s="1" t="s">
        <v>20</v>
      </c>
      <c r="B3799" s="2" t="s">
        <v>394</v>
      </c>
      <c r="D3799" s="5" t="s">
        <v>682</v>
      </c>
      <c r="E3799" s="3">
        <v>145006</v>
      </c>
      <c r="F3799" s="3">
        <v>143409</v>
      </c>
      <c r="G3799" s="57">
        <f t="shared" si="61"/>
        <v>-1.1013337379142932E-2</v>
      </c>
      <c r="H3799" s="5" t="s">
        <v>2467</v>
      </c>
    </row>
    <row r="3800" spans="1:8" ht="25.5" x14ac:dyDescent="0.2">
      <c r="A3800" s="1" t="s">
        <v>20</v>
      </c>
      <c r="B3800" s="2" t="s">
        <v>394</v>
      </c>
      <c r="D3800" s="5" t="s">
        <v>683</v>
      </c>
      <c r="E3800" s="3">
        <v>141948</v>
      </c>
      <c r="F3800" s="3">
        <v>142600</v>
      </c>
      <c r="G3800" s="57">
        <f t="shared" si="61"/>
        <v>4.5932313241468705E-3</v>
      </c>
      <c r="H3800" s="5" t="s">
        <v>2468</v>
      </c>
    </row>
    <row r="3801" spans="1:8" ht="25.5" x14ac:dyDescent="0.2">
      <c r="A3801" s="1" t="s">
        <v>20</v>
      </c>
      <c r="B3801" s="2" t="s">
        <v>394</v>
      </c>
      <c r="D3801" s="5" t="s">
        <v>456</v>
      </c>
      <c r="E3801" s="3">
        <v>63202</v>
      </c>
      <c r="F3801" s="3">
        <v>148632</v>
      </c>
      <c r="G3801" s="57">
        <f t="shared" si="61"/>
        <v>1.3516977310844593</v>
      </c>
      <c r="H3801" s="5" t="s">
        <v>4499</v>
      </c>
    </row>
    <row r="3802" spans="1:8" ht="25.5" x14ac:dyDescent="0.2">
      <c r="A3802" s="1" t="s">
        <v>20</v>
      </c>
      <c r="B3802" s="2" t="s">
        <v>394</v>
      </c>
      <c r="D3802" s="5" t="s">
        <v>684</v>
      </c>
      <c r="E3802" s="3" t="s">
        <v>465</v>
      </c>
      <c r="F3802" s="3">
        <v>104466</v>
      </c>
      <c r="G3802" s="57" t="str">
        <f t="shared" si="61"/>
        <v>-</v>
      </c>
      <c r="H3802" s="5" t="s">
        <v>2469</v>
      </c>
    </row>
    <row r="3803" spans="1:8" ht="25.5" x14ac:dyDescent="0.2">
      <c r="A3803" s="1" t="s">
        <v>20</v>
      </c>
      <c r="B3803" s="2" t="s">
        <v>394</v>
      </c>
      <c r="D3803" s="5" t="s">
        <v>520</v>
      </c>
      <c r="E3803" s="3">
        <v>50337</v>
      </c>
      <c r="F3803" s="3">
        <v>107535</v>
      </c>
      <c r="G3803" s="57">
        <f t="shared" si="61"/>
        <v>1.1363013290422552</v>
      </c>
      <c r="H3803" s="5" t="s">
        <v>4500</v>
      </c>
    </row>
    <row r="3804" spans="1:8" x14ac:dyDescent="0.2">
      <c r="A3804" s="1" t="s">
        <v>20</v>
      </c>
      <c r="B3804" s="2" t="s">
        <v>394</v>
      </c>
      <c r="D3804" s="5" t="s">
        <v>464</v>
      </c>
      <c r="E3804" s="3" t="s">
        <v>465</v>
      </c>
      <c r="F3804" s="3">
        <v>102500</v>
      </c>
      <c r="G3804" s="57" t="str">
        <f t="shared" si="61"/>
        <v>-</v>
      </c>
      <c r="H3804" s="5" t="s">
        <v>539</v>
      </c>
    </row>
    <row r="3805" spans="1:8" x14ac:dyDescent="0.2">
      <c r="A3805" s="1" t="s">
        <v>20</v>
      </c>
      <c r="B3805" s="2" t="s">
        <v>394</v>
      </c>
      <c r="D3805" s="5" t="s">
        <v>464</v>
      </c>
      <c r="E3805" s="3" t="s">
        <v>465</v>
      </c>
      <c r="F3805" s="3">
        <v>137500</v>
      </c>
      <c r="G3805" s="57" t="str">
        <f t="shared" si="61"/>
        <v>-</v>
      </c>
      <c r="H3805" s="5" t="s">
        <v>539</v>
      </c>
    </row>
    <row r="3806" spans="1:8" ht="25.5" x14ac:dyDescent="0.2">
      <c r="A3806" s="1" t="s">
        <v>4</v>
      </c>
      <c r="B3806" s="2" t="s">
        <v>395</v>
      </c>
      <c r="D3806" s="5" t="s">
        <v>450</v>
      </c>
      <c r="E3806" s="3">
        <v>129000</v>
      </c>
      <c r="F3806" s="3">
        <v>130000</v>
      </c>
      <c r="G3806" s="57">
        <f t="shared" si="61"/>
        <v>7.7519379844961239E-3</v>
      </c>
      <c r="H3806" s="5" t="s">
        <v>2462</v>
      </c>
    </row>
    <row r="3807" spans="1:8" ht="25.5" x14ac:dyDescent="0.2">
      <c r="A3807" s="1" t="s">
        <v>4</v>
      </c>
      <c r="B3807" s="2" t="s">
        <v>395</v>
      </c>
      <c r="D3807" s="5" t="s">
        <v>507</v>
      </c>
      <c r="E3807" s="3">
        <v>100000</v>
      </c>
      <c r="F3807" s="3">
        <v>101000</v>
      </c>
      <c r="G3807" s="57">
        <f t="shared" si="61"/>
        <v>0.01</v>
      </c>
      <c r="H3807" s="5" t="s">
        <v>2464</v>
      </c>
    </row>
    <row r="3808" spans="1:8" ht="25.5" x14ac:dyDescent="0.2">
      <c r="A3808" s="1" t="s">
        <v>4</v>
      </c>
      <c r="B3808" s="2" t="s">
        <v>395</v>
      </c>
      <c r="D3808" s="5" t="s">
        <v>679</v>
      </c>
      <c r="E3808" s="3">
        <v>102000</v>
      </c>
      <c r="F3808" s="3">
        <v>103000</v>
      </c>
      <c r="G3808" s="57">
        <f t="shared" si="61"/>
        <v>9.8039215686274508E-3</v>
      </c>
      <c r="H3808" s="5" t="s">
        <v>2465</v>
      </c>
    </row>
    <row r="3809" spans="1:8" ht="25.5" x14ac:dyDescent="0.2">
      <c r="A3809" s="1" t="s">
        <v>4</v>
      </c>
      <c r="B3809" s="2" t="s">
        <v>395</v>
      </c>
      <c r="D3809" s="5" t="s">
        <v>680</v>
      </c>
      <c r="E3809" s="3">
        <v>102000</v>
      </c>
      <c r="F3809" s="3">
        <v>103000</v>
      </c>
      <c r="G3809" s="57">
        <f t="shared" si="61"/>
        <v>9.8039215686274508E-3</v>
      </c>
      <c r="H3809" s="5" t="s">
        <v>2466</v>
      </c>
    </row>
    <row r="3810" spans="1:8" ht="25.5" x14ac:dyDescent="0.2">
      <c r="A3810" s="1" t="s">
        <v>4</v>
      </c>
      <c r="B3810" s="2" t="s">
        <v>395</v>
      </c>
      <c r="D3810" s="5" t="s">
        <v>2461</v>
      </c>
      <c r="E3810" s="3">
        <v>99000</v>
      </c>
      <c r="F3810" s="3">
        <v>102000</v>
      </c>
      <c r="G3810" s="57">
        <f t="shared" si="61"/>
        <v>3.0303030303030304E-2</v>
      </c>
      <c r="H3810" s="5" t="s">
        <v>2463</v>
      </c>
    </row>
    <row r="3811" spans="1:8" ht="25.5" x14ac:dyDescent="0.2">
      <c r="A3811" s="1" t="s">
        <v>134</v>
      </c>
      <c r="B3811" s="2" t="s">
        <v>396</v>
      </c>
      <c r="C3811" s="5" t="s">
        <v>672</v>
      </c>
      <c r="D3811" s="5" t="s">
        <v>450</v>
      </c>
      <c r="E3811" s="3">
        <v>180000</v>
      </c>
      <c r="F3811" s="3">
        <v>175000</v>
      </c>
      <c r="G3811" s="57">
        <f t="shared" si="61"/>
        <v>-2.7777777777777776E-2</v>
      </c>
      <c r="H3811" s="5" t="s">
        <v>2457</v>
      </c>
    </row>
    <row r="3812" spans="1:8" ht="25.5" x14ac:dyDescent="0.2">
      <c r="A3812" s="1" t="s">
        <v>134</v>
      </c>
      <c r="B3812" s="2" t="s">
        <v>396</v>
      </c>
      <c r="C3812" s="5" t="s">
        <v>673</v>
      </c>
      <c r="D3812" s="5" t="s">
        <v>455</v>
      </c>
      <c r="E3812" s="3">
        <v>126000</v>
      </c>
      <c r="F3812" s="3">
        <v>126000</v>
      </c>
      <c r="G3812" s="57">
        <f t="shared" si="61"/>
        <v>0</v>
      </c>
      <c r="H3812" s="5" t="s">
        <v>2458</v>
      </c>
    </row>
    <row r="3813" spans="1:8" ht="25.5" x14ac:dyDescent="0.2">
      <c r="A3813" s="1" t="s">
        <v>134</v>
      </c>
      <c r="B3813" s="2" t="s">
        <v>396</v>
      </c>
      <c r="C3813" s="5" t="s">
        <v>674</v>
      </c>
      <c r="D3813" s="5" t="s">
        <v>4705</v>
      </c>
      <c r="E3813" s="3">
        <v>145000</v>
      </c>
      <c r="F3813" s="3">
        <v>145000</v>
      </c>
      <c r="G3813" s="57">
        <f t="shared" si="61"/>
        <v>0</v>
      </c>
      <c r="H3813" s="5" t="s">
        <v>2459</v>
      </c>
    </row>
    <row r="3814" spans="1:8" ht="25.5" x14ac:dyDescent="0.2">
      <c r="A3814" s="1" t="s">
        <v>134</v>
      </c>
      <c r="B3814" s="2" t="s">
        <v>396</v>
      </c>
      <c r="C3814" s="5" t="s">
        <v>675</v>
      </c>
      <c r="D3814" s="5" t="s">
        <v>676</v>
      </c>
      <c r="E3814" s="3">
        <v>126000</v>
      </c>
      <c r="F3814" s="3">
        <v>126000</v>
      </c>
      <c r="G3814" s="57">
        <f t="shared" si="61"/>
        <v>0</v>
      </c>
      <c r="H3814" s="5" t="s">
        <v>2458</v>
      </c>
    </row>
    <row r="3815" spans="1:8" x14ac:dyDescent="0.2">
      <c r="A3815" s="1" t="s">
        <v>134</v>
      </c>
      <c r="B3815" s="2" t="s">
        <v>396</v>
      </c>
      <c r="C3815" s="5" t="s">
        <v>677</v>
      </c>
      <c r="D3815" s="5" t="s">
        <v>678</v>
      </c>
      <c r="E3815" s="3">
        <v>106000</v>
      </c>
      <c r="F3815" s="3">
        <v>106000</v>
      </c>
      <c r="G3815" s="57">
        <f t="shared" si="61"/>
        <v>0</v>
      </c>
      <c r="H3815" s="5" t="s">
        <v>2460</v>
      </c>
    </row>
    <row r="3816" spans="1:8" ht="63.75" x14ac:dyDescent="0.2">
      <c r="A3816" s="1" t="s">
        <v>44</v>
      </c>
      <c r="B3816" s="2" t="s">
        <v>397</v>
      </c>
      <c r="D3816" s="5" t="s">
        <v>450</v>
      </c>
      <c r="E3816" s="3">
        <v>133465</v>
      </c>
      <c r="F3816" s="3">
        <v>133749</v>
      </c>
      <c r="G3816" s="57">
        <f t="shared" si="61"/>
        <v>2.1278987000337168E-3</v>
      </c>
      <c r="H3816" s="5" t="s">
        <v>4503</v>
      </c>
    </row>
    <row r="3817" spans="1:8" ht="25.5" x14ac:dyDescent="0.2">
      <c r="A3817" s="1" t="s">
        <v>44</v>
      </c>
      <c r="B3817" s="2" t="s">
        <v>397</v>
      </c>
      <c r="D3817" s="5" t="s">
        <v>4501</v>
      </c>
      <c r="E3817" s="3">
        <v>115337</v>
      </c>
      <c r="F3817" s="3">
        <v>115309</v>
      </c>
      <c r="G3817" s="57">
        <f t="shared" si="61"/>
        <v>-2.4276684845279486E-4</v>
      </c>
      <c r="H3817" s="5" t="s">
        <v>1627</v>
      </c>
    </row>
    <row r="3818" spans="1:8" ht="25.5" x14ac:dyDescent="0.2">
      <c r="A3818" s="1" t="s">
        <v>44</v>
      </c>
      <c r="B3818" s="2" t="s">
        <v>397</v>
      </c>
      <c r="D3818" s="7" t="s">
        <v>670</v>
      </c>
      <c r="E3818" s="6">
        <v>98740</v>
      </c>
      <c r="F3818" s="3">
        <v>103718</v>
      </c>
      <c r="G3818" s="57">
        <f t="shared" si="61"/>
        <v>5.0415231922219972E-2</v>
      </c>
      <c r="H3818" s="5" t="s">
        <v>1628</v>
      </c>
    </row>
    <row r="3819" spans="1:8" ht="25.5" x14ac:dyDescent="0.2">
      <c r="A3819" s="1" t="s">
        <v>44</v>
      </c>
      <c r="B3819" s="2" t="s">
        <v>397</v>
      </c>
      <c r="D3819" s="5" t="s">
        <v>4504</v>
      </c>
      <c r="E3819" s="3">
        <v>115434</v>
      </c>
      <c r="F3819" s="3">
        <v>115309</v>
      </c>
      <c r="G3819" s="57">
        <f t="shared" si="61"/>
        <v>-1.0828698650311001E-3</v>
      </c>
      <c r="H3819" s="5" t="s">
        <v>1627</v>
      </c>
    </row>
    <row r="3820" spans="1:8" ht="25.5" x14ac:dyDescent="0.2">
      <c r="A3820" s="1" t="s">
        <v>44</v>
      </c>
      <c r="B3820" s="2" t="s">
        <v>397</v>
      </c>
      <c r="D3820" s="7" t="s">
        <v>671</v>
      </c>
      <c r="E3820" s="6">
        <v>97328</v>
      </c>
      <c r="F3820" s="3">
        <v>102780</v>
      </c>
      <c r="G3820" s="57">
        <f t="shared" si="61"/>
        <v>5.6016768042084497E-2</v>
      </c>
      <c r="H3820" s="5" t="s">
        <v>1629</v>
      </c>
    </row>
    <row r="3821" spans="1:8" x14ac:dyDescent="0.2">
      <c r="A3821" s="1" t="s">
        <v>44</v>
      </c>
      <c r="B3821" s="2" t="s">
        <v>397</v>
      </c>
      <c r="D3821" s="7" t="s">
        <v>2455</v>
      </c>
      <c r="E3821" s="6">
        <v>261952</v>
      </c>
      <c r="F3821" s="3" t="s">
        <v>465</v>
      </c>
      <c r="G3821" s="57" t="str">
        <f t="shared" si="61"/>
        <v>-</v>
      </c>
      <c r="H3821" s="5" t="s">
        <v>4502</v>
      </c>
    </row>
    <row r="3822" spans="1:8" x14ac:dyDescent="0.2">
      <c r="A3822" s="1" t="s">
        <v>44</v>
      </c>
      <c r="B3822" s="2" t="s">
        <v>397</v>
      </c>
      <c r="D3822" s="7" t="s">
        <v>2456</v>
      </c>
      <c r="E3822" s="6">
        <v>234064</v>
      </c>
      <c r="F3822" s="3" t="s">
        <v>465</v>
      </c>
      <c r="G3822" s="57" t="str">
        <f t="shared" si="61"/>
        <v>-</v>
      </c>
      <c r="H3822" s="5" t="s">
        <v>4706</v>
      </c>
    </row>
    <row r="3823" spans="1:8" x14ac:dyDescent="0.2">
      <c r="A3823" s="1" t="s">
        <v>44</v>
      </c>
      <c r="B3823" s="2" t="s">
        <v>397</v>
      </c>
      <c r="D3823" s="5" t="s">
        <v>464</v>
      </c>
      <c r="E3823" s="3">
        <v>107500</v>
      </c>
      <c r="F3823" s="3" t="s">
        <v>465</v>
      </c>
      <c r="G3823" s="57" t="str">
        <f t="shared" si="61"/>
        <v>-</v>
      </c>
      <c r="H3823" s="5" t="s">
        <v>539</v>
      </c>
    </row>
    <row r="3824" spans="1:8" ht="38.25" x14ac:dyDescent="0.2">
      <c r="A3824" s="1" t="s">
        <v>34</v>
      </c>
      <c r="B3824" s="30" t="s">
        <v>4506</v>
      </c>
      <c r="D3824" s="5" t="s">
        <v>450</v>
      </c>
      <c r="E3824" s="3">
        <v>114194</v>
      </c>
      <c r="F3824" s="3" t="s">
        <v>465</v>
      </c>
      <c r="G3824" s="57" t="str">
        <f t="shared" si="61"/>
        <v>-</v>
      </c>
      <c r="H3824" s="5" t="s">
        <v>4505</v>
      </c>
    </row>
    <row r="3825" spans="1:8" ht="25.5" x14ac:dyDescent="0.2">
      <c r="A3825" s="1" t="s">
        <v>25</v>
      </c>
      <c r="B3825" s="2" t="s">
        <v>398</v>
      </c>
      <c r="C3825" s="5" t="s">
        <v>664</v>
      </c>
      <c r="D3825" s="5" t="s">
        <v>450</v>
      </c>
      <c r="E3825" s="3">
        <v>204261</v>
      </c>
      <c r="F3825" s="3">
        <v>215583</v>
      </c>
      <c r="G3825" s="57">
        <f t="shared" si="61"/>
        <v>5.5429083378618529E-2</v>
      </c>
      <c r="H3825" s="5" t="s">
        <v>2448</v>
      </c>
    </row>
    <row r="3826" spans="1:8" ht="25.5" x14ac:dyDescent="0.2">
      <c r="A3826" s="1" t="s">
        <v>25</v>
      </c>
      <c r="B3826" s="2" t="s">
        <v>398</v>
      </c>
      <c r="D3826" s="5" t="s">
        <v>665</v>
      </c>
      <c r="E3826" s="3">
        <v>139059</v>
      </c>
      <c r="F3826" s="3">
        <v>144162</v>
      </c>
      <c r="G3826" s="57">
        <f t="shared" si="61"/>
        <v>3.6696653938256427E-2</v>
      </c>
      <c r="H3826" s="5" t="s">
        <v>2449</v>
      </c>
    </row>
    <row r="3827" spans="1:8" ht="25.5" x14ac:dyDescent="0.2">
      <c r="A3827" s="1" t="s">
        <v>25</v>
      </c>
      <c r="B3827" s="2" t="s">
        <v>398</v>
      </c>
      <c r="D3827" s="5" t="s">
        <v>2447</v>
      </c>
      <c r="E3827" s="3">
        <v>162768</v>
      </c>
      <c r="F3827" s="3">
        <v>163356</v>
      </c>
      <c r="G3827" s="57">
        <f t="shared" si="61"/>
        <v>3.6125036862282513E-3</v>
      </c>
      <c r="H3827" s="5" t="s">
        <v>2450</v>
      </c>
    </row>
    <row r="3828" spans="1:8" ht="25.5" x14ac:dyDescent="0.2">
      <c r="A3828" s="1" t="s">
        <v>25</v>
      </c>
      <c r="B3828" s="2" t="s">
        <v>398</v>
      </c>
      <c r="D3828" s="5" t="s">
        <v>666</v>
      </c>
      <c r="E3828" s="3">
        <v>156544</v>
      </c>
      <c r="F3828" s="3">
        <v>161363</v>
      </c>
      <c r="G3828" s="57">
        <f t="shared" si="61"/>
        <v>3.0783677432542927E-2</v>
      </c>
      <c r="H3828" s="5" t="s">
        <v>2451</v>
      </c>
    </row>
    <row r="3829" spans="1:8" ht="25.5" x14ac:dyDescent="0.2">
      <c r="A3829" s="1" t="s">
        <v>25</v>
      </c>
      <c r="B3829" s="2" t="s">
        <v>398</v>
      </c>
      <c r="D3829" s="5" t="s">
        <v>667</v>
      </c>
      <c r="E3829" s="3">
        <v>131577</v>
      </c>
      <c r="F3829" s="3">
        <v>144371</v>
      </c>
      <c r="G3829" s="57">
        <f t="shared" si="61"/>
        <v>9.7235839090418538E-2</v>
      </c>
      <c r="H3829" s="5" t="s">
        <v>2452</v>
      </c>
    </row>
    <row r="3830" spans="1:8" ht="25.5" x14ac:dyDescent="0.2">
      <c r="A3830" s="1" t="s">
        <v>25</v>
      </c>
      <c r="B3830" s="2" t="s">
        <v>398</v>
      </c>
      <c r="D3830" s="5" t="s">
        <v>668</v>
      </c>
      <c r="E3830" s="3">
        <v>157356</v>
      </c>
      <c r="F3830" s="3">
        <v>156722</v>
      </c>
      <c r="G3830" s="57">
        <f t="shared" si="61"/>
        <v>-4.0290805561910576E-3</v>
      </c>
      <c r="H3830" s="5" t="s">
        <v>2453</v>
      </c>
    </row>
    <row r="3831" spans="1:8" ht="25.5" x14ac:dyDescent="0.2">
      <c r="A3831" s="1" t="s">
        <v>25</v>
      </c>
      <c r="B3831" s="2" t="s">
        <v>398</v>
      </c>
      <c r="D3831" s="5" t="s">
        <v>2446</v>
      </c>
      <c r="E3831" s="3">
        <v>139713</v>
      </c>
      <c r="F3831" s="3">
        <v>143033</v>
      </c>
      <c r="G3831" s="57">
        <f t="shared" si="61"/>
        <v>2.3762999864006928E-2</v>
      </c>
      <c r="H3831" s="5" t="s">
        <v>2454</v>
      </c>
    </row>
    <row r="3832" spans="1:8" x14ac:dyDescent="0.2">
      <c r="A3832" s="1" t="s">
        <v>25</v>
      </c>
      <c r="B3832" s="2" t="s">
        <v>398</v>
      </c>
      <c r="D3832" s="5" t="s">
        <v>669</v>
      </c>
      <c r="E3832" s="3">
        <v>142822</v>
      </c>
      <c r="F3832" s="3" t="s">
        <v>465</v>
      </c>
      <c r="G3832" s="57" t="str">
        <f t="shared" si="61"/>
        <v>-</v>
      </c>
    </row>
    <row r="3833" spans="1:8" x14ac:dyDescent="0.2">
      <c r="A3833" s="1" t="s">
        <v>25</v>
      </c>
      <c r="B3833" s="2" t="s">
        <v>398</v>
      </c>
      <c r="D3833" s="5" t="s">
        <v>464</v>
      </c>
      <c r="E3833" s="3">
        <v>102500</v>
      </c>
      <c r="F3833" s="3" t="s">
        <v>465</v>
      </c>
      <c r="G3833" s="57" t="str">
        <f t="shared" si="61"/>
        <v>-</v>
      </c>
      <c r="H3833" s="5" t="s">
        <v>1241</v>
      </c>
    </row>
    <row r="3834" spans="1:8" x14ac:dyDescent="0.2">
      <c r="A3834" s="1" t="s">
        <v>25</v>
      </c>
      <c r="B3834" s="2" t="s">
        <v>398</v>
      </c>
      <c r="D3834" s="5" t="s">
        <v>464</v>
      </c>
      <c r="E3834" s="3">
        <v>102500</v>
      </c>
      <c r="F3834" s="3" t="s">
        <v>465</v>
      </c>
      <c r="G3834" s="57" t="str">
        <f t="shared" si="61"/>
        <v>-</v>
      </c>
    </row>
    <row r="3835" spans="1:8" x14ac:dyDescent="0.2">
      <c r="A3835" s="1" t="s">
        <v>25</v>
      </c>
      <c r="B3835" s="2" t="s">
        <v>398</v>
      </c>
      <c r="D3835" s="5" t="s">
        <v>464</v>
      </c>
      <c r="E3835" s="3">
        <v>102500</v>
      </c>
      <c r="F3835" s="3" t="s">
        <v>465</v>
      </c>
      <c r="G3835" s="57" t="str">
        <f t="shared" si="61"/>
        <v>-</v>
      </c>
    </row>
    <row r="3836" spans="1:8" x14ac:dyDescent="0.2">
      <c r="A3836" s="1" t="s">
        <v>25</v>
      </c>
      <c r="B3836" s="2" t="s">
        <v>398</v>
      </c>
      <c r="D3836" s="5" t="s">
        <v>464</v>
      </c>
      <c r="E3836" s="3">
        <v>102500</v>
      </c>
      <c r="F3836" s="3" t="s">
        <v>465</v>
      </c>
      <c r="G3836" s="57" t="str">
        <f t="shared" si="61"/>
        <v>-</v>
      </c>
    </row>
    <row r="3837" spans="1:8" x14ac:dyDescent="0.2">
      <c r="A3837" s="1" t="s">
        <v>25</v>
      </c>
      <c r="B3837" s="2" t="s">
        <v>398</v>
      </c>
      <c r="D3837" s="5" t="s">
        <v>464</v>
      </c>
      <c r="E3837" s="3">
        <v>102500</v>
      </c>
      <c r="F3837" s="3" t="s">
        <v>465</v>
      </c>
      <c r="G3837" s="57" t="str">
        <f t="shared" si="61"/>
        <v>-</v>
      </c>
    </row>
    <row r="3838" spans="1:8" x14ac:dyDescent="0.2">
      <c r="A3838" s="1" t="s">
        <v>25</v>
      </c>
      <c r="B3838" s="2" t="s">
        <v>398</v>
      </c>
      <c r="D3838" s="5" t="s">
        <v>464</v>
      </c>
      <c r="E3838" s="3">
        <v>102500</v>
      </c>
      <c r="F3838" s="3" t="s">
        <v>465</v>
      </c>
      <c r="G3838" s="57" t="str">
        <f t="shared" si="61"/>
        <v>-</v>
      </c>
    </row>
    <row r="3839" spans="1:8" x14ac:dyDescent="0.2">
      <c r="A3839" s="1" t="s">
        <v>25</v>
      </c>
      <c r="B3839" s="2" t="s">
        <v>398</v>
      </c>
      <c r="D3839" s="5" t="s">
        <v>464</v>
      </c>
      <c r="E3839" s="3" t="s">
        <v>465</v>
      </c>
      <c r="F3839" s="3">
        <v>102500</v>
      </c>
      <c r="G3839" s="57" t="str">
        <f t="shared" si="61"/>
        <v>-</v>
      </c>
      <c r="H3839" s="5" t="s">
        <v>1241</v>
      </c>
    </row>
    <row r="3840" spans="1:8" x14ac:dyDescent="0.2">
      <c r="A3840" s="1" t="s">
        <v>25</v>
      </c>
      <c r="B3840" s="2" t="s">
        <v>398</v>
      </c>
      <c r="D3840" s="5" t="s">
        <v>464</v>
      </c>
      <c r="E3840" s="3" t="s">
        <v>465</v>
      </c>
      <c r="F3840" s="3">
        <v>102500</v>
      </c>
      <c r="G3840" s="57" t="str">
        <f t="shared" si="61"/>
        <v>-</v>
      </c>
      <c r="H3840" s="5" t="s">
        <v>1241</v>
      </c>
    </row>
    <row r="3841" spans="1:8" x14ac:dyDescent="0.2">
      <c r="A3841" s="1" t="s">
        <v>25</v>
      </c>
      <c r="B3841" s="2" t="s">
        <v>398</v>
      </c>
      <c r="D3841" s="5" t="s">
        <v>464</v>
      </c>
      <c r="E3841" s="3" t="s">
        <v>465</v>
      </c>
      <c r="F3841" s="3">
        <v>102500</v>
      </c>
      <c r="G3841" s="57" t="str">
        <f t="shared" si="61"/>
        <v>-</v>
      </c>
      <c r="H3841" s="5" t="s">
        <v>1241</v>
      </c>
    </row>
    <row r="3842" spans="1:8" x14ac:dyDescent="0.2">
      <c r="A3842" s="1" t="s">
        <v>25</v>
      </c>
      <c r="B3842" s="2" t="s">
        <v>398</v>
      </c>
      <c r="D3842" s="5" t="s">
        <v>464</v>
      </c>
      <c r="E3842" s="3" t="s">
        <v>465</v>
      </c>
      <c r="F3842" s="3">
        <v>102500</v>
      </c>
      <c r="G3842" s="57" t="str">
        <f t="shared" si="61"/>
        <v>-</v>
      </c>
      <c r="H3842" s="5" t="s">
        <v>1241</v>
      </c>
    </row>
    <row r="3843" spans="1:8" x14ac:dyDescent="0.2">
      <c r="A3843" s="1" t="s">
        <v>25</v>
      </c>
      <c r="B3843" s="2" t="s">
        <v>398</v>
      </c>
      <c r="D3843" s="5" t="s">
        <v>464</v>
      </c>
      <c r="E3843" s="3" t="s">
        <v>465</v>
      </c>
      <c r="F3843" s="3">
        <v>102500</v>
      </c>
      <c r="G3843" s="57" t="str">
        <f t="shared" si="61"/>
        <v>-</v>
      </c>
      <c r="H3843" s="5" t="s">
        <v>1241</v>
      </c>
    </row>
    <row r="3844" spans="1:8" x14ac:dyDescent="0.2">
      <c r="A3844" s="1" t="s">
        <v>25</v>
      </c>
      <c r="B3844" s="2" t="s">
        <v>398</v>
      </c>
      <c r="D3844" s="5" t="s">
        <v>464</v>
      </c>
      <c r="E3844" s="3" t="s">
        <v>465</v>
      </c>
      <c r="F3844" s="3">
        <v>102500</v>
      </c>
      <c r="G3844" s="57" t="str">
        <f t="shared" si="61"/>
        <v>-</v>
      </c>
      <c r="H3844" s="5" t="s">
        <v>1241</v>
      </c>
    </row>
    <row r="3845" spans="1:8" x14ac:dyDescent="0.2">
      <c r="A3845" s="1" t="s">
        <v>25</v>
      </c>
      <c r="B3845" s="2" t="s">
        <v>398</v>
      </c>
      <c r="D3845" s="5" t="s">
        <v>464</v>
      </c>
      <c r="E3845" s="3" t="s">
        <v>465</v>
      </c>
      <c r="F3845" s="3">
        <v>102500</v>
      </c>
      <c r="G3845" s="57" t="str">
        <f t="shared" si="61"/>
        <v>-</v>
      </c>
    </row>
    <row r="3846" spans="1:8" x14ac:dyDescent="0.2">
      <c r="A3846" s="1" t="s">
        <v>25</v>
      </c>
      <c r="B3846" s="2" t="s">
        <v>398</v>
      </c>
      <c r="D3846" s="5" t="s">
        <v>464</v>
      </c>
      <c r="E3846" s="3" t="s">
        <v>465</v>
      </c>
      <c r="F3846" s="3">
        <v>102500</v>
      </c>
      <c r="G3846" s="57" t="str">
        <f t="shared" si="61"/>
        <v>-</v>
      </c>
    </row>
    <row r="3847" spans="1:8" x14ac:dyDescent="0.2">
      <c r="A3847" s="1" t="s">
        <v>25</v>
      </c>
      <c r="B3847" s="2" t="s">
        <v>398</v>
      </c>
      <c r="D3847" s="5" t="s">
        <v>464</v>
      </c>
      <c r="E3847" s="3" t="s">
        <v>465</v>
      </c>
      <c r="F3847" s="3">
        <v>102500</v>
      </c>
      <c r="G3847" s="57" t="str">
        <f t="shared" si="61"/>
        <v>-</v>
      </c>
    </row>
    <row r="3848" spans="1:8" x14ac:dyDescent="0.2">
      <c r="A3848" s="1" t="s">
        <v>25</v>
      </c>
      <c r="B3848" s="2" t="s">
        <v>398</v>
      </c>
      <c r="D3848" s="5" t="s">
        <v>464</v>
      </c>
      <c r="E3848" s="3" t="s">
        <v>465</v>
      </c>
      <c r="F3848" s="3">
        <v>102500</v>
      </c>
      <c r="G3848" s="57" t="str">
        <f t="shared" si="61"/>
        <v>-</v>
      </c>
    </row>
    <row r="3849" spans="1:8" x14ac:dyDescent="0.2">
      <c r="A3849" s="1" t="s">
        <v>25</v>
      </c>
      <c r="B3849" s="2" t="s">
        <v>398</v>
      </c>
      <c r="D3849" s="5" t="s">
        <v>464</v>
      </c>
      <c r="E3849" s="3" t="s">
        <v>465</v>
      </c>
      <c r="F3849" s="3">
        <v>107500</v>
      </c>
      <c r="G3849" s="57" t="str">
        <f t="shared" si="61"/>
        <v>-</v>
      </c>
      <c r="H3849" s="5" t="s">
        <v>1241</v>
      </c>
    </row>
    <row r="3850" spans="1:8" x14ac:dyDescent="0.2">
      <c r="A3850" s="1" t="s">
        <v>25</v>
      </c>
      <c r="B3850" s="2" t="s">
        <v>398</v>
      </c>
      <c r="D3850" s="5" t="s">
        <v>464</v>
      </c>
      <c r="E3850" s="3" t="s">
        <v>465</v>
      </c>
      <c r="F3850" s="3">
        <v>107500</v>
      </c>
      <c r="G3850" s="57" t="str">
        <f t="shared" si="61"/>
        <v>-</v>
      </c>
      <c r="H3850" s="5" t="s">
        <v>1241</v>
      </c>
    </row>
    <row r="3851" spans="1:8" x14ac:dyDescent="0.2">
      <c r="A3851" s="1" t="s">
        <v>25</v>
      </c>
      <c r="B3851" s="2" t="s">
        <v>398</v>
      </c>
      <c r="D3851" s="5" t="s">
        <v>464</v>
      </c>
      <c r="E3851" s="3">
        <v>112500</v>
      </c>
      <c r="F3851" s="3" t="s">
        <v>465</v>
      </c>
      <c r="G3851" s="57" t="str">
        <f t="shared" si="61"/>
        <v>-</v>
      </c>
    </row>
    <row r="3852" spans="1:8" x14ac:dyDescent="0.2">
      <c r="A3852" s="1" t="s">
        <v>25</v>
      </c>
      <c r="B3852" s="2" t="s">
        <v>398</v>
      </c>
      <c r="D3852" s="5" t="s">
        <v>464</v>
      </c>
      <c r="E3852" s="3" t="s">
        <v>465</v>
      </c>
      <c r="F3852" s="3">
        <v>112500</v>
      </c>
      <c r="G3852" s="57" t="str">
        <f t="shared" si="61"/>
        <v>-</v>
      </c>
      <c r="H3852" s="5" t="s">
        <v>1241</v>
      </c>
    </row>
    <row r="3853" spans="1:8" x14ac:dyDescent="0.2">
      <c r="A3853" s="1" t="s">
        <v>25</v>
      </c>
      <c r="B3853" s="2" t="s">
        <v>398</v>
      </c>
      <c r="D3853" s="5" t="s">
        <v>464</v>
      </c>
      <c r="E3853" s="3" t="s">
        <v>465</v>
      </c>
      <c r="F3853" s="3">
        <v>112500</v>
      </c>
      <c r="G3853" s="57" t="str">
        <f t="shared" si="61"/>
        <v>-</v>
      </c>
      <c r="H3853" s="5" t="s">
        <v>1241</v>
      </c>
    </row>
    <row r="3854" spans="1:8" x14ac:dyDescent="0.2">
      <c r="A3854" s="1" t="s">
        <v>25</v>
      </c>
      <c r="B3854" s="2" t="s">
        <v>398</v>
      </c>
      <c r="D3854" s="5" t="s">
        <v>464</v>
      </c>
      <c r="E3854" s="3" t="s">
        <v>465</v>
      </c>
      <c r="F3854" s="3">
        <v>112500</v>
      </c>
      <c r="G3854" s="57" t="str">
        <f t="shared" si="61"/>
        <v>-</v>
      </c>
      <c r="H3854" s="5" t="s">
        <v>1241</v>
      </c>
    </row>
    <row r="3855" spans="1:8" x14ac:dyDescent="0.2">
      <c r="A3855" s="1" t="s">
        <v>25</v>
      </c>
      <c r="B3855" s="2" t="s">
        <v>398</v>
      </c>
      <c r="D3855" s="5" t="s">
        <v>464</v>
      </c>
      <c r="E3855" s="3" t="s">
        <v>465</v>
      </c>
      <c r="F3855" s="3">
        <v>112500</v>
      </c>
      <c r="G3855" s="57" t="str">
        <f t="shared" si="61"/>
        <v>-</v>
      </c>
    </row>
    <row r="3856" spans="1:8" x14ac:dyDescent="0.2">
      <c r="A3856" s="1" t="s">
        <v>25</v>
      </c>
      <c r="B3856" s="2" t="s">
        <v>398</v>
      </c>
      <c r="D3856" s="5" t="s">
        <v>464</v>
      </c>
      <c r="E3856" s="3" t="s">
        <v>465</v>
      </c>
      <c r="F3856" s="3">
        <v>117500</v>
      </c>
      <c r="G3856" s="57" t="str">
        <f t="shared" si="61"/>
        <v>-</v>
      </c>
      <c r="H3856" s="5" t="s">
        <v>1241</v>
      </c>
    </row>
    <row r="3857" spans="1:8" x14ac:dyDescent="0.2">
      <c r="A3857" s="1" t="s">
        <v>25</v>
      </c>
      <c r="B3857" s="2" t="s">
        <v>398</v>
      </c>
      <c r="D3857" s="5" t="s">
        <v>464</v>
      </c>
      <c r="E3857" s="3" t="s">
        <v>465</v>
      </c>
      <c r="F3857" s="3">
        <v>122500</v>
      </c>
      <c r="G3857" s="57" t="str">
        <f t="shared" ref="G3857:G3920" si="62">IF(ISERROR((F3857-E3857)/E3857),"-",(F3857-E3857)/E3857)</f>
        <v>-</v>
      </c>
      <c r="H3857" s="5" t="s">
        <v>1241</v>
      </c>
    </row>
    <row r="3858" spans="1:8" x14ac:dyDescent="0.2">
      <c r="A3858" s="1" t="s">
        <v>25</v>
      </c>
      <c r="B3858" s="2" t="s">
        <v>398</v>
      </c>
      <c r="D3858" s="5" t="s">
        <v>464</v>
      </c>
      <c r="E3858" s="3" t="s">
        <v>465</v>
      </c>
      <c r="F3858" s="3">
        <v>122500</v>
      </c>
      <c r="G3858" s="57" t="str">
        <f t="shared" si="62"/>
        <v>-</v>
      </c>
    </row>
    <row r="3859" spans="1:8" x14ac:dyDescent="0.2">
      <c r="A3859" s="1" t="s">
        <v>25</v>
      </c>
      <c r="B3859" s="2" t="s">
        <v>398</v>
      </c>
      <c r="D3859" s="5" t="s">
        <v>464</v>
      </c>
      <c r="E3859" s="3" t="s">
        <v>465</v>
      </c>
      <c r="F3859" s="3">
        <v>127500</v>
      </c>
      <c r="G3859" s="57" t="str">
        <f t="shared" si="62"/>
        <v>-</v>
      </c>
      <c r="H3859" s="5" t="s">
        <v>1241</v>
      </c>
    </row>
    <row r="3860" spans="1:8" x14ac:dyDescent="0.2">
      <c r="A3860" s="1" t="s">
        <v>25</v>
      </c>
      <c r="B3860" s="2" t="s">
        <v>398</v>
      </c>
      <c r="D3860" s="5" t="s">
        <v>464</v>
      </c>
      <c r="E3860" s="3" t="s">
        <v>465</v>
      </c>
      <c r="F3860" s="3">
        <v>127500</v>
      </c>
      <c r="G3860" s="57" t="str">
        <f t="shared" si="62"/>
        <v>-</v>
      </c>
      <c r="H3860" s="5" t="s">
        <v>1241</v>
      </c>
    </row>
    <row r="3861" spans="1:8" x14ac:dyDescent="0.2">
      <c r="A3861" s="1" t="s">
        <v>25</v>
      </c>
      <c r="B3861" s="2" t="s">
        <v>398</v>
      </c>
      <c r="D3861" s="5" t="s">
        <v>464</v>
      </c>
      <c r="E3861" s="3" t="s">
        <v>465</v>
      </c>
      <c r="F3861" s="3">
        <v>137500</v>
      </c>
      <c r="G3861" s="57" t="str">
        <f t="shared" si="62"/>
        <v>-</v>
      </c>
      <c r="H3861" s="5" t="s">
        <v>1241</v>
      </c>
    </row>
    <row r="3862" spans="1:8" x14ac:dyDescent="0.2">
      <c r="A3862" s="1" t="s">
        <v>25</v>
      </c>
      <c r="B3862" s="2" t="s">
        <v>398</v>
      </c>
      <c r="D3862" s="5" t="s">
        <v>464</v>
      </c>
      <c r="E3862" s="3" t="s">
        <v>465</v>
      </c>
      <c r="F3862" s="3">
        <v>142500</v>
      </c>
      <c r="G3862" s="57" t="str">
        <f t="shared" si="62"/>
        <v>-</v>
      </c>
      <c r="H3862" s="5" t="s">
        <v>1241</v>
      </c>
    </row>
    <row r="3863" spans="1:8" x14ac:dyDescent="0.2">
      <c r="A3863" s="1" t="s">
        <v>25</v>
      </c>
      <c r="B3863" s="2" t="s">
        <v>398</v>
      </c>
      <c r="D3863" s="5" t="s">
        <v>464</v>
      </c>
      <c r="E3863" s="3">
        <v>147500</v>
      </c>
      <c r="F3863" s="3" t="s">
        <v>465</v>
      </c>
      <c r="G3863" s="57" t="str">
        <f t="shared" si="62"/>
        <v>-</v>
      </c>
      <c r="H3863" s="5" t="s">
        <v>1241</v>
      </c>
    </row>
    <row r="3864" spans="1:8" x14ac:dyDescent="0.2">
      <c r="A3864" s="1" t="s">
        <v>25</v>
      </c>
      <c r="B3864" s="2" t="s">
        <v>398</v>
      </c>
      <c r="D3864" s="5" t="s">
        <v>464</v>
      </c>
      <c r="E3864" s="3" t="s">
        <v>465</v>
      </c>
      <c r="F3864" s="3">
        <v>157500</v>
      </c>
      <c r="G3864" s="57" t="str">
        <f t="shared" si="62"/>
        <v>-</v>
      </c>
      <c r="H3864" s="5" t="s">
        <v>1241</v>
      </c>
    </row>
    <row r="3865" spans="1:8" x14ac:dyDescent="0.2">
      <c r="A3865" s="1" t="s">
        <v>25</v>
      </c>
      <c r="B3865" s="2" t="s">
        <v>398</v>
      </c>
      <c r="D3865" s="5" t="s">
        <v>464</v>
      </c>
      <c r="E3865" s="3">
        <v>167500</v>
      </c>
      <c r="F3865" s="3" t="s">
        <v>465</v>
      </c>
      <c r="G3865" s="57" t="str">
        <f t="shared" si="62"/>
        <v>-</v>
      </c>
      <c r="H3865" s="5" t="s">
        <v>1241</v>
      </c>
    </row>
    <row r="3866" spans="1:8" x14ac:dyDescent="0.2">
      <c r="A3866" s="1" t="s">
        <v>25</v>
      </c>
      <c r="B3866" s="2" t="s">
        <v>398</v>
      </c>
      <c r="D3866" s="5" t="s">
        <v>464</v>
      </c>
      <c r="E3866" s="3" t="s">
        <v>465</v>
      </c>
      <c r="F3866" s="3">
        <v>182500</v>
      </c>
      <c r="G3866" s="57" t="str">
        <f t="shared" si="62"/>
        <v>-</v>
      </c>
      <c r="H3866" s="5" t="s">
        <v>1241</v>
      </c>
    </row>
    <row r="3867" spans="1:8" x14ac:dyDescent="0.2">
      <c r="A3867" s="1" t="s">
        <v>25</v>
      </c>
      <c r="B3867" s="2" t="s">
        <v>398</v>
      </c>
      <c r="D3867" s="5" t="s">
        <v>464</v>
      </c>
      <c r="E3867" s="3">
        <v>207500</v>
      </c>
      <c r="F3867" s="3" t="s">
        <v>465</v>
      </c>
      <c r="G3867" s="57" t="str">
        <f t="shared" si="62"/>
        <v>-</v>
      </c>
      <c r="H3867" s="5" t="s">
        <v>1241</v>
      </c>
    </row>
    <row r="3868" spans="1:8" ht="51" x14ac:dyDescent="0.2">
      <c r="A3868" s="1" t="s">
        <v>6</v>
      </c>
      <c r="B3868" s="2" t="s">
        <v>399</v>
      </c>
      <c r="C3868" s="5" t="s">
        <v>2439</v>
      </c>
      <c r="D3868" s="5" t="s">
        <v>450</v>
      </c>
      <c r="E3868" s="3">
        <v>57000</v>
      </c>
      <c r="F3868" s="3">
        <v>205000</v>
      </c>
      <c r="G3868" s="57">
        <f t="shared" si="62"/>
        <v>2.5964912280701755</v>
      </c>
      <c r="H3868" s="5" t="s">
        <v>4707</v>
      </c>
    </row>
    <row r="3869" spans="1:8" ht="38.25" x14ac:dyDescent="0.2">
      <c r="A3869" s="1" t="s">
        <v>6</v>
      </c>
      <c r="B3869" s="2" t="s">
        <v>399</v>
      </c>
      <c r="D3869" s="5" t="s">
        <v>662</v>
      </c>
      <c r="E3869" s="6">
        <v>86000</v>
      </c>
      <c r="F3869" s="3">
        <v>131000</v>
      </c>
      <c r="G3869" s="57">
        <f t="shared" si="62"/>
        <v>0.52325581395348841</v>
      </c>
      <c r="H3869" s="5" t="s">
        <v>2885</v>
      </c>
    </row>
    <row r="3870" spans="1:8" ht="38.25" x14ac:dyDescent="0.2">
      <c r="A3870" s="1" t="s">
        <v>6</v>
      </c>
      <c r="B3870" s="2" t="s">
        <v>399</v>
      </c>
      <c r="D3870" s="5" t="s">
        <v>663</v>
      </c>
      <c r="E3870" s="3" t="s">
        <v>465</v>
      </c>
      <c r="F3870" s="3">
        <v>126000</v>
      </c>
      <c r="G3870" s="57" t="str">
        <f t="shared" si="62"/>
        <v>-</v>
      </c>
      <c r="H3870" s="5" t="s">
        <v>2441</v>
      </c>
    </row>
    <row r="3871" spans="1:8" ht="25.5" x14ac:dyDescent="0.2">
      <c r="A3871" s="1" t="s">
        <v>6</v>
      </c>
      <c r="B3871" s="2" t="s">
        <v>399</v>
      </c>
      <c r="D3871" s="5" t="s">
        <v>507</v>
      </c>
      <c r="E3871" s="3">
        <v>100000</v>
      </c>
      <c r="F3871" s="3">
        <v>108000</v>
      </c>
      <c r="G3871" s="57">
        <f t="shared" si="62"/>
        <v>0.08</v>
      </c>
      <c r="H3871" s="5" t="s">
        <v>2442</v>
      </c>
    </row>
    <row r="3872" spans="1:8" ht="38.25" x14ac:dyDescent="0.2">
      <c r="A3872" s="1" t="s">
        <v>6</v>
      </c>
      <c r="B3872" s="2" t="s">
        <v>399</v>
      </c>
      <c r="D3872" s="5" t="s">
        <v>2443</v>
      </c>
      <c r="E3872" s="3">
        <v>146000</v>
      </c>
      <c r="F3872" s="3">
        <v>83000</v>
      </c>
      <c r="G3872" s="57">
        <f t="shared" si="62"/>
        <v>-0.4315068493150685</v>
      </c>
      <c r="H3872" s="5" t="s">
        <v>2444</v>
      </c>
    </row>
    <row r="3873" spans="1:8" ht="38.25" x14ac:dyDescent="0.2">
      <c r="A3873" s="1" t="s">
        <v>6</v>
      </c>
      <c r="B3873" s="2" t="s">
        <v>399</v>
      </c>
      <c r="D3873" s="7" t="s">
        <v>2440</v>
      </c>
      <c r="E3873" s="6">
        <v>100000</v>
      </c>
      <c r="F3873" s="6">
        <v>97000</v>
      </c>
      <c r="G3873" s="57">
        <f t="shared" si="62"/>
        <v>-0.03</v>
      </c>
      <c r="H3873" s="7" t="s">
        <v>2445</v>
      </c>
    </row>
    <row r="3874" spans="1:8" x14ac:dyDescent="0.2">
      <c r="A3874" s="1" t="s">
        <v>6</v>
      </c>
      <c r="B3874" s="2" t="s">
        <v>399</v>
      </c>
      <c r="D3874" s="5" t="s">
        <v>970</v>
      </c>
      <c r="E3874" s="3">
        <v>108000</v>
      </c>
      <c r="F3874" s="3" t="s">
        <v>465</v>
      </c>
      <c r="G3874" s="57" t="str">
        <f t="shared" si="62"/>
        <v>-</v>
      </c>
    </row>
    <row r="3875" spans="1:8" x14ac:dyDescent="0.2">
      <c r="A3875" s="1" t="s">
        <v>6</v>
      </c>
      <c r="B3875" s="2" t="s">
        <v>399</v>
      </c>
      <c r="D3875" s="5" t="s">
        <v>464</v>
      </c>
      <c r="E3875" s="3" t="s">
        <v>465</v>
      </c>
      <c r="F3875" s="3">
        <v>102500</v>
      </c>
      <c r="G3875" s="57" t="str">
        <f t="shared" si="62"/>
        <v>-</v>
      </c>
      <c r="H3875" s="5" t="s">
        <v>539</v>
      </c>
    </row>
    <row r="3876" spans="1:8" x14ac:dyDescent="0.2">
      <c r="A3876" s="1" t="s">
        <v>4</v>
      </c>
      <c r="B3876" s="12" t="s">
        <v>400</v>
      </c>
      <c r="D3876" s="5" t="s">
        <v>450</v>
      </c>
      <c r="E3876" s="3">
        <v>131856</v>
      </c>
      <c r="F3876" s="3">
        <v>127527</v>
      </c>
      <c r="G3876" s="57">
        <f t="shared" si="62"/>
        <v>-3.2831270476883875E-2</v>
      </c>
      <c r="H3876" s="5" t="s">
        <v>2437</v>
      </c>
    </row>
    <row r="3877" spans="1:8" x14ac:dyDescent="0.2">
      <c r="A3877" s="1" t="s">
        <v>4</v>
      </c>
      <c r="B3877" s="12" t="s">
        <v>400</v>
      </c>
      <c r="D3877" s="5" t="s">
        <v>661</v>
      </c>
      <c r="E3877" s="3" t="s">
        <v>465</v>
      </c>
      <c r="F3877" s="3">
        <v>106013</v>
      </c>
      <c r="G3877" s="57" t="str">
        <f t="shared" si="62"/>
        <v>-</v>
      </c>
      <c r="H3877" s="5" t="s">
        <v>2438</v>
      </c>
    </row>
    <row r="3878" spans="1:8" x14ac:dyDescent="0.2">
      <c r="A3878" s="1" t="s">
        <v>4</v>
      </c>
      <c r="B3878" s="12" t="s">
        <v>400</v>
      </c>
      <c r="D3878" s="5" t="s">
        <v>464</v>
      </c>
      <c r="E3878" s="3">
        <v>112500</v>
      </c>
      <c r="F3878" s="3" t="s">
        <v>465</v>
      </c>
      <c r="G3878" s="57" t="str">
        <f t="shared" si="62"/>
        <v>-</v>
      </c>
      <c r="H3878" s="5" t="s">
        <v>1555</v>
      </c>
    </row>
    <row r="3879" spans="1:8" x14ac:dyDescent="0.2">
      <c r="A3879" s="1" t="s">
        <v>4</v>
      </c>
      <c r="B3879" s="12" t="s">
        <v>400</v>
      </c>
      <c r="D3879" s="5" t="s">
        <v>464</v>
      </c>
      <c r="E3879" s="3" t="s">
        <v>465</v>
      </c>
      <c r="F3879" s="3">
        <v>112500</v>
      </c>
      <c r="G3879" s="57" t="str">
        <f t="shared" si="62"/>
        <v>-</v>
      </c>
      <c r="H3879" s="5" t="s">
        <v>1555</v>
      </c>
    </row>
    <row r="3880" spans="1:8" x14ac:dyDescent="0.2">
      <c r="A3880" s="1" t="s">
        <v>4</v>
      </c>
      <c r="B3880" s="12" t="s">
        <v>400</v>
      </c>
      <c r="D3880" s="5" t="s">
        <v>464</v>
      </c>
      <c r="E3880" s="3" t="s">
        <v>465</v>
      </c>
      <c r="F3880" s="3">
        <v>122500</v>
      </c>
      <c r="G3880" s="57" t="str">
        <f t="shared" si="62"/>
        <v>-</v>
      </c>
      <c r="H3880" s="5" t="s">
        <v>1555</v>
      </c>
    </row>
    <row r="3881" spans="1:8" ht="25.5" x14ac:dyDescent="0.2">
      <c r="A3881" s="1" t="s">
        <v>20</v>
      </c>
      <c r="B3881" s="2" t="s">
        <v>401</v>
      </c>
      <c r="D3881" s="5" t="s">
        <v>450</v>
      </c>
      <c r="E3881" s="3">
        <v>116810</v>
      </c>
      <c r="F3881" s="3">
        <v>117658</v>
      </c>
      <c r="G3881" s="57">
        <f t="shared" si="62"/>
        <v>7.2596524270182351E-3</v>
      </c>
      <c r="H3881" s="5" t="s">
        <v>2436</v>
      </c>
    </row>
    <row r="3882" spans="1:8" ht="25.5" x14ac:dyDescent="0.2">
      <c r="A3882" s="1" t="s">
        <v>44</v>
      </c>
      <c r="B3882" s="2" t="s">
        <v>2429</v>
      </c>
      <c r="D3882" s="5" t="s">
        <v>450</v>
      </c>
      <c r="E3882" s="3">
        <f>144255+30751</f>
        <v>175006</v>
      </c>
      <c r="F3882" s="3">
        <f>141469+1345+30416</f>
        <v>173230</v>
      </c>
      <c r="G3882" s="57">
        <f t="shared" si="62"/>
        <v>-1.014822348948036E-2</v>
      </c>
      <c r="H3882" s="5" t="s">
        <v>2430</v>
      </c>
    </row>
    <row r="3883" spans="1:8" ht="25.5" x14ac:dyDescent="0.2">
      <c r="A3883" s="1" t="s">
        <v>44</v>
      </c>
      <c r="B3883" s="2" t="s">
        <v>2429</v>
      </c>
      <c r="D3883" s="5" t="s">
        <v>687</v>
      </c>
      <c r="E3883" s="3">
        <f>106686+22681</f>
        <v>129367</v>
      </c>
      <c r="F3883" s="3">
        <f>104425+1239+22451</f>
        <v>128115</v>
      </c>
      <c r="G3883" s="57">
        <f t="shared" si="62"/>
        <v>-9.6778931257585007E-3</v>
      </c>
      <c r="H3883" s="5" t="s">
        <v>2431</v>
      </c>
    </row>
    <row r="3884" spans="1:8" ht="25.5" x14ac:dyDescent="0.2">
      <c r="A3884" s="1" t="s">
        <v>44</v>
      </c>
      <c r="B3884" s="2" t="s">
        <v>2429</v>
      </c>
      <c r="D3884" s="5" t="s">
        <v>4708</v>
      </c>
      <c r="E3884" s="3">
        <f>105280+22635</f>
        <v>127915</v>
      </c>
      <c r="F3884" s="3">
        <f>104213+22406</f>
        <v>126619</v>
      </c>
      <c r="G3884" s="57">
        <f t="shared" si="62"/>
        <v>-1.0131728100691866E-2</v>
      </c>
      <c r="H3884" s="5" t="s">
        <v>2432</v>
      </c>
    </row>
    <row r="3885" spans="1:8" ht="25.5" x14ac:dyDescent="0.2">
      <c r="A3885" s="1" t="s">
        <v>44</v>
      </c>
      <c r="B3885" s="2" t="s">
        <v>2429</v>
      </c>
      <c r="D3885" s="5" t="s">
        <v>688</v>
      </c>
      <c r="E3885" s="3">
        <f>106556+22635</f>
        <v>129191</v>
      </c>
      <c r="F3885" s="3">
        <f>104213+1345+22406</f>
        <v>127964</v>
      </c>
      <c r="G3885" s="57">
        <f t="shared" si="62"/>
        <v>-9.4975656198961235E-3</v>
      </c>
      <c r="H3885" s="5" t="s">
        <v>2433</v>
      </c>
    </row>
    <row r="3886" spans="1:8" ht="25.5" x14ac:dyDescent="0.2">
      <c r="A3886" s="1" t="s">
        <v>44</v>
      </c>
      <c r="B3886" s="2" t="s">
        <v>2429</v>
      </c>
      <c r="D3886" s="5" t="s">
        <v>689</v>
      </c>
      <c r="E3886" s="3">
        <f>106450+22635</f>
        <v>129085</v>
      </c>
      <c r="F3886" s="3">
        <f>104213+1239+22406</f>
        <v>127858</v>
      </c>
      <c r="G3886" s="57">
        <f t="shared" si="62"/>
        <v>-9.505364682186157E-3</v>
      </c>
      <c r="H3886" s="5" t="s">
        <v>2434</v>
      </c>
    </row>
    <row r="3887" spans="1:8" ht="25.5" x14ac:dyDescent="0.2">
      <c r="A3887" s="1" t="s">
        <v>44</v>
      </c>
      <c r="B3887" s="2" t="s">
        <v>2429</v>
      </c>
      <c r="D3887" s="5" t="s">
        <v>690</v>
      </c>
      <c r="E3887" s="3">
        <f>101996+21854</f>
        <v>123850</v>
      </c>
      <c r="F3887" s="3">
        <f>104213+506+22406</f>
        <v>127125</v>
      </c>
      <c r="G3887" s="57">
        <f t="shared" si="62"/>
        <v>2.6443278159063385E-2</v>
      </c>
      <c r="H3887" s="5" t="s">
        <v>2435</v>
      </c>
    </row>
    <row r="3888" spans="1:8" x14ac:dyDescent="0.2">
      <c r="A3888" s="1" t="s">
        <v>44</v>
      </c>
      <c r="B3888" s="2" t="s">
        <v>2429</v>
      </c>
      <c r="D3888" s="5" t="s">
        <v>464</v>
      </c>
      <c r="E3888" s="3">
        <v>102500</v>
      </c>
      <c r="F3888" s="3" t="s">
        <v>465</v>
      </c>
      <c r="G3888" s="57" t="str">
        <f t="shared" si="62"/>
        <v>-</v>
      </c>
    </row>
    <row r="3889" spans="1:8" x14ac:dyDescent="0.2">
      <c r="A3889" s="1" t="s">
        <v>44</v>
      </c>
      <c r="B3889" s="2" t="s">
        <v>2429</v>
      </c>
      <c r="D3889" s="5" t="s">
        <v>464</v>
      </c>
      <c r="E3889" s="3" t="s">
        <v>465</v>
      </c>
      <c r="F3889" s="3">
        <v>102500</v>
      </c>
      <c r="G3889" s="57" t="str">
        <f t="shared" si="62"/>
        <v>-</v>
      </c>
    </row>
    <row r="3890" spans="1:8" ht="63.75" x14ac:dyDescent="0.2">
      <c r="A3890" s="1" t="s">
        <v>4</v>
      </c>
      <c r="B3890" s="2" t="s">
        <v>402</v>
      </c>
      <c r="C3890" s="29" t="s">
        <v>4507</v>
      </c>
      <c r="G3890" s="57" t="str">
        <f t="shared" si="62"/>
        <v>-</v>
      </c>
    </row>
    <row r="3891" spans="1:8" ht="25.5" x14ac:dyDescent="0.2">
      <c r="A3891" s="1" t="s">
        <v>28</v>
      </c>
      <c r="B3891" s="2" t="s">
        <v>403</v>
      </c>
      <c r="C3891" s="5" t="s">
        <v>653</v>
      </c>
      <c r="D3891" s="5" t="s">
        <v>450</v>
      </c>
      <c r="E3891" s="3">
        <v>222172</v>
      </c>
      <c r="F3891" s="3">
        <v>220451</v>
      </c>
      <c r="G3891" s="57">
        <f t="shared" si="62"/>
        <v>-7.7462506526474982E-3</v>
      </c>
      <c r="H3891" s="5" t="s">
        <v>2425</v>
      </c>
    </row>
    <row r="3892" spans="1:8" ht="25.5" x14ac:dyDescent="0.2">
      <c r="A3892" s="1" t="s">
        <v>28</v>
      </c>
      <c r="B3892" s="2" t="s">
        <v>403</v>
      </c>
      <c r="D3892" s="5" t="s">
        <v>654</v>
      </c>
      <c r="E3892" s="3">
        <v>136800</v>
      </c>
      <c r="F3892" s="3">
        <v>137640</v>
      </c>
      <c r="G3892" s="57">
        <f t="shared" si="62"/>
        <v>6.1403508771929825E-3</v>
      </c>
      <c r="H3892" s="5" t="s">
        <v>2426</v>
      </c>
    </row>
    <row r="3893" spans="1:8" ht="25.5" x14ac:dyDescent="0.2">
      <c r="A3893" s="1" t="s">
        <v>28</v>
      </c>
      <c r="B3893" s="2" t="s">
        <v>403</v>
      </c>
      <c r="D3893" s="5" t="s">
        <v>655</v>
      </c>
      <c r="E3893" s="3">
        <v>64355</v>
      </c>
      <c r="F3893" s="3">
        <v>137640</v>
      </c>
      <c r="G3893" s="57">
        <f t="shared" si="62"/>
        <v>1.1387615569885789</v>
      </c>
      <c r="H3893" s="5" t="s">
        <v>2426</v>
      </c>
    </row>
    <row r="3894" spans="1:8" ht="25.5" x14ac:dyDescent="0.2">
      <c r="A3894" s="1" t="s">
        <v>28</v>
      </c>
      <c r="B3894" s="2" t="s">
        <v>403</v>
      </c>
      <c r="D3894" s="5" t="s">
        <v>656</v>
      </c>
      <c r="E3894" s="3">
        <v>167069</v>
      </c>
      <c r="F3894" s="3">
        <v>167916</v>
      </c>
      <c r="G3894" s="57">
        <f t="shared" si="62"/>
        <v>5.0697615955084428E-3</v>
      </c>
      <c r="H3894" s="5" t="s">
        <v>2427</v>
      </c>
    </row>
    <row r="3895" spans="1:8" ht="63.75" x14ac:dyDescent="0.2">
      <c r="A3895" s="1" t="s">
        <v>28</v>
      </c>
      <c r="B3895" s="2" t="s">
        <v>403</v>
      </c>
      <c r="D3895" s="5" t="s">
        <v>657</v>
      </c>
      <c r="E3895" s="3">
        <v>120987</v>
      </c>
      <c r="F3895" s="3">
        <v>204244</v>
      </c>
      <c r="G3895" s="57">
        <f t="shared" si="62"/>
        <v>0.68814831345516458</v>
      </c>
      <c r="H3895" s="5" t="s">
        <v>4709</v>
      </c>
    </row>
    <row r="3896" spans="1:8" ht="25.5" x14ac:dyDescent="0.2">
      <c r="A3896" s="1" t="s">
        <v>28</v>
      </c>
      <c r="B3896" s="2" t="s">
        <v>403</v>
      </c>
      <c r="D3896" s="5" t="s">
        <v>658</v>
      </c>
      <c r="E3896" s="3">
        <v>103964</v>
      </c>
      <c r="F3896" s="3">
        <v>106599</v>
      </c>
      <c r="G3896" s="57">
        <f t="shared" si="62"/>
        <v>2.53453118387134E-2</v>
      </c>
      <c r="H3896" s="5" t="s">
        <v>2428</v>
      </c>
    </row>
    <row r="3897" spans="1:8" ht="25.5" x14ac:dyDescent="0.2">
      <c r="A3897" s="1" t="s">
        <v>28</v>
      </c>
      <c r="B3897" s="2" t="s">
        <v>403</v>
      </c>
      <c r="D3897" s="5" t="s">
        <v>2423</v>
      </c>
      <c r="E3897" s="3">
        <v>202839</v>
      </c>
      <c r="F3897" s="3" t="s">
        <v>465</v>
      </c>
      <c r="G3897" s="57" t="str">
        <f t="shared" si="62"/>
        <v>-</v>
      </c>
      <c r="H3897" s="5" t="s">
        <v>2424</v>
      </c>
    </row>
    <row r="3898" spans="1:8" x14ac:dyDescent="0.2">
      <c r="A3898" s="1" t="s">
        <v>28</v>
      </c>
      <c r="B3898" s="2" t="s">
        <v>403</v>
      </c>
      <c r="D3898" s="5" t="s">
        <v>464</v>
      </c>
      <c r="E3898" s="3">
        <v>107500</v>
      </c>
      <c r="F3898" s="3" t="s">
        <v>465</v>
      </c>
      <c r="G3898" s="57" t="str">
        <f t="shared" si="62"/>
        <v>-</v>
      </c>
      <c r="H3898" s="1"/>
    </row>
    <row r="3899" spans="1:8" x14ac:dyDescent="0.2">
      <c r="A3899" s="1" t="s">
        <v>28</v>
      </c>
      <c r="B3899" s="2" t="s">
        <v>403</v>
      </c>
      <c r="D3899" s="5" t="s">
        <v>464</v>
      </c>
      <c r="E3899" s="3" t="s">
        <v>465</v>
      </c>
      <c r="F3899" s="3">
        <v>107500</v>
      </c>
      <c r="G3899" s="57" t="str">
        <f t="shared" si="62"/>
        <v>-</v>
      </c>
      <c r="H3899" s="1"/>
    </row>
    <row r="3900" spans="1:8" x14ac:dyDescent="0.2">
      <c r="A3900" s="1" t="s">
        <v>28</v>
      </c>
      <c r="B3900" s="2" t="s">
        <v>403</v>
      </c>
      <c r="D3900" s="5" t="s">
        <v>464</v>
      </c>
      <c r="E3900" s="3" t="s">
        <v>465</v>
      </c>
      <c r="F3900" s="3">
        <v>107500</v>
      </c>
      <c r="G3900" s="57" t="str">
        <f t="shared" si="62"/>
        <v>-</v>
      </c>
      <c r="H3900" s="1"/>
    </row>
    <row r="3901" spans="1:8" x14ac:dyDescent="0.2">
      <c r="A3901" s="1" t="s">
        <v>28</v>
      </c>
      <c r="B3901" s="2" t="s">
        <v>403</v>
      </c>
      <c r="D3901" s="5" t="s">
        <v>464</v>
      </c>
      <c r="E3901" s="3">
        <v>112500</v>
      </c>
      <c r="F3901" s="3" t="s">
        <v>465</v>
      </c>
      <c r="G3901" s="57" t="str">
        <f t="shared" si="62"/>
        <v>-</v>
      </c>
      <c r="H3901" s="1"/>
    </row>
    <row r="3902" spans="1:8" x14ac:dyDescent="0.2">
      <c r="A3902" s="1" t="s">
        <v>28</v>
      </c>
      <c r="B3902" s="2" t="s">
        <v>403</v>
      </c>
      <c r="D3902" s="5" t="s">
        <v>464</v>
      </c>
      <c r="E3902" s="3" t="s">
        <v>465</v>
      </c>
      <c r="F3902" s="3">
        <v>117500</v>
      </c>
      <c r="G3902" s="57" t="str">
        <f t="shared" si="62"/>
        <v>-</v>
      </c>
      <c r="H3902" s="1"/>
    </row>
    <row r="3903" spans="1:8" x14ac:dyDescent="0.2">
      <c r="A3903" s="1" t="s">
        <v>28</v>
      </c>
      <c r="B3903" s="2" t="s">
        <v>403</v>
      </c>
      <c r="D3903" s="5" t="s">
        <v>464</v>
      </c>
      <c r="E3903" s="3" t="s">
        <v>465</v>
      </c>
      <c r="F3903" s="3">
        <v>117500</v>
      </c>
      <c r="G3903" s="57" t="str">
        <f t="shared" si="62"/>
        <v>-</v>
      </c>
      <c r="H3903" s="1"/>
    </row>
    <row r="3904" spans="1:8" x14ac:dyDescent="0.2">
      <c r="A3904" s="1" t="s">
        <v>28</v>
      </c>
      <c r="B3904" s="2" t="s">
        <v>403</v>
      </c>
      <c r="D3904" s="5" t="s">
        <v>464</v>
      </c>
      <c r="E3904" s="3">
        <v>137500</v>
      </c>
      <c r="F3904" s="3" t="s">
        <v>465</v>
      </c>
      <c r="G3904" s="57" t="str">
        <f t="shared" si="62"/>
        <v>-</v>
      </c>
      <c r="H3904" s="1"/>
    </row>
    <row r="3905" spans="1:8" ht="25.5" x14ac:dyDescent="0.2">
      <c r="A3905" s="1" t="s">
        <v>39</v>
      </c>
      <c r="B3905" s="2" t="s">
        <v>404</v>
      </c>
      <c r="C3905" s="5" t="s">
        <v>645</v>
      </c>
      <c r="D3905" s="5" t="s">
        <v>450</v>
      </c>
      <c r="E3905" s="3">
        <v>213893</v>
      </c>
      <c r="F3905" s="3">
        <v>226582</v>
      </c>
      <c r="G3905" s="57">
        <f t="shared" si="62"/>
        <v>5.9324054550639806E-2</v>
      </c>
      <c r="H3905" s="5" t="s">
        <v>4710</v>
      </c>
    </row>
    <row r="3906" spans="1:8" ht="25.5" x14ac:dyDescent="0.2">
      <c r="A3906" s="1" t="s">
        <v>39</v>
      </c>
      <c r="B3906" s="2" t="s">
        <v>404</v>
      </c>
      <c r="D3906" s="5" t="s">
        <v>599</v>
      </c>
      <c r="E3906" s="3">
        <v>139755</v>
      </c>
      <c r="F3906" s="3">
        <v>142280</v>
      </c>
      <c r="G3906" s="57">
        <f t="shared" si="62"/>
        <v>1.8067332116918893E-2</v>
      </c>
      <c r="H3906" s="5" t="s">
        <v>2417</v>
      </c>
    </row>
    <row r="3907" spans="1:8" ht="25.5" x14ac:dyDescent="0.2">
      <c r="A3907" s="1" t="s">
        <v>39</v>
      </c>
      <c r="B3907" s="2" t="s">
        <v>404</v>
      </c>
      <c r="D3907" s="5" t="s">
        <v>646</v>
      </c>
      <c r="E3907" s="3">
        <v>142740</v>
      </c>
      <c r="F3907" s="3">
        <v>137899</v>
      </c>
      <c r="G3907" s="57">
        <f t="shared" si="62"/>
        <v>-3.3914810144318339E-2</v>
      </c>
      <c r="H3907" s="5" t="s">
        <v>2418</v>
      </c>
    </row>
    <row r="3908" spans="1:8" ht="25.5" x14ac:dyDescent="0.2">
      <c r="A3908" s="1" t="s">
        <v>39</v>
      </c>
      <c r="B3908" s="2" t="s">
        <v>404</v>
      </c>
      <c r="D3908" s="5" t="s">
        <v>4511</v>
      </c>
      <c r="E3908" s="3" t="s">
        <v>465</v>
      </c>
      <c r="F3908" s="3">
        <v>130793</v>
      </c>
      <c r="G3908" s="57" t="str">
        <f t="shared" si="62"/>
        <v>-</v>
      </c>
      <c r="H3908" s="5" t="s">
        <v>4513</v>
      </c>
    </row>
    <row r="3909" spans="1:8" ht="25.5" x14ac:dyDescent="0.2">
      <c r="A3909" s="1" t="s">
        <v>39</v>
      </c>
      <c r="B3909" s="2" t="s">
        <v>404</v>
      </c>
      <c r="D3909" s="5" t="s">
        <v>4512</v>
      </c>
      <c r="E3909" s="3">
        <v>114371</v>
      </c>
      <c r="F3909" s="3">
        <v>4330</v>
      </c>
      <c r="G3909" s="57">
        <f t="shared" si="62"/>
        <v>-0.96214075246347408</v>
      </c>
      <c r="H3909" s="5" t="s">
        <v>4514</v>
      </c>
    </row>
    <row r="3910" spans="1:8" ht="25.5" x14ac:dyDescent="0.2">
      <c r="A3910" s="1" t="s">
        <v>39</v>
      </c>
      <c r="B3910" s="2" t="s">
        <v>404</v>
      </c>
      <c r="D3910" s="5" t="s">
        <v>647</v>
      </c>
      <c r="E3910" s="3">
        <v>144525</v>
      </c>
      <c r="F3910" s="3">
        <v>131173</v>
      </c>
      <c r="G3910" s="57">
        <f t="shared" si="62"/>
        <v>-9.2385400449749175E-2</v>
      </c>
      <c r="H3910" s="5" t="s">
        <v>2419</v>
      </c>
    </row>
    <row r="3911" spans="1:8" ht="25.5" x14ac:dyDescent="0.2">
      <c r="A3911" s="1" t="s">
        <v>39</v>
      </c>
      <c r="B3911" s="2" t="s">
        <v>404</v>
      </c>
      <c r="D3911" s="5" t="s">
        <v>648</v>
      </c>
      <c r="E3911" s="3">
        <v>145992</v>
      </c>
      <c r="F3911" s="3">
        <v>131272</v>
      </c>
      <c r="G3911" s="57">
        <f t="shared" si="62"/>
        <v>-0.1008274425995945</v>
      </c>
      <c r="H3911" s="5" t="s">
        <v>2420</v>
      </c>
    </row>
    <row r="3912" spans="1:8" ht="25.5" x14ac:dyDescent="0.2">
      <c r="A3912" s="1" t="s">
        <v>39</v>
      </c>
      <c r="B3912" s="2" t="s">
        <v>404</v>
      </c>
      <c r="D3912" s="5" t="s">
        <v>650</v>
      </c>
      <c r="E3912" s="3">
        <v>110223</v>
      </c>
      <c r="F3912" s="3">
        <v>101085</v>
      </c>
      <c r="G3912" s="57">
        <f t="shared" si="62"/>
        <v>-8.2904656922783815E-2</v>
      </c>
      <c r="H3912" s="5" t="s">
        <v>2421</v>
      </c>
    </row>
    <row r="3913" spans="1:8" ht="25.5" x14ac:dyDescent="0.2">
      <c r="A3913" s="1" t="s">
        <v>39</v>
      </c>
      <c r="B3913" s="2" t="s">
        <v>404</v>
      </c>
      <c r="D3913" s="5" t="s">
        <v>649</v>
      </c>
      <c r="E3913" s="3">
        <v>109049</v>
      </c>
      <c r="F3913" s="3">
        <v>109949</v>
      </c>
      <c r="G3913" s="57">
        <f t="shared" si="62"/>
        <v>8.2531705930361573E-3</v>
      </c>
      <c r="H3913" s="5" t="s">
        <v>2422</v>
      </c>
    </row>
    <row r="3914" spans="1:8" x14ac:dyDescent="0.2">
      <c r="A3914" s="1" t="s">
        <v>39</v>
      </c>
      <c r="B3914" s="2" t="s">
        <v>404</v>
      </c>
      <c r="D3914" s="5" t="s">
        <v>464</v>
      </c>
      <c r="E3914" s="3">
        <v>102500</v>
      </c>
      <c r="F3914" s="3" t="s">
        <v>465</v>
      </c>
      <c r="G3914" s="57" t="str">
        <f t="shared" si="62"/>
        <v>-</v>
      </c>
    </row>
    <row r="3915" spans="1:8" x14ac:dyDescent="0.2">
      <c r="A3915" s="1" t="s">
        <v>39</v>
      </c>
      <c r="B3915" s="2" t="s">
        <v>404</v>
      </c>
      <c r="D3915" s="5" t="s">
        <v>464</v>
      </c>
      <c r="E3915" s="3">
        <v>117500</v>
      </c>
      <c r="F3915" s="3" t="s">
        <v>465</v>
      </c>
      <c r="G3915" s="57" t="str">
        <f t="shared" si="62"/>
        <v>-</v>
      </c>
    </row>
    <row r="3916" spans="1:8" x14ac:dyDescent="0.2">
      <c r="A3916" s="1" t="s">
        <v>39</v>
      </c>
      <c r="B3916" s="2" t="s">
        <v>404</v>
      </c>
      <c r="D3916" s="5" t="s">
        <v>464</v>
      </c>
      <c r="E3916" s="3">
        <v>127500</v>
      </c>
      <c r="F3916" s="3" t="s">
        <v>465</v>
      </c>
      <c r="G3916" s="57" t="str">
        <f t="shared" si="62"/>
        <v>-</v>
      </c>
    </row>
    <row r="3917" spans="1:8" x14ac:dyDescent="0.2">
      <c r="A3917" s="1" t="s">
        <v>39</v>
      </c>
      <c r="B3917" s="2" t="s">
        <v>404</v>
      </c>
      <c r="D3917" s="5" t="s">
        <v>464</v>
      </c>
      <c r="E3917" s="3">
        <v>127500</v>
      </c>
      <c r="F3917" s="3" t="s">
        <v>465</v>
      </c>
      <c r="G3917" s="57" t="str">
        <f t="shared" si="62"/>
        <v>-</v>
      </c>
    </row>
    <row r="3918" spans="1:8" x14ac:dyDescent="0.2">
      <c r="A3918" s="1" t="s">
        <v>39</v>
      </c>
      <c r="B3918" s="2" t="s">
        <v>404</v>
      </c>
      <c r="D3918" s="5" t="s">
        <v>464</v>
      </c>
      <c r="E3918" s="3">
        <v>152500</v>
      </c>
      <c r="F3918" s="3" t="s">
        <v>465</v>
      </c>
      <c r="G3918" s="57" t="str">
        <f t="shared" si="62"/>
        <v>-</v>
      </c>
    </row>
    <row r="3919" spans="1:8" ht="63.75" x14ac:dyDescent="0.2">
      <c r="A3919" s="1" t="s">
        <v>25</v>
      </c>
      <c r="B3919" s="2" t="s">
        <v>405</v>
      </c>
      <c r="C3919" s="5" t="s">
        <v>639</v>
      </c>
      <c r="D3919" s="5" t="s">
        <v>450</v>
      </c>
      <c r="E3919" s="3">
        <v>257243</v>
      </c>
      <c r="F3919" s="3">
        <v>432213</v>
      </c>
      <c r="G3919" s="57">
        <f t="shared" si="62"/>
        <v>0.68017399890376029</v>
      </c>
      <c r="H3919" s="5" t="s">
        <v>4515</v>
      </c>
    </row>
    <row r="3920" spans="1:8" ht="38.25" x14ac:dyDescent="0.2">
      <c r="A3920" s="1" t="s">
        <v>25</v>
      </c>
      <c r="B3920" s="2" t="s">
        <v>405</v>
      </c>
      <c r="C3920" s="5" t="s">
        <v>640</v>
      </c>
      <c r="D3920" s="5" t="s">
        <v>4517</v>
      </c>
      <c r="E3920" s="6">
        <v>181889</v>
      </c>
      <c r="F3920" s="3">
        <v>210834</v>
      </c>
      <c r="G3920" s="57">
        <f t="shared" si="62"/>
        <v>0.15913551671623902</v>
      </c>
      <c r="H3920" s="5" t="s">
        <v>4516</v>
      </c>
    </row>
    <row r="3921" spans="1:8" ht="25.5" x14ac:dyDescent="0.2">
      <c r="A3921" s="1" t="s">
        <v>25</v>
      </c>
      <c r="B3921" s="2" t="s">
        <v>405</v>
      </c>
      <c r="D3921" s="5" t="s">
        <v>641</v>
      </c>
      <c r="E3921" s="3">
        <v>166508</v>
      </c>
      <c r="F3921" s="3">
        <v>170321</v>
      </c>
      <c r="G3921" s="57">
        <f t="shared" ref="G3921:G3984" si="63">IF(ISERROR((F3921-E3921)/E3921),"-",(F3921-E3921)/E3921)</f>
        <v>2.2899800610180893E-2</v>
      </c>
      <c r="H3921" s="5" t="s">
        <v>2414</v>
      </c>
    </row>
    <row r="3922" spans="1:8" ht="25.5" x14ac:dyDescent="0.2">
      <c r="A3922" s="1" t="s">
        <v>25</v>
      </c>
      <c r="B3922" s="2" t="s">
        <v>405</v>
      </c>
      <c r="D3922" s="5" t="s">
        <v>507</v>
      </c>
      <c r="E3922" s="3" t="s">
        <v>465</v>
      </c>
      <c r="F3922" s="3">
        <v>93447</v>
      </c>
      <c r="G3922" s="57" t="str">
        <f t="shared" si="63"/>
        <v>-</v>
      </c>
      <c r="H3922" s="5" t="s">
        <v>4518</v>
      </c>
    </row>
    <row r="3923" spans="1:8" ht="25.5" x14ac:dyDescent="0.2">
      <c r="A3923" s="1" t="s">
        <v>25</v>
      </c>
      <c r="B3923" s="2" t="s">
        <v>405</v>
      </c>
      <c r="D3923" s="5" t="s">
        <v>507</v>
      </c>
      <c r="E3923" s="6">
        <v>13693</v>
      </c>
      <c r="F3923" s="3">
        <v>105112</v>
      </c>
      <c r="G3923" s="57">
        <f t="shared" si="63"/>
        <v>6.6763309720295041</v>
      </c>
      <c r="H3923" s="5" t="s">
        <v>4519</v>
      </c>
    </row>
    <row r="3924" spans="1:8" ht="76.5" x14ac:dyDescent="0.2">
      <c r="A3924" s="1" t="s">
        <v>25</v>
      </c>
      <c r="B3924" s="2" t="s">
        <v>405</v>
      </c>
      <c r="D3924" s="5" t="s">
        <v>642</v>
      </c>
      <c r="E3924" s="3" t="s">
        <v>465</v>
      </c>
      <c r="F3924" s="3">
        <v>164371</v>
      </c>
      <c r="G3924" s="57" t="str">
        <f t="shared" si="63"/>
        <v>-</v>
      </c>
      <c r="H3924" s="5" t="s">
        <v>4711</v>
      </c>
    </row>
    <row r="3925" spans="1:8" ht="38.25" x14ac:dyDescent="0.2">
      <c r="A3925" s="1" t="s">
        <v>25</v>
      </c>
      <c r="B3925" s="2" t="s">
        <v>405</v>
      </c>
      <c r="D3925" s="5" t="s">
        <v>643</v>
      </c>
      <c r="E3925" s="3">
        <v>144220</v>
      </c>
      <c r="F3925" s="3">
        <v>140347</v>
      </c>
      <c r="G3925" s="57">
        <f t="shared" si="63"/>
        <v>-2.6854805158785189E-2</v>
      </c>
      <c r="H3925" s="5" t="s">
        <v>4520</v>
      </c>
    </row>
    <row r="3926" spans="1:8" ht="25.5" x14ac:dyDescent="0.2">
      <c r="A3926" s="1" t="s">
        <v>25</v>
      </c>
      <c r="B3926" s="2" t="s">
        <v>405</v>
      </c>
      <c r="D3926" s="5" t="s">
        <v>644</v>
      </c>
      <c r="E3926" s="3">
        <v>117674</v>
      </c>
      <c r="F3926" s="3">
        <v>146994</v>
      </c>
      <c r="G3926" s="57">
        <f t="shared" si="63"/>
        <v>0.24916294168635383</v>
      </c>
      <c r="H3926" s="5" t="s">
        <v>2415</v>
      </c>
    </row>
    <row r="3927" spans="1:8" ht="25.5" x14ac:dyDescent="0.2">
      <c r="A3927" s="1" t="s">
        <v>25</v>
      </c>
      <c r="B3927" s="2" t="s">
        <v>405</v>
      </c>
      <c r="D3927" s="5" t="s">
        <v>451</v>
      </c>
      <c r="E3927" s="3" t="s">
        <v>465</v>
      </c>
      <c r="F3927" s="3">
        <v>126391</v>
      </c>
      <c r="G3927" s="57" t="str">
        <f t="shared" si="63"/>
        <v>-</v>
      </c>
      <c r="H3927" s="5" t="s">
        <v>2416</v>
      </c>
    </row>
    <row r="3928" spans="1:8" x14ac:dyDescent="0.2">
      <c r="A3928" s="1" t="s">
        <v>25</v>
      </c>
      <c r="B3928" s="2" t="s">
        <v>405</v>
      </c>
      <c r="D3928" s="5" t="s">
        <v>464</v>
      </c>
      <c r="E3928" s="3" t="s">
        <v>465</v>
      </c>
      <c r="F3928" s="3">
        <v>102500</v>
      </c>
      <c r="G3928" s="57" t="str">
        <f t="shared" si="63"/>
        <v>-</v>
      </c>
    </row>
    <row r="3929" spans="1:8" x14ac:dyDescent="0.2">
      <c r="A3929" s="1" t="s">
        <v>25</v>
      </c>
      <c r="B3929" s="2" t="s">
        <v>405</v>
      </c>
      <c r="D3929" s="5" t="s">
        <v>464</v>
      </c>
      <c r="E3929" s="3" t="s">
        <v>465</v>
      </c>
      <c r="F3929" s="3">
        <v>102500</v>
      </c>
      <c r="G3929" s="57" t="str">
        <f t="shared" si="63"/>
        <v>-</v>
      </c>
    </row>
    <row r="3930" spans="1:8" x14ac:dyDescent="0.2">
      <c r="A3930" s="1" t="s">
        <v>25</v>
      </c>
      <c r="B3930" s="2" t="s">
        <v>405</v>
      </c>
      <c r="D3930" s="5" t="s">
        <v>464</v>
      </c>
      <c r="E3930" s="3">
        <v>107500</v>
      </c>
      <c r="F3930" s="3" t="s">
        <v>465</v>
      </c>
      <c r="G3930" s="57" t="str">
        <f t="shared" si="63"/>
        <v>-</v>
      </c>
    </row>
    <row r="3931" spans="1:8" x14ac:dyDescent="0.2">
      <c r="A3931" s="1" t="s">
        <v>25</v>
      </c>
      <c r="B3931" s="2" t="s">
        <v>405</v>
      </c>
      <c r="D3931" s="5" t="s">
        <v>464</v>
      </c>
      <c r="E3931" s="3">
        <v>107500</v>
      </c>
      <c r="F3931" s="3" t="s">
        <v>465</v>
      </c>
      <c r="G3931" s="57" t="str">
        <f t="shared" si="63"/>
        <v>-</v>
      </c>
    </row>
    <row r="3932" spans="1:8" x14ac:dyDescent="0.2">
      <c r="A3932" s="1" t="s">
        <v>25</v>
      </c>
      <c r="B3932" s="2" t="s">
        <v>405</v>
      </c>
      <c r="D3932" s="5" t="s">
        <v>464</v>
      </c>
      <c r="E3932" s="3" t="s">
        <v>465</v>
      </c>
      <c r="F3932" s="3">
        <v>107500</v>
      </c>
      <c r="G3932" s="57" t="str">
        <f t="shared" si="63"/>
        <v>-</v>
      </c>
    </row>
    <row r="3933" spans="1:8" x14ac:dyDescent="0.2">
      <c r="A3933" s="1" t="s">
        <v>25</v>
      </c>
      <c r="B3933" s="2" t="s">
        <v>405</v>
      </c>
      <c r="D3933" s="5" t="s">
        <v>464</v>
      </c>
      <c r="E3933" s="3">
        <v>117500</v>
      </c>
      <c r="F3933" s="3" t="s">
        <v>465</v>
      </c>
      <c r="G3933" s="57" t="str">
        <f t="shared" si="63"/>
        <v>-</v>
      </c>
    </row>
    <row r="3934" spans="1:8" x14ac:dyDescent="0.2">
      <c r="A3934" s="1" t="s">
        <v>25</v>
      </c>
      <c r="B3934" s="2" t="s">
        <v>405</v>
      </c>
      <c r="D3934" s="5" t="s">
        <v>464</v>
      </c>
      <c r="E3934" s="3">
        <v>122500</v>
      </c>
      <c r="F3934" s="3" t="s">
        <v>465</v>
      </c>
      <c r="G3934" s="57" t="str">
        <f t="shared" si="63"/>
        <v>-</v>
      </c>
    </row>
    <row r="3935" spans="1:8" x14ac:dyDescent="0.2">
      <c r="A3935" s="1" t="s">
        <v>25</v>
      </c>
      <c r="B3935" s="2" t="s">
        <v>405</v>
      </c>
      <c r="D3935" s="5" t="s">
        <v>464</v>
      </c>
      <c r="E3935" s="3" t="s">
        <v>465</v>
      </c>
      <c r="F3935" s="3">
        <v>122500</v>
      </c>
      <c r="G3935" s="57" t="str">
        <f t="shared" si="63"/>
        <v>-</v>
      </c>
    </row>
    <row r="3936" spans="1:8" x14ac:dyDescent="0.2">
      <c r="A3936" s="1" t="s">
        <v>25</v>
      </c>
      <c r="B3936" s="2" t="s">
        <v>405</v>
      </c>
      <c r="D3936" s="5" t="s">
        <v>464</v>
      </c>
      <c r="E3936" s="3" t="s">
        <v>465</v>
      </c>
      <c r="F3936" s="3">
        <v>127500</v>
      </c>
      <c r="G3936" s="57" t="str">
        <f t="shared" si="63"/>
        <v>-</v>
      </c>
    </row>
    <row r="3937" spans="1:8" x14ac:dyDescent="0.2">
      <c r="A3937" s="1" t="s">
        <v>25</v>
      </c>
      <c r="B3937" s="2" t="s">
        <v>405</v>
      </c>
      <c r="D3937" s="5" t="s">
        <v>464</v>
      </c>
      <c r="E3937" s="3">
        <v>137500</v>
      </c>
      <c r="F3937" s="3" t="s">
        <v>465</v>
      </c>
      <c r="G3937" s="57" t="str">
        <f t="shared" si="63"/>
        <v>-</v>
      </c>
    </row>
    <row r="3938" spans="1:8" x14ac:dyDescent="0.2">
      <c r="A3938" s="1" t="s">
        <v>25</v>
      </c>
      <c r="B3938" s="2" t="s">
        <v>405</v>
      </c>
      <c r="D3938" s="5" t="s">
        <v>464</v>
      </c>
      <c r="E3938" s="3" t="s">
        <v>465</v>
      </c>
      <c r="F3938" s="3">
        <v>137500</v>
      </c>
      <c r="G3938" s="57" t="str">
        <f t="shared" si="63"/>
        <v>-</v>
      </c>
    </row>
    <row r="3939" spans="1:8" x14ac:dyDescent="0.2">
      <c r="A3939" s="1" t="s">
        <v>25</v>
      </c>
      <c r="B3939" s="2" t="s">
        <v>405</v>
      </c>
      <c r="D3939" s="5" t="s">
        <v>464</v>
      </c>
      <c r="E3939" s="3" t="s">
        <v>465</v>
      </c>
      <c r="F3939" s="3">
        <v>137500</v>
      </c>
      <c r="G3939" s="57" t="str">
        <f t="shared" si="63"/>
        <v>-</v>
      </c>
    </row>
    <row r="3940" spans="1:8" x14ac:dyDescent="0.2">
      <c r="A3940" s="1" t="s">
        <v>25</v>
      </c>
      <c r="B3940" s="2" t="s">
        <v>405</v>
      </c>
      <c r="D3940" s="5" t="s">
        <v>464</v>
      </c>
      <c r="E3940" s="3">
        <v>142500</v>
      </c>
      <c r="F3940" s="3" t="s">
        <v>465</v>
      </c>
      <c r="G3940" s="57" t="str">
        <f t="shared" si="63"/>
        <v>-</v>
      </c>
    </row>
    <row r="3941" spans="1:8" x14ac:dyDescent="0.2">
      <c r="A3941" s="1" t="s">
        <v>25</v>
      </c>
      <c r="B3941" s="2" t="s">
        <v>405</v>
      </c>
      <c r="D3941" s="5" t="s">
        <v>464</v>
      </c>
      <c r="E3941" s="3">
        <v>152500</v>
      </c>
      <c r="F3941" s="3" t="s">
        <v>465</v>
      </c>
      <c r="G3941" s="57" t="str">
        <f t="shared" si="63"/>
        <v>-</v>
      </c>
    </row>
    <row r="3942" spans="1:8" x14ac:dyDescent="0.2">
      <c r="A3942" s="1" t="s">
        <v>25</v>
      </c>
      <c r="B3942" s="2" t="s">
        <v>405</v>
      </c>
      <c r="D3942" s="5" t="s">
        <v>464</v>
      </c>
      <c r="E3942" s="3" t="s">
        <v>465</v>
      </c>
      <c r="F3942" s="3">
        <v>172500</v>
      </c>
      <c r="G3942" s="57" t="str">
        <f t="shared" si="63"/>
        <v>-</v>
      </c>
    </row>
    <row r="3943" spans="1:8" x14ac:dyDescent="0.2">
      <c r="A3943" s="1" t="s">
        <v>25</v>
      </c>
      <c r="B3943" s="2" t="s">
        <v>405</v>
      </c>
      <c r="D3943" s="5" t="s">
        <v>464</v>
      </c>
      <c r="E3943" s="3" t="s">
        <v>465</v>
      </c>
      <c r="F3943" s="3">
        <v>182500</v>
      </c>
      <c r="G3943" s="57" t="str">
        <f t="shared" si="63"/>
        <v>-</v>
      </c>
    </row>
    <row r="3944" spans="1:8" x14ac:dyDescent="0.2">
      <c r="A3944" s="1" t="s">
        <v>25</v>
      </c>
      <c r="B3944" s="2" t="s">
        <v>405</v>
      </c>
      <c r="D3944" s="5" t="s">
        <v>464</v>
      </c>
      <c r="E3944" s="3">
        <v>217500</v>
      </c>
      <c r="F3944" s="3" t="s">
        <v>465</v>
      </c>
      <c r="G3944" s="57" t="str">
        <f t="shared" si="63"/>
        <v>-</v>
      </c>
    </row>
    <row r="3945" spans="1:8" ht="51" x14ac:dyDescent="0.2">
      <c r="A3945" s="1" t="s">
        <v>25</v>
      </c>
      <c r="B3945" s="2" t="s">
        <v>406</v>
      </c>
      <c r="C3945" s="5" t="s">
        <v>617</v>
      </c>
      <c r="D3945" s="5" t="s">
        <v>618</v>
      </c>
      <c r="E3945" s="9">
        <v>356891</v>
      </c>
      <c r="F3945" s="3">
        <v>227420</v>
      </c>
      <c r="G3945" s="57">
        <f t="shared" si="63"/>
        <v>-0.36277462866813676</v>
      </c>
      <c r="H3945" s="5" t="s">
        <v>4521</v>
      </c>
    </row>
    <row r="3946" spans="1:8" ht="38.25" x14ac:dyDescent="0.2">
      <c r="A3946" s="1" t="s">
        <v>25</v>
      </c>
      <c r="B3946" s="2" t="s">
        <v>406</v>
      </c>
      <c r="C3946" s="5" t="s">
        <v>619</v>
      </c>
      <c r="D3946" s="5" t="s">
        <v>562</v>
      </c>
      <c r="E3946" s="9">
        <v>213788</v>
      </c>
      <c r="F3946" s="3">
        <v>212420</v>
      </c>
      <c r="G3946" s="57">
        <f t="shared" si="63"/>
        <v>-6.3988624244578742E-3</v>
      </c>
      <c r="H3946" s="5" t="s">
        <v>2402</v>
      </c>
    </row>
    <row r="3947" spans="1:8" ht="38.25" x14ac:dyDescent="0.2">
      <c r="A3947" s="1" t="s">
        <v>25</v>
      </c>
      <c r="B3947" s="2" t="s">
        <v>406</v>
      </c>
      <c r="C3947" s="5" t="s">
        <v>620</v>
      </c>
      <c r="D3947" s="5" t="s">
        <v>621</v>
      </c>
      <c r="E3947" s="9">
        <v>193751</v>
      </c>
      <c r="F3947" s="3">
        <v>210753</v>
      </c>
      <c r="G3947" s="57">
        <f t="shared" si="63"/>
        <v>8.7751805151973408E-2</v>
      </c>
      <c r="H3947" s="5" t="s">
        <v>4522</v>
      </c>
    </row>
    <row r="3948" spans="1:8" ht="38.25" x14ac:dyDescent="0.2">
      <c r="A3948" s="1" t="s">
        <v>25</v>
      </c>
      <c r="B3948" s="2" t="s">
        <v>406</v>
      </c>
      <c r="C3948" s="5" t="s">
        <v>622</v>
      </c>
      <c r="D3948" s="5" t="s">
        <v>623</v>
      </c>
      <c r="E3948" s="9">
        <v>252180</v>
      </c>
      <c r="F3948" s="3">
        <v>209707</v>
      </c>
      <c r="G3948" s="57">
        <f t="shared" si="63"/>
        <v>-0.16842334840193512</v>
      </c>
      <c r="H3948" s="5" t="s">
        <v>2403</v>
      </c>
    </row>
    <row r="3949" spans="1:8" ht="38.25" x14ac:dyDescent="0.2">
      <c r="A3949" s="1" t="s">
        <v>25</v>
      </c>
      <c r="B3949" s="2" t="s">
        <v>406</v>
      </c>
      <c r="C3949" s="5" t="s">
        <v>624</v>
      </c>
      <c r="D3949" s="5" t="s">
        <v>625</v>
      </c>
      <c r="E3949" s="9">
        <v>197589</v>
      </c>
      <c r="F3949" s="3">
        <v>200253</v>
      </c>
      <c r="G3949" s="57">
        <f t="shared" si="63"/>
        <v>1.3482531922323611E-2</v>
      </c>
      <c r="H3949" s="5" t="s">
        <v>2404</v>
      </c>
    </row>
    <row r="3950" spans="1:8" ht="38.25" x14ac:dyDescent="0.2">
      <c r="A3950" s="1" t="s">
        <v>25</v>
      </c>
      <c r="B3950" s="2" t="s">
        <v>406</v>
      </c>
      <c r="C3950" s="5" t="s">
        <v>626</v>
      </c>
      <c r="D3950" s="5" t="s">
        <v>627</v>
      </c>
      <c r="E3950" s="9">
        <v>197440</v>
      </c>
      <c r="F3950" s="3">
        <v>199856</v>
      </c>
      <c r="G3950" s="57">
        <f t="shared" si="63"/>
        <v>1.2236628849270665E-2</v>
      </c>
      <c r="H3950" s="5" t="s">
        <v>2405</v>
      </c>
    </row>
    <row r="3951" spans="1:8" ht="38.25" x14ac:dyDescent="0.2">
      <c r="A3951" s="1" t="s">
        <v>25</v>
      </c>
      <c r="B3951" s="2" t="s">
        <v>406</v>
      </c>
      <c r="C3951" s="5" t="s">
        <v>628</v>
      </c>
      <c r="D3951" s="5" t="s">
        <v>549</v>
      </c>
      <c r="E3951" s="9">
        <v>188721</v>
      </c>
      <c r="F3951" s="3">
        <v>189730</v>
      </c>
      <c r="G3951" s="57">
        <f t="shared" si="63"/>
        <v>5.3465168158286572E-3</v>
      </c>
      <c r="H3951" s="5" t="s">
        <v>2406</v>
      </c>
    </row>
    <row r="3952" spans="1:8" ht="38.25" x14ac:dyDescent="0.2">
      <c r="A3952" s="1" t="s">
        <v>25</v>
      </c>
      <c r="B3952" s="2" t="s">
        <v>406</v>
      </c>
      <c r="D3952" s="5" t="s">
        <v>532</v>
      </c>
      <c r="E3952" s="9" t="s">
        <v>465</v>
      </c>
      <c r="F3952" s="3">
        <v>175234</v>
      </c>
      <c r="G3952" s="57" t="str">
        <f t="shared" si="63"/>
        <v>-</v>
      </c>
      <c r="H3952" s="5" t="s">
        <v>2407</v>
      </c>
    </row>
    <row r="3953" spans="1:8" ht="38.25" x14ac:dyDescent="0.2">
      <c r="A3953" s="1" t="s">
        <v>25</v>
      </c>
      <c r="B3953" s="2" t="s">
        <v>406</v>
      </c>
      <c r="D3953" s="5" t="s">
        <v>629</v>
      </c>
      <c r="E3953" s="9">
        <v>153912</v>
      </c>
      <c r="F3953" s="3">
        <v>156049</v>
      </c>
      <c r="G3953" s="57">
        <f t="shared" si="63"/>
        <v>1.3884557409428764E-2</v>
      </c>
      <c r="H3953" s="5" t="s">
        <v>2408</v>
      </c>
    </row>
    <row r="3954" spans="1:8" ht="63.75" x14ac:dyDescent="0.2">
      <c r="A3954" s="1" t="s">
        <v>25</v>
      </c>
      <c r="B3954" s="2" t="s">
        <v>406</v>
      </c>
      <c r="D3954" s="5" t="s">
        <v>506</v>
      </c>
      <c r="E3954" s="9" t="s">
        <v>465</v>
      </c>
      <c r="F3954" s="3">
        <v>139883</v>
      </c>
      <c r="G3954" s="57" t="str">
        <f t="shared" si="63"/>
        <v>-</v>
      </c>
      <c r="H3954" s="5" t="s">
        <v>2886</v>
      </c>
    </row>
    <row r="3955" spans="1:8" ht="38.25" x14ac:dyDescent="0.2">
      <c r="A3955" s="1" t="s">
        <v>25</v>
      </c>
      <c r="B3955" s="2" t="s">
        <v>406</v>
      </c>
      <c r="D3955" s="5" t="s">
        <v>630</v>
      </c>
      <c r="E3955" s="9">
        <v>137151</v>
      </c>
      <c r="F3955" s="3">
        <v>134994</v>
      </c>
      <c r="G3955" s="57">
        <f t="shared" si="63"/>
        <v>-1.5727191198022617E-2</v>
      </c>
      <c r="H3955" s="5" t="s">
        <v>2409</v>
      </c>
    </row>
    <row r="3956" spans="1:8" ht="51" x14ac:dyDescent="0.2">
      <c r="A3956" s="1" t="s">
        <v>25</v>
      </c>
      <c r="B3956" s="2" t="s">
        <v>406</v>
      </c>
      <c r="C3956" s="5" t="s">
        <v>631</v>
      </c>
      <c r="D3956" s="5" t="s">
        <v>506</v>
      </c>
      <c r="E3956" s="9">
        <v>218724</v>
      </c>
      <c r="F3956" s="3">
        <v>132247</v>
      </c>
      <c r="G3956" s="57">
        <f t="shared" si="63"/>
        <v>-0.39537042117005905</v>
      </c>
      <c r="H3956" s="5" t="s">
        <v>4523</v>
      </c>
    </row>
    <row r="3957" spans="1:8" ht="25.5" x14ac:dyDescent="0.2">
      <c r="A3957" s="1" t="s">
        <v>25</v>
      </c>
      <c r="B3957" s="2" t="s">
        <v>406</v>
      </c>
      <c r="D3957" s="5" t="s">
        <v>632</v>
      </c>
      <c r="E3957" s="9">
        <v>128184</v>
      </c>
      <c r="F3957" s="3">
        <v>132168</v>
      </c>
      <c r="G3957" s="57">
        <f t="shared" si="63"/>
        <v>3.1080322037071711E-2</v>
      </c>
      <c r="H3957" s="5" t="s">
        <v>2410</v>
      </c>
    </row>
    <row r="3958" spans="1:8" ht="51" x14ac:dyDescent="0.2">
      <c r="A3958" s="1" t="s">
        <v>25</v>
      </c>
      <c r="B3958" s="2" t="s">
        <v>406</v>
      </c>
      <c r="D3958" s="5" t="s">
        <v>633</v>
      </c>
      <c r="E3958" s="9">
        <v>53001</v>
      </c>
      <c r="F3958" s="3">
        <v>129051</v>
      </c>
      <c r="G3958" s="57">
        <f t="shared" si="63"/>
        <v>1.434878587196468</v>
      </c>
      <c r="H3958" s="5" t="s">
        <v>2887</v>
      </c>
    </row>
    <row r="3959" spans="1:8" ht="38.25" x14ac:dyDescent="0.2">
      <c r="A3959" s="1" t="s">
        <v>25</v>
      </c>
      <c r="B3959" s="2" t="s">
        <v>406</v>
      </c>
      <c r="D3959" s="5" t="s">
        <v>634</v>
      </c>
      <c r="E3959" s="9">
        <v>117295</v>
      </c>
      <c r="F3959" s="3">
        <v>122709</v>
      </c>
      <c r="G3959" s="57">
        <f t="shared" si="63"/>
        <v>4.6157125197152482E-2</v>
      </c>
      <c r="H3959" s="5" t="s">
        <v>2411</v>
      </c>
    </row>
    <row r="3960" spans="1:8" ht="25.5" x14ac:dyDescent="0.2">
      <c r="A3960" s="1" t="s">
        <v>25</v>
      </c>
      <c r="B3960" s="2" t="s">
        <v>406</v>
      </c>
      <c r="D3960" s="5" t="s">
        <v>635</v>
      </c>
      <c r="E3960" s="9">
        <v>127210</v>
      </c>
      <c r="F3960" s="3">
        <v>120451</v>
      </c>
      <c r="G3960" s="57">
        <f t="shared" si="63"/>
        <v>-5.313261536042764E-2</v>
      </c>
      <c r="H3960" s="5" t="s">
        <v>2412</v>
      </c>
    </row>
    <row r="3961" spans="1:8" ht="38.25" x14ac:dyDescent="0.2">
      <c r="A3961" s="1" t="s">
        <v>25</v>
      </c>
      <c r="B3961" s="2" t="s">
        <v>406</v>
      </c>
      <c r="D3961" s="5" t="s">
        <v>636</v>
      </c>
      <c r="E3961" s="9">
        <v>116478</v>
      </c>
      <c r="F3961" s="3">
        <v>118340</v>
      </c>
      <c r="G3961" s="57">
        <f t="shared" si="63"/>
        <v>1.5985851405415617E-2</v>
      </c>
      <c r="H3961" s="5" t="s">
        <v>2413</v>
      </c>
    </row>
    <row r="3962" spans="1:8" ht="51" x14ac:dyDescent="0.2">
      <c r="A3962" s="1" t="s">
        <v>25</v>
      </c>
      <c r="B3962" s="2" t="s">
        <v>406</v>
      </c>
      <c r="C3962" s="5" t="s">
        <v>637</v>
      </c>
      <c r="D3962" s="5" t="s">
        <v>638</v>
      </c>
      <c r="E3962" s="9" t="s">
        <v>465</v>
      </c>
      <c r="F3962" s="3">
        <v>106132</v>
      </c>
      <c r="G3962" s="57" t="str">
        <f t="shared" si="63"/>
        <v>-</v>
      </c>
      <c r="H3962" s="5" t="s">
        <v>4524</v>
      </c>
    </row>
    <row r="3963" spans="1:8" ht="25.5" x14ac:dyDescent="0.2">
      <c r="A3963" s="1" t="s">
        <v>25</v>
      </c>
      <c r="B3963" s="2" t="s">
        <v>406</v>
      </c>
      <c r="D3963" s="5" t="s">
        <v>2401</v>
      </c>
      <c r="E3963" s="9">
        <v>126847</v>
      </c>
      <c r="F3963" s="3" t="s">
        <v>465</v>
      </c>
      <c r="G3963" s="57" t="str">
        <f t="shared" si="63"/>
        <v>-</v>
      </c>
    </row>
    <row r="3964" spans="1:8" x14ac:dyDescent="0.2">
      <c r="A3964" s="1" t="s">
        <v>25</v>
      </c>
      <c r="B3964" s="2" t="s">
        <v>406</v>
      </c>
      <c r="D3964" s="5" t="s">
        <v>464</v>
      </c>
      <c r="E3964" s="3">
        <v>102500</v>
      </c>
      <c r="F3964" s="3" t="s">
        <v>465</v>
      </c>
      <c r="G3964" s="57" t="str">
        <f t="shared" si="63"/>
        <v>-</v>
      </c>
      <c r="H3964" s="1"/>
    </row>
    <row r="3965" spans="1:8" x14ac:dyDescent="0.2">
      <c r="A3965" s="1" t="s">
        <v>25</v>
      </c>
      <c r="B3965" s="2" t="s">
        <v>406</v>
      </c>
      <c r="D3965" s="5" t="s">
        <v>464</v>
      </c>
      <c r="E3965" s="3" t="s">
        <v>465</v>
      </c>
      <c r="F3965" s="3">
        <v>102500</v>
      </c>
      <c r="G3965" s="57" t="str">
        <f t="shared" si="63"/>
        <v>-</v>
      </c>
      <c r="H3965" s="1"/>
    </row>
    <row r="3966" spans="1:8" x14ac:dyDescent="0.2">
      <c r="A3966" s="1" t="s">
        <v>25</v>
      </c>
      <c r="B3966" s="2" t="s">
        <v>406</v>
      </c>
      <c r="D3966" s="5" t="s">
        <v>464</v>
      </c>
      <c r="E3966" s="3" t="s">
        <v>465</v>
      </c>
      <c r="F3966" s="3">
        <v>102500</v>
      </c>
      <c r="G3966" s="57" t="str">
        <f t="shared" si="63"/>
        <v>-</v>
      </c>
      <c r="H3966" s="1"/>
    </row>
    <row r="3967" spans="1:8" x14ac:dyDescent="0.2">
      <c r="A3967" s="1" t="s">
        <v>25</v>
      </c>
      <c r="B3967" s="2" t="s">
        <v>406</v>
      </c>
      <c r="D3967" s="5" t="s">
        <v>464</v>
      </c>
      <c r="E3967" s="3">
        <v>107500</v>
      </c>
      <c r="F3967" s="3" t="s">
        <v>465</v>
      </c>
      <c r="G3967" s="57" t="str">
        <f t="shared" si="63"/>
        <v>-</v>
      </c>
      <c r="H3967" s="1"/>
    </row>
    <row r="3968" spans="1:8" x14ac:dyDescent="0.2">
      <c r="A3968" s="1" t="s">
        <v>25</v>
      </c>
      <c r="B3968" s="2" t="s">
        <v>406</v>
      </c>
      <c r="D3968" s="5" t="s">
        <v>464</v>
      </c>
      <c r="E3968" s="3">
        <v>107500</v>
      </c>
      <c r="F3968" s="3" t="s">
        <v>465</v>
      </c>
      <c r="G3968" s="57" t="str">
        <f t="shared" si="63"/>
        <v>-</v>
      </c>
      <c r="H3968" s="1"/>
    </row>
    <row r="3969" spans="1:8" x14ac:dyDescent="0.2">
      <c r="A3969" s="1" t="s">
        <v>25</v>
      </c>
      <c r="B3969" s="2" t="s">
        <v>406</v>
      </c>
      <c r="D3969" s="5" t="s">
        <v>464</v>
      </c>
      <c r="E3969" s="3">
        <v>107500</v>
      </c>
      <c r="F3969" s="3" t="s">
        <v>465</v>
      </c>
      <c r="G3969" s="57" t="str">
        <f t="shared" si="63"/>
        <v>-</v>
      </c>
      <c r="H3969" s="1"/>
    </row>
    <row r="3970" spans="1:8" x14ac:dyDescent="0.2">
      <c r="A3970" s="1" t="s">
        <v>25</v>
      </c>
      <c r="B3970" s="2" t="s">
        <v>406</v>
      </c>
      <c r="D3970" s="5" t="s">
        <v>464</v>
      </c>
      <c r="E3970" s="3">
        <v>107500</v>
      </c>
      <c r="F3970" s="3" t="s">
        <v>465</v>
      </c>
      <c r="G3970" s="57" t="str">
        <f t="shared" si="63"/>
        <v>-</v>
      </c>
      <c r="H3970" s="1"/>
    </row>
    <row r="3971" spans="1:8" x14ac:dyDescent="0.2">
      <c r="A3971" s="1" t="s">
        <v>25</v>
      </c>
      <c r="B3971" s="2" t="s">
        <v>406</v>
      </c>
      <c r="D3971" s="5" t="s">
        <v>464</v>
      </c>
      <c r="E3971" s="3" t="s">
        <v>465</v>
      </c>
      <c r="F3971" s="3">
        <v>107500</v>
      </c>
      <c r="G3971" s="57" t="str">
        <f t="shared" si="63"/>
        <v>-</v>
      </c>
      <c r="H3971" s="1"/>
    </row>
    <row r="3972" spans="1:8" x14ac:dyDescent="0.2">
      <c r="A3972" s="1" t="s">
        <v>25</v>
      </c>
      <c r="B3972" s="2" t="s">
        <v>406</v>
      </c>
      <c r="D3972" s="5" t="s">
        <v>464</v>
      </c>
      <c r="E3972" s="3" t="s">
        <v>465</v>
      </c>
      <c r="F3972" s="3">
        <v>112500</v>
      </c>
      <c r="G3972" s="57" t="str">
        <f t="shared" si="63"/>
        <v>-</v>
      </c>
      <c r="H3972" s="1"/>
    </row>
    <row r="3973" spans="1:8" x14ac:dyDescent="0.2">
      <c r="A3973" s="1" t="s">
        <v>25</v>
      </c>
      <c r="B3973" s="2" t="s">
        <v>406</v>
      </c>
      <c r="D3973" s="5" t="s">
        <v>464</v>
      </c>
      <c r="E3973" s="3" t="s">
        <v>465</v>
      </c>
      <c r="F3973" s="3">
        <v>112500</v>
      </c>
      <c r="G3973" s="57" t="str">
        <f t="shared" si="63"/>
        <v>-</v>
      </c>
      <c r="H3973" s="1"/>
    </row>
    <row r="3974" spans="1:8" x14ac:dyDescent="0.2">
      <c r="A3974" s="1" t="s">
        <v>25</v>
      </c>
      <c r="B3974" s="2" t="s">
        <v>406</v>
      </c>
      <c r="D3974" s="5" t="s">
        <v>464</v>
      </c>
      <c r="E3974" s="3" t="s">
        <v>465</v>
      </c>
      <c r="F3974" s="3">
        <v>112500</v>
      </c>
      <c r="G3974" s="57" t="str">
        <f t="shared" si="63"/>
        <v>-</v>
      </c>
      <c r="H3974" s="1"/>
    </row>
    <row r="3975" spans="1:8" x14ac:dyDescent="0.2">
      <c r="A3975" s="1" t="s">
        <v>25</v>
      </c>
      <c r="B3975" s="2" t="s">
        <v>406</v>
      </c>
      <c r="D3975" s="5" t="s">
        <v>464</v>
      </c>
      <c r="E3975" s="3" t="s">
        <v>465</v>
      </c>
      <c r="F3975" s="3">
        <v>112500</v>
      </c>
      <c r="G3975" s="57" t="str">
        <f t="shared" si="63"/>
        <v>-</v>
      </c>
      <c r="H3975" s="1"/>
    </row>
    <row r="3976" spans="1:8" x14ac:dyDescent="0.2">
      <c r="A3976" s="1" t="s">
        <v>25</v>
      </c>
      <c r="B3976" s="2" t="s">
        <v>406</v>
      </c>
      <c r="D3976" s="5" t="s">
        <v>464</v>
      </c>
      <c r="E3976" s="3" t="s">
        <v>465</v>
      </c>
      <c r="F3976" s="3">
        <v>112500</v>
      </c>
      <c r="G3976" s="57" t="str">
        <f t="shared" si="63"/>
        <v>-</v>
      </c>
      <c r="H3976" s="1"/>
    </row>
    <row r="3977" spans="1:8" x14ac:dyDescent="0.2">
      <c r="A3977" s="1" t="s">
        <v>25</v>
      </c>
      <c r="B3977" s="2" t="s">
        <v>406</v>
      </c>
      <c r="D3977" s="5" t="s">
        <v>464</v>
      </c>
      <c r="E3977" s="3">
        <v>112500</v>
      </c>
      <c r="F3977" s="3" t="s">
        <v>465</v>
      </c>
      <c r="G3977" s="57" t="str">
        <f t="shared" si="63"/>
        <v>-</v>
      </c>
      <c r="H3977" s="1"/>
    </row>
    <row r="3978" spans="1:8" x14ac:dyDescent="0.2">
      <c r="A3978" s="1" t="s">
        <v>25</v>
      </c>
      <c r="B3978" s="2" t="s">
        <v>406</v>
      </c>
      <c r="D3978" s="5" t="s">
        <v>464</v>
      </c>
      <c r="E3978" s="3">
        <v>112500</v>
      </c>
      <c r="F3978" s="3" t="s">
        <v>465</v>
      </c>
      <c r="G3978" s="57" t="str">
        <f t="shared" si="63"/>
        <v>-</v>
      </c>
      <c r="H3978" s="1"/>
    </row>
    <row r="3979" spans="1:8" x14ac:dyDescent="0.2">
      <c r="A3979" s="1" t="s">
        <v>25</v>
      </c>
      <c r="B3979" s="2" t="s">
        <v>406</v>
      </c>
      <c r="D3979" s="5" t="s">
        <v>464</v>
      </c>
      <c r="E3979" s="3">
        <v>112500</v>
      </c>
      <c r="F3979" s="3" t="s">
        <v>465</v>
      </c>
      <c r="G3979" s="57" t="str">
        <f t="shared" si="63"/>
        <v>-</v>
      </c>
      <c r="H3979" s="1"/>
    </row>
    <row r="3980" spans="1:8" x14ac:dyDescent="0.2">
      <c r="A3980" s="1" t="s">
        <v>25</v>
      </c>
      <c r="B3980" s="2" t="s">
        <v>406</v>
      </c>
      <c r="D3980" s="5" t="s">
        <v>464</v>
      </c>
      <c r="E3980" s="3" t="s">
        <v>465</v>
      </c>
      <c r="F3980" s="3">
        <v>117500</v>
      </c>
      <c r="G3980" s="57" t="str">
        <f t="shared" si="63"/>
        <v>-</v>
      </c>
      <c r="H3980" s="1"/>
    </row>
    <row r="3981" spans="1:8" x14ac:dyDescent="0.2">
      <c r="A3981" s="1" t="s">
        <v>25</v>
      </c>
      <c r="B3981" s="2" t="s">
        <v>406</v>
      </c>
      <c r="D3981" s="5" t="s">
        <v>464</v>
      </c>
      <c r="E3981" s="3" t="s">
        <v>465</v>
      </c>
      <c r="F3981" s="3">
        <v>122500</v>
      </c>
      <c r="G3981" s="57" t="str">
        <f t="shared" si="63"/>
        <v>-</v>
      </c>
      <c r="H3981" s="1"/>
    </row>
    <row r="3982" spans="1:8" x14ac:dyDescent="0.2">
      <c r="A3982" s="1" t="s">
        <v>25</v>
      </c>
      <c r="B3982" s="2" t="s">
        <v>406</v>
      </c>
      <c r="D3982" s="5" t="s">
        <v>464</v>
      </c>
      <c r="E3982" s="3">
        <v>122500</v>
      </c>
      <c r="F3982" s="3" t="s">
        <v>465</v>
      </c>
      <c r="G3982" s="57" t="str">
        <f t="shared" si="63"/>
        <v>-</v>
      </c>
      <c r="H3982" s="1"/>
    </row>
    <row r="3983" spans="1:8" x14ac:dyDescent="0.2">
      <c r="A3983" s="1" t="s">
        <v>25</v>
      </c>
      <c r="B3983" s="2" t="s">
        <v>406</v>
      </c>
      <c r="D3983" s="5" t="s">
        <v>464</v>
      </c>
      <c r="E3983" s="3">
        <v>127500</v>
      </c>
      <c r="F3983" s="3" t="s">
        <v>465</v>
      </c>
      <c r="G3983" s="57" t="str">
        <f t="shared" si="63"/>
        <v>-</v>
      </c>
      <c r="H3983" s="1"/>
    </row>
    <row r="3984" spans="1:8" x14ac:dyDescent="0.2">
      <c r="A3984" s="1" t="s">
        <v>25</v>
      </c>
      <c r="B3984" s="2" t="s">
        <v>406</v>
      </c>
      <c r="D3984" s="5" t="s">
        <v>464</v>
      </c>
      <c r="E3984" s="3">
        <v>127500</v>
      </c>
      <c r="F3984" s="3" t="s">
        <v>465</v>
      </c>
      <c r="G3984" s="57" t="str">
        <f t="shared" si="63"/>
        <v>-</v>
      </c>
      <c r="H3984" s="1"/>
    </row>
    <row r="3985" spans="1:8" x14ac:dyDescent="0.2">
      <c r="A3985" s="1" t="s">
        <v>25</v>
      </c>
      <c r="B3985" s="2" t="s">
        <v>406</v>
      </c>
      <c r="D3985" s="5" t="s">
        <v>464</v>
      </c>
      <c r="E3985" s="3" t="s">
        <v>465</v>
      </c>
      <c r="F3985" s="3">
        <v>127500</v>
      </c>
      <c r="G3985" s="57" t="str">
        <f t="shared" ref="G3985:G4048" si="64">IF(ISERROR((F3985-E3985)/E3985),"-",(F3985-E3985)/E3985)</f>
        <v>-</v>
      </c>
      <c r="H3985" s="1"/>
    </row>
    <row r="3986" spans="1:8" x14ac:dyDescent="0.2">
      <c r="A3986" s="1" t="s">
        <v>25</v>
      </c>
      <c r="B3986" s="2" t="s">
        <v>406</v>
      </c>
      <c r="D3986" s="5" t="s">
        <v>464</v>
      </c>
      <c r="E3986" s="3">
        <v>132500</v>
      </c>
      <c r="F3986" s="3" t="s">
        <v>465</v>
      </c>
      <c r="G3986" s="57" t="str">
        <f t="shared" si="64"/>
        <v>-</v>
      </c>
      <c r="H3986" s="1"/>
    </row>
    <row r="3987" spans="1:8" x14ac:dyDescent="0.2">
      <c r="A3987" s="1" t="s">
        <v>25</v>
      </c>
      <c r="B3987" s="2" t="s">
        <v>406</v>
      </c>
      <c r="D3987" s="5" t="s">
        <v>464</v>
      </c>
      <c r="E3987" s="3">
        <v>132500</v>
      </c>
      <c r="F3987" s="3" t="s">
        <v>465</v>
      </c>
      <c r="G3987" s="57" t="str">
        <f t="shared" si="64"/>
        <v>-</v>
      </c>
      <c r="H3987" s="1"/>
    </row>
    <row r="3988" spans="1:8" x14ac:dyDescent="0.2">
      <c r="A3988" s="1" t="s">
        <v>25</v>
      </c>
      <c r="B3988" s="2" t="s">
        <v>406</v>
      </c>
      <c r="D3988" s="5" t="s">
        <v>464</v>
      </c>
      <c r="E3988" s="3" t="s">
        <v>465</v>
      </c>
      <c r="F3988" s="3">
        <v>132500</v>
      </c>
      <c r="G3988" s="57" t="str">
        <f t="shared" si="64"/>
        <v>-</v>
      </c>
      <c r="H3988" s="1"/>
    </row>
    <row r="3989" spans="1:8" x14ac:dyDescent="0.2">
      <c r="A3989" s="1" t="s">
        <v>25</v>
      </c>
      <c r="B3989" s="2" t="s">
        <v>406</v>
      </c>
      <c r="D3989" s="5" t="s">
        <v>464</v>
      </c>
      <c r="E3989" s="3">
        <v>137500</v>
      </c>
      <c r="F3989" s="3" t="s">
        <v>465</v>
      </c>
      <c r="G3989" s="57" t="str">
        <f t="shared" si="64"/>
        <v>-</v>
      </c>
      <c r="H3989" s="1"/>
    </row>
    <row r="3990" spans="1:8" x14ac:dyDescent="0.2">
      <c r="A3990" s="1" t="s">
        <v>25</v>
      </c>
      <c r="B3990" s="2" t="s">
        <v>406</v>
      </c>
      <c r="D3990" s="5" t="s">
        <v>464</v>
      </c>
      <c r="E3990" s="3">
        <v>137500</v>
      </c>
      <c r="F3990" s="3" t="s">
        <v>465</v>
      </c>
      <c r="G3990" s="57" t="str">
        <f t="shared" si="64"/>
        <v>-</v>
      </c>
      <c r="H3990" s="1"/>
    </row>
    <row r="3991" spans="1:8" x14ac:dyDescent="0.2">
      <c r="A3991" s="1" t="s">
        <v>25</v>
      </c>
      <c r="B3991" s="2" t="s">
        <v>406</v>
      </c>
      <c r="D3991" s="5" t="s">
        <v>464</v>
      </c>
      <c r="E3991" s="3" t="s">
        <v>465</v>
      </c>
      <c r="F3991" s="3">
        <v>137500</v>
      </c>
      <c r="G3991" s="57" t="str">
        <f t="shared" si="64"/>
        <v>-</v>
      </c>
      <c r="H3991" s="1"/>
    </row>
    <row r="3992" spans="1:8" x14ac:dyDescent="0.2">
      <c r="A3992" s="1" t="s">
        <v>25</v>
      </c>
      <c r="B3992" s="2" t="s">
        <v>406</v>
      </c>
      <c r="D3992" s="5" t="s">
        <v>464</v>
      </c>
      <c r="E3992" s="3" t="s">
        <v>465</v>
      </c>
      <c r="F3992" s="3">
        <v>137500</v>
      </c>
      <c r="G3992" s="57" t="str">
        <f t="shared" si="64"/>
        <v>-</v>
      </c>
      <c r="H3992" s="1"/>
    </row>
    <row r="3993" spans="1:8" x14ac:dyDescent="0.2">
      <c r="A3993" s="1" t="s">
        <v>25</v>
      </c>
      <c r="B3993" s="2" t="s">
        <v>406</v>
      </c>
      <c r="D3993" s="5" t="s">
        <v>464</v>
      </c>
      <c r="E3993" s="3">
        <v>142500</v>
      </c>
      <c r="F3993" s="3" t="s">
        <v>465</v>
      </c>
      <c r="G3993" s="57" t="str">
        <f t="shared" si="64"/>
        <v>-</v>
      </c>
      <c r="H3993" s="1"/>
    </row>
    <row r="3994" spans="1:8" x14ac:dyDescent="0.2">
      <c r="A3994" s="1" t="s">
        <v>25</v>
      </c>
      <c r="B3994" s="2" t="s">
        <v>406</v>
      </c>
      <c r="D3994" s="5" t="s">
        <v>464</v>
      </c>
      <c r="E3994" s="3">
        <v>142500</v>
      </c>
      <c r="F3994" s="3" t="s">
        <v>465</v>
      </c>
      <c r="G3994" s="57" t="str">
        <f t="shared" si="64"/>
        <v>-</v>
      </c>
      <c r="H3994" s="1"/>
    </row>
    <row r="3995" spans="1:8" ht="25.5" x14ac:dyDescent="0.2">
      <c r="A3995" s="1" t="s">
        <v>6</v>
      </c>
      <c r="B3995" s="2" t="s">
        <v>407</v>
      </c>
      <c r="C3995" s="5" t="s">
        <v>605</v>
      </c>
      <c r="D3995" s="5" t="s">
        <v>450</v>
      </c>
      <c r="E3995" s="3">
        <v>191000</v>
      </c>
      <c r="F3995" s="3">
        <v>198519</v>
      </c>
      <c r="G3995" s="57">
        <f t="shared" si="64"/>
        <v>3.9366492146596856E-2</v>
      </c>
      <c r="H3995" s="5" t="s">
        <v>2392</v>
      </c>
    </row>
    <row r="3996" spans="1:8" ht="25.5" x14ac:dyDescent="0.2">
      <c r="A3996" s="1" t="s">
        <v>6</v>
      </c>
      <c r="B3996" s="2" t="s">
        <v>407</v>
      </c>
      <c r="D3996" s="5" t="s">
        <v>606</v>
      </c>
      <c r="E3996" s="3">
        <v>36000</v>
      </c>
      <c r="F3996" s="3">
        <v>146091</v>
      </c>
      <c r="G3996" s="57">
        <f t="shared" si="64"/>
        <v>3.0580833333333333</v>
      </c>
      <c r="H3996" s="5" t="s">
        <v>4525</v>
      </c>
    </row>
    <row r="3997" spans="1:8" ht="25.5" x14ac:dyDescent="0.2">
      <c r="A3997" s="1" t="s">
        <v>6</v>
      </c>
      <c r="B3997" s="2" t="s">
        <v>407</v>
      </c>
      <c r="D3997" s="5" t="s">
        <v>607</v>
      </c>
      <c r="E3997" s="3">
        <v>133000</v>
      </c>
      <c r="F3997" s="3">
        <v>144026</v>
      </c>
      <c r="G3997" s="57">
        <f t="shared" si="64"/>
        <v>8.2902255639097741E-2</v>
      </c>
      <c r="H3997" s="5" t="s">
        <v>2393</v>
      </c>
    </row>
    <row r="3998" spans="1:8" ht="38.25" x14ac:dyDescent="0.2">
      <c r="A3998" s="1" t="s">
        <v>6</v>
      </c>
      <c r="B3998" s="2" t="s">
        <v>407</v>
      </c>
      <c r="D3998" s="5" t="s">
        <v>608</v>
      </c>
      <c r="E3998" s="3">
        <v>78000</v>
      </c>
      <c r="F3998" s="3">
        <v>136600</v>
      </c>
      <c r="G3998" s="57">
        <f t="shared" si="64"/>
        <v>0.75128205128205128</v>
      </c>
      <c r="H3998" s="5" t="s">
        <v>4526</v>
      </c>
    </row>
    <row r="3999" spans="1:8" ht="25.5" x14ac:dyDescent="0.2">
      <c r="A3999" s="1" t="s">
        <v>6</v>
      </c>
      <c r="B3999" s="2" t="s">
        <v>407</v>
      </c>
      <c r="D3999" s="5" t="s">
        <v>451</v>
      </c>
      <c r="E3999" s="3">
        <v>63000</v>
      </c>
      <c r="F3999" s="3">
        <v>131811</v>
      </c>
      <c r="G3999" s="57">
        <f t="shared" si="64"/>
        <v>1.0922380952380952</v>
      </c>
      <c r="H3999" s="5" t="s">
        <v>4527</v>
      </c>
    </row>
    <row r="4000" spans="1:8" ht="25.5" x14ac:dyDescent="0.2">
      <c r="A4000" s="1" t="s">
        <v>6</v>
      </c>
      <c r="B4000" s="2" t="s">
        <v>407</v>
      </c>
      <c r="D4000" s="5" t="s">
        <v>462</v>
      </c>
      <c r="E4000" s="3">
        <v>112000</v>
      </c>
      <c r="F4000" s="3">
        <v>123777</v>
      </c>
      <c r="G4000" s="57">
        <f t="shared" si="64"/>
        <v>0.10515178571428571</v>
      </c>
      <c r="H4000" s="5" t="s">
        <v>2394</v>
      </c>
    </row>
    <row r="4001" spans="1:8" ht="25.5" x14ac:dyDescent="0.2">
      <c r="A4001" s="1" t="s">
        <v>6</v>
      </c>
      <c r="B4001" s="2" t="s">
        <v>407</v>
      </c>
      <c r="D4001" s="5" t="s">
        <v>609</v>
      </c>
      <c r="E4001" s="3">
        <v>106000</v>
      </c>
      <c r="F4001" s="3">
        <v>107265</v>
      </c>
      <c r="G4001" s="57">
        <f t="shared" si="64"/>
        <v>1.1933962264150944E-2</v>
      </c>
      <c r="H4001" s="5" t="s">
        <v>2395</v>
      </c>
    </row>
    <row r="4002" spans="1:8" ht="25.5" x14ac:dyDescent="0.2">
      <c r="A4002" s="1" t="s">
        <v>6</v>
      </c>
      <c r="B4002" s="2" t="s">
        <v>407</v>
      </c>
      <c r="D4002" s="5" t="s">
        <v>610</v>
      </c>
      <c r="E4002" s="3">
        <v>106000</v>
      </c>
      <c r="F4002" s="3">
        <v>106364</v>
      </c>
      <c r="G4002" s="57">
        <f t="shared" si="64"/>
        <v>3.4339622641509433E-3</v>
      </c>
      <c r="H4002" s="5" t="s">
        <v>2396</v>
      </c>
    </row>
    <row r="4003" spans="1:8" ht="25.5" x14ac:dyDescent="0.2">
      <c r="A4003" s="1" t="s">
        <v>6</v>
      </c>
      <c r="B4003" s="2" t="s">
        <v>407</v>
      </c>
      <c r="D4003" s="5" t="s">
        <v>611</v>
      </c>
      <c r="E4003" s="3">
        <v>2000</v>
      </c>
      <c r="F4003" s="3">
        <v>103859</v>
      </c>
      <c r="G4003" s="57">
        <f t="shared" si="64"/>
        <v>50.929499999999997</v>
      </c>
      <c r="H4003" s="5" t="s">
        <v>4528</v>
      </c>
    </row>
    <row r="4004" spans="1:8" ht="25.5" x14ac:dyDescent="0.2">
      <c r="A4004" s="1" t="s">
        <v>6</v>
      </c>
      <c r="B4004" s="2" t="s">
        <v>407</v>
      </c>
      <c r="D4004" s="5" t="s">
        <v>612</v>
      </c>
      <c r="E4004" s="3">
        <v>100000</v>
      </c>
      <c r="F4004" s="3">
        <v>103036</v>
      </c>
      <c r="G4004" s="57">
        <f t="shared" si="64"/>
        <v>3.0360000000000002E-2</v>
      </c>
      <c r="H4004" s="5" t="s">
        <v>2397</v>
      </c>
    </row>
    <row r="4005" spans="1:8" ht="25.5" x14ac:dyDescent="0.2">
      <c r="A4005" s="1" t="s">
        <v>6</v>
      </c>
      <c r="B4005" s="2" t="s">
        <v>407</v>
      </c>
      <c r="D4005" s="5" t="s">
        <v>613</v>
      </c>
      <c r="E4005" s="3">
        <v>87000</v>
      </c>
      <c r="F4005" s="3">
        <v>102578</v>
      </c>
      <c r="G4005" s="57">
        <f t="shared" si="64"/>
        <v>0.17905747126436783</v>
      </c>
      <c r="H4005" s="5" t="s">
        <v>4529</v>
      </c>
    </row>
    <row r="4006" spans="1:8" ht="25.5" x14ac:dyDescent="0.2">
      <c r="A4006" s="1" t="s">
        <v>6</v>
      </c>
      <c r="B4006" s="2" t="s">
        <v>407</v>
      </c>
      <c r="D4006" s="5" t="s">
        <v>614</v>
      </c>
      <c r="E4006" s="3">
        <v>98000</v>
      </c>
      <c r="F4006" s="3">
        <v>102199</v>
      </c>
      <c r="G4006" s="57">
        <f t="shared" si="64"/>
        <v>4.2846938775510206E-2</v>
      </c>
      <c r="H4006" s="5" t="s">
        <v>2398</v>
      </c>
    </row>
    <row r="4007" spans="1:8" ht="25.5" x14ac:dyDescent="0.2">
      <c r="A4007" s="1" t="s">
        <v>6</v>
      </c>
      <c r="B4007" s="2" t="s">
        <v>407</v>
      </c>
      <c r="D4007" s="5" t="s">
        <v>2399</v>
      </c>
      <c r="E4007" s="3">
        <v>95000</v>
      </c>
      <c r="F4007" s="3">
        <v>101349</v>
      </c>
      <c r="G4007" s="57">
        <f t="shared" si="64"/>
        <v>6.6831578947368422E-2</v>
      </c>
      <c r="H4007" s="5" t="s">
        <v>2400</v>
      </c>
    </row>
    <row r="4008" spans="1:8" ht="38.25" x14ac:dyDescent="0.2">
      <c r="A4008" s="1" t="s">
        <v>6</v>
      </c>
      <c r="B4008" s="2" t="s">
        <v>407</v>
      </c>
      <c r="D4008" s="5" t="s">
        <v>615</v>
      </c>
      <c r="E4008" s="3">
        <v>102000</v>
      </c>
      <c r="F4008" s="3">
        <v>105187</v>
      </c>
      <c r="G4008" s="57">
        <f t="shared" si="64"/>
        <v>3.1245098039215685E-2</v>
      </c>
      <c r="H4008" s="5" t="s">
        <v>4535</v>
      </c>
    </row>
    <row r="4009" spans="1:8" ht="38.25" x14ac:dyDescent="0.2">
      <c r="A4009" s="1" t="s">
        <v>6</v>
      </c>
      <c r="B4009" s="2" t="s">
        <v>407</v>
      </c>
      <c r="D4009" s="5" t="s">
        <v>616</v>
      </c>
      <c r="E4009" s="3">
        <v>106000</v>
      </c>
      <c r="F4009" s="3">
        <v>178741</v>
      </c>
      <c r="G4009" s="57">
        <f t="shared" si="64"/>
        <v>0.68623584905660373</v>
      </c>
      <c r="H4009" s="5" t="s">
        <v>4534</v>
      </c>
    </row>
    <row r="4010" spans="1:8" x14ac:dyDescent="0.2">
      <c r="A4010" s="1" t="s">
        <v>6</v>
      </c>
      <c r="B4010" s="2" t="s">
        <v>407</v>
      </c>
      <c r="D4010" s="5" t="s">
        <v>2386</v>
      </c>
      <c r="E4010" s="3">
        <v>113000</v>
      </c>
      <c r="F4010" s="3" t="s">
        <v>465</v>
      </c>
      <c r="G4010" s="57" t="str">
        <f t="shared" si="64"/>
        <v>-</v>
      </c>
      <c r="H4010" s="5" t="s">
        <v>4532</v>
      </c>
    </row>
    <row r="4011" spans="1:8" x14ac:dyDescent="0.2">
      <c r="A4011" s="1" t="s">
        <v>6</v>
      </c>
      <c r="B4011" s="2" t="s">
        <v>407</v>
      </c>
      <c r="D4011" s="5" t="s">
        <v>2387</v>
      </c>
      <c r="E4011" s="3">
        <v>141000</v>
      </c>
      <c r="F4011" s="3" t="s">
        <v>465</v>
      </c>
      <c r="G4011" s="57" t="str">
        <f t="shared" si="64"/>
        <v>-</v>
      </c>
      <c r="H4011" s="5" t="s">
        <v>4533</v>
      </c>
    </row>
    <row r="4012" spans="1:8" ht="25.5" x14ac:dyDescent="0.2">
      <c r="A4012" s="1" t="s">
        <v>6</v>
      </c>
      <c r="B4012" s="2" t="s">
        <v>407</v>
      </c>
      <c r="D4012" s="5" t="s">
        <v>2388</v>
      </c>
      <c r="E4012" s="3">
        <v>144000</v>
      </c>
      <c r="F4012" s="3" t="s">
        <v>465</v>
      </c>
      <c r="G4012" s="57" t="str">
        <f t="shared" si="64"/>
        <v>-</v>
      </c>
      <c r="H4012" s="5" t="s">
        <v>4530</v>
      </c>
    </row>
    <row r="4013" spans="1:8" ht="25.5" x14ac:dyDescent="0.2">
      <c r="A4013" s="1" t="s">
        <v>6</v>
      </c>
      <c r="B4013" s="2" t="s">
        <v>407</v>
      </c>
      <c r="D4013" s="5" t="s">
        <v>2389</v>
      </c>
      <c r="E4013" s="3">
        <v>242000</v>
      </c>
      <c r="F4013" s="3" t="s">
        <v>465</v>
      </c>
      <c r="G4013" s="57" t="str">
        <f t="shared" si="64"/>
        <v>-</v>
      </c>
      <c r="H4013" s="5" t="s">
        <v>3759</v>
      </c>
    </row>
    <row r="4014" spans="1:8" ht="25.5" x14ac:dyDescent="0.2">
      <c r="A4014" s="1" t="s">
        <v>6</v>
      </c>
      <c r="B4014" s="2" t="s">
        <v>407</v>
      </c>
      <c r="D4014" s="5" t="s">
        <v>2390</v>
      </c>
      <c r="E4014" s="3">
        <v>202000</v>
      </c>
      <c r="F4014" s="3" t="s">
        <v>465</v>
      </c>
      <c r="G4014" s="57" t="str">
        <f t="shared" si="64"/>
        <v>-</v>
      </c>
      <c r="H4014" s="5" t="s">
        <v>4531</v>
      </c>
    </row>
    <row r="4015" spans="1:8" ht="25.5" x14ac:dyDescent="0.2">
      <c r="A4015" s="1" t="s">
        <v>6</v>
      </c>
      <c r="B4015" s="2" t="s">
        <v>407</v>
      </c>
      <c r="D4015" s="5" t="s">
        <v>2391</v>
      </c>
      <c r="E4015" s="3">
        <v>132000</v>
      </c>
      <c r="F4015" s="3" t="s">
        <v>465</v>
      </c>
      <c r="G4015" s="57" t="str">
        <f t="shared" si="64"/>
        <v>-</v>
      </c>
      <c r="H4015" s="5" t="s">
        <v>4389</v>
      </c>
    </row>
    <row r="4016" spans="1:8" x14ac:dyDescent="0.2">
      <c r="A4016" s="1" t="s">
        <v>6</v>
      </c>
      <c r="B4016" s="2" t="s">
        <v>407</v>
      </c>
      <c r="D4016" s="5" t="s">
        <v>464</v>
      </c>
      <c r="E4016" s="3">
        <v>102500</v>
      </c>
      <c r="F4016" s="3" t="s">
        <v>465</v>
      </c>
      <c r="G4016" s="57" t="str">
        <f t="shared" si="64"/>
        <v>-</v>
      </c>
      <c r="H4016" s="5" t="s">
        <v>651</v>
      </c>
    </row>
    <row r="4017" spans="1:8" x14ac:dyDescent="0.2">
      <c r="A4017" s="1" t="s">
        <v>6</v>
      </c>
      <c r="B4017" s="2" t="s">
        <v>407</v>
      </c>
      <c r="D4017" s="5" t="s">
        <v>464</v>
      </c>
      <c r="E4017" s="3">
        <v>107500</v>
      </c>
      <c r="F4017" s="3" t="s">
        <v>465</v>
      </c>
      <c r="G4017" s="57" t="str">
        <f t="shared" si="64"/>
        <v>-</v>
      </c>
      <c r="H4017" s="5" t="s">
        <v>651</v>
      </c>
    </row>
    <row r="4018" spans="1:8" x14ac:dyDescent="0.2">
      <c r="A4018" s="1" t="s">
        <v>6</v>
      </c>
      <c r="B4018" s="2" t="s">
        <v>407</v>
      </c>
      <c r="D4018" s="5" t="s">
        <v>464</v>
      </c>
      <c r="E4018" s="3">
        <v>107500</v>
      </c>
      <c r="F4018" s="3" t="s">
        <v>465</v>
      </c>
      <c r="G4018" s="57" t="str">
        <f t="shared" si="64"/>
        <v>-</v>
      </c>
      <c r="H4018" s="5" t="s">
        <v>651</v>
      </c>
    </row>
    <row r="4019" spans="1:8" x14ac:dyDescent="0.2">
      <c r="A4019" s="1" t="s">
        <v>6</v>
      </c>
      <c r="B4019" s="2" t="s">
        <v>407</v>
      </c>
      <c r="D4019" s="5" t="s">
        <v>464</v>
      </c>
      <c r="E4019" s="3">
        <v>107500</v>
      </c>
      <c r="F4019" s="3" t="s">
        <v>465</v>
      </c>
      <c r="G4019" s="57" t="str">
        <f t="shared" si="64"/>
        <v>-</v>
      </c>
      <c r="H4019" s="5" t="s">
        <v>651</v>
      </c>
    </row>
    <row r="4020" spans="1:8" x14ac:dyDescent="0.2">
      <c r="A4020" s="1" t="s">
        <v>6</v>
      </c>
      <c r="B4020" s="2" t="s">
        <v>407</v>
      </c>
      <c r="D4020" s="5" t="s">
        <v>464</v>
      </c>
      <c r="E4020" s="3">
        <v>107500</v>
      </c>
      <c r="F4020" s="3" t="s">
        <v>465</v>
      </c>
      <c r="G4020" s="57" t="str">
        <f t="shared" si="64"/>
        <v>-</v>
      </c>
      <c r="H4020" s="5" t="s">
        <v>651</v>
      </c>
    </row>
    <row r="4021" spans="1:8" x14ac:dyDescent="0.2">
      <c r="A4021" s="1" t="s">
        <v>6</v>
      </c>
      <c r="B4021" s="2" t="s">
        <v>407</v>
      </c>
      <c r="D4021" s="5" t="s">
        <v>464</v>
      </c>
      <c r="E4021" s="3">
        <v>112500</v>
      </c>
      <c r="F4021" s="3" t="s">
        <v>465</v>
      </c>
      <c r="G4021" s="57" t="str">
        <f t="shared" si="64"/>
        <v>-</v>
      </c>
      <c r="H4021" s="5" t="s">
        <v>651</v>
      </c>
    </row>
    <row r="4022" spans="1:8" x14ac:dyDescent="0.2">
      <c r="A4022" s="1" t="s">
        <v>6</v>
      </c>
      <c r="B4022" s="2" t="s">
        <v>407</v>
      </c>
      <c r="D4022" s="5" t="s">
        <v>464</v>
      </c>
      <c r="E4022" s="3">
        <v>112500</v>
      </c>
      <c r="F4022" s="3" t="s">
        <v>465</v>
      </c>
      <c r="G4022" s="57" t="str">
        <f t="shared" si="64"/>
        <v>-</v>
      </c>
      <c r="H4022" s="5" t="s">
        <v>651</v>
      </c>
    </row>
    <row r="4023" spans="1:8" x14ac:dyDescent="0.2">
      <c r="A4023" s="1" t="s">
        <v>6</v>
      </c>
      <c r="B4023" s="2" t="s">
        <v>407</v>
      </c>
      <c r="D4023" s="5" t="s">
        <v>464</v>
      </c>
      <c r="E4023" s="3">
        <v>117500</v>
      </c>
      <c r="F4023" s="3" t="s">
        <v>465</v>
      </c>
      <c r="G4023" s="57" t="str">
        <f t="shared" si="64"/>
        <v>-</v>
      </c>
      <c r="H4023" s="5" t="s">
        <v>651</v>
      </c>
    </row>
    <row r="4024" spans="1:8" x14ac:dyDescent="0.2">
      <c r="A4024" s="1" t="s">
        <v>6</v>
      </c>
      <c r="B4024" s="2" t="s">
        <v>407</v>
      </c>
      <c r="D4024" s="5" t="s">
        <v>464</v>
      </c>
      <c r="E4024" s="3">
        <v>132500</v>
      </c>
      <c r="F4024" s="3" t="s">
        <v>465</v>
      </c>
      <c r="G4024" s="57" t="str">
        <f t="shared" si="64"/>
        <v>-</v>
      </c>
      <c r="H4024" s="5" t="s">
        <v>651</v>
      </c>
    </row>
    <row r="4025" spans="1:8" x14ac:dyDescent="0.2">
      <c r="A4025" s="1" t="s">
        <v>6</v>
      </c>
      <c r="B4025" s="2" t="s">
        <v>407</v>
      </c>
      <c r="D4025" s="5" t="s">
        <v>464</v>
      </c>
      <c r="E4025" s="3">
        <v>137500</v>
      </c>
      <c r="F4025" s="3" t="s">
        <v>465</v>
      </c>
      <c r="G4025" s="57" t="str">
        <f t="shared" si="64"/>
        <v>-</v>
      </c>
      <c r="H4025" s="5" t="s">
        <v>651</v>
      </c>
    </row>
    <row r="4026" spans="1:8" x14ac:dyDescent="0.2">
      <c r="A4026" s="1" t="s">
        <v>6</v>
      </c>
      <c r="B4026" s="2" t="s">
        <v>407</v>
      </c>
      <c r="D4026" s="5" t="s">
        <v>464</v>
      </c>
      <c r="E4026" s="3">
        <v>137500</v>
      </c>
      <c r="F4026" s="3" t="s">
        <v>465</v>
      </c>
      <c r="G4026" s="57" t="str">
        <f t="shared" si="64"/>
        <v>-</v>
      </c>
      <c r="H4026" s="5" t="s">
        <v>651</v>
      </c>
    </row>
    <row r="4027" spans="1:8" x14ac:dyDescent="0.2">
      <c r="A4027" s="1" t="s">
        <v>6</v>
      </c>
      <c r="B4027" s="2" t="s">
        <v>407</v>
      </c>
      <c r="D4027" s="5" t="s">
        <v>464</v>
      </c>
      <c r="E4027" s="3">
        <v>147500</v>
      </c>
      <c r="F4027" s="3" t="s">
        <v>465</v>
      </c>
      <c r="G4027" s="57" t="str">
        <f t="shared" si="64"/>
        <v>-</v>
      </c>
      <c r="H4027" s="5" t="s">
        <v>651</v>
      </c>
    </row>
    <row r="4028" spans="1:8" x14ac:dyDescent="0.2">
      <c r="A4028" s="1" t="s">
        <v>6</v>
      </c>
      <c r="B4028" s="2" t="s">
        <v>407</v>
      </c>
      <c r="D4028" s="5" t="s">
        <v>464</v>
      </c>
      <c r="E4028" s="3">
        <v>152500</v>
      </c>
      <c r="F4028" s="3" t="s">
        <v>465</v>
      </c>
      <c r="G4028" s="57" t="str">
        <f t="shared" si="64"/>
        <v>-</v>
      </c>
      <c r="H4028" s="5" t="s">
        <v>651</v>
      </c>
    </row>
    <row r="4029" spans="1:8" x14ac:dyDescent="0.2">
      <c r="A4029" s="1" t="s">
        <v>6</v>
      </c>
      <c r="B4029" s="2" t="s">
        <v>407</v>
      </c>
      <c r="D4029" s="5" t="s">
        <v>464</v>
      </c>
      <c r="E4029" s="3">
        <v>222500</v>
      </c>
      <c r="F4029" s="3" t="s">
        <v>465</v>
      </c>
      <c r="G4029" s="57" t="str">
        <f t="shared" si="64"/>
        <v>-</v>
      </c>
      <c r="H4029" s="5" t="s">
        <v>651</v>
      </c>
    </row>
    <row r="4030" spans="1:8" x14ac:dyDescent="0.2">
      <c r="A4030" s="1" t="s">
        <v>6</v>
      </c>
      <c r="B4030" s="2" t="s">
        <v>407</v>
      </c>
      <c r="D4030" s="5" t="s">
        <v>464</v>
      </c>
      <c r="E4030" s="3">
        <v>112500</v>
      </c>
      <c r="F4030" s="3" t="s">
        <v>465</v>
      </c>
      <c r="G4030" s="57" t="str">
        <f t="shared" si="64"/>
        <v>-</v>
      </c>
      <c r="H4030" s="5" t="s">
        <v>652</v>
      </c>
    </row>
    <row r="4031" spans="1:8" x14ac:dyDescent="0.2">
      <c r="A4031" s="1" t="s">
        <v>6</v>
      </c>
      <c r="B4031" s="2" t="s">
        <v>407</v>
      </c>
      <c r="D4031" s="5" t="s">
        <v>464</v>
      </c>
      <c r="E4031" s="3">
        <v>152500</v>
      </c>
      <c r="F4031" s="3" t="s">
        <v>465</v>
      </c>
      <c r="G4031" s="57" t="str">
        <f t="shared" si="64"/>
        <v>-</v>
      </c>
      <c r="H4031" s="5" t="s">
        <v>652</v>
      </c>
    </row>
    <row r="4032" spans="1:8" x14ac:dyDescent="0.2">
      <c r="A4032" s="1" t="s">
        <v>6</v>
      </c>
      <c r="B4032" s="2" t="s">
        <v>407</v>
      </c>
      <c r="D4032" s="5" t="s">
        <v>464</v>
      </c>
      <c r="E4032" s="3">
        <v>152500</v>
      </c>
      <c r="F4032" s="3" t="s">
        <v>465</v>
      </c>
      <c r="G4032" s="57" t="str">
        <f t="shared" si="64"/>
        <v>-</v>
      </c>
      <c r="H4032" s="5" t="s">
        <v>652</v>
      </c>
    </row>
    <row r="4033" spans="1:8" x14ac:dyDescent="0.2">
      <c r="A4033" s="1" t="s">
        <v>6</v>
      </c>
      <c r="B4033" s="2" t="s">
        <v>407</v>
      </c>
      <c r="D4033" s="5" t="s">
        <v>464</v>
      </c>
      <c r="E4033" s="3">
        <v>182500</v>
      </c>
      <c r="F4033" s="3" t="s">
        <v>465</v>
      </c>
      <c r="G4033" s="57" t="str">
        <f t="shared" si="64"/>
        <v>-</v>
      </c>
      <c r="H4033" s="5" t="s">
        <v>652</v>
      </c>
    </row>
    <row r="4034" spans="1:8" x14ac:dyDescent="0.2">
      <c r="A4034" s="1" t="s">
        <v>6</v>
      </c>
      <c r="B4034" s="2" t="s">
        <v>407</v>
      </c>
      <c r="D4034" s="5" t="s">
        <v>464</v>
      </c>
      <c r="E4034" s="3" t="s">
        <v>465</v>
      </c>
      <c r="F4034" s="3">
        <v>102500</v>
      </c>
      <c r="G4034" s="57" t="str">
        <f t="shared" si="64"/>
        <v>-</v>
      </c>
      <c r="H4034" s="5" t="s">
        <v>651</v>
      </c>
    </row>
    <row r="4035" spans="1:8" x14ac:dyDescent="0.2">
      <c r="A4035" s="1" t="s">
        <v>6</v>
      </c>
      <c r="B4035" s="2" t="s">
        <v>407</v>
      </c>
      <c r="D4035" s="5" t="s">
        <v>464</v>
      </c>
      <c r="E4035" s="3" t="s">
        <v>465</v>
      </c>
      <c r="F4035" s="3">
        <v>102500</v>
      </c>
      <c r="G4035" s="57" t="str">
        <f t="shared" si="64"/>
        <v>-</v>
      </c>
      <c r="H4035" s="5" t="s">
        <v>651</v>
      </c>
    </row>
    <row r="4036" spans="1:8" x14ac:dyDescent="0.2">
      <c r="A4036" s="1" t="s">
        <v>6</v>
      </c>
      <c r="B4036" s="2" t="s">
        <v>407</v>
      </c>
      <c r="D4036" s="5" t="s">
        <v>464</v>
      </c>
      <c r="E4036" s="3" t="s">
        <v>465</v>
      </c>
      <c r="F4036" s="3">
        <v>102500</v>
      </c>
      <c r="G4036" s="57" t="str">
        <f t="shared" si="64"/>
        <v>-</v>
      </c>
      <c r="H4036" s="5" t="s">
        <v>651</v>
      </c>
    </row>
    <row r="4037" spans="1:8" x14ac:dyDescent="0.2">
      <c r="A4037" s="1" t="s">
        <v>6</v>
      </c>
      <c r="B4037" s="2" t="s">
        <v>407</v>
      </c>
      <c r="D4037" s="5" t="s">
        <v>464</v>
      </c>
      <c r="E4037" s="3" t="s">
        <v>465</v>
      </c>
      <c r="F4037" s="3">
        <v>102500</v>
      </c>
      <c r="G4037" s="57" t="str">
        <f t="shared" si="64"/>
        <v>-</v>
      </c>
      <c r="H4037" s="5" t="s">
        <v>651</v>
      </c>
    </row>
    <row r="4038" spans="1:8" x14ac:dyDescent="0.2">
      <c r="A4038" s="1" t="s">
        <v>6</v>
      </c>
      <c r="B4038" s="2" t="s">
        <v>407</v>
      </c>
      <c r="D4038" s="5" t="s">
        <v>464</v>
      </c>
      <c r="E4038" s="3" t="s">
        <v>465</v>
      </c>
      <c r="F4038" s="3">
        <v>112500</v>
      </c>
      <c r="G4038" s="57" t="str">
        <f t="shared" si="64"/>
        <v>-</v>
      </c>
      <c r="H4038" s="5" t="s">
        <v>651</v>
      </c>
    </row>
    <row r="4039" spans="1:8" x14ac:dyDescent="0.2">
      <c r="A4039" s="1" t="s">
        <v>6</v>
      </c>
      <c r="B4039" s="2" t="s">
        <v>407</v>
      </c>
      <c r="D4039" s="5" t="s">
        <v>464</v>
      </c>
      <c r="E4039" s="3" t="s">
        <v>465</v>
      </c>
      <c r="F4039" s="3">
        <v>112500</v>
      </c>
      <c r="G4039" s="57" t="str">
        <f t="shared" si="64"/>
        <v>-</v>
      </c>
      <c r="H4039" s="5" t="s">
        <v>651</v>
      </c>
    </row>
    <row r="4040" spans="1:8" x14ac:dyDescent="0.2">
      <c r="A4040" s="1" t="s">
        <v>6</v>
      </c>
      <c r="B4040" s="2" t="s">
        <v>407</v>
      </c>
      <c r="D4040" s="5" t="s">
        <v>464</v>
      </c>
      <c r="E4040" s="3" t="s">
        <v>465</v>
      </c>
      <c r="F4040" s="3">
        <v>112500</v>
      </c>
      <c r="G4040" s="57" t="str">
        <f t="shared" si="64"/>
        <v>-</v>
      </c>
      <c r="H4040" s="5" t="s">
        <v>651</v>
      </c>
    </row>
    <row r="4041" spans="1:8" x14ac:dyDescent="0.2">
      <c r="A4041" s="1" t="s">
        <v>6</v>
      </c>
      <c r="B4041" s="2" t="s">
        <v>407</v>
      </c>
      <c r="D4041" s="5" t="s">
        <v>464</v>
      </c>
      <c r="E4041" s="3" t="s">
        <v>465</v>
      </c>
      <c r="F4041" s="3">
        <v>117500</v>
      </c>
      <c r="G4041" s="57" t="str">
        <f t="shared" si="64"/>
        <v>-</v>
      </c>
      <c r="H4041" s="5" t="s">
        <v>651</v>
      </c>
    </row>
    <row r="4042" spans="1:8" x14ac:dyDescent="0.2">
      <c r="A4042" s="1" t="s">
        <v>6</v>
      </c>
      <c r="B4042" s="2" t="s">
        <v>407</v>
      </c>
      <c r="D4042" s="5" t="s">
        <v>464</v>
      </c>
      <c r="E4042" s="3" t="s">
        <v>465</v>
      </c>
      <c r="F4042" s="3">
        <v>117500</v>
      </c>
      <c r="G4042" s="57" t="str">
        <f t="shared" si="64"/>
        <v>-</v>
      </c>
      <c r="H4042" s="5" t="s">
        <v>651</v>
      </c>
    </row>
    <row r="4043" spans="1:8" x14ac:dyDescent="0.2">
      <c r="A4043" s="1" t="s">
        <v>6</v>
      </c>
      <c r="B4043" s="2" t="s">
        <v>407</v>
      </c>
      <c r="D4043" s="5" t="s">
        <v>464</v>
      </c>
      <c r="E4043" s="3" t="s">
        <v>465</v>
      </c>
      <c r="F4043" s="3">
        <v>122500</v>
      </c>
      <c r="G4043" s="57" t="str">
        <f t="shared" si="64"/>
        <v>-</v>
      </c>
      <c r="H4043" s="5" t="s">
        <v>651</v>
      </c>
    </row>
    <row r="4044" spans="1:8" x14ac:dyDescent="0.2">
      <c r="A4044" s="1" t="s">
        <v>6</v>
      </c>
      <c r="B4044" s="2" t="s">
        <v>407</v>
      </c>
      <c r="D4044" s="5" t="s">
        <v>464</v>
      </c>
      <c r="E4044" s="3" t="s">
        <v>465</v>
      </c>
      <c r="F4044" s="3">
        <v>122500</v>
      </c>
      <c r="G4044" s="57" t="str">
        <f t="shared" si="64"/>
        <v>-</v>
      </c>
      <c r="H4044" s="5" t="s">
        <v>651</v>
      </c>
    </row>
    <row r="4045" spans="1:8" x14ac:dyDescent="0.2">
      <c r="A4045" s="1" t="s">
        <v>6</v>
      </c>
      <c r="B4045" s="2" t="s">
        <v>407</v>
      </c>
      <c r="D4045" s="5" t="s">
        <v>464</v>
      </c>
      <c r="E4045" s="3" t="s">
        <v>465</v>
      </c>
      <c r="F4045" s="3">
        <v>167500</v>
      </c>
      <c r="G4045" s="57" t="str">
        <f t="shared" si="64"/>
        <v>-</v>
      </c>
      <c r="H4045" s="5" t="s">
        <v>651</v>
      </c>
    </row>
    <row r="4046" spans="1:8" x14ac:dyDescent="0.2">
      <c r="A4046" s="1" t="s">
        <v>6</v>
      </c>
      <c r="B4046" s="2" t="s">
        <v>407</v>
      </c>
      <c r="D4046" s="5" t="s">
        <v>464</v>
      </c>
      <c r="E4046" s="3" t="s">
        <v>465</v>
      </c>
      <c r="F4046" s="3">
        <v>167500</v>
      </c>
      <c r="G4046" s="57" t="str">
        <f t="shared" si="64"/>
        <v>-</v>
      </c>
      <c r="H4046" s="5" t="s">
        <v>651</v>
      </c>
    </row>
    <row r="4047" spans="1:8" x14ac:dyDescent="0.2">
      <c r="A4047" s="1" t="s">
        <v>6</v>
      </c>
      <c r="B4047" s="2" t="s">
        <v>407</v>
      </c>
      <c r="D4047" s="5" t="s">
        <v>464</v>
      </c>
      <c r="E4047" s="3" t="s">
        <v>465</v>
      </c>
      <c r="F4047" s="3">
        <v>102500</v>
      </c>
      <c r="G4047" s="57" t="str">
        <f t="shared" si="64"/>
        <v>-</v>
      </c>
      <c r="H4047" s="5" t="s">
        <v>652</v>
      </c>
    </row>
    <row r="4048" spans="1:8" x14ac:dyDescent="0.2">
      <c r="A4048" s="1" t="s">
        <v>6</v>
      </c>
      <c r="B4048" s="2" t="s">
        <v>407</v>
      </c>
      <c r="D4048" s="5" t="s">
        <v>464</v>
      </c>
      <c r="E4048" s="3" t="s">
        <v>465</v>
      </c>
      <c r="F4048" s="3">
        <v>102500</v>
      </c>
      <c r="G4048" s="57" t="str">
        <f t="shared" si="64"/>
        <v>-</v>
      </c>
      <c r="H4048" s="5" t="s">
        <v>652</v>
      </c>
    </row>
    <row r="4049" spans="1:8" x14ac:dyDescent="0.2">
      <c r="A4049" s="1" t="s">
        <v>6</v>
      </c>
      <c r="B4049" s="2" t="s">
        <v>407</v>
      </c>
      <c r="D4049" s="5" t="s">
        <v>464</v>
      </c>
      <c r="E4049" s="3" t="s">
        <v>465</v>
      </c>
      <c r="F4049" s="3">
        <v>102500</v>
      </c>
      <c r="G4049" s="57" t="str">
        <f t="shared" ref="G4049:G4112" si="65">IF(ISERROR((F4049-E4049)/E4049),"-",(F4049-E4049)/E4049)</f>
        <v>-</v>
      </c>
      <c r="H4049" s="5" t="s">
        <v>652</v>
      </c>
    </row>
    <row r="4050" spans="1:8" x14ac:dyDescent="0.2">
      <c r="A4050" s="1" t="s">
        <v>6</v>
      </c>
      <c r="B4050" s="2" t="s">
        <v>407</v>
      </c>
      <c r="D4050" s="5" t="s">
        <v>464</v>
      </c>
      <c r="E4050" s="3" t="s">
        <v>465</v>
      </c>
      <c r="F4050" s="3">
        <v>102500</v>
      </c>
      <c r="G4050" s="57" t="str">
        <f t="shared" si="65"/>
        <v>-</v>
      </c>
      <c r="H4050" s="5" t="s">
        <v>652</v>
      </c>
    </row>
    <row r="4051" spans="1:8" x14ac:dyDescent="0.2">
      <c r="A4051" s="1" t="s">
        <v>6</v>
      </c>
      <c r="B4051" s="2" t="s">
        <v>407</v>
      </c>
      <c r="D4051" s="5" t="s">
        <v>464</v>
      </c>
      <c r="E4051" s="3" t="s">
        <v>465</v>
      </c>
      <c r="F4051" s="3">
        <v>112500</v>
      </c>
      <c r="G4051" s="57" t="str">
        <f t="shared" si="65"/>
        <v>-</v>
      </c>
      <c r="H4051" s="5" t="s">
        <v>652</v>
      </c>
    </row>
    <row r="4052" spans="1:8" x14ac:dyDescent="0.2">
      <c r="A4052" s="1" t="s">
        <v>6</v>
      </c>
      <c r="B4052" s="2" t="s">
        <v>407</v>
      </c>
      <c r="D4052" s="5" t="s">
        <v>464</v>
      </c>
      <c r="E4052" s="3" t="s">
        <v>465</v>
      </c>
      <c r="F4052" s="3">
        <v>137500</v>
      </c>
      <c r="G4052" s="57" t="str">
        <f t="shared" si="65"/>
        <v>-</v>
      </c>
      <c r="H4052" s="5" t="s">
        <v>652</v>
      </c>
    </row>
    <row r="4053" spans="1:8" ht="25.5" x14ac:dyDescent="0.2">
      <c r="A4053" s="1" t="s">
        <v>39</v>
      </c>
      <c r="B4053" s="2" t="s">
        <v>408</v>
      </c>
      <c r="D4053" s="5" t="s">
        <v>450</v>
      </c>
      <c r="E4053" s="3">
        <v>129822</v>
      </c>
      <c r="F4053" s="3">
        <v>126985</v>
      </c>
      <c r="G4053" s="57">
        <f t="shared" si="65"/>
        <v>-2.1852998721326122E-2</v>
      </c>
      <c r="H4053" s="5" t="s">
        <v>1626</v>
      </c>
    </row>
    <row r="4054" spans="1:8" ht="25.5" x14ac:dyDescent="0.2">
      <c r="A4054" s="1" t="s">
        <v>39</v>
      </c>
      <c r="B4054" s="2" t="s">
        <v>409</v>
      </c>
      <c r="C4054" s="5" t="s">
        <v>600</v>
      </c>
      <c r="D4054" s="5" t="s">
        <v>450</v>
      </c>
      <c r="E4054" s="3">
        <v>204242</v>
      </c>
      <c r="F4054" s="3">
        <v>204100</v>
      </c>
      <c r="G4054" s="57">
        <f t="shared" si="65"/>
        <v>-6.9525366966637612E-4</v>
      </c>
      <c r="H4054" s="5" t="s">
        <v>2379</v>
      </c>
    </row>
    <row r="4055" spans="1:8" ht="25.5" x14ac:dyDescent="0.2">
      <c r="A4055" s="1" t="s">
        <v>39</v>
      </c>
      <c r="B4055" s="2" t="s">
        <v>409</v>
      </c>
      <c r="D4055" s="5" t="s">
        <v>601</v>
      </c>
      <c r="E4055" s="3">
        <v>156859</v>
      </c>
      <c r="F4055" s="3">
        <v>158037</v>
      </c>
      <c r="G4055" s="57">
        <f t="shared" si="65"/>
        <v>7.5099292995620274E-3</v>
      </c>
      <c r="H4055" s="5" t="s">
        <v>2380</v>
      </c>
    </row>
    <row r="4056" spans="1:8" ht="25.5" x14ac:dyDescent="0.2">
      <c r="A4056" s="1" t="s">
        <v>39</v>
      </c>
      <c r="B4056" s="2" t="s">
        <v>409</v>
      </c>
      <c r="D4056" s="5" t="s">
        <v>602</v>
      </c>
      <c r="E4056" s="3">
        <v>146632</v>
      </c>
      <c r="F4056" s="3">
        <v>146876</v>
      </c>
      <c r="G4056" s="57">
        <f t="shared" si="65"/>
        <v>1.6640296797424846E-3</v>
      </c>
      <c r="H4056" s="5" t="s">
        <v>2381</v>
      </c>
    </row>
    <row r="4057" spans="1:8" ht="25.5" x14ac:dyDescent="0.2">
      <c r="A4057" s="1" t="s">
        <v>39</v>
      </c>
      <c r="B4057" s="2" t="s">
        <v>409</v>
      </c>
      <c r="D4057" s="5" t="s">
        <v>603</v>
      </c>
      <c r="E4057" s="3">
        <v>138611</v>
      </c>
      <c r="F4057" s="3">
        <v>143323</v>
      </c>
      <c r="G4057" s="57">
        <f t="shared" si="65"/>
        <v>3.3994416027588001E-2</v>
      </c>
      <c r="H4057" s="5" t="s">
        <v>2382</v>
      </c>
    </row>
    <row r="4058" spans="1:8" ht="63.75" x14ac:dyDescent="0.2">
      <c r="A4058" s="1" t="s">
        <v>39</v>
      </c>
      <c r="B4058" s="2" t="s">
        <v>409</v>
      </c>
      <c r="D4058" s="5" t="s">
        <v>604</v>
      </c>
      <c r="E4058" s="3" t="s">
        <v>465</v>
      </c>
      <c r="F4058" s="3">
        <v>165675</v>
      </c>
      <c r="G4058" s="57" t="str">
        <f t="shared" si="65"/>
        <v>-</v>
      </c>
      <c r="H4058" s="5" t="s">
        <v>4536</v>
      </c>
    </row>
    <row r="4059" spans="1:8" ht="25.5" x14ac:dyDescent="0.2">
      <c r="A4059" s="1" t="s">
        <v>39</v>
      </c>
      <c r="B4059" s="2" t="s">
        <v>409</v>
      </c>
      <c r="D4059" s="5" t="s">
        <v>2378</v>
      </c>
      <c r="E4059" s="3">
        <v>146566</v>
      </c>
      <c r="F4059" s="3">
        <v>147586</v>
      </c>
      <c r="G4059" s="57">
        <f t="shared" si="65"/>
        <v>6.9593220801550159E-3</v>
      </c>
      <c r="H4059" s="5" t="s">
        <v>2383</v>
      </c>
    </row>
    <row r="4060" spans="1:8" ht="25.5" x14ac:dyDescent="0.2">
      <c r="A4060" s="1" t="s">
        <v>39</v>
      </c>
      <c r="B4060" s="2" t="s">
        <v>409</v>
      </c>
      <c r="D4060" s="5" t="s">
        <v>451</v>
      </c>
      <c r="E4060" s="3">
        <v>126744</v>
      </c>
      <c r="F4060" s="3">
        <v>131422</v>
      </c>
      <c r="G4060" s="57">
        <f t="shared" si="65"/>
        <v>3.6909045004102761E-2</v>
      </c>
      <c r="H4060" s="5" t="s">
        <v>2384</v>
      </c>
    </row>
    <row r="4061" spans="1:8" ht="25.5" x14ac:dyDescent="0.2">
      <c r="A4061" s="1" t="s">
        <v>39</v>
      </c>
      <c r="B4061" s="2" t="s">
        <v>409</v>
      </c>
      <c r="D4061" s="5" t="s">
        <v>2385</v>
      </c>
      <c r="E4061" s="3">
        <v>148797</v>
      </c>
      <c r="F4061" s="3" t="s">
        <v>465</v>
      </c>
      <c r="G4061" s="57" t="str">
        <f t="shared" si="65"/>
        <v>-</v>
      </c>
      <c r="H4061" s="11"/>
    </row>
    <row r="4062" spans="1:8" x14ac:dyDescent="0.2">
      <c r="A4062" s="1" t="s">
        <v>39</v>
      </c>
      <c r="B4062" s="2" t="s">
        <v>409</v>
      </c>
      <c r="D4062" s="5" t="s">
        <v>587</v>
      </c>
      <c r="E4062" s="3">
        <v>102500</v>
      </c>
      <c r="F4062" s="3" t="s">
        <v>465</v>
      </c>
      <c r="G4062" s="57" t="str">
        <f t="shared" si="65"/>
        <v>-</v>
      </c>
    </row>
    <row r="4063" spans="1:8" x14ac:dyDescent="0.2">
      <c r="A4063" s="1" t="s">
        <v>39</v>
      </c>
      <c r="B4063" s="2" t="s">
        <v>409</v>
      </c>
      <c r="D4063" s="5" t="s">
        <v>587</v>
      </c>
      <c r="E4063" s="3" t="s">
        <v>465</v>
      </c>
      <c r="F4063" s="3">
        <v>102500</v>
      </c>
      <c r="G4063" s="57" t="str">
        <f t="shared" si="65"/>
        <v>-</v>
      </c>
    </row>
    <row r="4064" spans="1:8" x14ac:dyDescent="0.2">
      <c r="A4064" s="1" t="s">
        <v>39</v>
      </c>
      <c r="B4064" s="2" t="s">
        <v>409</v>
      </c>
      <c r="D4064" s="5" t="s">
        <v>587</v>
      </c>
      <c r="E4064" s="3" t="s">
        <v>465</v>
      </c>
      <c r="F4064" s="3">
        <v>102500</v>
      </c>
      <c r="G4064" s="57" t="str">
        <f t="shared" si="65"/>
        <v>-</v>
      </c>
    </row>
    <row r="4065" spans="1:8" x14ac:dyDescent="0.2">
      <c r="A4065" s="1" t="s">
        <v>39</v>
      </c>
      <c r="B4065" s="2" t="s">
        <v>409</v>
      </c>
      <c r="D4065" s="5" t="s">
        <v>587</v>
      </c>
      <c r="E4065" s="3" t="s">
        <v>465</v>
      </c>
      <c r="F4065" s="3">
        <v>102500</v>
      </c>
      <c r="G4065" s="57" t="str">
        <f t="shared" si="65"/>
        <v>-</v>
      </c>
      <c r="H4065" s="5" t="s">
        <v>540</v>
      </c>
    </row>
    <row r="4066" spans="1:8" x14ac:dyDescent="0.2">
      <c r="A4066" s="1" t="s">
        <v>39</v>
      </c>
      <c r="B4066" s="2" t="s">
        <v>409</v>
      </c>
      <c r="D4066" s="5" t="s">
        <v>587</v>
      </c>
      <c r="E4066" s="3" t="s">
        <v>465</v>
      </c>
      <c r="F4066" s="3">
        <v>102500</v>
      </c>
      <c r="G4066" s="57" t="str">
        <f t="shared" si="65"/>
        <v>-</v>
      </c>
      <c r="H4066" s="5" t="s">
        <v>540</v>
      </c>
    </row>
    <row r="4067" spans="1:8" x14ac:dyDescent="0.2">
      <c r="A4067" s="1" t="s">
        <v>39</v>
      </c>
      <c r="B4067" s="2" t="s">
        <v>409</v>
      </c>
      <c r="D4067" s="5" t="s">
        <v>587</v>
      </c>
      <c r="E4067" s="3" t="s">
        <v>465</v>
      </c>
      <c r="F4067" s="3">
        <v>102500</v>
      </c>
      <c r="G4067" s="57" t="str">
        <f t="shared" si="65"/>
        <v>-</v>
      </c>
      <c r="H4067" s="5" t="s">
        <v>540</v>
      </c>
    </row>
    <row r="4068" spans="1:8" x14ac:dyDescent="0.2">
      <c r="A4068" s="1" t="s">
        <v>39</v>
      </c>
      <c r="B4068" s="2" t="s">
        <v>409</v>
      </c>
      <c r="D4068" s="5" t="s">
        <v>587</v>
      </c>
      <c r="E4068" s="3" t="s">
        <v>465</v>
      </c>
      <c r="F4068" s="3">
        <v>107500</v>
      </c>
      <c r="G4068" s="57" t="str">
        <f t="shared" si="65"/>
        <v>-</v>
      </c>
      <c r="H4068" s="5" t="s">
        <v>540</v>
      </c>
    </row>
    <row r="4069" spans="1:8" x14ac:dyDescent="0.2">
      <c r="A4069" s="1" t="s">
        <v>39</v>
      </c>
      <c r="B4069" s="2" t="s">
        <v>409</v>
      </c>
      <c r="D4069" s="5" t="s">
        <v>587</v>
      </c>
      <c r="E4069" s="3" t="s">
        <v>465</v>
      </c>
      <c r="F4069" s="3">
        <v>107500</v>
      </c>
      <c r="G4069" s="57" t="str">
        <f t="shared" si="65"/>
        <v>-</v>
      </c>
      <c r="H4069" s="5" t="s">
        <v>540</v>
      </c>
    </row>
    <row r="4070" spans="1:8" x14ac:dyDescent="0.2">
      <c r="A4070" s="1" t="s">
        <v>39</v>
      </c>
      <c r="B4070" s="2" t="s">
        <v>409</v>
      </c>
      <c r="D4070" s="5" t="s">
        <v>587</v>
      </c>
      <c r="E4070" s="3" t="s">
        <v>465</v>
      </c>
      <c r="F4070" s="3">
        <v>107500</v>
      </c>
      <c r="G4070" s="57" t="str">
        <f t="shared" si="65"/>
        <v>-</v>
      </c>
      <c r="H4070" s="5" t="s">
        <v>540</v>
      </c>
    </row>
    <row r="4071" spans="1:8" x14ac:dyDescent="0.2">
      <c r="A4071" s="1" t="s">
        <v>39</v>
      </c>
      <c r="B4071" s="2" t="s">
        <v>409</v>
      </c>
      <c r="D4071" s="5" t="s">
        <v>587</v>
      </c>
      <c r="E4071" s="3" t="s">
        <v>465</v>
      </c>
      <c r="F4071" s="3">
        <v>112500</v>
      </c>
      <c r="G4071" s="57" t="str">
        <f t="shared" si="65"/>
        <v>-</v>
      </c>
      <c r="H4071" s="5" t="s">
        <v>540</v>
      </c>
    </row>
    <row r="4072" spans="1:8" x14ac:dyDescent="0.2">
      <c r="A4072" s="1" t="s">
        <v>39</v>
      </c>
      <c r="B4072" s="2" t="s">
        <v>409</v>
      </c>
      <c r="D4072" s="5" t="s">
        <v>587</v>
      </c>
      <c r="E4072" s="3" t="s">
        <v>465</v>
      </c>
      <c r="F4072" s="3">
        <v>112500</v>
      </c>
      <c r="G4072" s="57" t="str">
        <f t="shared" si="65"/>
        <v>-</v>
      </c>
      <c r="H4072" s="5" t="s">
        <v>540</v>
      </c>
    </row>
    <row r="4073" spans="1:8" x14ac:dyDescent="0.2">
      <c r="A4073" s="1" t="s">
        <v>39</v>
      </c>
      <c r="B4073" s="2" t="s">
        <v>409</v>
      </c>
      <c r="D4073" s="5" t="s">
        <v>587</v>
      </c>
      <c r="E4073" s="3" t="s">
        <v>465</v>
      </c>
      <c r="F4073" s="3">
        <v>117500</v>
      </c>
      <c r="G4073" s="57" t="str">
        <f t="shared" si="65"/>
        <v>-</v>
      </c>
      <c r="H4073" s="5" t="s">
        <v>540</v>
      </c>
    </row>
    <row r="4074" spans="1:8" x14ac:dyDescent="0.2">
      <c r="A4074" s="1" t="s">
        <v>39</v>
      </c>
      <c r="B4074" s="2" t="s">
        <v>409</v>
      </c>
      <c r="D4074" s="5" t="s">
        <v>587</v>
      </c>
      <c r="E4074" s="3" t="s">
        <v>465</v>
      </c>
      <c r="F4074" s="3">
        <v>117500</v>
      </c>
      <c r="G4074" s="57" t="str">
        <f t="shared" si="65"/>
        <v>-</v>
      </c>
      <c r="H4074" s="5" t="s">
        <v>540</v>
      </c>
    </row>
    <row r="4075" spans="1:8" x14ac:dyDescent="0.2">
      <c r="A4075" s="1" t="s">
        <v>39</v>
      </c>
      <c r="B4075" s="2" t="s">
        <v>409</v>
      </c>
      <c r="D4075" s="5" t="s">
        <v>587</v>
      </c>
      <c r="E4075" s="3" t="s">
        <v>465</v>
      </c>
      <c r="F4075" s="3">
        <v>122500</v>
      </c>
      <c r="G4075" s="57" t="str">
        <f t="shared" si="65"/>
        <v>-</v>
      </c>
      <c r="H4075" s="5" t="s">
        <v>540</v>
      </c>
    </row>
    <row r="4076" spans="1:8" x14ac:dyDescent="0.2">
      <c r="A4076" s="1" t="s">
        <v>39</v>
      </c>
      <c r="B4076" s="2" t="s">
        <v>409</v>
      </c>
      <c r="D4076" s="5" t="s">
        <v>587</v>
      </c>
      <c r="E4076" s="3" t="s">
        <v>465</v>
      </c>
      <c r="F4076" s="3">
        <v>127500</v>
      </c>
      <c r="G4076" s="57" t="str">
        <f t="shared" si="65"/>
        <v>-</v>
      </c>
      <c r="H4076" s="5" t="s">
        <v>540</v>
      </c>
    </row>
    <row r="4077" spans="1:8" x14ac:dyDescent="0.2">
      <c r="A4077" s="1" t="s">
        <v>39</v>
      </c>
      <c r="B4077" s="2" t="s">
        <v>409</v>
      </c>
      <c r="D4077" s="5" t="s">
        <v>587</v>
      </c>
      <c r="E4077" s="3" t="s">
        <v>465</v>
      </c>
      <c r="F4077" s="3">
        <v>127500</v>
      </c>
      <c r="G4077" s="57" t="str">
        <f t="shared" si="65"/>
        <v>-</v>
      </c>
      <c r="H4077" s="5" t="s">
        <v>540</v>
      </c>
    </row>
    <row r="4078" spans="1:8" x14ac:dyDescent="0.2">
      <c r="A4078" s="1" t="s">
        <v>39</v>
      </c>
      <c r="B4078" s="2" t="s">
        <v>409</v>
      </c>
      <c r="D4078" s="5" t="s">
        <v>587</v>
      </c>
      <c r="E4078" s="3" t="s">
        <v>465</v>
      </c>
      <c r="F4078" s="3">
        <v>147500</v>
      </c>
      <c r="G4078" s="57" t="str">
        <f t="shared" si="65"/>
        <v>-</v>
      </c>
      <c r="H4078" s="5" t="s">
        <v>540</v>
      </c>
    </row>
    <row r="4079" spans="1:8" x14ac:dyDescent="0.2">
      <c r="A4079" s="1" t="s">
        <v>39</v>
      </c>
      <c r="B4079" s="2" t="s">
        <v>409</v>
      </c>
      <c r="D4079" s="5" t="s">
        <v>587</v>
      </c>
      <c r="E4079" s="3" t="s">
        <v>465</v>
      </c>
      <c r="F4079" s="3">
        <v>152500</v>
      </c>
      <c r="G4079" s="57" t="str">
        <f t="shared" si="65"/>
        <v>-</v>
      </c>
      <c r="H4079" s="5" t="s">
        <v>540</v>
      </c>
    </row>
    <row r="4080" spans="1:8" x14ac:dyDescent="0.2">
      <c r="A4080" s="1" t="s">
        <v>39</v>
      </c>
      <c r="B4080" s="2" t="s">
        <v>409</v>
      </c>
      <c r="D4080" s="5" t="s">
        <v>587</v>
      </c>
      <c r="E4080" s="3" t="s">
        <v>465</v>
      </c>
      <c r="F4080" s="3">
        <v>187500</v>
      </c>
      <c r="G4080" s="57" t="str">
        <f t="shared" si="65"/>
        <v>-</v>
      </c>
      <c r="H4080" s="5" t="s">
        <v>540</v>
      </c>
    </row>
    <row r="4081" spans="1:8" x14ac:dyDescent="0.2">
      <c r="A4081" s="1" t="s">
        <v>39</v>
      </c>
      <c r="B4081" s="2" t="s">
        <v>409</v>
      </c>
      <c r="D4081" s="5" t="s">
        <v>587</v>
      </c>
      <c r="E4081" s="3" t="s">
        <v>465</v>
      </c>
      <c r="F4081" s="3">
        <v>207500</v>
      </c>
      <c r="G4081" s="57" t="str">
        <f t="shared" si="65"/>
        <v>-</v>
      </c>
      <c r="H4081" s="5" t="s">
        <v>540</v>
      </c>
    </row>
    <row r="4082" spans="1:8" ht="38.25" x14ac:dyDescent="0.2">
      <c r="A4082" s="1" t="s">
        <v>20</v>
      </c>
      <c r="B4082" s="2" t="s">
        <v>410</v>
      </c>
      <c r="D4082" s="5" t="s">
        <v>470</v>
      </c>
      <c r="E4082" s="3">
        <v>99281</v>
      </c>
      <c r="F4082" s="3">
        <v>171313</v>
      </c>
      <c r="G4082" s="57">
        <f t="shared" si="65"/>
        <v>0.72553660821305188</v>
      </c>
      <c r="H4082" s="5" t="s">
        <v>4537</v>
      </c>
    </row>
    <row r="4083" spans="1:8" x14ac:dyDescent="0.2">
      <c r="A4083" s="1" t="s">
        <v>20</v>
      </c>
      <c r="B4083" s="2" t="s">
        <v>410</v>
      </c>
      <c r="D4083" s="5" t="s">
        <v>470</v>
      </c>
      <c r="E4083" s="3">
        <v>110689</v>
      </c>
      <c r="F4083" s="3" t="s">
        <v>465</v>
      </c>
      <c r="G4083" s="57" t="str">
        <f t="shared" si="65"/>
        <v>-</v>
      </c>
      <c r="H4083" s="5" t="s">
        <v>4538</v>
      </c>
    </row>
    <row r="4084" spans="1:8" x14ac:dyDescent="0.2">
      <c r="A4084" s="1" t="s">
        <v>20</v>
      </c>
      <c r="B4084" s="2" t="s">
        <v>410</v>
      </c>
      <c r="D4084" s="5" t="s">
        <v>1762</v>
      </c>
      <c r="E4084" s="3">
        <v>259378</v>
      </c>
      <c r="F4084" s="3" t="s">
        <v>465</v>
      </c>
      <c r="G4084" s="57" t="str">
        <f t="shared" si="65"/>
        <v>-</v>
      </c>
      <c r="H4084" s="5" t="s">
        <v>4539</v>
      </c>
    </row>
    <row r="4085" spans="1:8" ht="25.5" x14ac:dyDescent="0.2">
      <c r="A4085" s="1" t="s">
        <v>20</v>
      </c>
      <c r="B4085" s="2" t="s">
        <v>410</v>
      </c>
      <c r="D4085" s="5" t="s">
        <v>598</v>
      </c>
      <c r="E4085" s="3">
        <v>121063</v>
      </c>
      <c r="F4085" s="3">
        <v>125424</v>
      </c>
      <c r="G4085" s="57">
        <f t="shared" si="65"/>
        <v>3.6022566762759882E-2</v>
      </c>
      <c r="H4085" s="5" t="s">
        <v>1624</v>
      </c>
    </row>
    <row r="4086" spans="1:8" ht="25.5" x14ac:dyDescent="0.2">
      <c r="A4086" s="1" t="s">
        <v>20</v>
      </c>
      <c r="B4086" s="2" t="s">
        <v>410</v>
      </c>
      <c r="D4086" s="5" t="s">
        <v>599</v>
      </c>
      <c r="E4086" s="3">
        <v>125211</v>
      </c>
      <c r="F4086" s="3">
        <v>125423</v>
      </c>
      <c r="G4086" s="57">
        <f t="shared" si="65"/>
        <v>1.6931419763439315E-3</v>
      </c>
      <c r="H4086" s="5" t="s">
        <v>1625</v>
      </c>
    </row>
    <row r="4087" spans="1:8" ht="25.5" x14ac:dyDescent="0.2">
      <c r="A4087" s="1" t="s">
        <v>20</v>
      </c>
      <c r="B4087" s="30" t="s">
        <v>4540</v>
      </c>
      <c r="D4087" s="5" t="s">
        <v>464</v>
      </c>
      <c r="E4087" s="3">
        <v>107500</v>
      </c>
      <c r="F4087" s="3" t="s">
        <v>465</v>
      </c>
      <c r="G4087" s="57" t="str">
        <f t="shared" si="65"/>
        <v>-</v>
      </c>
      <c r="H4087" s="5" t="s">
        <v>539</v>
      </c>
    </row>
    <row r="4088" spans="1:8" ht="25.5" x14ac:dyDescent="0.2">
      <c r="A4088" s="1" t="s">
        <v>4</v>
      </c>
      <c r="B4088" s="2" t="s">
        <v>411</v>
      </c>
      <c r="D4088" s="5" t="s">
        <v>450</v>
      </c>
      <c r="E4088" s="3">
        <v>144836</v>
      </c>
      <c r="F4088" s="3">
        <v>145120</v>
      </c>
      <c r="G4088" s="57">
        <f t="shared" si="65"/>
        <v>1.9608384655748572E-3</v>
      </c>
      <c r="H4088" s="5" t="s">
        <v>597</v>
      </c>
    </row>
    <row r="4089" spans="1:8" ht="25.5" x14ac:dyDescent="0.2">
      <c r="A4089" s="1" t="s">
        <v>4</v>
      </c>
      <c r="B4089" s="2" t="s">
        <v>411</v>
      </c>
      <c r="D4089" s="5" t="s">
        <v>455</v>
      </c>
      <c r="E4089" s="3">
        <v>119366</v>
      </c>
      <c r="F4089" s="3">
        <v>117750</v>
      </c>
      <c r="G4089" s="57">
        <f t="shared" si="65"/>
        <v>-1.3538193455422818E-2</v>
      </c>
      <c r="H4089" s="5" t="s">
        <v>1622</v>
      </c>
    </row>
    <row r="4090" spans="1:8" ht="25.5" x14ac:dyDescent="0.2">
      <c r="A4090" s="1" t="s">
        <v>4</v>
      </c>
      <c r="B4090" s="2" t="s">
        <v>411</v>
      </c>
      <c r="D4090" s="38" t="s">
        <v>504</v>
      </c>
      <c r="E4090" s="3" t="s">
        <v>465</v>
      </c>
      <c r="F4090" s="3">
        <v>101080</v>
      </c>
      <c r="G4090" s="57" t="str">
        <f t="shared" si="65"/>
        <v>-</v>
      </c>
      <c r="H4090" s="5" t="s">
        <v>1623</v>
      </c>
    </row>
    <row r="4091" spans="1:8" x14ac:dyDescent="0.2">
      <c r="A4091" s="1" t="s">
        <v>4</v>
      </c>
      <c r="B4091" s="2" t="s">
        <v>411</v>
      </c>
      <c r="D4091" s="38" t="s">
        <v>2073</v>
      </c>
      <c r="E4091" s="3">
        <v>126690</v>
      </c>
      <c r="F4091" s="3" t="s">
        <v>465</v>
      </c>
      <c r="G4091" s="57" t="str">
        <f t="shared" si="65"/>
        <v>-</v>
      </c>
      <c r="H4091" s="5" t="s">
        <v>2377</v>
      </c>
    </row>
    <row r="4092" spans="1:8" x14ac:dyDescent="0.2">
      <c r="A4092" s="1" t="s">
        <v>4</v>
      </c>
      <c r="B4092" s="2" t="s">
        <v>411</v>
      </c>
      <c r="D4092" s="38" t="s">
        <v>2073</v>
      </c>
      <c r="E4092" s="3">
        <v>112388</v>
      </c>
      <c r="F4092" s="3" t="s">
        <v>465</v>
      </c>
      <c r="G4092" s="57" t="str">
        <f t="shared" si="65"/>
        <v>-</v>
      </c>
    </row>
    <row r="4093" spans="1:8" x14ac:dyDescent="0.2">
      <c r="A4093" s="1" t="s">
        <v>4</v>
      </c>
      <c r="B4093" s="2" t="s">
        <v>411</v>
      </c>
      <c r="D4093" s="5" t="s">
        <v>464</v>
      </c>
      <c r="E4093" s="3" t="s">
        <v>465</v>
      </c>
      <c r="F4093" s="3">
        <v>102500</v>
      </c>
      <c r="G4093" s="57" t="str">
        <f t="shared" si="65"/>
        <v>-</v>
      </c>
      <c r="H4093" s="5" t="s">
        <v>539</v>
      </c>
    </row>
    <row r="4094" spans="1:8" ht="25.5" x14ac:dyDescent="0.2">
      <c r="A4094" s="1" t="s">
        <v>4</v>
      </c>
      <c r="B4094" s="12" t="s">
        <v>412</v>
      </c>
      <c r="D4094" s="5" t="s">
        <v>450</v>
      </c>
      <c r="E4094" s="3">
        <v>154386</v>
      </c>
      <c r="F4094" s="3">
        <v>153673</v>
      </c>
      <c r="G4094" s="57">
        <f t="shared" si="65"/>
        <v>-4.6182944049330899E-3</v>
      </c>
      <c r="H4094" s="5" t="s">
        <v>2374</v>
      </c>
    </row>
    <row r="4095" spans="1:8" ht="25.5" x14ac:dyDescent="0.2">
      <c r="A4095" s="1" t="s">
        <v>4</v>
      </c>
      <c r="B4095" s="2" t="s">
        <v>412</v>
      </c>
      <c r="D4095" s="5" t="s">
        <v>476</v>
      </c>
      <c r="E4095" s="3">
        <v>118556</v>
      </c>
      <c r="F4095" s="3" t="s">
        <v>465</v>
      </c>
      <c r="G4095" s="57" t="str">
        <f t="shared" si="65"/>
        <v>-</v>
      </c>
      <c r="H4095" s="5" t="s">
        <v>2373</v>
      </c>
    </row>
    <row r="4096" spans="1:8" ht="25.5" x14ac:dyDescent="0.2">
      <c r="A4096" s="1" t="s">
        <v>4</v>
      </c>
      <c r="B4096" s="2" t="s">
        <v>412</v>
      </c>
      <c r="D4096" s="5" t="s">
        <v>452</v>
      </c>
      <c r="E4096" s="3">
        <v>115676</v>
      </c>
      <c r="F4096" s="3">
        <v>115608</v>
      </c>
      <c r="G4096" s="57">
        <f t="shared" si="65"/>
        <v>-5.8784881911546044E-4</v>
      </c>
      <c r="H4096" s="5" t="s">
        <v>2375</v>
      </c>
    </row>
    <row r="4097" spans="1:8" ht="25.5" x14ac:dyDescent="0.2">
      <c r="A4097" s="1" t="s">
        <v>4</v>
      </c>
      <c r="B4097" s="2" t="s">
        <v>412</v>
      </c>
      <c r="D4097" s="5" t="s">
        <v>596</v>
      </c>
      <c r="E4097" s="3">
        <v>113430</v>
      </c>
      <c r="F4097" s="3">
        <v>116299</v>
      </c>
      <c r="G4097" s="57">
        <f t="shared" si="65"/>
        <v>2.5293132328308206E-2</v>
      </c>
      <c r="H4097" s="5" t="s">
        <v>2376</v>
      </c>
    </row>
    <row r="4098" spans="1:8" ht="25.5" x14ac:dyDescent="0.2">
      <c r="A4098" s="1" t="s">
        <v>8</v>
      </c>
      <c r="B4098" s="2" t="s">
        <v>413</v>
      </c>
      <c r="D4098" s="5" t="s">
        <v>450</v>
      </c>
      <c r="E4098" s="3">
        <v>147685</v>
      </c>
      <c r="F4098" s="3">
        <v>39858</v>
      </c>
      <c r="G4098" s="57">
        <f t="shared" si="65"/>
        <v>-0.73011477130378843</v>
      </c>
      <c r="H4098" s="5" t="s">
        <v>2371</v>
      </c>
    </row>
    <row r="4099" spans="1:8" ht="25.5" x14ac:dyDescent="0.2">
      <c r="A4099" s="1" t="s">
        <v>8</v>
      </c>
      <c r="B4099" s="2" t="s">
        <v>413</v>
      </c>
      <c r="D4099" s="5" t="s">
        <v>455</v>
      </c>
      <c r="E4099" s="3">
        <v>107727</v>
      </c>
      <c r="F4099" s="3">
        <v>27517</v>
      </c>
      <c r="G4099" s="57">
        <f t="shared" si="65"/>
        <v>-0.74456728582435228</v>
      </c>
      <c r="H4099" s="5" t="s">
        <v>2372</v>
      </c>
    </row>
    <row r="4100" spans="1:8" x14ac:dyDescent="0.2">
      <c r="A4100" s="1" t="s">
        <v>8</v>
      </c>
      <c r="B4100" s="2" t="s">
        <v>413</v>
      </c>
      <c r="D4100" s="5" t="s">
        <v>464</v>
      </c>
      <c r="E4100" s="3" t="s">
        <v>465</v>
      </c>
      <c r="F4100" s="3">
        <v>112500</v>
      </c>
      <c r="G4100" s="57" t="str">
        <f t="shared" si="65"/>
        <v>-</v>
      </c>
    </row>
    <row r="4101" spans="1:8" x14ac:dyDescent="0.2">
      <c r="A4101" s="1" t="s">
        <v>8</v>
      </c>
      <c r="B4101" s="2" t="s">
        <v>413</v>
      </c>
      <c r="D4101" s="5" t="s">
        <v>464</v>
      </c>
      <c r="G4101" s="57" t="str">
        <f t="shared" si="65"/>
        <v>-</v>
      </c>
    </row>
    <row r="4102" spans="1:8" ht="25.5" x14ac:dyDescent="0.2">
      <c r="A4102" s="1" t="s">
        <v>20</v>
      </c>
      <c r="B4102" s="2" t="s">
        <v>414</v>
      </c>
      <c r="C4102" s="5" t="s">
        <v>591</v>
      </c>
      <c r="D4102" s="5" t="s">
        <v>450</v>
      </c>
      <c r="E4102" s="3">
        <v>126000</v>
      </c>
      <c r="F4102" s="3">
        <v>135000</v>
      </c>
      <c r="G4102" s="57">
        <f t="shared" si="65"/>
        <v>7.1428571428571425E-2</v>
      </c>
      <c r="H4102" s="5" t="s">
        <v>2368</v>
      </c>
    </row>
    <row r="4103" spans="1:8" ht="25.5" x14ac:dyDescent="0.2">
      <c r="A4103" s="1" t="s">
        <v>20</v>
      </c>
      <c r="B4103" s="2" t="s">
        <v>414</v>
      </c>
      <c r="C4103" s="5" t="s">
        <v>592</v>
      </c>
      <c r="D4103" s="5" t="s">
        <v>593</v>
      </c>
      <c r="E4103" s="3">
        <v>95000</v>
      </c>
      <c r="F4103" s="3">
        <v>101000</v>
      </c>
      <c r="G4103" s="57">
        <f t="shared" si="65"/>
        <v>6.3157894736842107E-2</v>
      </c>
      <c r="H4103" s="5" t="s">
        <v>2369</v>
      </c>
    </row>
    <row r="4104" spans="1:8" ht="25.5" x14ac:dyDescent="0.2">
      <c r="A4104" s="1" t="s">
        <v>20</v>
      </c>
      <c r="B4104" s="2" t="s">
        <v>414</v>
      </c>
      <c r="C4104" s="5" t="s">
        <v>594</v>
      </c>
      <c r="D4104" s="5" t="s">
        <v>595</v>
      </c>
      <c r="E4104" s="3">
        <v>97000</v>
      </c>
      <c r="F4104" s="3">
        <v>103000</v>
      </c>
      <c r="G4104" s="57">
        <f t="shared" si="65"/>
        <v>6.1855670103092786E-2</v>
      </c>
      <c r="H4104" s="5" t="s">
        <v>2370</v>
      </c>
    </row>
    <row r="4105" spans="1:8" ht="25.5" x14ac:dyDescent="0.2">
      <c r="A4105" s="1" t="s">
        <v>20</v>
      </c>
      <c r="B4105" s="2" t="s">
        <v>414</v>
      </c>
      <c r="C4105" s="5" t="s">
        <v>2365</v>
      </c>
      <c r="D4105" s="5" t="s">
        <v>2364</v>
      </c>
      <c r="E4105" s="3">
        <v>107000</v>
      </c>
      <c r="F4105" s="3" t="s">
        <v>465</v>
      </c>
      <c r="G4105" s="57" t="str">
        <f t="shared" si="65"/>
        <v>-</v>
      </c>
      <c r="H4105" s="5" t="s">
        <v>4541</v>
      </c>
    </row>
    <row r="4106" spans="1:8" x14ac:dyDescent="0.2">
      <c r="A4106" s="1" t="s">
        <v>20</v>
      </c>
      <c r="B4106" s="2" t="s">
        <v>414</v>
      </c>
      <c r="C4106" s="5" t="s">
        <v>2367</v>
      </c>
      <c r="D4106" s="5" t="s">
        <v>2366</v>
      </c>
      <c r="E4106" s="3">
        <v>114000</v>
      </c>
      <c r="F4106" s="3" t="s">
        <v>465</v>
      </c>
      <c r="G4106" s="57" t="str">
        <f t="shared" si="65"/>
        <v>-</v>
      </c>
      <c r="H4106" s="5" t="s">
        <v>4542</v>
      </c>
    </row>
    <row r="4107" spans="1:8" ht="25.5" x14ac:dyDescent="0.2">
      <c r="A4107" s="1" t="s">
        <v>4</v>
      </c>
      <c r="B4107" s="2" t="s">
        <v>415</v>
      </c>
      <c r="D4107" s="5" t="s">
        <v>450</v>
      </c>
      <c r="E4107" s="3">
        <v>158431</v>
      </c>
      <c r="F4107" s="3">
        <v>158697</v>
      </c>
      <c r="G4107" s="57">
        <f t="shared" si="65"/>
        <v>1.6789643440993239E-3</v>
      </c>
      <c r="H4107" s="5" t="s">
        <v>2358</v>
      </c>
    </row>
    <row r="4108" spans="1:8" ht="25.5" x14ac:dyDescent="0.2">
      <c r="A4108" s="1" t="s">
        <v>4</v>
      </c>
      <c r="B4108" s="2" t="s">
        <v>415</v>
      </c>
      <c r="D4108" s="5" t="s">
        <v>588</v>
      </c>
      <c r="E4108" s="3">
        <v>120354</v>
      </c>
      <c r="F4108" s="3">
        <v>120556</v>
      </c>
      <c r="G4108" s="57">
        <f t="shared" si="65"/>
        <v>1.6783821061202785E-3</v>
      </c>
      <c r="H4108" s="5" t="s">
        <v>2359</v>
      </c>
    </row>
    <row r="4109" spans="1:8" ht="25.5" x14ac:dyDescent="0.2">
      <c r="A4109" s="1" t="s">
        <v>4</v>
      </c>
      <c r="B4109" s="2" t="s">
        <v>415</v>
      </c>
      <c r="D4109" s="5" t="s">
        <v>589</v>
      </c>
      <c r="E4109" s="3">
        <v>119975</v>
      </c>
      <c r="F4109" s="3">
        <v>120357</v>
      </c>
      <c r="G4109" s="57">
        <f t="shared" si="65"/>
        <v>3.1839966659720775E-3</v>
      </c>
      <c r="H4109" s="5" t="s">
        <v>2360</v>
      </c>
    </row>
    <row r="4110" spans="1:8" ht="25.5" x14ac:dyDescent="0.2">
      <c r="A4110" s="1" t="s">
        <v>4</v>
      </c>
      <c r="B4110" s="2" t="s">
        <v>415</v>
      </c>
      <c r="D4110" s="5" t="s">
        <v>590</v>
      </c>
      <c r="E4110" s="3">
        <v>106756</v>
      </c>
      <c r="F4110" s="3">
        <v>112380</v>
      </c>
      <c r="G4110" s="57">
        <f t="shared" si="65"/>
        <v>5.2680879763198324E-2</v>
      </c>
      <c r="H4110" s="5" t="s">
        <v>2361</v>
      </c>
    </row>
    <row r="4111" spans="1:8" x14ac:dyDescent="0.2">
      <c r="A4111" s="1" t="s">
        <v>4</v>
      </c>
      <c r="B4111" s="2" t="s">
        <v>415</v>
      </c>
      <c r="D4111" s="5" t="s">
        <v>464</v>
      </c>
      <c r="E4111" s="3" t="s">
        <v>465</v>
      </c>
      <c r="F4111" s="3">
        <v>102500</v>
      </c>
      <c r="G4111" s="57" t="str">
        <f t="shared" si="65"/>
        <v>-</v>
      </c>
      <c r="H4111" s="5" t="s">
        <v>539</v>
      </c>
    </row>
    <row r="4112" spans="1:8" x14ac:dyDescent="0.2">
      <c r="A4112" s="1" t="s">
        <v>4</v>
      </c>
      <c r="B4112" s="2" t="s">
        <v>415</v>
      </c>
      <c r="D4112" s="5" t="s">
        <v>464</v>
      </c>
      <c r="E4112" s="3" t="s">
        <v>465</v>
      </c>
      <c r="F4112" s="3">
        <v>107500</v>
      </c>
      <c r="G4112" s="57" t="str">
        <f t="shared" si="65"/>
        <v>-</v>
      </c>
      <c r="H4112" s="5" t="s">
        <v>539</v>
      </c>
    </row>
    <row r="4113" spans="1:8" x14ac:dyDescent="0.2">
      <c r="A4113" s="1" t="s">
        <v>4</v>
      </c>
      <c r="B4113" s="2" t="s">
        <v>415</v>
      </c>
      <c r="D4113" s="5" t="s">
        <v>464</v>
      </c>
      <c r="E4113" s="3" t="s">
        <v>465</v>
      </c>
      <c r="F4113" s="3">
        <v>107500</v>
      </c>
      <c r="G4113" s="57" t="str">
        <f t="shared" ref="G4113:G4176" si="66">IF(ISERROR((F4113-E4113)/E4113),"-",(F4113-E4113)/E4113)</f>
        <v>-</v>
      </c>
      <c r="H4113" s="5" t="s">
        <v>539</v>
      </c>
    </row>
    <row r="4114" spans="1:8" x14ac:dyDescent="0.2">
      <c r="A4114" s="1" t="s">
        <v>4</v>
      </c>
      <c r="B4114" s="2" t="s">
        <v>415</v>
      </c>
      <c r="D4114" s="5" t="s">
        <v>464</v>
      </c>
      <c r="E4114" s="3" t="s">
        <v>465</v>
      </c>
      <c r="F4114" s="3">
        <v>112500</v>
      </c>
      <c r="G4114" s="57" t="str">
        <f t="shared" si="66"/>
        <v>-</v>
      </c>
      <c r="H4114" s="5" t="s">
        <v>539</v>
      </c>
    </row>
    <row r="4115" spans="1:8" x14ac:dyDescent="0.2">
      <c r="A4115" s="1" t="s">
        <v>4</v>
      </c>
      <c r="B4115" s="2" t="s">
        <v>415</v>
      </c>
      <c r="D4115" s="5" t="s">
        <v>464</v>
      </c>
      <c r="E4115" s="3" t="s">
        <v>465</v>
      </c>
      <c r="F4115" s="3">
        <v>112500</v>
      </c>
      <c r="G4115" s="57" t="str">
        <f t="shared" si="66"/>
        <v>-</v>
      </c>
      <c r="H4115" s="5" t="s">
        <v>539</v>
      </c>
    </row>
    <row r="4116" spans="1:8" x14ac:dyDescent="0.2">
      <c r="A4116" s="1" t="s">
        <v>4</v>
      </c>
      <c r="B4116" s="2" t="s">
        <v>415</v>
      </c>
      <c r="D4116" s="5" t="s">
        <v>464</v>
      </c>
      <c r="E4116" s="3" t="s">
        <v>465</v>
      </c>
      <c r="F4116" s="3">
        <v>117500</v>
      </c>
      <c r="G4116" s="57" t="str">
        <f t="shared" si="66"/>
        <v>-</v>
      </c>
      <c r="H4116" s="5" t="s">
        <v>539</v>
      </c>
    </row>
    <row r="4117" spans="1:8" x14ac:dyDescent="0.2">
      <c r="A4117" s="1" t="s">
        <v>4</v>
      </c>
      <c r="B4117" s="2" t="s">
        <v>415</v>
      </c>
      <c r="D4117" s="5" t="s">
        <v>464</v>
      </c>
      <c r="E4117" s="3" t="s">
        <v>465</v>
      </c>
      <c r="F4117" s="3">
        <v>127500</v>
      </c>
      <c r="G4117" s="57" t="str">
        <f t="shared" si="66"/>
        <v>-</v>
      </c>
      <c r="H4117" s="5" t="s">
        <v>539</v>
      </c>
    </row>
    <row r="4118" spans="1:8" x14ac:dyDescent="0.2">
      <c r="A4118" s="1" t="s">
        <v>4</v>
      </c>
      <c r="B4118" s="2" t="s">
        <v>415</v>
      </c>
      <c r="D4118" s="5" t="s">
        <v>464</v>
      </c>
      <c r="E4118" s="3" t="s">
        <v>465</v>
      </c>
      <c r="F4118" s="3">
        <v>142500</v>
      </c>
      <c r="G4118" s="57" t="str">
        <f t="shared" si="66"/>
        <v>-</v>
      </c>
      <c r="H4118" s="5" t="s">
        <v>539</v>
      </c>
    </row>
    <row r="4119" spans="1:8" x14ac:dyDescent="0.2">
      <c r="A4119" s="1" t="s">
        <v>4</v>
      </c>
      <c r="B4119" s="2" t="s">
        <v>415</v>
      </c>
      <c r="D4119" s="5" t="s">
        <v>464</v>
      </c>
      <c r="E4119" s="3">
        <v>122500</v>
      </c>
      <c r="F4119" s="3" t="s">
        <v>465</v>
      </c>
      <c r="G4119" s="57" t="str">
        <f t="shared" si="66"/>
        <v>-</v>
      </c>
      <c r="H4119" s="5" t="s">
        <v>2363</v>
      </c>
    </row>
    <row r="4120" spans="1:8" x14ac:dyDescent="0.2">
      <c r="A4120" s="1" t="s">
        <v>4</v>
      </c>
      <c r="B4120" s="2" t="s">
        <v>415</v>
      </c>
      <c r="D4120" s="5" t="s">
        <v>464</v>
      </c>
      <c r="E4120" s="3">
        <v>152500</v>
      </c>
      <c r="F4120" s="3" t="s">
        <v>465</v>
      </c>
      <c r="G4120" s="57" t="str">
        <f t="shared" si="66"/>
        <v>-</v>
      </c>
      <c r="H4120" s="5" t="s">
        <v>2363</v>
      </c>
    </row>
    <row r="4121" spans="1:8" x14ac:dyDescent="0.2">
      <c r="A4121" s="1" t="s">
        <v>4</v>
      </c>
      <c r="B4121" s="2" t="s">
        <v>415</v>
      </c>
      <c r="D4121" s="5" t="s">
        <v>464</v>
      </c>
      <c r="E4121" s="3">
        <v>162500</v>
      </c>
      <c r="F4121" s="3" t="s">
        <v>465</v>
      </c>
      <c r="G4121" s="57" t="str">
        <f t="shared" si="66"/>
        <v>-</v>
      </c>
      <c r="H4121" s="5" t="s">
        <v>2363</v>
      </c>
    </row>
    <row r="4122" spans="1:8" s="13" customFormat="1" ht="38.25" x14ac:dyDescent="0.2">
      <c r="A4122" s="13" t="s">
        <v>34</v>
      </c>
      <c r="B4122" s="12" t="s">
        <v>416</v>
      </c>
      <c r="C4122" s="7"/>
      <c r="D4122" s="7" t="s">
        <v>4543</v>
      </c>
      <c r="E4122" s="6">
        <v>137295</v>
      </c>
      <c r="F4122" s="6">
        <v>110162</v>
      </c>
      <c r="G4122" s="57">
        <f t="shared" si="66"/>
        <v>-0.19762555082122438</v>
      </c>
      <c r="H4122" s="7" t="s">
        <v>4544</v>
      </c>
    </row>
    <row r="4123" spans="1:8" x14ac:dyDescent="0.2">
      <c r="A4123" s="13" t="s">
        <v>34</v>
      </c>
      <c r="B4123" s="12" t="s">
        <v>416</v>
      </c>
      <c r="D4123" s="5" t="s">
        <v>464</v>
      </c>
      <c r="E4123" s="3" t="s">
        <v>465</v>
      </c>
      <c r="F4123" s="3">
        <v>117500</v>
      </c>
      <c r="G4123" s="57" t="str">
        <f t="shared" si="66"/>
        <v>-</v>
      </c>
    </row>
    <row r="4124" spans="1:8" ht="63.75" x14ac:dyDescent="0.2">
      <c r="A4124" s="13" t="s">
        <v>34</v>
      </c>
      <c r="B4124" s="2" t="s">
        <v>425</v>
      </c>
      <c r="C4124" s="5" t="s">
        <v>4564</v>
      </c>
      <c r="D4124" s="5" t="s">
        <v>450</v>
      </c>
      <c r="E4124" s="3">
        <v>115892</v>
      </c>
      <c r="F4124" s="3">
        <v>119842</v>
      </c>
      <c r="G4124" s="57">
        <f t="shared" si="66"/>
        <v>3.4083457011700548E-2</v>
      </c>
      <c r="H4124" s="5" t="s">
        <v>4565</v>
      </c>
    </row>
    <row r="4125" spans="1:8" ht="25.5" x14ac:dyDescent="0.2">
      <c r="A4125" s="1" t="s">
        <v>1</v>
      </c>
      <c r="B4125" s="12" t="s">
        <v>417</v>
      </c>
      <c r="C4125" s="5" t="s">
        <v>580</v>
      </c>
      <c r="D4125" s="5" t="s">
        <v>450</v>
      </c>
      <c r="E4125" s="3">
        <f>121338+20922</f>
        <v>142260</v>
      </c>
      <c r="F4125" s="3">
        <f>119925+21826</f>
        <v>141751</v>
      </c>
      <c r="G4125" s="57">
        <f t="shared" si="66"/>
        <v>-3.5779558554758892E-3</v>
      </c>
      <c r="H4125" s="7" t="s">
        <v>4550</v>
      </c>
    </row>
    <row r="4126" spans="1:8" ht="25.5" x14ac:dyDescent="0.2">
      <c r="A4126" s="1" t="s">
        <v>1</v>
      </c>
      <c r="B4126" s="12" t="s">
        <v>417</v>
      </c>
      <c r="C4126" s="5" t="s">
        <v>581</v>
      </c>
      <c r="D4126" s="5" t="s">
        <v>582</v>
      </c>
      <c r="E4126" s="3">
        <f>98642+14585</f>
        <v>113227</v>
      </c>
      <c r="F4126" s="3">
        <f>101109+15065</f>
        <v>116174</v>
      </c>
      <c r="G4126" s="57">
        <f t="shared" si="66"/>
        <v>2.6027360965140824E-2</v>
      </c>
      <c r="H4126" s="7" t="s">
        <v>4549</v>
      </c>
    </row>
    <row r="4127" spans="1:8" ht="25.5" x14ac:dyDescent="0.2">
      <c r="A4127" s="1" t="s">
        <v>1</v>
      </c>
      <c r="B4127" s="12" t="s">
        <v>417</v>
      </c>
      <c r="C4127" s="5" t="s">
        <v>583</v>
      </c>
      <c r="D4127" s="5" t="s">
        <v>584</v>
      </c>
      <c r="E4127" s="3">
        <f>98642+17025</f>
        <v>115667</v>
      </c>
      <c r="F4127" s="3">
        <f>101109+18402</f>
        <v>119511</v>
      </c>
      <c r="G4127" s="57">
        <f t="shared" si="66"/>
        <v>3.3233333621516939E-2</v>
      </c>
      <c r="H4127" s="7" t="s">
        <v>4548</v>
      </c>
    </row>
    <row r="4128" spans="1:8" ht="25.5" x14ac:dyDescent="0.2">
      <c r="A4128" s="1" t="s">
        <v>1</v>
      </c>
      <c r="B4128" s="12" t="s">
        <v>417</v>
      </c>
      <c r="C4128" s="5" t="s">
        <v>585</v>
      </c>
      <c r="D4128" s="5" t="s">
        <v>586</v>
      </c>
      <c r="E4128" s="3">
        <f>98642+17025</f>
        <v>115667</v>
      </c>
      <c r="F4128" s="3">
        <f>101109+18402</f>
        <v>119511</v>
      </c>
      <c r="G4128" s="57">
        <f t="shared" si="66"/>
        <v>3.3233333621516939E-2</v>
      </c>
      <c r="H4128" s="7" t="s">
        <v>4548</v>
      </c>
    </row>
    <row r="4129" spans="1:8" ht="25.5" x14ac:dyDescent="0.2">
      <c r="A4129" s="1" t="s">
        <v>1</v>
      </c>
      <c r="B4129" s="12" t="s">
        <v>417</v>
      </c>
      <c r="C4129" s="5" t="s">
        <v>4545</v>
      </c>
      <c r="D4129" s="5" t="s">
        <v>4546</v>
      </c>
      <c r="E4129" s="3">
        <f>79863+13718</f>
        <v>93581</v>
      </c>
      <c r="F4129" s="3">
        <f>85297+15402</f>
        <v>100699</v>
      </c>
      <c r="G4129" s="57">
        <f t="shared" si="66"/>
        <v>7.606244857396266E-2</v>
      </c>
      <c r="H4129" s="7" t="s">
        <v>4547</v>
      </c>
    </row>
    <row r="4130" spans="1:8" ht="25.5" x14ac:dyDescent="0.2">
      <c r="A4130" s="1" t="s">
        <v>6</v>
      </c>
      <c r="B4130" s="2" t="s">
        <v>418</v>
      </c>
      <c r="D4130" s="5" t="s">
        <v>450</v>
      </c>
      <c r="E4130" s="3">
        <v>139311</v>
      </c>
      <c r="F4130" s="3">
        <v>141273</v>
      </c>
      <c r="G4130" s="57">
        <f t="shared" si="66"/>
        <v>1.4083597131597649E-2</v>
      </c>
      <c r="H4130" s="5" t="s">
        <v>2357</v>
      </c>
    </row>
    <row r="4131" spans="1:8" ht="38.25" x14ac:dyDescent="0.2">
      <c r="A4131" s="1" t="s">
        <v>6</v>
      </c>
      <c r="B4131" s="2" t="s">
        <v>418</v>
      </c>
      <c r="D4131" s="5" t="s">
        <v>455</v>
      </c>
      <c r="E4131" s="3">
        <v>119270</v>
      </c>
      <c r="F4131" s="3">
        <v>137125</v>
      </c>
      <c r="G4131" s="57">
        <f t="shared" si="66"/>
        <v>0.14970235599899387</v>
      </c>
      <c r="H4131" s="5" t="s">
        <v>4551</v>
      </c>
    </row>
    <row r="4132" spans="1:8" x14ac:dyDescent="0.2">
      <c r="A4132" s="1" t="s">
        <v>6</v>
      </c>
      <c r="B4132" s="2" t="s">
        <v>418</v>
      </c>
      <c r="D4132" s="5" t="s">
        <v>2355</v>
      </c>
      <c r="E4132" s="3">
        <v>149097</v>
      </c>
      <c r="F4132" s="3" t="s">
        <v>465</v>
      </c>
      <c r="G4132" s="57" t="str">
        <f t="shared" si="66"/>
        <v>-</v>
      </c>
      <c r="H4132" s="5" t="s">
        <v>4414</v>
      </c>
    </row>
    <row r="4133" spans="1:8" ht="25.5" x14ac:dyDescent="0.2">
      <c r="A4133" s="1" t="s">
        <v>8</v>
      </c>
      <c r="B4133" s="2" t="s">
        <v>419</v>
      </c>
      <c r="C4133" s="5" t="s">
        <v>579</v>
      </c>
      <c r="D4133" s="5" t="s">
        <v>450</v>
      </c>
      <c r="E4133" s="3" t="s">
        <v>465</v>
      </c>
      <c r="F4133" s="3">
        <v>127468</v>
      </c>
      <c r="G4133" s="57" t="str">
        <f t="shared" si="66"/>
        <v>-</v>
      </c>
      <c r="H4133" s="5" t="s">
        <v>4552</v>
      </c>
    </row>
    <row r="4134" spans="1:8" x14ac:dyDescent="0.2">
      <c r="A4134" s="1" t="s">
        <v>8</v>
      </c>
      <c r="B4134" s="2" t="s">
        <v>419</v>
      </c>
      <c r="D4134" s="5" t="s">
        <v>450</v>
      </c>
      <c r="E4134" s="3">
        <v>116727</v>
      </c>
      <c r="F4134" s="3" t="s">
        <v>465</v>
      </c>
      <c r="G4134" s="57" t="str">
        <f t="shared" si="66"/>
        <v>-</v>
      </c>
      <c r="H4134" s="5" t="s">
        <v>4553</v>
      </c>
    </row>
    <row r="4135" spans="1:8" ht="25.5" x14ac:dyDescent="0.2">
      <c r="A4135" s="1" t="s">
        <v>8</v>
      </c>
      <c r="B4135" s="2" t="s">
        <v>419</v>
      </c>
      <c r="D4135" s="5" t="s">
        <v>2354</v>
      </c>
      <c r="E4135" s="3">
        <v>100395</v>
      </c>
      <c r="F4135" s="3">
        <v>43259</v>
      </c>
      <c r="G4135" s="57">
        <f t="shared" si="66"/>
        <v>-0.56911200757009817</v>
      </c>
      <c r="H4135" s="5" t="s">
        <v>4554</v>
      </c>
    </row>
    <row r="4136" spans="1:8" ht="25.5" x14ac:dyDescent="0.2">
      <c r="A4136" s="1" t="s">
        <v>1</v>
      </c>
      <c r="B4136" s="12" t="s">
        <v>420</v>
      </c>
      <c r="C4136" s="5" t="s">
        <v>575</v>
      </c>
      <c r="D4136" s="5" t="s">
        <v>4555</v>
      </c>
      <c r="E4136" s="9">
        <f>108804+20999</f>
        <v>129803</v>
      </c>
      <c r="F4136" s="9">
        <f>119675+21652</f>
        <v>141327</v>
      </c>
      <c r="G4136" s="57">
        <f t="shared" si="66"/>
        <v>8.8780690739043017E-2</v>
      </c>
      <c r="H4136" s="5" t="s">
        <v>4558</v>
      </c>
    </row>
    <row r="4137" spans="1:8" ht="25.5" x14ac:dyDescent="0.2">
      <c r="A4137" s="1" t="s">
        <v>1</v>
      </c>
      <c r="B4137" s="12" t="s">
        <v>420</v>
      </c>
      <c r="C4137" s="5" t="s">
        <v>3600</v>
      </c>
      <c r="D4137" s="5" t="s">
        <v>450</v>
      </c>
      <c r="E4137" s="9">
        <f>128607+25739</f>
        <v>154346</v>
      </c>
      <c r="F4137" s="9">
        <f>74380+14863</f>
        <v>89243</v>
      </c>
      <c r="G4137" s="57">
        <f t="shared" si="66"/>
        <v>-0.42179907480595547</v>
      </c>
      <c r="H4137" s="5" t="s">
        <v>3632</v>
      </c>
    </row>
    <row r="4138" spans="1:8" ht="25.5" x14ac:dyDescent="0.2">
      <c r="A4138" s="1" t="s">
        <v>1</v>
      </c>
      <c r="B4138" s="12" t="s">
        <v>420</v>
      </c>
      <c r="C4138" s="5" t="s">
        <v>576</v>
      </c>
      <c r="D4138" s="5" t="s">
        <v>577</v>
      </c>
      <c r="E4138" s="9">
        <f>109587+16212</f>
        <v>125799</v>
      </c>
      <c r="F4138" s="9">
        <f>112308+16617</f>
        <v>128925</v>
      </c>
      <c r="G4138" s="57">
        <f t="shared" si="66"/>
        <v>2.4849164142799227E-2</v>
      </c>
      <c r="H4138" s="5" t="s">
        <v>3631</v>
      </c>
    </row>
    <row r="4139" spans="1:8" ht="38.25" x14ac:dyDescent="0.2">
      <c r="A4139" s="1" t="s">
        <v>1</v>
      </c>
      <c r="B4139" s="12" t="s">
        <v>420</v>
      </c>
      <c r="C4139" s="5" t="s">
        <v>578</v>
      </c>
      <c r="D4139" s="5" t="s">
        <v>3601</v>
      </c>
      <c r="E4139" s="9">
        <f>109587+20999</f>
        <v>130586</v>
      </c>
      <c r="F4139" s="9">
        <f>116093+38191</f>
        <v>154284</v>
      </c>
      <c r="G4139" s="57">
        <f t="shared" si="66"/>
        <v>0.18147427748763267</v>
      </c>
      <c r="H4139" s="5" t="s">
        <v>3602</v>
      </c>
    </row>
    <row r="4140" spans="1:8" ht="25.5" x14ac:dyDescent="0.2">
      <c r="A4140" s="1" t="s">
        <v>1</v>
      </c>
      <c r="B4140" s="12" t="s">
        <v>420</v>
      </c>
      <c r="C4140" s="5" t="s">
        <v>3603</v>
      </c>
      <c r="D4140" s="5" t="s">
        <v>4556</v>
      </c>
      <c r="E4140" s="9">
        <f>82779+15825</f>
        <v>98604</v>
      </c>
      <c r="F4140" s="9">
        <f>95138+16317</f>
        <v>111455</v>
      </c>
      <c r="G4140" s="57">
        <f t="shared" si="66"/>
        <v>0.13032939840168756</v>
      </c>
      <c r="H4140" s="5" t="s">
        <v>4557</v>
      </c>
    </row>
    <row r="4141" spans="1:8" ht="38.25" x14ac:dyDescent="0.2">
      <c r="A4141" s="1" t="s">
        <v>1</v>
      </c>
      <c r="B4141" s="12" t="s">
        <v>420</v>
      </c>
      <c r="C4141" s="5" t="s">
        <v>3604</v>
      </c>
      <c r="D4141" s="5" t="s">
        <v>3605</v>
      </c>
      <c r="E4141" s="9">
        <f>89484+17119</f>
        <v>106603</v>
      </c>
      <c r="F4141" s="9">
        <f>44815+139520</f>
        <v>184335</v>
      </c>
      <c r="G4141" s="57">
        <f t="shared" si="66"/>
        <v>0.72917272497021657</v>
      </c>
      <c r="H4141" s="5" t="s">
        <v>3633</v>
      </c>
    </row>
    <row r="4142" spans="1:8" ht="25.5" x14ac:dyDescent="0.2">
      <c r="A4142" s="1" t="s">
        <v>1</v>
      </c>
      <c r="B4142" s="12" t="s">
        <v>420</v>
      </c>
      <c r="C4142" s="5" t="s">
        <v>3606</v>
      </c>
      <c r="D4142" s="5" t="s">
        <v>3607</v>
      </c>
      <c r="E4142" s="9">
        <f>89484+17119</f>
        <v>106603</v>
      </c>
      <c r="F4142" s="9">
        <f>91701+17651</f>
        <v>109352</v>
      </c>
      <c r="G4142" s="57">
        <f t="shared" si="66"/>
        <v>2.5787266774856241E-2</v>
      </c>
      <c r="H4142" s="5" t="s">
        <v>3608</v>
      </c>
    </row>
    <row r="4143" spans="1:8" ht="25.5" x14ac:dyDescent="0.2">
      <c r="A4143" s="1" t="s">
        <v>1</v>
      </c>
      <c r="B4143" s="12" t="s">
        <v>420</v>
      </c>
      <c r="C4143" s="5" t="s">
        <v>3609</v>
      </c>
      <c r="D4143" s="5" t="s">
        <v>1732</v>
      </c>
      <c r="E4143" s="9">
        <f>80307+15499</f>
        <v>95806</v>
      </c>
      <c r="F4143" s="9">
        <f>84045+15981</f>
        <v>100026</v>
      </c>
      <c r="G4143" s="57">
        <f t="shared" si="66"/>
        <v>4.4047345677723733E-2</v>
      </c>
      <c r="H4143" s="5" t="s">
        <v>3610</v>
      </c>
    </row>
    <row r="4144" spans="1:8" ht="25.5" x14ac:dyDescent="0.2">
      <c r="A4144" s="1" t="s">
        <v>1</v>
      </c>
      <c r="B4144" s="12" t="s">
        <v>420</v>
      </c>
      <c r="C4144" s="5" t="s">
        <v>3611</v>
      </c>
      <c r="D4144" s="5" t="s">
        <v>3612</v>
      </c>
      <c r="E4144" s="9">
        <f>82779+15825</f>
        <v>98604</v>
      </c>
      <c r="F4144" s="9">
        <f>84828+16317</f>
        <v>101145</v>
      </c>
      <c r="G4144" s="57">
        <f t="shared" si="66"/>
        <v>2.5769745649263723E-2</v>
      </c>
      <c r="H4144" s="5" t="s">
        <v>3620</v>
      </c>
    </row>
    <row r="4145" spans="1:8" ht="25.5" x14ac:dyDescent="0.2">
      <c r="A4145" s="1" t="s">
        <v>1</v>
      </c>
      <c r="B4145" s="12" t="s">
        <v>420</v>
      </c>
      <c r="C4145" s="5" t="s">
        <v>3613</v>
      </c>
      <c r="D4145" s="5" t="s">
        <v>3614</v>
      </c>
      <c r="E4145" s="9">
        <f>82779+15825</f>
        <v>98604</v>
      </c>
      <c r="F4145" s="9">
        <f>84828+16317</f>
        <v>101145</v>
      </c>
      <c r="G4145" s="57">
        <f t="shared" si="66"/>
        <v>2.5769745649263723E-2</v>
      </c>
      <c r="H4145" s="5" t="s">
        <v>3620</v>
      </c>
    </row>
    <row r="4146" spans="1:8" ht="25.5" x14ac:dyDescent="0.2">
      <c r="A4146" s="1" t="s">
        <v>1</v>
      </c>
      <c r="B4146" s="12" t="s">
        <v>420</v>
      </c>
      <c r="C4146" s="5" t="s">
        <v>3615</v>
      </c>
      <c r="D4146" s="5" t="s">
        <v>3616</v>
      </c>
      <c r="E4146" s="9">
        <f>82818+15825</f>
        <v>98643</v>
      </c>
      <c r="F4146" s="9">
        <f>84831+16317</f>
        <v>101148</v>
      </c>
      <c r="G4146" s="57">
        <f t="shared" si="66"/>
        <v>2.5394604786959034E-2</v>
      </c>
      <c r="H4146" s="5" t="s">
        <v>3621</v>
      </c>
    </row>
    <row r="4147" spans="1:8" ht="38.25" x14ac:dyDescent="0.2">
      <c r="A4147" s="1" t="s">
        <v>1</v>
      </c>
      <c r="B4147" s="12" t="s">
        <v>420</v>
      </c>
      <c r="C4147" s="5" t="s">
        <v>3617</v>
      </c>
      <c r="D4147" s="5" t="s">
        <v>3622</v>
      </c>
      <c r="E4147" s="9">
        <f>77760+14856</f>
        <v>92616</v>
      </c>
      <c r="F4147" s="9">
        <f>88555+145809</f>
        <v>234364</v>
      </c>
      <c r="G4147" s="57">
        <f t="shared" si="66"/>
        <v>1.5304914917508854</v>
      </c>
      <c r="H4147" s="5" t="s">
        <v>3623</v>
      </c>
    </row>
    <row r="4148" spans="1:8" ht="38.25" x14ac:dyDescent="0.2">
      <c r="A4148" s="1" t="s">
        <v>1</v>
      </c>
      <c r="B4148" s="12" t="s">
        <v>420</v>
      </c>
      <c r="C4148" s="5" t="s">
        <v>3618</v>
      </c>
      <c r="D4148" s="5" t="s">
        <v>3624</v>
      </c>
      <c r="E4148" s="9">
        <f>82779+15825</f>
        <v>98604</v>
      </c>
      <c r="F4148" s="9">
        <f>94995+14005</f>
        <v>109000</v>
      </c>
      <c r="G4148" s="57">
        <f t="shared" si="66"/>
        <v>0.10543182832339459</v>
      </c>
      <c r="H4148" s="5" t="s">
        <v>3625</v>
      </c>
    </row>
    <row r="4149" spans="1:8" ht="25.5" x14ac:dyDescent="0.2">
      <c r="A4149" s="1" t="s">
        <v>1</v>
      </c>
      <c r="B4149" s="12" t="s">
        <v>420</v>
      </c>
      <c r="C4149" s="5" t="s">
        <v>3619</v>
      </c>
      <c r="D4149" s="5" t="s">
        <v>3626</v>
      </c>
      <c r="E4149" s="9">
        <f>87309+16692</f>
        <v>104001</v>
      </c>
      <c r="F4149" s="9">
        <f>40638+8129</f>
        <v>48767</v>
      </c>
      <c r="G4149" s="57">
        <f t="shared" si="66"/>
        <v>-0.53109104720146927</v>
      </c>
      <c r="H4149" s="5" t="s">
        <v>3627</v>
      </c>
    </row>
    <row r="4150" spans="1:8" ht="25.5" x14ac:dyDescent="0.2">
      <c r="A4150" s="1" t="s">
        <v>1</v>
      </c>
      <c r="B4150" s="12" t="s">
        <v>420</v>
      </c>
      <c r="C4150" s="5" t="s">
        <v>3628</v>
      </c>
      <c r="D4150" s="5" t="s">
        <v>3629</v>
      </c>
      <c r="E4150" s="9">
        <f>83993+12392</f>
        <v>96385</v>
      </c>
      <c r="F4150" s="9">
        <f>91957+13585</f>
        <v>105542</v>
      </c>
      <c r="G4150" s="57">
        <f t="shared" si="66"/>
        <v>9.5004409399802869E-2</v>
      </c>
      <c r="H4150" s="5" t="s">
        <v>3630</v>
      </c>
    </row>
    <row r="4151" spans="1:8" ht="38.25" x14ac:dyDescent="0.2">
      <c r="A4151" s="1" t="s">
        <v>4</v>
      </c>
      <c r="B4151" s="2" t="s">
        <v>421</v>
      </c>
      <c r="D4151" s="5" t="s">
        <v>450</v>
      </c>
      <c r="E4151" s="3">
        <v>142763</v>
      </c>
      <c r="F4151" s="3">
        <v>145744</v>
      </c>
      <c r="G4151" s="57">
        <f t="shared" si="66"/>
        <v>2.0880760421117518E-2</v>
      </c>
      <c r="H4151" s="5" t="s">
        <v>2353</v>
      </c>
    </row>
    <row r="4152" spans="1:8" ht="25.5" x14ac:dyDescent="0.2">
      <c r="A4152" s="1" t="s">
        <v>4</v>
      </c>
      <c r="B4152" s="2" t="s">
        <v>421</v>
      </c>
      <c r="D4152" s="5" t="s">
        <v>572</v>
      </c>
      <c r="E4152" s="3">
        <v>101521</v>
      </c>
      <c r="F4152" s="3">
        <v>100460</v>
      </c>
      <c r="G4152" s="57">
        <f t="shared" si="66"/>
        <v>-1.0451039686370308E-2</v>
      </c>
      <c r="H4152" s="5" t="s">
        <v>2350</v>
      </c>
    </row>
    <row r="4153" spans="1:8" ht="38.25" x14ac:dyDescent="0.2">
      <c r="A4153" s="1" t="s">
        <v>4</v>
      </c>
      <c r="B4153" s="2" t="s">
        <v>421</v>
      </c>
      <c r="D4153" s="5" t="s">
        <v>573</v>
      </c>
      <c r="E4153" s="3">
        <v>101812</v>
      </c>
      <c r="F4153" s="3">
        <v>211245</v>
      </c>
      <c r="G4153" s="57">
        <f t="shared" si="66"/>
        <v>1.0748536518288609</v>
      </c>
      <c r="H4153" s="5" t="s">
        <v>2351</v>
      </c>
    </row>
    <row r="4154" spans="1:8" ht="38.25" x14ac:dyDescent="0.2">
      <c r="A4154" s="1" t="s">
        <v>4</v>
      </c>
      <c r="B4154" s="2" t="s">
        <v>421</v>
      </c>
      <c r="D4154" s="5" t="s">
        <v>574</v>
      </c>
      <c r="E4154" s="3">
        <v>105040</v>
      </c>
      <c r="F4154" s="3">
        <v>105496</v>
      </c>
      <c r="G4154" s="57">
        <f t="shared" si="66"/>
        <v>4.341203351104341E-3</v>
      </c>
      <c r="H4154" s="5" t="s">
        <v>2352</v>
      </c>
    </row>
    <row r="4155" spans="1:8" x14ac:dyDescent="0.2">
      <c r="A4155" s="1" t="s">
        <v>34</v>
      </c>
      <c r="B4155" s="2" t="s">
        <v>422</v>
      </c>
      <c r="D4155" s="7" t="s">
        <v>464</v>
      </c>
      <c r="G4155" s="57" t="str">
        <f t="shared" si="66"/>
        <v>-</v>
      </c>
      <c r="H4155" s="5" t="s">
        <v>539</v>
      </c>
    </row>
    <row r="4156" spans="1:8" ht="25.5" x14ac:dyDescent="0.2">
      <c r="A4156" s="1" t="s">
        <v>4</v>
      </c>
      <c r="B4156" s="2" t="s">
        <v>423</v>
      </c>
      <c r="C4156" s="5" t="s">
        <v>551</v>
      </c>
      <c r="D4156" s="5" t="s">
        <v>450</v>
      </c>
      <c r="E4156" s="6">
        <v>183342</v>
      </c>
      <c r="F4156" s="3">
        <v>207693</v>
      </c>
      <c r="G4156" s="57">
        <f t="shared" si="66"/>
        <v>0.13281735772490755</v>
      </c>
      <c r="H4156" s="5" t="s">
        <v>2334</v>
      </c>
    </row>
    <row r="4157" spans="1:8" ht="38.25" x14ac:dyDescent="0.2">
      <c r="A4157" s="1" t="s">
        <v>4</v>
      </c>
      <c r="B4157" s="2" t="s">
        <v>423</v>
      </c>
      <c r="C4157" s="5" t="s">
        <v>552</v>
      </c>
      <c r="D4157" s="5" t="s">
        <v>450</v>
      </c>
      <c r="E4157" s="6">
        <v>266470</v>
      </c>
      <c r="F4157" s="3">
        <v>397232</v>
      </c>
      <c r="G4157" s="57">
        <f t="shared" si="66"/>
        <v>0.49071940556160171</v>
      </c>
      <c r="H4157" s="5" t="s">
        <v>2335</v>
      </c>
    </row>
    <row r="4158" spans="1:8" ht="25.5" x14ac:dyDescent="0.2">
      <c r="A4158" s="1" t="s">
        <v>4</v>
      </c>
      <c r="B4158" s="2" t="s">
        <v>423</v>
      </c>
      <c r="C4158" s="5" t="s">
        <v>553</v>
      </c>
      <c r="D4158" s="5" t="s">
        <v>554</v>
      </c>
      <c r="E4158" s="6">
        <v>202165</v>
      </c>
      <c r="F4158" s="3">
        <v>305766</v>
      </c>
      <c r="G4158" s="57">
        <f t="shared" si="66"/>
        <v>0.51245764598224219</v>
      </c>
      <c r="H4158" s="5" t="s">
        <v>2336</v>
      </c>
    </row>
    <row r="4159" spans="1:8" ht="25.5" x14ac:dyDescent="0.2">
      <c r="A4159" s="1" t="s">
        <v>4</v>
      </c>
      <c r="B4159" s="2" t="s">
        <v>423</v>
      </c>
      <c r="C4159" s="5" t="s">
        <v>555</v>
      </c>
      <c r="D4159" s="5" t="s">
        <v>556</v>
      </c>
      <c r="E4159" s="6">
        <v>125165</v>
      </c>
      <c r="F4159" s="3">
        <v>151591</v>
      </c>
      <c r="G4159" s="57">
        <f t="shared" si="66"/>
        <v>0.21112930931170854</v>
      </c>
      <c r="H4159" s="5" t="s">
        <v>2337</v>
      </c>
    </row>
    <row r="4160" spans="1:8" ht="25.5" x14ac:dyDescent="0.2">
      <c r="A4160" s="1" t="s">
        <v>4</v>
      </c>
      <c r="B4160" s="2" t="s">
        <v>423</v>
      </c>
      <c r="C4160" s="5" t="s">
        <v>557</v>
      </c>
      <c r="D4160" s="5" t="s">
        <v>558</v>
      </c>
      <c r="E4160" s="6">
        <v>140333</v>
      </c>
      <c r="F4160" s="3">
        <v>158808</v>
      </c>
      <c r="G4160" s="57">
        <f t="shared" si="66"/>
        <v>0.1316511440644752</v>
      </c>
      <c r="H4160" s="5" t="s">
        <v>2338</v>
      </c>
    </row>
    <row r="4161" spans="1:8" ht="25.5" x14ac:dyDescent="0.2">
      <c r="A4161" s="1" t="s">
        <v>4</v>
      </c>
      <c r="B4161" s="2" t="s">
        <v>423</v>
      </c>
      <c r="D4161" s="5" t="s">
        <v>559</v>
      </c>
      <c r="E4161" s="6">
        <v>145560</v>
      </c>
      <c r="F4161" s="3">
        <v>145560</v>
      </c>
      <c r="G4161" s="57">
        <f t="shared" si="66"/>
        <v>0</v>
      </c>
      <c r="H4161" s="5" t="s">
        <v>2339</v>
      </c>
    </row>
    <row r="4162" spans="1:8" ht="25.5" x14ac:dyDescent="0.2">
      <c r="A4162" s="1" t="s">
        <v>4</v>
      </c>
      <c r="B4162" s="2" t="s">
        <v>423</v>
      </c>
      <c r="D4162" s="5" t="s">
        <v>2333</v>
      </c>
      <c r="E4162" s="6">
        <v>118503</v>
      </c>
      <c r="F4162" s="3">
        <v>59387</v>
      </c>
      <c r="G4162" s="57">
        <f t="shared" si="66"/>
        <v>-0.49885656903200765</v>
      </c>
      <c r="H4162" s="5" t="s">
        <v>4559</v>
      </c>
    </row>
    <row r="4163" spans="1:8" ht="25.5" x14ac:dyDescent="0.2">
      <c r="A4163" s="1" t="s">
        <v>4</v>
      </c>
      <c r="B4163" s="2" t="s">
        <v>423</v>
      </c>
      <c r="D4163" s="5" t="s">
        <v>560</v>
      </c>
      <c r="E4163" s="6">
        <v>125714</v>
      </c>
      <c r="F4163" s="3">
        <v>126052</v>
      </c>
      <c r="G4163" s="57">
        <f t="shared" si="66"/>
        <v>2.6886424741874413E-3</v>
      </c>
      <c r="H4163" s="5" t="s">
        <v>2340</v>
      </c>
    </row>
    <row r="4164" spans="1:8" ht="25.5" x14ac:dyDescent="0.2">
      <c r="A4164" s="1" t="s">
        <v>4</v>
      </c>
      <c r="B4164" s="2" t="s">
        <v>423</v>
      </c>
      <c r="D4164" s="5" t="s">
        <v>561</v>
      </c>
      <c r="E4164" s="6">
        <v>104686</v>
      </c>
      <c r="F4164" s="3">
        <v>114402</v>
      </c>
      <c r="G4164" s="57">
        <f t="shared" si="66"/>
        <v>9.2810882066369907E-2</v>
      </c>
      <c r="H4164" s="5" t="s">
        <v>2341</v>
      </c>
    </row>
    <row r="4165" spans="1:8" ht="25.5" x14ac:dyDescent="0.2">
      <c r="A4165" s="1" t="s">
        <v>4</v>
      </c>
      <c r="B4165" s="2" t="s">
        <v>423</v>
      </c>
      <c r="D4165" s="5" t="s">
        <v>562</v>
      </c>
      <c r="E4165" s="6">
        <v>125598</v>
      </c>
      <c r="F4165" s="3">
        <v>133392</v>
      </c>
      <c r="G4165" s="57">
        <f t="shared" si="66"/>
        <v>6.2055128266373667E-2</v>
      </c>
      <c r="H4165" s="5" t="s">
        <v>2342</v>
      </c>
    </row>
    <row r="4166" spans="1:8" ht="25.5" x14ac:dyDescent="0.2">
      <c r="A4166" s="1" t="s">
        <v>4</v>
      </c>
      <c r="B4166" s="2" t="s">
        <v>423</v>
      </c>
      <c r="D4166" s="5" t="s">
        <v>457</v>
      </c>
      <c r="E4166" s="6">
        <v>125580</v>
      </c>
      <c r="F4166" s="3">
        <v>125903</v>
      </c>
      <c r="G4166" s="57">
        <f t="shared" si="66"/>
        <v>2.5720656155438764E-3</v>
      </c>
      <c r="H4166" s="5" t="s">
        <v>2343</v>
      </c>
    </row>
    <row r="4167" spans="1:8" ht="25.5" x14ac:dyDescent="0.2">
      <c r="A4167" s="1" t="s">
        <v>4</v>
      </c>
      <c r="B4167" s="2" t="s">
        <v>423</v>
      </c>
      <c r="D4167" s="5" t="s">
        <v>563</v>
      </c>
      <c r="E4167" s="6">
        <v>118477</v>
      </c>
      <c r="F4167" s="3">
        <v>121748</v>
      </c>
      <c r="G4167" s="57">
        <f t="shared" si="66"/>
        <v>2.7608734184694075E-2</v>
      </c>
      <c r="H4167" s="5" t="s">
        <v>2344</v>
      </c>
    </row>
    <row r="4168" spans="1:8" ht="25.5" x14ac:dyDescent="0.2">
      <c r="A4168" s="1" t="s">
        <v>4</v>
      </c>
      <c r="B4168" s="2" t="s">
        <v>423</v>
      </c>
      <c r="D4168" s="5" t="s">
        <v>564</v>
      </c>
      <c r="E4168" s="6">
        <v>126240</v>
      </c>
      <c r="F4168" s="3">
        <v>124696</v>
      </c>
      <c r="G4168" s="57">
        <f t="shared" si="66"/>
        <v>-1.2230671736375159E-2</v>
      </c>
      <c r="H4168" s="5" t="s">
        <v>2345</v>
      </c>
    </row>
    <row r="4169" spans="1:8" ht="25.5" x14ac:dyDescent="0.2">
      <c r="A4169" s="1" t="s">
        <v>4</v>
      </c>
      <c r="B4169" s="2" t="s">
        <v>423</v>
      </c>
      <c r="D4169" s="5" t="s">
        <v>565</v>
      </c>
      <c r="E4169" s="6">
        <v>143520</v>
      </c>
      <c r="F4169" s="3">
        <v>143880</v>
      </c>
      <c r="G4169" s="57">
        <f t="shared" si="66"/>
        <v>2.508361204013378E-3</v>
      </c>
      <c r="H4169" s="5" t="s">
        <v>2346</v>
      </c>
    </row>
    <row r="4170" spans="1:8" ht="51" x14ac:dyDescent="0.2">
      <c r="A4170" s="1" t="s">
        <v>4</v>
      </c>
      <c r="B4170" s="2" t="s">
        <v>423</v>
      </c>
      <c r="D4170" s="5" t="s">
        <v>566</v>
      </c>
      <c r="E4170" s="6">
        <v>121862</v>
      </c>
      <c r="F4170" s="3">
        <v>298500</v>
      </c>
      <c r="G4170" s="57">
        <f t="shared" si="66"/>
        <v>1.4494920483825966</v>
      </c>
      <c r="H4170" s="5" t="s">
        <v>4560</v>
      </c>
    </row>
    <row r="4171" spans="1:8" ht="38.25" x14ac:dyDescent="0.2">
      <c r="A4171" s="1" t="s">
        <v>4</v>
      </c>
      <c r="B4171" s="2" t="s">
        <v>423</v>
      </c>
      <c r="D4171" s="5" t="s">
        <v>567</v>
      </c>
      <c r="E4171" s="6">
        <v>128019</v>
      </c>
      <c r="F4171" s="3">
        <v>349837</v>
      </c>
      <c r="G4171" s="57">
        <f t="shared" si="66"/>
        <v>1.7326959279481953</v>
      </c>
      <c r="H4171" s="5" t="s">
        <v>4561</v>
      </c>
    </row>
    <row r="4172" spans="1:8" ht="25.5" x14ac:dyDescent="0.2">
      <c r="A4172" s="1" t="s">
        <v>4</v>
      </c>
      <c r="B4172" s="2" t="s">
        <v>423</v>
      </c>
      <c r="D4172" s="5" t="s">
        <v>568</v>
      </c>
      <c r="E4172" s="6">
        <v>114349</v>
      </c>
      <c r="F4172" s="3">
        <v>114607</v>
      </c>
      <c r="G4172" s="57">
        <f t="shared" si="66"/>
        <v>2.2562506012295692E-3</v>
      </c>
      <c r="H4172" s="5" t="s">
        <v>2347</v>
      </c>
    </row>
    <row r="4173" spans="1:8" ht="25.5" x14ac:dyDescent="0.2">
      <c r="A4173" s="1" t="s">
        <v>4</v>
      </c>
      <c r="B4173" s="2" t="s">
        <v>423</v>
      </c>
      <c r="D4173" s="5" t="s">
        <v>569</v>
      </c>
      <c r="E4173" s="6">
        <v>91202</v>
      </c>
      <c r="F4173" s="3">
        <v>101929</v>
      </c>
      <c r="G4173" s="57">
        <f t="shared" si="66"/>
        <v>0.11761803469222167</v>
      </c>
      <c r="H4173" s="5" t="s">
        <v>2348</v>
      </c>
    </row>
    <row r="4174" spans="1:8" ht="25.5" x14ac:dyDescent="0.2">
      <c r="A4174" s="1" t="s">
        <v>4</v>
      </c>
      <c r="B4174" s="2" t="s">
        <v>423</v>
      </c>
      <c r="D4174" s="5" t="s">
        <v>570</v>
      </c>
      <c r="E4174" s="6">
        <v>102355</v>
      </c>
      <c r="F4174" s="3">
        <v>106711</v>
      </c>
      <c r="G4174" s="57">
        <f t="shared" si="66"/>
        <v>4.2557764642665231E-2</v>
      </c>
      <c r="H4174" s="5" t="s">
        <v>2349</v>
      </c>
    </row>
    <row r="4175" spans="1:8" ht="38.25" x14ac:dyDescent="0.2">
      <c r="A4175" s="1" t="s">
        <v>4</v>
      </c>
      <c r="B4175" s="2" t="s">
        <v>423</v>
      </c>
      <c r="D4175" s="5" t="s">
        <v>571</v>
      </c>
      <c r="E4175" s="6">
        <v>93823</v>
      </c>
      <c r="F4175" s="3">
        <v>150894</v>
      </c>
      <c r="G4175" s="57">
        <f t="shared" si="66"/>
        <v>0.60828368310542191</v>
      </c>
      <c r="H4175" s="5" t="s">
        <v>4562</v>
      </c>
    </row>
    <row r="4176" spans="1:8" x14ac:dyDescent="0.2">
      <c r="A4176" s="1" t="s">
        <v>4</v>
      </c>
      <c r="B4176" s="2" t="s">
        <v>423</v>
      </c>
      <c r="D4176" s="5" t="s">
        <v>464</v>
      </c>
      <c r="E4176" s="3">
        <v>102500</v>
      </c>
      <c r="F4176" s="3" t="s">
        <v>465</v>
      </c>
      <c r="G4176" s="57" t="str">
        <f t="shared" si="66"/>
        <v>-</v>
      </c>
    </row>
    <row r="4177" spans="1:8" x14ac:dyDescent="0.2">
      <c r="A4177" s="1" t="s">
        <v>4</v>
      </c>
      <c r="B4177" s="2" t="s">
        <v>423</v>
      </c>
      <c r="D4177" s="5" t="s">
        <v>464</v>
      </c>
      <c r="E4177" s="3" t="s">
        <v>465</v>
      </c>
      <c r="F4177" s="3">
        <v>102500</v>
      </c>
      <c r="G4177" s="57" t="str">
        <f t="shared" ref="G4177:G4240" si="67">IF(ISERROR((F4177-E4177)/E4177),"-",(F4177-E4177)/E4177)</f>
        <v>-</v>
      </c>
    </row>
    <row r="4178" spans="1:8" x14ac:dyDescent="0.2">
      <c r="A4178" s="1" t="s">
        <v>4</v>
      </c>
      <c r="B4178" s="2" t="s">
        <v>423</v>
      </c>
      <c r="D4178" s="5" t="s">
        <v>464</v>
      </c>
      <c r="E4178" s="3">
        <v>112500</v>
      </c>
      <c r="F4178" s="3" t="s">
        <v>465</v>
      </c>
      <c r="G4178" s="57" t="str">
        <f t="shared" si="67"/>
        <v>-</v>
      </c>
    </row>
    <row r="4179" spans="1:8" x14ac:dyDescent="0.2">
      <c r="A4179" s="1" t="s">
        <v>4</v>
      </c>
      <c r="B4179" s="2" t="s">
        <v>423</v>
      </c>
      <c r="D4179" s="5" t="s">
        <v>464</v>
      </c>
      <c r="E4179" s="3" t="s">
        <v>465</v>
      </c>
      <c r="F4179" s="3">
        <v>117500</v>
      </c>
      <c r="G4179" s="57" t="str">
        <f t="shared" si="67"/>
        <v>-</v>
      </c>
    </row>
    <row r="4180" spans="1:8" x14ac:dyDescent="0.2">
      <c r="A4180" s="1" t="s">
        <v>4</v>
      </c>
      <c r="B4180" s="2" t="s">
        <v>423</v>
      </c>
      <c r="D4180" s="5" t="s">
        <v>464</v>
      </c>
      <c r="E4180" s="3">
        <v>162500</v>
      </c>
      <c r="F4180" s="3" t="s">
        <v>465</v>
      </c>
      <c r="G4180" s="57" t="str">
        <f t="shared" si="67"/>
        <v>-</v>
      </c>
    </row>
    <row r="4181" spans="1:8" ht="25.5" x14ac:dyDescent="0.2">
      <c r="A4181" s="1" t="s">
        <v>25</v>
      </c>
      <c r="B4181" s="2" t="s">
        <v>424</v>
      </c>
      <c r="C4181" s="5" t="s">
        <v>542</v>
      </c>
      <c r="D4181" s="5" t="s">
        <v>450</v>
      </c>
      <c r="E4181" s="3">
        <v>234500</v>
      </c>
      <c r="F4181" s="3">
        <v>232604</v>
      </c>
      <c r="G4181" s="57">
        <f t="shared" si="67"/>
        <v>-8.0852878464818759E-3</v>
      </c>
      <c r="H4181" s="5" t="s">
        <v>2328</v>
      </c>
    </row>
    <row r="4182" spans="1:8" ht="38.25" x14ac:dyDescent="0.2">
      <c r="A4182" s="1" t="s">
        <v>25</v>
      </c>
      <c r="B4182" s="2" t="s">
        <v>424</v>
      </c>
      <c r="C4182" s="5" t="s">
        <v>543</v>
      </c>
      <c r="D4182" s="5" t="s">
        <v>544</v>
      </c>
      <c r="E4182" s="3">
        <v>53292</v>
      </c>
      <c r="F4182" s="3">
        <v>192617</v>
      </c>
      <c r="G4182" s="57">
        <f t="shared" si="67"/>
        <v>2.6143698866621632</v>
      </c>
      <c r="H4182" s="5" t="s">
        <v>4563</v>
      </c>
    </row>
    <row r="4183" spans="1:8" x14ac:dyDescent="0.2">
      <c r="A4183" s="1" t="s">
        <v>25</v>
      </c>
      <c r="B4183" s="2" t="s">
        <v>424</v>
      </c>
      <c r="C4183" s="5" t="s">
        <v>545</v>
      </c>
      <c r="D4183" s="5" t="s">
        <v>546</v>
      </c>
      <c r="E4183" s="3">
        <v>262800</v>
      </c>
      <c r="F4183" s="3">
        <v>164426</v>
      </c>
      <c r="G4183" s="57">
        <f t="shared" si="67"/>
        <v>-0.37433028919330291</v>
      </c>
      <c r="H4183" s="5" t="s">
        <v>2332</v>
      </c>
    </row>
    <row r="4184" spans="1:8" ht="25.5" x14ac:dyDescent="0.2">
      <c r="A4184" s="1" t="s">
        <v>25</v>
      </c>
      <c r="B4184" s="2" t="s">
        <v>424</v>
      </c>
      <c r="D4184" s="5" t="s">
        <v>547</v>
      </c>
      <c r="E4184" s="3">
        <v>148328</v>
      </c>
      <c r="F4184" s="3">
        <v>158733</v>
      </c>
      <c r="G4184" s="57">
        <f t="shared" si="67"/>
        <v>7.0148589612210779E-2</v>
      </c>
      <c r="H4184" s="5" t="s">
        <v>2329</v>
      </c>
    </row>
    <row r="4185" spans="1:8" ht="25.5" x14ac:dyDescent="0.2">
      <c r="A4185" s="1" t="s">
        <v>25</v>
      </c>
      <c r="B4185" s="2" t="s">
        <v>424</v>
      </c>
      <c r="D4185" s="5" t="s">
        <v>548</v>
      </c>
      <c r="E4185" s="3">
        <v>167081</v>
      </c>
      <c r="F4185" s="3">
        <v>135849</v>
      </c>
      <c r="G4185" s="57">
        <f t="shared" si="67"/>
        <v>-0.18692729873534394</v>
      </c>
      <c r="H4185" s="5" t="s">
        <v>2330</v>
      </c>
    </row>
    <row r="4186" spans="1:8" ht="25.5" x14ac:dyDescent="0.2">
      <c r="A4186" s="1" t="s">
        <v>25</v>
      </c>
      <c r="B4186" s="2" t="s">
        <v>424</v>
      </c>
      <c r="D4186" s="5" t="s">
        <v>515</v>
      </c>
      <c r="E4186" s="3">
        <v>167157</v>
      </c>
      <c r="F4186" s="3">
        <v>161479</v>
      </c>
      <c r="G4186" s="57">
        <f t="shared" si="67"/>
        <v>-3.3968065949975174E-2</v>
      </c>
      <c r="H4186" s="5" t="s">
        <v>2331</v>
      </c>
    </row>
    <row r="4187" spans="1:8" ht="25.5" x14ac:dyDescent="0.2">
      <c r="A4187" s="1" t="s">
        <v>25</v>
      </c>
      <c r="B4187" s="2" t="s">
        <v>424</v>
      </c>
      <c r="D4187" s="5" t="s">
        <v>549</v>
      </c>
      <c r="E4187" s="3">
        <v>168756</v>
      </c>
      <c r="F4187" s="3">
        <v>165133</v>
      </c>
      <c r="G4187" s="57">
        <f t="shared" si="67"/>
        <v>-2.1468866292161465E-2</v>
      </c>
      <c r="H4187" s="5" t="s">
        <v>4712</v>
      </c>
    </row>
    <row r="4188" spans="1:8" ht="25.5" x14ac:dyDescent="0.2">
      <c r="A4188" s="1" t="s">
        <v>25</v>
      </c>
      <c r="B4188" s="2" t="s">
        <v>424</v>
      </c>
      <c r="D4188" s="5" t="s">
        <v>550</v>
      </c>
      <c r="E4188" s="3">
        <v>167619</v>
      </c>
      <c r="F4188" s="3">
        <v>164288</v>
      </c>
      <c r="G4188" s="57">
        <f t="shared" si="67"/>
        <v>-1.9872448827400236E-2</v>
      </c>
      <c r="H4188" s="5" t="s">
        <v>4713</v>
      </c>
    </row>
    <row r="4189" spans="1:8" x14ac:dyDescent="0.2">
      <c r="A4189" s="1" t="s">
        <v>25</v>
      </c>
      <c r="B4189" s="2" t="s">
        <v>424</v>
      </c>
      <c r="D4189" s="5" t="s">
        <v>464</v>
      </c>
      <c r="E4189" s="3" t="s">
        <v>465</v>
      </c>
      <c r="F4189" s="3">
        <v>102500</v>
      </c>
      <c r="G4189" s="57" t="str">
        <f t="shared" si="67"/>
        <v>-</v>
      </c>
    </row>
    <row r="4190" spans="1:8" x14ac:dyDescent="0.2">
      <c r="A4190" s="1" t="s">
        <v>25</v>
      </c>
      <c r="B4190" s="2" t="s">
        <v>424</v>
      </c>
      <c r="D4190" s="5" t="s">
        <v>464</v>
      </c>
      <c r="E4190" s="3" t="s">
        <v>465</v>
      </c>
      <c r="F4190" s="3">
        <v>102500</v>
      </c>
      <c r="G4190" s="57" t="str">
        <f t="shared" si="67"/>
        <v>-</v>
      </c>
      <c r="H4190" s="1"/>
    </row>
    <row r="4191" spans="1:8" x14ac:dyDescent="0.2">
      <c r="A4191" s="1" t="s">
        <v>25</v>
      </c>
      <c r="B4191" s="2" t="s">
        <v>424</v>
      </c>
      <c r="D4191" s="5" t="s">
        <v>464</v>
      </c>
      <c r="E4191" s="3" t="s">
        <v>465</v>
      </c>
      <c r="F4191" s="3">
        <v>102500</v>
      </c>
      <c r="G4191" s="57" t="str">
        <f t="shared" si="67"/>
        <v>-</v>
      </c>
      <c r="H4191" s="1"/>
    </row>
    <row r="4192" spans="1:8" x14ac:dyDescent="0.2">
      <c r="A4192" s="1" t="s">
        <v>25</v>
      </c>
      <c r="B4192" s="2" t="s">
        <v>424</v>
      </c>
      <c r="D4192" s="5" t="s">
        <v>464</v>
      </c>
      <c r="E4192" s="3" t="s">
        <v>465</v>
      </c>
      <c r="F4192" s="3">
        <v>102500</v>
      </c>
      <c r="G4192" s="57" t="str">
        <f t="shared" si="67"/>
        <v>-</v>
      </c>
      <c r="H4192" s="1"/>
    </row>
    <row r="4193" spans="1:8" x14ac:dyDescent="0.2">
      <c r="A4193" s="1" t="s">
        <v>25</v>
      </c>
      <c r="B4193" s="2" t="s">
        <v>424</v>
      </c>
      <c r="D4193" s="5" t="s">
        <v>464</v>
      </c>
      <c r="E4193" s="3" t="s">
        <v>465</v>
      </c>
      <c r="F4193" s="3">
        <v>102500</v>
      </c>
      <c r="G4193" s="57" t="str">
        <f t="shared" si="67"/>
        <v>-</v>
      </c>
      <c r="H4193" s="1"/>
    </row>
    <row r="4194" spans="1:8" x14ac:dyDescent="0.2">
      <c r="A4194" s="1" t="s">
        <v>25</v>
      </c>
      <c r="B4194" s="2" t="s">
        <v>424</v>
      </c>
      <c r="D4194" s="5" t="s">
        <v>464</v>
      </c>
      <c r="E4194" s="3" t="s">
        <v>465</v>
      </c>
      <c r="F4194" s="3">
        <v>102500</v>
      </c>
      <c r="G4194" s="57" t="str">
        <f t="shared" si="67"/>
        <v>-</v>
      </c>
      <c r="H4194" s="1"/>
    </row>
    <row r="4195" spans="1:8" x14ac:dyDescent="0.2">
      <c r="A4195" s="1" t="s">
        <v>25</v>
      </c>
      <c r="B4195" s="2" t="s">
        <v>424</v>
      </c>
      <c r="D4195" s="5" t="s">
        <v>464</v>
      </c>
      <c r="E4195" s="3" t="s">
        <v>465</v>
      </c>
      <c r="F4195" s="3">
        <v>102500</v>
      </c>
      <c r="G4195" s="57" t="str">
        <f t="shared" si="67"/>
        <v>-</v>
      </c>
      <c r="H4195" s="1"/>
    </row>
    <row r="4196" spans="1:8" x14ac:dyDescent="0.2">
      <c r="A4196" s="1" t="s">
        <v>25</v>
      </c>
      <c r="B4196" s="2" t="s">
        <v>424</v>
      </c>
      <c r="D4196" s="5" t="s">
        <v>464</v>
      </c>
      <c r="E4196" s="3" t="s">
        <v>465</v>
      </c>
      <c r="F4196" s="3">
        <v>102500</v>
      </c>
      <c r="G4196" s="57" t="str">
        <f t="shared" si="67"/>
        <v>-</v>
      </c>
      <c r="H4196" s="1"/>
    </row>
    <row r="4197" spans="1:8" x14ac:dyDescent="0.2">
      <c r="A4197" s="1" t="s">
        <v>25</v>
      </c>
      <c r="B4197" s="2" t="s">
        <v>424</v>
      </c>
      <c r="D4197" s="5" t="s">
        <v>464</v>
      </c>
      <c r="E4197" s="3">
        <v>102500</v>
      </c>
      <c r="F4197" s="3" t="s">
        <v>465</v>
      </c>
      <c r="G4197" s="57" t="str">
        <f t="shared" si="67"/>
        <v>-</v>
      </c>
      <c r="H4197" s="1"/>
    </row>
    <row r="4198" spans="1:8" x14ac:dyDescent="0.2">
      <c r="A4198" s="1" t="s">
        <v>25</v>
      </c>
      <c r="B4198" s="2" t="s">
        <v>424</v>
      </c>
      <c r="D4198" s="5" t="s">
        <v>464</v>
      </c>
      <c r="E4198" s="3" t="s">
        <v>465</v>
      </c>
      <c r="F4198" s="3">
        <v>107500</v>
      </c>
      <c r="G4198" s="57" t="str">
        <f t="shared" si="67"/>
        <v>-</v>
      </c>
      <c r="H4198" s="1"/>
    </row>
    <row r="4199" spans="1:8" x14ac:dyDescent="0.2">
      <c r="A4199" s="1" t="s">
        <v>25</v>
      </c>
      <c r="B4199" s="2" t="s">
        <v>424</v>
      </c>
      <c r="D4199" s="5" t="s">
        <v>464</v>
      </c>
      <c r="E4199" s="3">
        <v>107500</v>
      </c>
      <c r="F4199" s="3" t="s">
        <v>465</v>
      </c>
      <c r="G4199" s="57" t="str">
        <f t="shared" si="67"/>
        <v>-</v>
      </c>
      <c r="H4199" s="1"/>
    </row>
    <row r="4200" spans="1:8" x14ac:dyDescent="0.2">
      <c r="A4200" s="1" t="s">
        <v>25</v>
      </c>
      <c r="B4200" s="2" t="s">
        <v>424</v>
      </c>
      <c r="D4200" s="5" t="s">
        <v>464</v>
      </c>
      <c r="E4200" s="3">
        <v>107500</v>
      </c>
      <c r="F4200" s="3" t="s">
        <v>465</v>
      </c>
      <c r="G4200" s="57" t="str">
        <f t="shared" si="67"/>
        <v>-</v>
      </c>
      <c r="H4200" s="1"/>
    </row>
    <row r="4201" spans="1:8" x14ac:dyDescent="0.2">
      <c r="A4201" s="1" t="s">
        <v>25</v>
      </c>
      <c r="B4201" s="2" t="s">
        <v>424</v>
      </c>
      <c r="D4201" s="5" t="s">
        <v>464</v>
      </c>
      <c r="E4201" s="3">
        <v>107500</v>
      </c>
      <c r="F4201" s="3" t="s">
        <v>465</v>
      </c>
      <c r="G4201" s="57" t="str">
        <f t="shared" si="67"/>
        <v>-</v>
      </c>
      <c r="H4201" s="1"/>
    </row>
    <row r="4202" spans="1:8" x14ac:dyDescent="0.2">
      <c r="A4202" s="1" t="s">
        <v>25</v>
      </c>
      <c r="B4202" s="2" t="s">
        <v>424</v>
      </c>
      <c r="D4202" s="5" t="s">
        <v>464</v>
      </c>
      <c r="E4202" s="3">
        <v>107500</v>
      </c>
      <c r="F4202" s="3" t="s">
        <v>465</v>
      </c>
      <c r="G4202" s="57" t="str">
        <f t="shared" si="67"/>
        <v>-</v>
      </c>
      <c r="H4202" s="1"/>
    </row>
    <row r="4203" spans="1:8" x14ac:dyDescent="0.2">
      <c r="A4203" s="1" t="s">
        <v>25</v>
      </c>
      <c r="B4203" s="2" t="s">
        <v>424</v>
      </c>
      <c r="D4203" s="5" t="s">
        <v>464</v>
      </c>
      <c r="E4203" s="3" t="s">
        <v>465</v>
      </c>
      <c r="F4203" s="3">
        <v>112500</v>
      </c>
      <c r="G4203" s="57" t="str">
        <f t="shared" si="67"/>
        <v>-</v>
      </c>
      <c r="H4203" s="1"/>
    </row>
    <row r="4204" spans="1:8" x14ac:dyDescent="0.2">
      <c r="A4204" s="1" t="s">
        <v>25</v>
      </c>
      <c r="B4204" s="2" t="s">
        <v>424</v>
      </c>
      <c r="D4204" s="5" t="s">
        <v>464</v>
      </c>
      <c r="E4204" s="3" t="s">
        <v>465</v>
      </c>
      <c r="F4204" s="3">
        <v>112500</v>
      </c>
      <c r="G4204" s="57" t="str">
        <f t="shared" si="67"/>
        <v>-</v>
      </c>
      <c r="H4204" s="1"/>
    </row>
    <row r="4205" spans="1:8" x14ac:dyDescent="0.2">
      <c r="A4205" s="1" t="s">
        <v>25</v>
      </c>
      <c r="B4205" s="2" t="s">
        <v>424</v>
      </c>
      <c r="D4205" s="5" t="s">
        <v>464</v>
      </c>
      <c r="E4205" s="3" t="s">
        <v>465</v>
      </c>
      <c r="F4205" s="3">
        <v>112500</v>
      </c>
      <c r="G4205" s="57" t="str">
        <f t="shared" si="67"/>
        <v>-</v>
      </c>
      <c r="H4205" s="1"/>
    </row>
    <row r="4206" spans="1:8" x14ac:dyDescent="0.2">
      <c r="A4206" s="1" t="s">
        <v>25</v>
      </c>
      <c r="B4206" s="2" t="s">
        <v>424</v>
      </c>
      <c r="D4206" s="5" t="s">
        <v>464</v>
      </c>
      <c r="E4206" s="3">
        <v>117500</v>
      </c>
      <c r="F4206" s="3" t="s">
        <v>465</v>
      </c>
      <c r="G4206" s="57" t="str">
        <f t="shared" si="67"/>
        <v>-</v>
      </c>
      <c r="H4206" s="1"/>
    </row>
    <row r="4207" spans="1:8" x14ac:dyDescent="0.2">
      <c r="A4207" s="1" t="s">
        <v>25</v>
      </c>
      <c r="B4207" s="2" t="s">
        <v>424</v>
      </c>
      <c r="D4207" s="5" t="s">
        <v>464</v>
      </c>
      <c r="E4207" s="3">
        <v>117500</v>
      </c>
      <c r="F4207" s="3" t="s">
        <v>465</v>
      </c>
      <c r="G4207" s="57" t="str">
        <f t="shared" si="67"/>
        <v>-</v>
      </c>
      <c r="H4207" s="1"/>
    </row>
    <row r="4208" spans="1:8" x14ac:dyDescent="0.2">
      <c r="A4208" s="1" t="s">
        <v>25</v>
      </c>
      <c r="B4208" s="2" t="s">
        <v>424</v>
      </c>
      <c r="D4208" s="5" t="s">
        <v>464</v>
      </c>
      <c r="E4208" s="3">
        <v>117500</v>
      </c>
      <c r="F4208" s="3" t="s">
        <v>465</v>
      </c>
      <c r="G4208" s="57" t="str">
        <f t="shared" si="67"/>
        <v>-</v>
      </c>
      <c r="H4208" s="1"/>
    </row>
    <row r="4209" spans="1:8" x14ac:dyDescent="0.2">
      <c r="A4209" s="1" t="s">
        <v>25</v>
      </c>
      <c r="B4209" s="2" t="s">
        <v>424</v>
      </c>
      <c r="D4209" s="5" t="s">
        <v>464</v>
      </c>
      <c r="E4209" s="3" t="s">
        <v>465</v>
      </c>
      <c r="F4209" s="3">
        <v>117500</v>
      </c>
      <c r="G4209" s="57" t="str">
        <f t="shared" si="67"/>
        <v>-</v>
      </c>
      <c r="H4209" s="1"/>
    </row>
    <row r="4210" spans="1:8" x14ac:dyDescent="0.2">
      <c r="A4210" s="1" t="s">
        <v>25</v>
      </c>
      <c r="B4210" s="2" t="s">
        <v>424</v>
      </c>
      <c r="D4210" s="5" t="s">
        <v>464</v>
      </c>
      <c r="E4210" s="3" t="s">
        <v>465</v>
      </c>
      <c r="F4210" s="3">
        <v>122500</v>
      </c>
      <c r="G4210" s="57" t="str">
        <f t="shared" si="67"/>
        <v>-</v>
      </c>
      <c r="H4210" s="1"/>
    </row>
    <row r="4211" spans="1:8" ht="38.25" x14ac:dyDescent="0.2">
      <c r="A4211" s="1" t="s">
        <v>34</v>
      </c>
      <c r="B4211" s="30" t="s">
        <v>4566</v>
      </c>
      <c r="C4211" s="5" t="s">
        <v>541</v>
      </c>
      <c r="D4211" s="5" t="s">
        <v>450</v>
      </c>
      <c r="E4211" s="3">
        <v>110082</v>
      </c>
      <c r="F4211" s="3">
        <v>343849</v>
      </c>
      <c r="G4211" s="57">
        <f t="shared" si="67"/>
        <v>2.1235715194128013</v>
      </c>
      <c r="H4211" s="5" t="s">
        <v>4714</v>
      </c>
    </row>
    <row r="4212" spans="1:8" ht="25.5" x14ac:dyDescent="0.2">
      <c r="A4212" s="1" t="s">
        <v>6</v>
      </c>
      <c r="B4212" s="2" t="s">
        <v>426</v>
      </c>
      <c r="C4212" s="5" t="s">
        <v>527</v>
      </c>
      <c r="D4212" s="5" t="s">
        <v>450</v>
      </c>
      <c r="E4212" s="3">
        <v>228876</v>
      </c>
      <c r="F4212" s="3">
        <v>238258</v>
      </c>
      <c r="G4212" s="57">
        <f t="shared" si="67"/>
        <v>4.0991628654817452E-2</v>
      </c>
      <c r="H4212" s="5" t="s">
        <v>4715</v>
      </c>
    </row>
    <row r="4213" spans="1:8" ht="25.5" x14ac:dyDescent="0.2">
      <c r="A4213" s="1" t="s">
        <v>6</v>
      </c>
      <c r="B4213" s="2" t="s">
        <v>426</v>
      </c>
      <c r="C4213" s="5" t="s">
        <v>528</v>
      </c>
      <c r="D4213" s="5" t="s">
        <v>531</v>
      </c>
      <c r="E4213" s="3">
        <v>157291</v>
      </c>
      <c r="F4213" s="6">
        <v>202462</v>
      </c>
      <c r="G4213" s="57">
        <f t="shared" si="67"/>
        <v>0.28718108474102144</v>
      </c>
      <c r="H4213" s="5" t="s">
        <v>2322</v>
      </c>
    </row>
    <row r="4214" spans="1:8" ht="38.25" x14ac:dyDescent="0.2">
      <c r="A4214" s="1" t="s">
        <v>6</v>
      </c>
      <c r="B4214" s="2" t="s">
        <v>426</v>
      </c>
      <c r="C4214" s="5" t="s">
        <v>530</v>
      </c>
      <c r="D4214" s="5" t="s">
        <v>532</v>
      </c>
      <c r="E4214" s="3">
        <v>113360</v>
      </c>
      <c r="F4214" s="6">
        <v>172213</v>
      </c>
      <c r="G4214" s="57">
        <f t="shared" si="67"/>
        <v>0.51916901905434021</v>
      </c>
      <c r="H4214" s="5" t="s">
        <v>2323</v>
      </c>
    </row>
    <row r="4215" spans="1:8" ht="25.5" x14ac:dyDescent="0.2">
      <c r="A4215" s="1" t="s">
        <v>6</v>
      </c>
      <c r="B4215" s="2" t="s">
        <v>426</v>
      </c>
      <c r="C4215" s="5" t="s">
        <v>533</v>
      </c>
      <c r="D4215" s="5" t="s">
        <v>529</v>
      </c>
      <c r="E4215" s="3">
        <v>148048</v>
      </c>
      <c r="F4215" s="3">
        <v>153326</v>
      </c>
      <c r="G4215" s="57">
        <f t="shared" si="67"/>
        <v>3.5650599805468496E-2</v>
      </c>
      <c r="H4215" s="5" t="s">
        <v>2324</v>
      </c>
    </row>
    <row r="4216" spans="1:8" ht="25.5" x14ac:dyDescent="0.2">
      <c r="A4216" s="1" t="s">
        <v>6</v>
      </c>
      <c r="B4216" s="2" t="s">
        <v>426</v>
      </c>
      <c r="C4216" s="5" t="s">
        <v>534</v>
      </c>
      <c r="D4216" s="5" t="s">
        <v>529</v>
      </c>
      <c r="E4216" s="3">
        <v>164359</v>
      </c>
      <c r="F4216" s="3">
        <v>140812</v>
      </c>
      <c r="G4216" s="57">
        <f t="shared" si="67"/>
        <v>-0.14326565627680871</v>
      </c>
      <c r="H4216" s="5" t="s">
        <v>2325</v>
      </c>
    </row>
    <row r="4217" spans="1:8" ht="25.5" x14ac:dyDescent="0.2">
      <c r="A4217" s="1" t="s">
        <v>6</v>
      </c>
      <c r="B4217" s="2" t="s">
        <v>426</v>
      </c>
      <c r="C4217" s="5" t="s">
        <v>535</v>
      </c>
      <c r="D4217" s="5" t="s">
        <v>537</v>
      </c>
      <c r="E4217" s="3">
        <v>48013</v>
      </c>
      <c r="F4217" s="3">
        <v>136384</v>
      </c>
      <c r="G4217" s="57">
        <f t="shared" si="67"/>
        <v>1.8405640139128987</v>
      </c>
      <c r="H4217" s="5" t="s">
        <v>2326</v>
      </c>
    </row>
    <row r="4218" spans="1:8" ht="25.5" x14ac:dyDescent="0.2">
      <c r="A4218" s="1" t="s">
        <v>6</v>
      </c>
      <c r="B4218" s="2" t="s">
        <v>426</v>
      </c>
      <c r="C4218" s="5" t="s">
        <v>536</v>
      </c>
      <c r="D4218" s="5" t="s">
        <v>538</v>
      </c>
      <c r="E4218" s="3">
        <v>111386</v>
      </c>
      <c r="F4218" s="3">
        <v>120910</v>
      </c>
      <c r="G4218" s="57">
        <f t="shared" si="67"/>
        <v>8.5504461961108225E-2</v>
      </c>
      <c r="H4218" s="5" t="s">
        <v>2327</v>
      </c>
    </row>
    <row r="4219" spans="1:8" x14ac:dyDescent="0.2">
      <c r="A4219" s="1" t="s">
        <v>6</v>
      </c>
      <c r="B4219" s="2" t="s">
        <v>426</v>
      </c>
      <c r="D4219" s="5" t="s">
        <v>455</v>
      </c>
      <c r="E4219" s="3">
        <v>157813</v>
      </c>
      <c r="F4219" s="3" t="s">
        <v>465</v>
      </c>
      <c r="G4219" s="57" t="str">
        <f t="shared" si="67"/>
        <v>-</v>
      </c>
    </row>
    <row r="4220" spans="1:8" x14ac:dyDescent="0.2">
      <c r="A4220" s="1" t="s">
        <v>6</v>
      </c>
      <c r="B4220" s="2" t="s">
        <v>426</v>
      </c>
      <c r="D4220" s="5" t="s">
        <v>464</v>
      </c>
      <c r="E4220" s="3" t="s">
        <v>465</v>
      </c>
      <c r="F4220" s="3">
        <v>137500</v>
      </c>
      <c r="G4220" s="57" t="str">
        <f t="shared" si="67"/>
        <v>-</v>
      </c>
      <c r="H4220" s="5" t="s">
        <v>1241</v>
      </c>
    </row>
    <row r="4221" spans="1:8" x14ac:dyDescent="0.2">
      <c r="A4221" s="1" t="s">
        <v>6</v>
      </c>
      <c r="B4221" s="2" t="s">
        <v>426</v>
      </c>
      <c r="D4221" s="5" t="s">
        <v>464</v>
      </c>
      <c r="E4221" s="3" t="s">
        <v>465</v>
      </c>
      <c r="F4221" s="3">
        <v>142500</v>
      </c>
      <c r="G4221" s="57" t="str">
        <f t="shared" si="67"/>
        <v>-</v>
      </c>
      <c r="H4221" s="5" t="s">
        <v>1241</v>
      </c>
    </row>
    <row r="4222" spans="1:8" x14ac:dyDescent="0.2">
      <c r="A4222" s="1" t="s">
        <v>6</v>
      </c>
      <c r="B4222" s="2" t="s">
        <v>426</v>
      </c>
      <c r="D4222" s="5" t="s">
        <v>464</v>
      </c>
      <c r="E4222" s="3">
        <v>102500</v>
      </c>
      <c r="F4222" s="3" t="s">
        <v>465</v>
      </c>
      <c r="G4222" s="57" t="str">
        <f t="shared" si="67"/>
        <v>-</v>
      </c>
      <c r="H4222" s="5" t="s">
        <v>1241</v>
      </c>
    </row>
    <row r="4223" spans="1:8" x14ac:dyDescent="0.2">
      <c r="A4223" s="1" t="s">
        <v>6</v>
      </c>
      <c r="B4223" s="2" t="s">
        <v>426</v>
      </c>
      <c r="D4223" s="5" t="s">
        <v>464</v>
      </c>
      <c r="E4223" s="3">
        <v>132500</v>
      </c>
      <c r="F4223" s="3" t="s">
        <v>465</v>
      </c>
      <c r="G4223" s="57" t="str">
        <f t="shared" si="67"/>
        <v>-</v>
      </c>
    </row>
    <row r="4224" spans="1:8" ht="38.25" x14ac:dyDescent="0.2">
      <c r="A4224" s="1" t="s">
        <v>34</v>
      </c>
      <c r="B4224" s="12" t="s">
        <v>427</v>
      </c>
      <c r="C4224" s="5" t="s">
        <v>523</v>
      </c>
      <c r="D4224" s="5" t="s">
        <v>450</v>
      </c>
      <c r="E4224" s="3">
        <v>30021</v>
      </c>
      <c r="F4224" s="3">
        <v>225830</v>
      </c>
      <c r="G4224" s="57">
        <f t="shared" si="67"/>
        <v>6.5224009859764829</v>
      </c>
      <c r="H4224" s="5" t="s">
        <v>4567</v>
      </c>
    </row>
    <row r="4225" spans="1:8" x14ac:dyDescent="0.2">
      <c r="A4225" s="1" t="s">
        <v>34</v>
      </c>
      <c r="B4225" s="2" t="s">
        <v>427</v>
      </c>
      <c r="C4225" s="5" t="s">
        <v>2315</v>
      </c>
      <c r="D4225" s="5" t="s">
        <v>450</v>
      </c>
      <c r="E4225" s="3">
        <v>484832</v>
      </c>
      <c r="F4225" s="3" t="s">
        <v>465</v>
      </c>
      <c r="G4225" s="57" t="str">
        <f t="shared" si="67"/>
        <v>-</v>
      </c>
      <c r="H4225" s="5" t="s">
        <v>4568</v>
      </c>
    </row>
    <row r="4226" spans="1:8" ht="25.5" x14ac:dyDescent="0.2">
      <c r="A4226" s="1" t="s">
        <v>34</v>
      </c>
      <c r="B4226" s="2" t="s">
        <v>427</v>
      </c>
      <c r="D4226" s="5" t="s">
        <v>524</v>
      </c>
      <c r="E4226" s="3">
        <v>150410</v>
      </c>
      <c r="F4226" s="3">
        <v>150225</v>
      </c>
      <c r="G4226" s="57">
        <f t="shared" si="67"/>
        <v>-1.2299714114753009E-3</v>
      </c>
      <c r="H4226" s="5" t="s">
        <v>2317</v>
      </c>
    </row>
    <row r="4227" spans="1:8" ht="25.5" x14ac:dyDescent="0.2">
      <c r="A4227" s="1" t="s">
        <v>34</v>
      </c>
      <c r="B4227" s="2" t="s">
        <v>427</v>
      </c>
      <c r="D4227" s="5" t="s">
        <v>463</v>
      </c>
      <c r="E4227" s="3">
        <v>146494</v>
      </c>
      <c r="F4227" s="3">
        <v>151530</v>
      </c>
      <c r="G4227" s="57">
        <f t="shared" si="67"/>
        <v>3.4376834546124758E-2</v>
      </c>
      <c r="H4227" s="5" t="s">
        <v>2318</v>
      </c>
    </row>
    <row r="4228" spans="1:8" ht="25.5" x14ac:dyDescent="0.2">
      <c r="A4228" s="1" t="s">
        <v>34</v>
      </c>
      <c r="B4228" s="2" t="s">
        <v>427</v>
      </c>
      <c r="D4228" s="5" t="s">
        <v>525</v>
      </c>
      <c r="E4228" s="3">
        <v>145969</v>
      </c>
      <c r="F4228" s="3">
        <v>150139</v>
      </c>
      <c r="G4228" s="57">
        <f t="shared" si="67"/>
        <v>2.8567709582171558E-2</v>
      </c>
      <c r="H4228" s="5" t="s">
        <v>2319</v>
      </c>
    </row>
    <row r="4229" spans="1:8" ht="25.5" x14ac:dyDescent="0.2">
      <c r="A4229" s="1" t="s">
        <v>34</v>
      </c>
      <c r="B4229" s="2" t="s">
        <v>427</v>
      </c>
      <c r="D4229" s="5" t="s">
        <v>526</v>
      </c>
      <c r="E4229" s="3" t="s">
        <v>465</v>
      </c>
      <c r="F4229" s="3">
        <v>140749</v>
      </c>
      <c r="G4229" s="57" t="str">
        <f t="shared" si="67"/>
        <v>-</v>
      </c>
      <c r="H4229" s="5" t="s">
        <v>2320</v>
      </c>
    </row>
    <row r="4230" spans="1:8" x14ac:dyDescent="0.2">
      <c r="A4230" s="1" t="s">
        <v>34</v>
      </c>
      <c r="B4230" s="2" t="s">
        <v>427</v>
      </c>
      <c r="D4230" s="5" t="s">
        <v>2316</v>
      </c>
      <c r="E4230" s="3">
        <v>558296</v>
      </c>
      <c r="F4230" s="3" t="s">
        <v>465</v>
      </c>
      <c r="G4230" s="57" t="str">
        <f t="shared" si="67"/>
        <v>-</v>
      </c>
      <c r="H4230" s="5" t="s">
        <v>3661</v>
      </c>
    </row>
    <row r="4231" spans="1:8" x14ac:dyDescent="0.2">
      <c r="A4231" s="1" t="s">
        <v>34</v>
      </c>
      <c r="B4231" s="2" t="s">
        <v>427</v>
      </c>
      <c r="D4231" s="5" t="s">
        <v>2321</v>
      </c>
      <c r="E4231" s="3">
        <v>136259</v>
      </c>
      <c r="F4231" s="3" t="s">
        <v>465</v>
      </c>
      <c r="G4231" s="57" t="str">
        <f t="shared" si="67"/>
        <v>-</v>
      </c>
    </row>
    <row r="4232" spans="1:8" x14ac:dyDescent="0.2">
      <c r="A4232" s="1" t="s">
        <v>34</v>
      </c>
      <c r="B4232" s="2" t="s">
        <v>427</v>
      </c>
      <c r="D4232" s="5" t="s">
        <v>611</v>
      </c>
      <c r="E4232" s="3">
        <v>333153</v>
      </c>
      <c r="F4232" s="3" t="s">
        <v>465</v>
      </c>
      <c r="G4232" s="57" t="str">
        <f t="shared" si="67"/>
        <v>-</v>
      </c>
      <c r="H4232" s="5" t="s">
        <v>4569</v>
      </c>
    </row>
    <row r="4233" spans="1:8" x14ac:dyDescent="0.2">
      <c r="A4233" s="1" t="s">
        <v>34</v>
      </c>
      <c r="B4233" s="2" t="s">
        <v>427</v>
      </c>
      <c r="D4233" s="5" t="s">
        <v>613</v>
      </c>
      <c r="E4233" s="3">
        <v>390738</v>
      </c>
      <c r="F4233" s="3" t="s">
        <v>465</v>
      </c>
      <c r="G4233" s="57" t="str">
        <f t="shared" si="67"/>
        <v>-</v>
      </c>
      <c r="H4233" s="5" t="s">
        <v>4569</v>
      </c>
    </row>
    <row r="4234" spans="1:8" x14ac:dyDescent="0.2">
      <c r="A4234" s="1" t="s">
        <v>34</v>
      </c>
      <c r="B4234" s="2" t="s">
        <v>427</v>
      </c>
      <c r="D4234" s="5" t="s">
        <v>464</v>
      </c>
      <c r="E4234" s="3" t="s">
        <v>465</v>
      </c>
      <c r="F4234" s="3">
        <v>102500</v>
      </c>
      <c r="G4234" s="57" t="str">
        <f t="shared" si="67"/>
        <v>-</v>
      </c>
      <c r="H4234" s="5" t="s">
        <v>1241</v>
      </c>
    </row>
    <row r="4235" spans="1:8" x14ac:dyDescent="0.2">
      <c r="A4235" s="1" t="s">
        <v>34</v>
      </c>
      <c r="B4235" s="2" t="s">
        <v>427</v>
      </c>
      <c r="D4235" s="5" t="s">
        <v>464</v>
      </c>
      <c r="E4235" s="3" t="s">
        <v>465</v>
      </c>
      <c r="F4235" s="3">
        <v>102500</v>
      </c>
      <c r="G4235" s="57" t="str">
        <f t="shared" si="67"/>
        <v>-</v>
      </c>
      <c r="H4235" s="5" t="s">
        <v>1241</v>
      </c>
    </row>
    <row r="4236" spans="1:8" x14ac:dyDescent="0.2">
      <c r="A4236" s="1" t="s">
        <v>34</v>
      </c>
      <c r="B4236" s="2" t="s">
        <v>427</v>
      </c>
      <c r="D4236" s="5" t="s">
        <v>464</v>
      </c>
      <c r="E4236" s="3" t="s">
        <v>465</v>
      </c>
      <c r="F4236" s="3">
        <v>107500</v>
      </c>
      <c r="G4236" s="57" t="str">
        <f t="shared" si="67"/>
        <v>-</v>
      </c>
      <c r="H4236" s="5" t="s">
        <v>1241</v>
      </c>
    </row>
    <row r="4237" spans="1:8" x14ac:dyDescent="0.2">
      <c r="A4237" s="1" t="s">
        <v>34</v>
      </c>
      <c r="B4237" s="2" t="s">
        <v>427</v>
      </c>
      <c r="D4237" s="5" t="s">
        <v>464</v>
      </c>
      <c r="E4237" s="3" t="s">
        <v>465</v>
      </c>
      <c r="F4237" s="3">
        <v>107500</v>
      </c>
      <c r="G4237" s="57" t="str">
        <f t="shared" si="67"/>
        <v>-</v>
      </c>
      <c r="H4237" s="5" t="s">
        <v>1241</v>
      </c>
    </row>
    <row r="4238" spans="1:8" x14ac:dyDescent="0.2">
      <c r="A4238" s="1" t="s">
        <v>34</v>
      </c>
      <c r="B4238" s="2" t="s">
        <v>427</v>
      </c>
      <c r="D4238" s="5" t="s">
        <v>464</v>
      </c>
      <c r="E4238" s="3" t="s">
        <v>465</v>
      </c>
      <c r="F4238" s="3">
        <v>107500</v>
      </c>
      <c r="G4238" s="57" t="str">
        <f t="shared" si="67"/>
        <v>-</v>
      </c>
      <c r="H4238" s="5" t="s">
        <v>1241</v>
      </c>
    </row>
    <row r="4239" spans="1:8" x14ac:dyDescent="0.2">
      <c r="A4239" s="1" t="s">
        <v>34</v>
      </c>
      <c r="B4239" s="2" t="s">
        <v>427</v>
      </c>
      <c r="D4239" s="5" t="s">
        <v>464</v>
      </c>
      <c r="E4239" s="3" t="s">
        <v>465</v>
      </c>
      <c r="F4239" s="3">
        <v>107500</v>
      </c>
      <c r="G4239" s="57" t="str">
        <f t="shared" si="67"/>
        <v>-</v>
      </c>
    </row>
    <row r="4240" spans="1:8" x14ac:dyDescent="0.2">
      <c r="A4240" s="1" t="s">
        <v>34</v>
      </c>
      <c r="B4240" s="2" t="s">
        <v>427</v>
      </c>
      <c r="D4240" s="5" t="s">
        <v>464</v>
      </c>
      <c r="E4240" s="3" t="s">
        <v>465</v>
      </c>
      <c r="F4240" s="3">
        <v>117500</v>
      </c>
      <c r="G4240" s="57" t="str">
        <f t="shared" si="67"/>
        <v>-</v>
      </c>
      <c r="H4240" s="5" t="s">
        <v>1241</v>
      </c>
    </row>
    <row r="4241" spans="1:8" x14ac:dyDescent="0.2">
      <c r="A4241" s="1" t="s">
        <v>34</v>
      </c>
      <c r="B4241" s="2" t="s">
        <v>427</v>
      </c>
      <c r="D4241" s="5" t="s">
        <v>464</v>
      </c>
      <c r="E4241" s="3" t="s">
        <v>465</v>
      </c>
      <c r="F4241" s="3">
        <v>122500</v>
      </c>
      <c r="G4241" s="57" t="str">
        <f t="shared" ref="G4241:G4304" si="68">IF(ISERROR((F4241-E4241)/E4241),"-",(F4241-E4241)/E4241)</f>
        <v>-</v>
      </c>
      <c r="H4241" s="5" t="s">
        <v>1241</v>
      </c>
    </row>
    <row r="4242" spans="1:8" x14ac:dyDescent="0.2">
      <c r="A4242" s="1" t="s">
        <v>34</v>
      </c>
      <c r="B4242" s="2" t="s">
        <v>427</v>
      </c>
      <c r="D4242" s="5" t="s">
        <v>464</v>
      </c>
      <c r="E4242" s="3" t="s">
        <v>465</v>
      </c>
      <c r="F4242" s="3">
        <v>122500</v>
      </c>
      <c r="G4242" s="57" t="str">
        <f t="shared" si="68"/>
        <v>-</v>
      </c>
      <c r="H4242" s="5" t="s">
        <v>1241</v>
      </c>
    </row>
    <row r="4243" spans="1:8" x14ac:dyDescent="0.2">
      <c r="A4243" s="1" t="s">
        <v>34</v>
      </c>
      <c r="B4243" s="2" t="s">
        <v>427</v>
      </c>
      <c r="D4243" s="5" t="s">
        <v>464</v>
      </c>
      <c r="E4243" s="3" t="s">
        <v>465</v>
      </c>
      <c r="F4243" s="3">
        <v>122500</v>
      </c>
      <c r="G4243" s="57" t="str">
        <f t="shared" si="68"/>
        <v>-</v>
      </c>
      <c r="H4243" s="5" t="s">
        <v>1241</v>
      </c>
    </row>
    <row r="4244" spans="1:8" x14ac:dyDescent="0.2">
      <c r="A4244" s="1" t="s">
        <v>34</v>
      </c>
      <c r="B4244" s="2" t="s">
        <v>427</v>
      </c>
      <c r="D4244" s="5" t="s">
        <v>464</v>
      </c>
      <c r="E4244" s="3" t="s">
        <v>465</v>
      </c>
      <c r="F4244" s="3">
        <v>122500</v>
      </c>
      <c r="G4244" s="57" t="str">
        <f t="shared" si="68"/>
        <v>-</v>
      </c>
      <c r="H4244" s="5" t="s">
        <v>1241</v>
      </c>
    </row>
    <row r="4245" spans="1:8" x14ac:dyDescent="0.2">
      <c r="A4245" s="1" t="s">
        <v>34</v>
      </c>
      <c r="B4245" s="2" t="s">
        <v>427</v>
      </c>
      <c r="D4245" s="5" t="s">
        <v>464</v>
      </c>
      <c r="E4245" s="3" t="s">
        <v>465</v>
      </c>
      <c r="F4245" s="3">
        <v>122500</v>
      </c>
      <c r="G4245" s="57" t="str">
        <f t="shared" si="68"/>
        <v>-</v>
      </c>
    </row>
    <row r="4246" spans="1:8" x14ac:dyDescent="0.2">
      <c r="A4246" s="1" t="s">
        <v>34</v>
      </c>
      <c r="B4246" s="2" t="s">
        <v>427</v>
      </c>
      <c r="D4246" s="5" t="s">
        <v>464</v>
      </c>
      <c r="E4246" s="3" t="s">
        <v>465</v>
      </c>
      <c r="F4246" s="3">
        <v>127500</v>
      </c>
      <c r="G4246" s="57" t="str">
        <f t="shared" si="68"/>
        <v>-</v>
      </c>
      <c r="H4246" s="5" t="s">
        <v>1241</v>
      </c>
    </row>
    <row r="4247" spans="1:8" x14ac:dyDescent="0.2">
      <c r="A4247" s="1" t="s">
        <v>34</v>
      </c>
      <c r="B4247" s="2" t="s">
        <v>427</v>
      </c>
      <c r="D4247" s="5" t="s">
        <v>464</v>
      </c>
      <c r="E4247" s="3" t="s">
        <v>465</v>
      </c>
      <c r="F4247" s="3">
        <v>127500</v>
      </c>
      <c r="G4247" s="57" t="str">
        <f t="shared" si="68"/>
        <v>-</v>
      </c>
      <c r="H4247" s="5" t="s">
        <v>1241</v>
      </c>
    </row>
    <row r="4248" spans="1:8" x14ac:dyDescent="0.2">
      <c r="A4248" s="1" t="s">
        <v>34</v>
      </c>
      <c r="B4248" s="2" t="s">
        <v>427</v>
      </c>
      <c r="D4248" s="5" t="s">
        <v>464</v>
      </c>
      <c r="E4248" s="3" t="s">
        <v>465</v>
      </c>
      <c r="F4248" s="3">
        <v>127500</v>
      </c>
      <c r="G4248" s="57" t="str">
        <f t="shared" si="68"/>
        <v>-</v>
      </c>
    </row>
    <row r="4249" spans="1:8" x14ac:dyDescent="0.2">
      <c r="A4249" s="1" t="s">
        <v>34</v>
      </c>
      <c r="B4249" s="2" t="s">
        <v>427</v>
      </c>
      <c r="D4249" s="5" t="s">
        <v>464</v>
      </c>
      <c r="E4249" s="3" t="s">
        <v>465</v>
      </c>
      <c r="F4249" s="3">
        <v>132500</v>
      </c>
      <c r="G4249" s="57" t="str">
        <f t="shared" si="68"/>
        <v>-</v>
      </c>
      <c r="H4249" s="5" t="s">
        <v>1241</v>
      </c>
    </row>
    <row r="4250" spans="1:8" x14ac:dyDescent="0.2">
      <c r="A4250" s="1" t="s">
        <v>34</v>
      </c>
      <c r="B4250" s="2" t="s">
        <v>427</v>
      </c>
      <c r="D4250" s="5" t="s">
        <v>464</v>
      </c>
      <c r="E4250" s="3">
        <v>102500</v>
      </c>
      <c r="F4250" s="3" t="s">
        <v>465</v>
      </c>
      <c r="G4250" s="57" t="str">
        <f t="shared" si="68"/>
        <v>-</v>
      </c>
      <c r="H4250" s="5" t="s">
        <v>1241</v>
      </c>
    </row>
    <row r="4251" spans="1:8" x14ac:dyDescent="0.2">
      <c r="A4251" s="1" t="s">
        <v>34</v>
      </c>
      <c r="B4251" s="2" t="s">
        <v>427</v>
      </c>
      <c r="D4251" s="5" t="s">
        <v>464</v>
      </c>
      <c r="E4251" s="3">
        <v>102500</v>
      </c>
      <c r="F4251" s="3" t="s">
        <v>465</v>
      </c>
      <c r="G4251" s="57" t="str">
        <f t="shared" si="68"/>
        <v>-</v>
      </c>
      <c r="H4251" s="5" t="s">
        <v>1241</v>
      </c>
    </row>
    <row r="4252" spans="1:8" x14ac:dyDescent="0.2">
      <c r="A4252" s="1" t="s">
        <v>34</v>
      </c>
      <c r="B4252" s="2" t="s">
        <v>427</v>
      </c>
      <c r="D4252" s="5" t="s">
        <v>464</v>
      </c>
      <c r="E4252" s="3">
        <v>102500</v>
      </c>
      <c r="F4252" s="3" t="s">
        <v>465</v>
      </c>
      <c r="G4252" s="57" t="str">
        <f t="shared" si="68"/>
        <v>-</v>
      </c>
    </row>
    <row r="4253" spans="1:8" x14ac:dyDescent="0.2">
      <c r="A4253" s="1" t="s">
        <v>34</v>
      </c>
      <c r="B4253" s="2" t="s">
        <v>427</v>
      </c>
      <c r="D4253" s="5" t="s">
        <v>464</v>
      </c>
      <c r="E4253" s="3">
        <v>102500</v>
      </c>
      <c r="F4253" s="3" t="s">
        <v>465</v>
      </c>
      <c r="G4253" s="57" t="str">
        <f t="shared" si="68"/>
        <v>-</v>
      </c>
    </row>
    <row r="4254" spans="1:8" x14ac:dyDescent="0.2">
      <c r="A4254" s="1" t="s">
        <v>34</v>
      </c>
      <c r="B4254" s="2" t="s">
        <v>427</v>
      </c>
      <c r="D4254" s="5" t="s">
        <v>464</v>
      </c>
      <c r="E4254" s="3">
        <v>102500</v>
      </c>
      <c r="F4254" s="3" t="s">
        <v>465</v>
      </c>
      <c r="G4254" s="57" t="str">
        <f t="shared" si="68"/>
        <v>-</v>
      </c>
    </row>
    <row r="4255" spans="1:8" x14ac:dyDescent="0.2">
      <c r="A4255" s="1" t="s">
        <v>34</v>
      </c>
      <c r="B4255" s="2" t="s">
        <v>427</v>
      </c>
      <c r="D4255" s="5" t="s">
        <v>464</v>
      </c>
      <c r="E4255" s="3">
        <v>107500</v>
      </c>
      <c r="F4255" s="3" t="s">
        <v>465</v>
      </c>
      <c r="G4255" s="57" t="str">
        <f t="shared" si="68"/>
        <v>-</v>
      </c>
      <c r="H4255" s="5" t="s">
        <v>1241</v>
      </c>
    </row>
    <row r="4256" spans="1:8" x14ac:dyDescent="0.2">
      <c r="A4256" s="1" t="s">
        <v>34</v>
      </c>
      <c r="B4256" s="2" t="s">
        <v>427</v>
      </c>
      <c r="D4256" s="5" t="s">
        <v>464</v>
      </c>
      <c r="E4256" s="3">
        <v>112500</v>
      </c>
      <c r="F4256" s="3" t="s">
        <v>465</v>
      </c>
      <c r="G4256" s="57" t="str">
        <f t="shared" si="68"/>
        <v>-</v>
      </c>
    </row>
    <row r="4257" spans="1:8" x14ac:dyDescent="0.2">
      <c r="A4257" s="1" t="s">
        <v>34</v>
      </c>
      <c r="B4257" s="2" t="s">
        <v>427</v>
      </c>
      <c r="D4257" s="5" t="s">
        <v>464</v>
      </c>
      <c r="E4257" s="3">
        <v>117500</v>
      </c>
      <c r="F4257" s="3" t="s">
        <v>465</v>
      </c>
      <c r="G4257" s="57" t="str">
        <f t="shared" si="68"/>
        <v>-</v>
      </c>
    </row>
    <row r="4258" spans="1:8" x14ac:dyDescent="0.2">
      <c r="A4258" s="1" t="s">
        <v>34</v>
      </c>
      <c r="B4258" s="2" t="s">
        <v>427</v>
      </c>
      <c r="D4258" s="7" t="s">
        <v>464</v>
      </c>
      <c r="E4258" s="3">
        <v>137500</v>
      </c>
      <c r="F4258" s="3" t="s">
        <v>465</v>
      </c>
      <c r="G4258" s="57" t="str">
        <f t="shared" si="68"/>
        <v>-</v>
      </c>
      <c r="H4258" s="5" t="s">
        <v>1241</v>
      </c>
    </row>
    <row r="4259" spans="1:8" x14ac:dyDescent="0.2">
      <c r="A4259" s="1" t="s">
        <v>34</v>
      </c>
      <c r="B4259" s="2" t="s">
        <v>427</v>
      </c>
      <c r="D4259" s="5" t="s">
        <v>464</v>
      </c>
      <c r="E4259" s="3">
        <v>152500</v>
      </c>
      <c r="F4259" s="3" t="s">
        <v>465</v>
      </c>
      <c r="G4259" s="57" t="str">
        <f t="shared" si="68"/>
        <v>-</v>
      </c>
      <c r="H4259" s="5" t="s">
        <v>1241</v>
      </c>
    </row>
    <row r="4260" spans="1:8" ht="25.5" x14ac:dyDescent="0.2">
      <c r="A4260" s="1" t="s">
        <v>4</v>
      </c>
      <c r="B4260" s="2" t="s">
        <v>428</v>
      </c>
      <c r="D4260" s="5" t="s">
        <v>450</v>
      </c>
      <c r="E4260" s="3">
        <v>116000</v>
      </c>
      <c r="F4260" s="3">
        <v>117000</v>
      </c>
      <c r="G4260" s="57">
        <f t="shared" si="68"/>
        <v>8.6206896551724137E-3</v>
      </c>
      <c r="H4260" s="5" t="s">
        <v>2312</v>
      </c>
    </row>
    <row r="4261" spans="1:8" ht="25.5" x14ac:dyDescent="0.2">
      <c r="A4261" s="1" t="s">
        <v>4</v>
      </c>
      <c r="B4261" s="2" t="s">
        <v>428</v>
      </c>
      <c r="D4261" s="5" t="s">
        <v>521</v>
      </c>
      <c r="E4261" s="3">
        <v>111000</v>
      </c>
      <c r="F4261" s="3">
        <v>118000</v>
      </c>
      <c r="G4261" s="57">
        <f t="shared" si="68"/>
        <v>6.3063063063063057E-2</v>
      </c>
      <c r="H4261" s="5" t="s">
        <v>2313</v>
      </c>
    </row>
    <row r="4262" spans="1:8" ht="38.25" x14ac:dyDescent="0.2">
      <c r="A4262" s="1" t="s">
        <v>4</v>
      </c>
      <c r="B4262" s="2" t="s">
        <v>428</v>
      </c>
      <c r="D4262" s="5" t="s">
        <v>522</v>
      </c>
      <c r="E4262" s="3">
        <v>96000</v>
      </c>
      <c r="F4262" s="3">
        <v>104000</v>
      </c>
      <c r="G4262" s="57">
        <f t="shared" si="68"/>
        <v>8.3333333333333329E-2</v>
      </c>
      <c r="H4262" s="5" t="s">
        <v>2314</v>
      </c>
    </row>
    <row r="4263" spans="1:8" x14ac:dyDescent="0.2">
      <c r="A4263" s="1" t="s">
        <v>4</v>
      </c>
      <c r="B4263" s="2" t="s">
        <v>428</v>
      </c>
      <c r="D4263" s="5" t="s">
        <v>464</v>
      </c>
      <c r="E4263" s="3" t="s">
        <v>465</v>
      </c>
      <c r="F4263" s="3">
        <v>107500</v>
      </c>
      <c r="G4263" s="57" t="str">
        <f t="shared" si="68"/>
        <v>-</v>
      </c>
      <c r="H4263" s="5" t="s">
        <v>539</v>
      </c>
    </row>
    <row r="4264" spans="1:8" x14ac:dyDescent="0.2">
      <c r="A4264" s="1" t="s">
        <v>4</v>
      </c>
      <c r="B4264" s="2" t="s">
        <v>428</v>
      </c>
      <c r="D4264" s="5" t="s">
        <v>464</v>
      </c>
      <c r="E4264" s="3" t="s">
        <v>465</v>
      </c>
      <c r="F4264" s="3">
        <v>112500</v>
      </c>
      <c r="G4264" s="57" t="str">
        <f t="shared" si="68"/>
        <v>-</v>
      </c>
      <c r="H4264" s="5" t="s">
        <v>539</v>
      </c>
    </row>
    <row r="4265" spans="1:8" ht="38.25" x14ac:dyDescent="0.2">
      <c r="A4265" s="1" t="s">
        <v>4</v>
      </c>
      <c r="B4265" s="2" t="s">
        <v>429</v>
      </c>
      <c r="C4265" s="5" t="s">
        <v>511</v>
      </c>
      <c r="D4265" s="5" t="s">
        <v>450</v>
      </c>
      <c r="E4265" s="6">
        <v>184727</v>
      </c>
      <c r="F4265" s="6">
        <v>171755</v>
      </c>
      <c r="G4265" s="57">
        <f t="shared" si="68"/>
        <v>-7.0222544619898547E-2</v>
      </c>
      <c r="H4265" s="7" t="s">
        <v>2304</v>
      </c>
    </row>
    <row r="4266" spans="1:8" ht="38.25" x14ac:dyDescent="0.2">
      <c r="A4266" s="1" t="s">
        <v>4</v>
      </c>
      <c r="B4266" s="2" t="s">
        <v>429</v>
      </c>
      <c r="C4266" s="5" t="s">
        <v>512</v>
      </c>
      <c r="D4266" s="5" t="s">
        <v>513</v>
      </c>
      <c r="E4266" s="3">
        <v>163293</v>
      </c>
      <c r="F4266" s="3">
        <v>160704</v>
      </c>
      <c r="G4266" s="57">
        <f t="shared" si="68"/>
        <v>-1.585493560654774E-2</v>
      </c>
      <c r="H4266" s="5" t="s">
        <v>2305</v>
      </c>
    </row>
    <row r="4267" spans="1:8" ht="38.25" x14ac:dyDescent="0.2">
      <c r="A4267" s="1" t="s">
        <v>4</v>
      </c>
      <c r="B4267" s="2" t="s">
        <v>429</v>
      </c>
      <c r="D4267" s="5" t="s">
        <v>546</v>
      </c>
      <c r="E4267" s="3">
        <v>121375</v>
      </c>
      <c r="F4267" s="3">
        <v>32932</v>
      </c>
      <c r="G4267" s="57">
        <f t="shared" si="68"/>
        <v>-0.72867559217301747</v>
      </c>
      <c r="H4267" s="5" t="s">
        <v>2306</v>
      </c>
    </row>
    <row r="4268" spans="1:8" ht="25.5" x14ac:dyDescent="0.2">
      <c r="A4268" s="1" t="s">
        <v>4</v>
      </c>
      <c r="B4268" s="2" t="s">
        <v>429</v>
      </c>
      <c r="D4268" s="5" t="s">
        <v>2301</v>
      </c>
      <c r="E4268" s="3">
        <v>117399</v>
      </c>
      <c r="F4268" s="3" t="s">
        <v>465</v>
      </c>
      <c r="G4268" s="57" t="str">
        <f t="shared" si="68"/>
        <v>-</v>
      </c>
      <c r="H4268" s="5" t="s">
        <v>2302</v>
      </c>
    </row>
    <row r="4269" spans="1:8" ht="25.5" x14ac:dyDescent="0.2">
      <c r="A4269" s="1" t="s">
        <v>4</v>
      </c>
      <c r="B4269" s="2" t="s">
        <v>429</v>
      </c>
      <c r="D4269" s="5" t="s">
        <v>514</v>
      </c>
      <c r="E4269" s="3">
        <v>111352</v>
      </c>
      <c r="F4269" s="3">
        <v>106370</v>
      </c>
      <c r="G4269" s="57">
        <f t="shared" si="68"/>
        <v>-4.4741001508729075E-2</v>
      </c>
      <c r="H4269" s="5" t="s">
        <v>2307</v>
      </c>
    </row>
    <row r="4270" spans="1:8" ht="51" x14ac:dyDescent="0.2">
      <c r="A4270" s="1" t="s">
        <v>4</v>
      </c>
      <c r="B4270" s="2" t="s">
        <v>429</v>
      </c>
      <c r="D4270" s="5" t="s">
        <v>515</v>
      </c>
      <c r="E4270" s="3">
        <v>112741</v>
      </c>
      <c r="F4270" s="3">
        <v>141590</v>
      </c>
      <c r="G4270" s="57">
        <f t="shared" si="68"/>
        <v>0.25588738790679522</v>
      </c>
      <c r="H4270" s="5" t="s">
        <v>2308</v>
      </c>
    </row>
    <row r="4271" spans="1:8" ht="51" x14ac:dyDescent="0.2">
      <c r="A4271" s="1" t="s">
        <v>4</v>
      </c>
      <c r="B4271" s="2" t="s">
        <v>429</v>
      </c>
      <c r="D4271" s="5" t="s">
        <v>517</v>
      </c>
      <c r="E4271" s="3">
        <v>104656</v>
      </c>
      <c r="F4271" s="3">
        <v>76452</v>
      </c>
      <c r="G4271" s="57">
        <f t="shared" si="68"/>
        <v>-0.26949243234979359</v>
      </c>
      <c r="H4271" s="5" t="s">
        <v>4570</v>
      </c>
    </row>
    <row r="4272" spans="1:8" ht="38.25" x14ac:dyDescent="0.2">
      <c r="A4272" s="1" t="s">
        <v>4</v>
      </c>
      <c r="B4272" s="2" t="s">
        <v>429</v>
      </c>
      <c r="D4272" s="5" t="s">
        <v>2303</v>
      </c>
      <c r="E4272" s="3">
        <v>103606</v>
      </c>
      <c r="F4272" s="3">
        <v>60713</v>
      </c>
      <c r="G4272" s="57">
        <f t="shared" si="68"/>
        <v>-0.41400111962627645</v>
      </c>
      <c r="H4272" s="5" t="s">
        <v>4571</v>
      </c>
    </row>
    <row r="4273" spans="1:8" ht="25.5" x14ac:dyDescent="0.2">
      <c r="A4273" s="1" t="s">
        <v>4</v>
      </c>
      <c r="B4273" s="2" t="s">
        <v>429</v>
      </c>
      <c r="D4273" s="5" t="s">
        <v>516</v>
      </c>
      <c r="E4273" s="3">
        <v>99955</v>
      </c>
      <c r="F4273" s="3">
        <v>101951</v>
      </c>
      <c r="G4273" s="57">
        <f t="shared" si="68"/>
        <v>1.9968986043719675E-2</v>
      </c>
      <c r="H4273" s="5" t="s">
        <v>2309</v>
      </c>
    </row>
    <row r="4274" spans="1:8" ht="51" x14ac:dyDescent="0.2">
      <c r="A4274" s="1" t="s">
        <v>4</v>
      </c>
      <c r="B4274" s="2" t="s">
        <v>429</v>
      </c>
      <c r="D4274" s="5" t="s">
        <v>518</v>
      </c>
      <c r="E4274" s="3">
        <v>101138</v>
      </c>
      <c r="F4274" s="3">
        <v>142179</v>
      </c>
      <c r="G4274" s="57">
        <f t="shared" si="68"/>
        <v>0.40579208606063005</v>
      </c>
      <c r="H4274" s="5" t="s">
        <v>4572</v>
      </c>
    </row>
    <row r="4275" spans="1:8" ht="25.5" x14ac:dyDescent="0.2">
      <c r="A4275" s="1" t="s">
        <v>4</v>
      </c>
      <c r="B4275" s="2" t="s">
        <v>429</v>
      </c>
      <c r="D4275" s="5" t="s">
        <v>519</v>
      </c>
      <c r="E4275" s="3">
        <v>90377</v>
      </c>
      <c r="F4275" s="3">
        <v>111448</v>
      </c>
      <c r="G4275" s="57">
        <f t="shared" si="68"/>
        <v>0.23314560120384611</v>
      </c>
      <c r="H4275" s="5" t="s">
        <v>2310</v>
      </c>
    </row>
    <row r="4276" spans="1:8" ht="38.25" x14ac:dyDescent="0.2">
      <c r="A4276" s="1" t="s">
        <v>4</v>
      </c>
      <c r="B4276" s="2" t="s">
        <v>429</v>
      </c>
      <c r="D4276" s="5" t="s">
        <v>520</v>
      </c>
      <c r="E4276" s="3">
        <v>51018</v>
      </c>
      <c r="F4276" s="3">
        <v>102123</v>
      </c>
      <c r="G4276" s="57">
        <f t="shared" si="68"/>
        <v>1.001705280489239</v>
      </c>
      <c r="H4276" s="5" t="s">
        <v>4573</v>
      </c>
    </row>
    <row r="4277" spans="1:8" ht="25.5" x14ac:dyDescent="0.2">
      <c r="A4277" s="1" t="s">
        <v>4</v>
      </c>
      <c r="B4277" s="2" t="s">
        <v>429</v>
      </c>
      <c r="D4277" s="5" t="s">
        <v>740</v>
      </c>
      <c r="E4277" s="3">
        <v>100811</v>
      </c>
      <c r="F4277" s="3">
        <v>99485</v>
      </c>
      <c r="G4277" s="57">
        <f t="shared" si="68"/>
        <v>-1.3153326521907331E-2</v>
      </c>
      <c r="H4277" s="5" t="s">
        <v>2311</v>
      </c>
    </row>
    <row r="4278" spans="1:8" x14ac:dyDescent="0.2">
      <c r="A4278" s="1" t="s">
        <v>4</v>
      </c>
      <c r="B4278" s="2" t="s">
        <v>429</v>
      </c>
      <c r="D4278" s="5" t="s">
        <v>464</v>
      </c>
      <c r="E4278" s="3" t="s">
        <v>465</v>
      </c>
      <c r="F4278" s="3">
        <v>117500</v>
      </c>
      <c r="G4278" s="57" t="str">
        <f t="shared" si="68"/>
        <v>-</v>
      </c>
    </row>
    <row r="4279" spans="1:8" x14ac:dyDescent="0.2">
      <c r="A4279" s="1" t="s">
        <v>4</v>
      </c>
      <c r="B4279" s="2" t="s">
        <v>429</v>
      </c>
      <c r="D4279" s="5" t="s">
        <v>464</v>
      </c>
      <c r="E4279" s="3" t="s">
        <v>465</v>
      </c>
      <c r="F4279" s="3">
        <v>117500</v>
      </c>
      <c r="G4279" s="57" t="str">
        <f t="shared" si="68"/>
        <v>-</v>
      </c>
    </row>
    <row r="4280" spans="1:8" x14ac:dyDescent="0.2">
      <c r="A4280" s="1" t="s">
        <v>4</v>
      </c>
      <c r="B4280" s="2" t="s">
        <v>429</v>
      </c>
      <c r="D4280" s="5" t="s">
        <v>464</v>
      </c>
      <c r="E4280" s="3" t="s">
        <v>465</v>
      </c>
      <c r="F4280" s="3">
        <v>132500</v>
      </c>
      <c r="G4280" s="57" t="str">
        <f t="shared" si="68"/>
        <v>-</v>
      </c>
    </row>
    <row r="4281" spans="1:8" x14ac:dyDescent="0.2">
      <c r="A4281" s="1" t="s">
        <v>4</v>
      </c>
      <c r="B4281" s="2" t="s">
        <v>429</v>
      </c>
      <c r="D4281" s="5" t="s">
        <v>464</v>
      </c>
      <c r="E4281" s="3" t="s">
        <v>465</v>
      </c>
      <c r="F4281" s="3">
        <v>142500</v>
      </c>
      <c r="G4281" s="57" t="str">
        <f t="shared" si="68"/>
        <v>-</v>
      </c>
    </row>
    <row r="4282" spans="1:8" x14ac:dyDescent="0.2">
      <c r="A4282" s="1" t="s">
        <v>4</v>
      </c>
      <c r="B4282" s="2" t="s">
        <v>429</v>
      </c>
      <c r="D4282" s="5" t="s">
        <v>464</v>
      </c>
      <c r="E4282" s="3">
        <v>107500</v>
      </c>
      <c r="F4282" s="3" t="s">
        <v>465</v>
      </c>
      <c r="G4282" s="57" t="str">
        <f t="shared" si="68"/>
        <v>-</v>
      </c>
    </row>
    <row r="4283" spans="1:8" x14ac:dyDescent="0.2">
      <c r="A4283" s="1" t="s">
        <v>4</v>
      </c>
      <c r="B4283" s="2" t="s">
        <v>429</v>
      </c>
      <c r="D4283" s="5" t="s">
        <v>464</v>
      </c>
      <c r="E4283" s="3">
        <v>117500</v>
      </c>
      <c r="F4283" s="3" t="s">
        <v>465</v>
      </c>
      <c r="G4283" s="57" t="str">
        <f t="shared" si="68"/>
        <v>-</v>
      </c>
    </row>
    <row r="4284" spans="1:8" x14ac:dyDescent="0.2">
      <c r="A4284" s="1" t="s">
        <v>4</v>
      </c>
      <c r="B4284" s="2" t="s">
        <v>429</v>
      </c>
      <c r="D4284" s="5" t="s">
        <v>464</v>
      </c>
      <c r="E4284" s="3">
        <v>132500</v>
      </c>
      <c r="F4284" s="3" t="s">
        <v>465</v>
      </c>
      <c r="G4284" s="57" t="str">
        <f t="shared" si="68"/>
        <v>-</v>
      </c>
    </row>
    <row r="4285" spans="1:8" x14ac:dyDescent="0.2">
      <c r="A4285" s="1" t="s">
        <v>4</v>
      </c>
      <c r="B4285" s="2" t="s">
        <v>429</v>
      </c>
      <c r="D4285" s="5" t="s">
        <v>464</v>
      </c>
      <c r="E4285" s="3">
        <v>157500</v>
      </c>
      <c r="F4285" s="3" t="s">
        <v>465</v>
      </c>
      <c r="G4285" s="57" t="str">
        <f t="shared" si="68"/>
        <v>-</v>
      </c>
    </row>
    <row r="4286" spans="1:8" ht="25.5" x14ac:dyDescent="0.2">
      <c r="A4286" s="1" t="s">
        <v>6</v>
      </c>
      <c r="B4286" s="2" t="s">
        <v>430</v>
      </c>
      <c r="D4286" s="5" t="s">
        <v>450</v>
      </c>
      <c r="E4286" s="3">
        <v>159188</v>
      </c>
      <c r="F4286" s="3">
        <v>237117</v>
      </c>
      <c r="G4286" s="57">
        <f t="shared" si="68"/>
        <v>0.48954066889464032</v>
      </c>
      <c r="H4286" s="5" t="s">
        <v>4574</v>
      </c>
    </row>
    <row r="4287" spans="1:8" ht="25.5" x14ac:dyDescent="0.2">
      <c r="A4287" s="1" t="s">
        <v>6</v>
      </c>
      <c r="B4287" s="2" t="s">
        <v>430</v>
      </c>
      <c r="D4287" s="5" t="s">
        <v>2293</v>
      </c>
      <c r="E4287" s="3">
        <v>144093</v>
      </c>
      <c r="F4287" s="3" t="s">
        <v>465</v>
      </c>
      <c r="G4287" s="57" t="str">
        <f t="shared" si="68"/>
        <v>-</v>
      </c>
    </row>
    <row r="4288" spans="1:8" ht="25.5" x14ac:dyDescent="0.2">
      <c r="A4288" s="1" t="s">
        <v>6</v>
      </c>
      <c r="B4288" s="2" t="s">
        <v>430</v>
      </c>
      <c r="D4288" s="5" t="s">
        <v>505</v>
      </c>
      <c r="E4288" s="3" t="s">
        <v>465</v>
      </c>
      <c r="F4288" s="3">
        <v>145766</v>
      </c>
      <c r="G4288" s="57" t="str">
        <f t="shared" si="68"/>
        <v>-</v>
      </c>
      <c r="H4288" s="5" t="s">
        <v>2294</v>
      </c>
    </row>
    <row r="4289" spans="1:8" ht="25.5" x14ac:dyDescent="0.2">
      <c r="A4289" s="1" t="s">
        <v>6</v>
      </c>
      <c r="B4289" s="2" t="s">
        <v>430</v>
      </c>
      <c r="D4289" s="5" t="s">
        <v>506</v>
      </c>
      <c r="E4289" s="3">
        <v>134383</v>
      </c>
      <c r="F4289" s="3">
        <v>135265</v>
      </c>
      <c r="G4289" s="57">
        <f t="shared" si="68"/>
        <v>6.5633301831332829E-3</v>
      </c>
      <c r="H4289" s="5" t="s">
        <v>2295</v>
      </c>
    </row>
    <row r="4290" spans="1:8" ht="25.5" x14ac:dyDescent="0.2">
      <c r="A4290" s="1" t="s">
        <v>6</v>
      </c>
      <c r="B4290" s="2" t="s">
        <v>430</v>
      </c>
      <c r="D4290" s="5" t="s">
        <v>507</v>
      </c>
      <c r="E4290" s="3">
        <v>134465</v>
      </c>
      <c r="F4290" s="3">
        <v>134532</v>
      </c>
      <c r="G4290" s="57">
        <f t="shared" si="68"/>
        <v>4.98270925519652E-4</v>
      </c>
      <c r="H4290" s="5" t="s">
        <v>2296</v>
      </c>
    </row>
    <row r="4291" spans="1:8" ht="25.5" x14ac:dyDescent="0.2">
      <c r="A4291" s="1" t="s">
        <v>6</v>
      </c>
      <c r="B4291" s="2" t="s">
        <v>430</v>
      </c>
      <c r="D4291" s="5" t="s">
        <v>508</v>
      </c>
      <c r="E4291" s="3" t="s">
        <v>465</v>
      </c>
      <c r="F4291" s="3">
        <v>134133</v>
      </c>
      <c r="G4291" s="57" t="str">
        <f t="shared" si="68"/>
        <v>-</v>
      </c>
      <c r="H4291" s="5" t="s">
        <v>2297</v>
      </c>
    </row>
    <row r="4292" spans="1:8" ht="25.5" x14ac:dyDescent="0.2">
      <c r="A4292" s="1" t="s">
        <v>6</v>
      </c>
      <c r="B4292" s="2" t="s">
        <v>430</v>
      </c>
      <c r="D4292" s="5" t="s">
        <v>509</v>
      </c>
      <c r="E4292" s="3">
        <v>126966</v>
      </c>
      <c r="F4292" s="3">
        <v>228746</v>
      </c>
      <c r="G4292" s="57">
        <f t="shared" si="68"/>
        <v>0.80163193295842983</v>
      </c>
      <c r="H4292" s="5" t="s">
        <v>2298</v>
      </c>
    </row>
    <row r="4293" spans="1:8" ht="25.5" x14ac:dyDescent="0.2">
      <c r="A4293" s="1" t="s">
        <v>6</v>
      </c>
      <c r="B4293" s="2" t="s">
        <v>430</v>
      </c>
      <c r="D4293" s="5" t="s">
        <v>510</v>
      </c>
      <c r="E4293" s="3">
        <v>122486</v>
      </c>
      <c r="F4293" s="3">
        <v>126370</v>
      </c>
      <c r="G4293" s="57">
        <f t="shared" si="68"/>
        <v>3.1709746419999019E-2</v>
      </c>
      <c r="H4293" s="5" t="s">
        <v>2299</v>
      </c>
    </row>
    <row r="4294" spans="1:8" ht="25.5" x14ac:dyDescent="0.2">
      <c r="A4294" s="1" t="s">
        <v>6</v>
      </c>
      <c r="B4294" s="2" t="s">
        <v>430</v>
      </c>
      <c r="D4294" s="5" t="s">
        <v>1200</v>
      </c>
      <c r="E4294" s="3">
        <v>134534</v>
      </c>
      <c r="F4294" s="3" t="s">
        <v>465</v>
      </c>
      <c r="G4294" s="57" t="str">
        <f t="shared" si="68"/>
        <v>-</v>
      </c>
      <c r="H4294" s="5" t="s">
        <v>2300</v>
      </c>
    </row>
    <row r="4295" spans="1:8" x14ac:dyDescent="0.2">
      <c r="A4295" s="1" t="s">
        <v>6</v>
      </c>
      <c r="B4295" s="2" t="s">
        <v>430</v>
      </c>
      <c r="D4295" s="5" t="s">
        <v>562</v>
      </c>
      <c r="E4295" s="3">
        <v>134213</v>
      </c>
      <c r="F4295" s="3" t="s">
        <v>465</v>
      </c>
      <c r="G4295" s="57" t="str">
        <f t="shared" si="68"/>
        <v>-</v>
      </c>
    </row>
    <row r="4296" spans="1:8" ht="38.25" x14ac:dyDescent="0.2">
      <c r="A4296" s="1" t="s">
        <v>4</v>
      </c>
      <c r="B4296" s="2" t="s">
        <v>431</v>
      </c>
      <c r="D4296" s="5" t="s">
        <v>450</v>
      </c>
      <c r="E4296" s="3">
        <v>130995</v>
      </c>
      <c r="F4296" s="3">
        <v>129605</v>
      </c>
      <c r="G4296" s="57">
        <f t="shared" si="68"/>
        <v>-1.0611092026413221E-2</v>
      </c>
      <c r="H4296" s="5" t="s">
        <v>4575</v>
      </c>
    </row>
    <row r="4297" spans="1:8" ht="38.25" x14ac:dyDescent="0.2">
      <c r="A4297" s="1" t="s">
        <v>4</v>
      </c>
      <c r="B4297" s="2" t="s">
        <v>431</v>
      </c>
      <c r="D4297" s="5" t="s">
        <v>455</v>
      </c>
      <c r="E4297" s="3">
        <v>116491</v>
      </c>
      <c r="F4297" s="3">
        <v>116745</v>
      </c>
      <c r="G4297" s="57">
        <f t="shared" si="68"/>
        <v>2.1804259556532264E-3</v>
      </c>
      <c r="H4297" s="5" t="s">
        <v>4576</v>
      </c>
    </row>
    <row r="4298" spans="1:8" ht="38.25" x14ac:dyDescent="0.2">
      <c r="A4298" s="1" t="s">
        <v>4</v>
      </c>
      <c r="B4298" s="2" t="s">
        <v>431</v>
      </c>
      <c r="D4298" s="5" t="s">
        <v>504</v>
      </c>
      <c r="E4298" s="3">
        <v>103123</v>
      </c>
      <c r="F4298" s="3">
        <v>103322</v>
      </c>
      <c r="G4298" s="57">
        <f t="shared" si="68"/>
        <v>1.9297343948488698E-3</v>
      </c>
      <c r="H4298" s="5" t="s">
        <v>4577</v>
      </c>
    </row>
    <row r="4299" spans="1:8" ht="25.5" x14ac:dyDescent="0.2">
      <c r="A4299" s="1" t="s">
        <v>4</v>
      </c>
      <c r="B4299" s="2" t="s">
        <v>432</v>
      </c>
      <c r="C4299" s="5" t="s">
        <v>489</v>
      </c>
      <c r="D4299" s="5" t="s">
        <v>450</v>
      </c>
      <c r="E4299" s="3">
        <v>181101</v>
      </c>
      <c r="F4299" s="3">
        <v>181281</v>
      </c>
      <c r="G4299" s="57">
        <f t="shared" si="68"/>
        <v>9.9392051948912481E-4</v>
      </c>
      <c r="H4299" s="5" t="s">
        <v>2286</v>
      </c>
    </row>
    <row r="4300" spans="1:8" ht="25.5" x14ac:dyDescent="0.2">
      <c r="A4300" s="1" t="s">
        <v>4</v>
      </c>
      <c r="B4300" s="2" t="s">
        <v>432</v>
      </c>
      <c r="C4300" s="5" t="s">
        <v>490</v>
      </c>
      <c r="D4300" s="5" t="s">
        <v>491</v>
      </c>
      <c r="E4300" s="3">
        <v>137152</v>
      </c>
      <c r="F4300" s="3">
        <v>129643</v>
      </c>
      <c r="G4300" s="57">
        <f t="shared" si="68"/>
        <v>-5.474947503499767E-2</v>
      </c>
      <c r="H4300" s="5" t="s">
        <v>2288</v>
      </c>
    </row>
    <row r="4301" spans="1:8" ht="25.5" x14ac:dyDescent="0.2">
      <c r="A4301" s="1" t="s">
        <v>4</v>
      </c>
      <c r="B4301" s="2" t="s">
        <v>432</v>
      </c>
      <c r="C4301" s="5" t="s">
        <v>492</v>
      </c>
      <c r="D4301" s="5" t="s">
        <v>494</v>
      </c>
      <c r="E4301" s="3">
        <v>137420</v>
      </c>
      <c r="F4301" s="3">
        <v>141019</v>
      </c>
      <c r="G4301" s="57">
        <f t="shared" si="68"/>
        <v>2.6189783146557996E-2</v>
      </c>
      <c r="H4301" s="5" t="s">
        <v>2287</v>
      </c>
    </row>
    <row r="4302" spans="1:8" ht="25.5" x14ac:dyDescent="0.2">
      <c r="A4302" s="1" t="s">
        <v>4</v>
      </c>
      <c r="B4302" s="2" t="s">
        <v>432</v>
      </c>
      <c r="C4302" s="5" t="s">
        <v>493</v>
      </c>
      <c r="D4302" s="5" t="s">
        <v>496</v>
      </c>
      <c r="E4302" s="3">
        <v>127808</v>
      </c>
      <c r="F4302" s="3">
        <v>129341</v>
      </c>
      <c r="G4302" s="57">
        <f t="shared" si="68"/>
        <v>1.1994554331497246E-2</v>
      </c>
      <c r="H4302" s="5" t="s">
        <v>2289</v>
      </c>
    </row>
    <row r="4303" spans="1:8" ht="25.5" x14ac:dyDescent="0.2">
      <c r="A4303" s="1" t="s">
        <v>4</v>
      </c>
      <c r="B4303" s="2" t="s">
        <v>432</v>
      </c>
      <c r="C4303" s="5" t="s">
        <v>497</v>
      </c>
      <c r="D4303" s="5" t="s">
        <v>495</v>
      </c>
      <c r="E4303" s="3">
        <v>127213</v>
      </c>
      <c r="F4303" s="3">
        <v>128446</v>
      </c>
      <c r="G4303" s="57">
        <f t="shared" si="68"/>
        <v>9.692405650365922E-3</v>
      </c>
      <c r="H4303" s="5" t="s">
        <v>2290</v>
      </c>
    </row>
    <row r="4304" spans="1:8" ht="63.75" x14ac:dyDescent="0.2">
      <c r="A4304" s="1" t="s">
        <v>4</v>
      </c>
      <c r="B4304" s="2" t="s">
        <v>432</v>
      </c>
      <c r="C4304" s="5" t="s">
        <v>498</v>
      </c>
      <c r="D4304" s="5" t="s">
        <v>499</v>
      </c>
      <c r="E4304" s="3">
        <v>73440</v>
      </c>
      <c r="F4304" s="3">
        <v>141428</v>
      </c>
      <c r="G4304" s="57">
        <f t="shared" si="68"/>
        <v>0.92576252723311547</v>
      </c>
      <c r="H4304" s="5" t="s">
        <v>2888</v>
      </c>
    </row>
    <row r="4305" spans="1:8" ht="25.5" x14ac:dyDescent="0.2">
      <c r="A4305" s="1" t="s">
        <v>4</v>
      </c>
      <c r="B4305" s="2" t="s">
        <v>432</v>
      </c>
      <c r="C4305" s="5" t="s">
        <v>500</v>
      </c>
      <c r="D4305" s="5" t="s">
        <v>501</v>
      </c>
      <c r="E4305" s="3">
        <v>111184</v>
      </c>
      <c r="F4305" s="3">
        <v>109583</v>
      </c>
      <c r="G4305" s="57">
        <f t="shared" ref="G4305:G4368" si="69">IF(ISERROR((F4305-E4305)/E4305),"-",(F4305-E4305)/E4305)</f>
        <v>-1.4399553892646424E-2</v>
      </c>
      <c r="H4305" s="5" t="s">
        <v>2291</v>
      </c>
    </row>
    <row r="4306" spans="1:8" ht="25.5" x14ac:dyDescent="0.2">
      <c r="A4306" s="1" t="s">
        <v>4</v>
      </c>
      <c r="B4306" s="2" t="s">
        <v>432</v>
      </c>
      <c r="C4306" s="5" t="s">
        <v>502</v>
      </c>
      <c r="D4306" s="5" t="s">
        <v>503</v>
      </c>
      <c r="E4306" s="3">
        <v>118001</v>
      </c>
      <c r="F4306" s="3">
        <v>111367</v>
      </c>
      <c r="G4306" s="57">
        <f t="shared" si="69"/>
        <v>-5.6219862543537766E-2</v>
      </c>
      <c r="H4306" s="5" t="s">
        <v>2292</v>
      </c>
    </row>
    <row r="4307" spans="1:8" x14ac:dyDescent="0.2">
      <c r="A4307" s="1" t="s">
        <v>4</v>
      </c>
      <c r="B4307" s="2" t="s">
        <v>432</v>
      </c>
      <c r="D4307" s="5" t="s">
        <v>464</v>
      </c>
      <c r="E4307" s="3">
        <v>117500</v>
      </c>
      <c r="F4307" s="3" t="s">
        <v>465</v>
      </c>
      <c r="G4307" s="57" t="str">
        <f t="shared" si="69"/>
        <v>-</v>
      </c>
    </row>
    <row r="4308" spans="1:8" ht="63.75" x14ac:dyDescent="0.2">
      <c r="A4308" s="1" t="s">
        <v>39</v>
      </c>
      <c r="B4308" s="2" t="s">
        <v>433</v>
      </c>
      <c r="C4308" s="5" t="s">
        <v>480</v>
      </c>
      <c r="D4308" s="5" t="s">
        <v>450</v>
      </c>
      <c r="E4308" s="3">
        <v>8122</v>
      </c>
      <c r="F4308" s="3">
        <v>180615</v>
      </c>
      <c r="G4308" s="57">
        <f t="shared" si="69"/>
        <v>21.23774932282689</v>
      </c>
      <c r="H4308" s="5" t="s">
        <v>2277</v>
      </c>
    </row>
    <row r="4309" spans="1:8" x14ac:dyDescent="0.2">
      <c r="A4309" s="1" t="s">
        <v>39</v>
      </c>
      <c r="B4309" s="2" t="s">
        <v>433</v>
      </c>
      <c r="C4309" s="5" t="s">
        <v>488</v>
      </c>
      <c r="D4309" s="5" t="s">
        <v>450</v>
      </c>
      <c r="E4309" s="3">
        <v>102695</v>
      </c>
      <c r="F4309" s="3" t="s">
        <v>465</v>
      </c>
      <c r="G4309" s="57" t="str">
        <f t="shared" si="69"/>
        <v>-</v>
      </c>
    </row>
    <row r="4310" spans="1:8" ht="38.25" x14ac:dyDescent="0.2">
      <c r="A4310" s="1" t="s">
        <v>39</v>
      </c>
      <c r="B4310" s="2" t="s">
        <v>433</v>
      </c>
      <c r="D4310" s="5" t="s">
        <v>481</v>
      </c>
      <c r="E4310" s="3">
        <v>135493</v>
      </c>
      <c r="F4310" s="3">
        <v>226521</v>
      </c>
      <c r="G4310" s="57">
        <f t="shared" si="69"/>
        <v>0.6718280649184829</v>
      </c>
      <c r="H4310" s="5" t="s">
        <v>2278</v>
      </c>
    </row>
    <row r="4311" spans="1:8" ht="38.25" x14ac:dyDescent="0.2">
      <c r="A4311" s="1" t="s">
        <v>39</v>
      </c>
      <c r="B4311" s="2" t="s">
        <v>433</v>
      </c>
      <c r="D4311" s="5" t="s">
        <v>482</v>
      </c>
      <c r="E4311" s="3">
        <v>153291</v>
      </c>
      <c r="F4311" s="3">
        <v>201377</v>
      </c>
      <c r="G4311" s="57">
        <f t="shared" si="69"/>
        <v>0.31369095380681189</v>
      </c>
      <c r="H4311" s="5" t="s">
        <v>2279</v>
      </c>
    </row>
    <row r="4312" spans="1:8" ht="25.5" x14ac:dyDescent="0.2">
      <c r="A4312" s="1" t="s">
        <v>39</v>
      </c>
      <c r="B4312" s="2" t="s">
        <v>433</v>
      </c>
      <c r="D4312" s="5" t="s">
        <v>483</v>
      </c>
      <c r="E4312" s="3">
        <v>162764</v>
      </c>
      <c r="F4312" s="3">
        <v>163096</v>
      </c>
      <c r="G4312" s="57">
        <f t="shared" si="69"/>
        <v>2.0397630925757539E-3</v>
      </c>
      <c r="H4312" s="5" t="s">
        <v>2280</v>
      </c>
    </row>
    <row r="4313" spans="1:8" ht="25.5" x14ac:dyDescent="0.2">
      <c r="A4313" s="1" t="s">
        <v>39</v>
      </c>
      <c r="B4313" s="2" t="s">
        <v>433</v>
      </c>
      <c r="D4313" s="5" t="s">
        <v>484</v>
      </c>
      <c r="E4313" s="3">
        <v>133166</v>
      </c>
      <c r="F4313" s="3">
        <v>159040</v>
      </c>
      <c r="G4313" s="57">
        <f t="shared" si="69"/>
        <v>0.19429884505053843</v>
      </c>
      <c r="H4313" s="5" t="s">
        <v>2281</v>
      </c>
    </row>
    <row r="4314" spans="1:8" ht="25.5" x14ac:dyDescent="0.2">
      <c r="A4314" s="1" t="s">
        <v>39</v>
      </c>
      <c r="B4314" s="2" t="s">
        <v>433</v>
      </c>
      <c r="D4314" s="5" t="s">
        <v>485</v>
      </c>
      <c r="E4314" s="3">
        <v>133152</v>
      </c>
      <c r="F4314" s="3">
        <v>136304</v>
      </c>
      <c r="G4314" s="57">
        <f t="shared" si="69"/>
        <v>2.3672194184090362E-2</v>
      </c>
      <c r="H4314" s="5" t="s">
        <v>2282</v>
      </c>
    </row>
    <row r="4315" spans="1:8" ht="25.5" x14ac:dyDescent="0.2">
      <c r="A4315" s="1" t="s">
        <v>39</v>
      </c>
      <c r="B4315" s="2" t="s">
        <v>433</v>
      </c>
      <c r="D4315" s="5" t="s">
        <v>486</v>
      </c>
      <c r="E4315" s="3">
        <v>107002</v>
      </c>
      <c r="F4315" s="3">
        <v>114334</v>
      </c>
      <c r="G4315" s="57">
        <f t="shared" si="69"/>
        <v>6.8522083699370101E-2</v>
      </c>
      <c r="H4315" s="5" t="s">
        <v>2283</v>
      </c>
    </row>
    <row r="4316" spans="1:8" ht="25.5" x14ac:dyDescent="0.2">
      <c r="A4316" s="1" t="s">
        <v>39</v>
      </c>
      <c r="B4316" s="2" t="s">
        <v>433</v>
      </c>
      <c r="D4316" s="5" t="s">
        <v>487</v>
      </c>
      <c r="E4316" s="3">
        <v>107478</v>
      </c>
      <c r="F4316" s="3">
        <v>108216</v>
      </c>
      <c r="G4316" s="57">
        <f t="shared" si="69"/>
        <v>6.8665215206833025E-3</v>
      </c>
      <c r="H4316" s="5" t="s">
        <v>2284</v>
      </c>
    </row>
    <row r="4317" spans="1:8" ht="25.5" x14ac:dyDescent="0.2">
      <c r="A4317" s="1" t="s">
        <v>39</v>
      </c>
      <c r="B4317" s="2" t="s">
        <v>433</v>
      </c>
      <c r="D4317" s="5" t="s">
        <v>451</v>
      </c>
      <c r="E4317" s="3">
        <v>100257</v>
      </c>
      <c r="F4317" s="3">
        <v>103023</v>
      </c>
      <c r="G4317" s="57">
        <f t="shared" si="69"/>
        <v>2.7589096023220325E-2</v>
      </c>
      <c r="H4317" s="5" t="s">
        <v>2285</v>
      </c>
    </row>
    <row r="4318" spans="1:8" x14ac:dyDescent="0.2">
      <c r="A4318" s="1" t="s">
        <v>39</v>
      </c>
      <c r="B4318" s="2" t="s">
        <v>433</v>
      </c>
      <c r="D4318" s="5" t="s">
        <v>464</v>
      </c>
      <c r="E4318" s="3" t="s">
        <v>465</v>
      </c>
      <c r="F4318" s="3">
        <v>157500</v>
      </c>
      <c r="G4318" s="57" t="str">
        <f t="shared" si="69"/>
        <v>-</v>
      </c>
      <c r="H4318" s="5" t="s">
        <v>539</v>
      </c>
    </row>
    <row r="4319" spans="1:8" x14ac:dyDescent="0.2">
      <c r="A4319" s="1" t="s">
        <v>39</v>
      </c>
      <c r="B4319" s="2" t="s">
        <v>433</v>
      </c>
      <c r="D4319" s="7" t="s">
        <v>464</v>
      </c>
      <c r="E4319" s="3" t="s">
        <v>465</v>
      </c>
      <c r="F4319" s="3">
        <v>147500</v>
      </c>
      <c r="G4319" s="57" t="str">
        <f t="shared" si="69"/>
        <v>-</v>
      </c>
      <c r="H4319" s="5" t="s">
        <v>539</v>
      </c>
    </row>
    <row r="4320" spans="1:8" x14ac:dyDescent="0.2">
      <c r="A4320" s="1" t="s">
        <v>39</v>
      </c>
      <c r="B4320" s="2" t="s">
        <v>433</v>
      </c>
      <c r="D4320" s="5" t="s">
        <v>464</v>
      </c>
      <c r="E4320" s="3" t="s">
        <v>465</v>
      </c>
      <c r="F4320" s="3">
        <v>127500</v>
      </c>
      <c r="G4320" s="57" t="str">
        <f t="shared" si="69"/>
        <v>-</v>
      </c>
      <c r="H4320" s="5" t="s">
        <v>539</v>
      </c>
    </row>
    <row r="4321" spans="1:8" x14ac:dyDescent="0.2">
      <c r="A4321" s="1" t="s">
        <v>39</v>
      </c>
      <c r="B4321" s="2" t="s">
        <v>433</v>
      </c>
      <c r="D4321" s="5" t="s">
        <v>464</v>
      </c>
      <c r="E4321" s="3" t="s">
        <v>465</v>
      </c>
      <c r="F4321" s="3">
        <v>122500</v>
      </c>
      <c r="G4321" s="57" t="str">
        <f t="shared" si="69"/>
        <v>-</v>
      </c>
      <c r="H4321" s="5" t="s">
        <v>539</v>
      </c>
    </row>
    <row r="4322" spans="1:8" x14ac:dyDescent="0.2">
      <c r="A4322" s="1" t="s">
        <v>39</v>
      </c>
      <c r="B4322" s="2" t="s">
        <v>433</v>
      </c>
      <c r="D4322" s="5" t="s">
        <v>464</v>
      </c>
      <c r="E4322" s="3" t="s">
        <v>465</v>
      </c>
      <c r="F4322" s="3">
        <v>117500</v>
      </c>
      <c r="G4322" s="57" t="str">
        <f t="shared" si="69"/>
        <v>-</v>
      </c>
      <c r="H4322" s="5" t="s">
        <v>539</v>
      </c>
    </row>
    <row r="4323" spans="1:8" x14ac:dyDescent="0.2">
      <c r="A4323" s="1" t="s">
        <v>39</v>
      </c>
      <c r="B4323" s="2" t="s">
        <v>433</v>
      </c>
      <c r="D4323" s="5" t="s">
        <v>464</v>
      </c>
      <c r="E4323" s="3" t="s">
        <v>465</v>
      </c>
      <c r="F4323" s="3">
        <v>117500</v>
      </c>
      <c r="G4323" s="57" t="str">
        <f t="shared" si="69"/>
        <v>-</v>
      </c>
      <c r="H4323" s="5" t="s">
        <v>539</v>
      </c>
    </row>
    <row r="4324" spans="1:8" x14ac:dyDescent="0.2">
      <c r="A4324" s="1" t="s">
        <v>39</v>
      </c>
      <c r="B4324" s="2" t="s">
        <v>433</v>
      </c>
      <c r="D4324" s="5" t="s">
        <v>464</v>
      </c>
      <c r="E4324" s="3" t="s">
        <v>465</v>
      </c>
      <c r="F4324" s="3">
        <v>107500</v>
      </c>
      <c r="G4324" s="57" t="str">
        <f t="shared" si="69"/>
        <v>-</v>
      </c>
      <c r="H4324" s="5" t="s">
        <v>539</v>
      </c>
    </row>
    <row r="4325" spans="1:8" ht="38.25" x14ac:dyDescent="0.2">
      <c r="A4325" s="1" t="s">
        <v>39</v>
      </c>
      <c r="B4325" s="2" t="s">
        <v>434</v>
      </c>
      <c r="D4325" s="5" t="s">
        <v>470</v>
      </c>
      <c r="E4325" s="3">
        <v>8220</v>
      </c>
      <c r="F4325" s="3">
        <v>126988</v>
      </c>
      <c r="G4325" s="57">
        <f t="shared" si="69"/>
        <v>14.448661800486619</v>
      </c>
      <c r="H4325" s="5" t="s">
        <v>4578</v>
      </c>
    </row>
    <row r="4326" spans="1:8" ht="25.5" x14ac:dyDescent="0.2">
      <c r="A4326" s="1" t="s">
        <v>39</v>
      </c>
      <c r="B4326" s="2" t="s">
        <v>434</v>
      </c>
      <c r="D4326" s="5" t="s">
        <v>478</v>
      </c>
      <c r="E4326" s="3">
        <v>91843</v>
      </c>
      <c r="F4326" s="3">
        <v>147798</v>
      </c>
      <c r="G4326" s="57">
        <f t="shared" si="69"/>
        <v>0.60924621364720233</v>
      </c>
      <c r="H4326" s="5" t="s">
        <v>2275</v>
      </c>
    </row>
    <row r="4327" spans="1:8" ht="25.5" x14ac:dyDescent="0.2">
      <c r="A4327" s="1" t="s">
        <v>39</v>
      </c>
      <c r="B4327" s="2" t="s">
        <v>434</v>
      </c>
      <c r="D4327" s="5" t="s">
        <v>479</v>
      </c>
      <c r="E4327" s="3">
        <v>92025</v>
      </c>
      <c r="F4327" s="3">
        <v>238034</v>
      </c>
      <c r="G4327" s="57">
        <f t="shared" si="69"/>
        <v>1.5866232002173322</v>
      </c>
      <c r="H4327" s="5" t="s">
        <v>2276</v>
      </c>
    </row>
    <row r="4328" spans="1:8" x14ac:dyDescent="0.2">
      <c r="A4328" s="1" t="s">
        <v>39</v>
      </c>
      <c r="B4328" s="2" t="s">
        <v>434</v>
      </c>
      <c r="D4328" s="5" t="s">
        <v>464</v>
      </c>
      <c r="E4328" s="3">
        <v>107500</v>
      </c>
      <c r="F4328" s="3" t="s">
        <v>465</v>
      </c>
      <c r="G4328" s="57" t="str">
        <f t="shared" si="69"/>
        <v>-</v>
      </c>
    </row>
    <row r="4329" spans="1:8" x14ac:dyDescent="0.2">
      <c r="A4329" s="1" t="s">
        <v>39</v>
      </c>
      <c r="B4329" s="2" t="s">
        <v>434</v>
      </c>
      <c r="D4329" s="5" t="s">
        <v>464</v>
      </c>
      <c r="E4329" s="3" t="s">
        <v>465</v>
      </c>
      <c r="F4329" s="3">
        <v>107500</v>
      </c>
      <c r="G4329" s="57" t="str">
        <f t="shared" si="69"/>
        <v>-</v>
      </c>
    </row>
    <row r="4330" spans="1:8" x14ac:dyDescent="0.2">
      <c r="A4330" s="1" t="s">
        <v>39</v>
      </c>
      <c r="B4330" s="2" t="s">
        <v>435</v>
      </c>
      <c r="C4330" s="5" t="s">
        <v>474</v>
      </c>
      <c r="D4330" s="5" t="s">
        <v>450</v>
      </c>
      <c r="E4330" s="3">
        <v>216931</v>
      </c>
      <c r="F4330" s="3">
        <v>216999</v>
      </c>
      <c r="G4330" s="57">
        <f t="shared" si="69"/>
        <v>3.1346372809787446E-4</v>
      </c>
      <c r="H4330" s="5" t="s">
        <v>2269</v>
      </c>
    </row>
    <row r="4331" spans="1:8" x14ac:dyDescent="0.2">
      <c r="A4331" s="1" t="s">
        <v>39</v>
      </c>
      <c r="B4331" s="2" t="s">
        <v>435</v>
      </c>
      <c r="D4331" s="5" t="s">
        <v>475</v>
      </c>
      <c r="E4331" s="3">
        <v>146421</v>
      </c>
      <c r="F4331" s="3">
        <v>147291</v>
      </c>
      <c r="G4331" s="57">
        <f t="shared" si="69"/>
        <v>5.9417706476530005E-3</v>
      </c>
      <c r="H4331" s="5" t="s">
        <v>2270</v>
      </c>
    </row>
    <row r="4332" spans="1:8" x14ac:dyDescent="0.2">
      <c r="A4332" s="1" t="s">
        <v>39</v>
      </c>
      <c r="B4332" s="2" t="s">
        <v>435</v>
      </c>
      <c r="D4332" s="5" t="s">
        <v>456</v>
      </c>
      <c r="E4332" s="3">
        <v>136186</v>
      </c>
      <c r="F4332" s="3">
        <v>139966</v>
      </c>
      <c r="G4332" s="57">
        <f t="shared" si="69"/>
        <v>2.775615702054543E-2</v>
      </c>
      <c r="H4332" s="5" t="s">
        <v>2271</v>
      </c>
    </row>
    <row r="4333" spans="1:8" x14ac:dyDescent="0.2">
      <c r="A4333" s="1" t="s">
        <v>39</v>
      </c>
      <c r="B4333" s="2" t="s">
        <v>435</v>
      </c>
      <c r="D4333" s="5" t="s">
        <v>476</v>
      </c>
      <c r="E4333" s="3">
        <v>123973</v>
      </c>
      <c r="F4333" s="3">
        <v>124872</v>
      </c>
      <c r="G4333" s="57">
        <f t="shared" si="69"/>
        <v>7.2515789728408607E-3</v>
      </c>
      <c r="H4333" s="5" t="s">
        <v>2272</v>
      </c>
    </row>
    <row r="4334" spans="1:8" x14ac:dyDescent="0.2">
      <c r="A4334" s="1" t="s">
        <v>39</v>
      </c>
      <c r="B4334" s="2" t="s">
        <v>435</v>
      </c>
      <c r="D4334" s="5" t="s">
        <v>463</v>
      </c>
      <c r="E4334" s="3">
        <v>126229</v>
      </c>
      <c r="F4334" s="3">
        <v>128459</v>
      </c>
      <c r="G4334" s="57">
        <f t="shared" si="69"/>
        <v>1.7666304890318389E-2</v>
      </c>
      <c r="H4334" s="5" t="s">
        <v>2273</v>
      </c>
    </row>
    <row r="4335" spans="1:8" ht="25.5" x14ac:dyDescent="0.2">
      <c r="A4335" s="1" t="s">
        <v>39</v>
      </c>
      <c r="B4335" s="2" t="s">
        <v>435</v>
      </c>
      <c r="D4335" s="5" t="s">
        <v>477</v>
      </c>
      <c r="E4335" s="3">
        <v>127297</v>
      </c>
      <c r="F4335" s="3">
        <v>53239</v>
      </c>
      <c r="G4335" s="57">
        <f t="shared" si="69"/>
        <v>-0.58177333322859137</v>
      </c>
      <c r="H4335" s="5" t="s">
        <v>4580</v>
      </c>
    </row>
    <row r="4336" spans="1:8" x14ac:dyDescent="0.2">
      <c r="A4336" s="1" t="s">
        <v>39</v>
      </c>
      <c r="B4336" s="2" t="s">
        <v>435</v>
      </c>
      <c r="D4336" s="5" t="s">
        <v>2274</v>
      </c>
      <c r="E4336" s="3">
        <v>127024</v>
      </c>
      <c r="F4336" s="3">
        <v>127828</v>
      </c>
      <c r="G4336" s="57">
        <f t="shared" si="69"/>
        <v>6.3295125330646174E-3</v>
      </c>
      <c r="H4336" s="5" t="s">
        <v>4591</v>
      </c>
    </row>
    <row r="4337" spans="1:8" x14ac:dyDescent="0.2">
      <c r="A4337" s="1" t="s">
        <v>39</v>
      </c>
      <c r="B4337" s="2" t="s">
        <v>435</v>
      </c>
      <c r="D4337" s="5" t="s">
        <v>464</v>
      </c>
      <c r="E4337" s="3">
        <v>102500</v>
      </c>
      <c r="F4337" s="3" t="s">
        <v>465</v>
      </c>
      <c r="G4337" s="57" t="str">
        <f t="shared" si="69"/>
        <v>-</v>
      </c>
    </row>
    <row r="4338" spans="1:8" ht="25.5" x14ac:dyDescent="0.2">
      <c r="A4338" s="1" t="s">
        <v>44</v>
      </c>
      <c r="B4338" s="2" t="s">
        <v>436</v>
      </c>
      <c r="D4338" s="5" t="s">
        <v>450</v>
      </c>
      <c r="E4338" s="3">
        <v>133340</v>
      </c>
      <c r="F4338" s="3">
        <v>133736</v>
      </c>
      <c r="G4338" s="57">
        <f t="shared" si="69"/>
        <v>2.9698515074246287E-3</v>
      </c>
      <c r="H4338" s="5" t="s">
        <v>2265</v>
      </c>
    </row>
    <row r="4339" spans="1:8" ht="25.5" x14ac:dyDescent="0.2">
      <c r="A4339" s="1" t="s">
        <v>44</v>
      </c>
      <c r="B4339" s="2" t="s">
        <v>436</v>
      </c>
      <c r="D4339" s="5" t="s">
        <v>471</v>
      </c>
      <c r="E4339" s="3">
        <v>116102</v>
      </c>
      <c r="F4339" s="3">
        <v>115295</v>
      </c>
      <c r="G4339" s="57">
        <f t="shared" si="69"/>
        <v>-6.9507846548724399E-3</v>
      </c>
      <c r="H4339" s="5" t="s">
        <v>2266</v>
      </c>
    </row>
    <row r="4340" spans="1:8" ht="25.5" x14ac:dyDescent="0.2">
      <c r="A4340" s="1" t="s">
        <v>44</v>
      </c>
      <c r="B4340" s="2" t="s">
        <v>436</v>
      </c>
      <c r="D4340" s="5" t="s">
        <v>471</v>
      </c>
      <c r="E4340" s="3">
        <v>116068</v>
      </c>
      <c r="F4340" s="3">
        <v>116434</v>
      </c>
      <c r="G4340" s="57">
        <f t="shared" si="69"/>
        <v>3.1533239135679084E-3</v>
      </c>
      <c r="H4340" s="5" t="s">
        <v>2267</v>
      </c>
    </row>
    <row r="4341" spans="1:8" ht="25.5" x14ac:dyDescent="0.2">
      <c r="A4341" s="1" t="s">
        <v>44</v>
      </c>
      <c r="B4341" s="2" t="s">
        <v>436</v>
      </c>
      <c r="D4341" s="5" t="s">
        <v>471</v>
      </c>
      <c r="E4341" s="3" t="s">
        <v>465</v>
      </c>
      <c r="F4341" s="3">
        <v>116141</v>
      </c>
      <c r="G4341" s="57" t="str">
        <f t="shared" si="69"/>
        <v>-</v>
      </c>
      <c r="H4341" s="5" t="s">
        <v>2268</v>
      </c>
    </row>
    <row r="4342" spans="1:8" ht="25.5" x14ac:dyDescent="0.2">
      <c r="A4342" s="1" t="s">
        <v>44</v>
      </c>
      <c r="B4342" s="2" t="s">
        <v>436</v>
      </c>
      <c r="D4342" s="5" t="s">
        <v>2263</v>
      </c>
      <c r="E4342" s="3">
        <v>100450</v>
      </c>
      <c r="F4342" s="3">
        <v>98332</v>
      </c>
      <c r="G4342" s="57">
        <f t="shared" si="69"/>
        <v>-2.1085116973618714E-2</v>
      </c>
      <c r="H4342" s="5" t="s">
        <v>2264</v>
      </c>
    </row>
    <row r="4343" spans="1:8" x14ac:dyDescent="0.2">
      <c r="A4343" s="1" t="s">
        <v>44</v>
      </c>
      <c r="B4343" s="2" t="s">
        <v>436</v>
      </c>
      <c r="D4343" s="5" t="s">
        <v>464</v>
      </c>
      <c r="E4343" s="3" t="s">
        <v>465</v>
      </c>
      <c r="F4343" s="3">
        <v>117500</v>
      </c>
      <c r="G4343" s="57" t="str">
        <f t="shared" si="69"/>
        <v>-</v>
      </c>
    </row>
    <row r="4344" spans="1:8" x14ac:dyDescent="0.2">
      <c r="A4344" s="1" t="s">
        <v>44</v>
      </c>
      <c r="B4344" s="2" t="s">
        <v>436</v>
      </c>
      <c r="D4344" s="5" t="s">
        <v>464</v>
      </c>
      <c r="E4344" s="3" t="s">
        <v>465</v>
      </c>
      <c r="F4344" s="3">
        <v>127500</v>
      </c>
      <c r="G4344" s="57" t="str">
        <f t="shared" si="69"/>
        <v>-</v>
      </c>
    </row>
    <row r="4345" spans="1:8" ht="25.5" x14ac:dyDescent="0.2">
      <c r="A4345" s="1" t="s">
        <v>39</v>
      </c>
      <c r="B4345" s="2" t="s">
        <v>437</v>
      </c>
      <c r="D4345" s="5" t="s">
        <v>470</v>
      </c>
      <c r="E4345" s="3">
        <v>126501</v>
      </c>
      <c r="F4345" s="3">
        <v>126684</v>
      </c>
      <c r="G4345" s="57">
        <f t="shared" si="69"/>
        <v>1.4466288804041074E-3</v>
      </c>
      <c r="H4345" s="5" t="s">
        <v>2262</v>
      </c>
    </row>
    <row r="4346" spans="1:8" x14ac:dyDescent="0.2">
      <c r="A4346" s="1" t="s">
        <v>39</v>
      </c>
      <c r="B4346" s="2" t="s">
        <v>437</v>
      </c>
      <c r="D4346" s="5" t="s">
        <v>464</v>
      </c>
      <c r="E4346" s="3">
        <v>112500</v>
      </c>
      <c r="F4346" s="3" t="s">
        <v>465</v>
      </c>
      <c r="G4346" s="57" t="str">
        <f t="shared" si="69"/>
        <v>-</v>
      </c>
    </row>
    <row r="4347" spans="1:8" x14ac:dyDescent="0.2">
      <c r="A4347" s="1" t="s">
        <v>39</v>
      </c>
      <c r="B4347" s="2" t="s">
        <v>437</v>
      </c>
      <c r="D4347" s="5" t="s">
        <v>464</v>
      </c>
      <c r="E4347" s="3">
        <v>112500</v>
      </c>
      <c r="F4347" s="3" t="s">
        <v>465</v>
      </c>
      <c r="G4347" s="57" t="str">
        <f t="shared" si="69"/>
        <v>-</v>
      </c>
    </row>
    <row r="4348" spans="1:8" x14ac:dyDescent="0.2">
      <c r="A4348" s="1" t="s">
        <v>39</v>
      </c>
      <c r="B4348" s="2" t="s">
        <v>437</v>
      </c>
      <c r="D4348" s="5" t="s">
        <v>464</v>
      </c>
      <c r="E4348" s="3" t="s">
        <v>465</v>
      </c>
      <c r="F4348" s="3">
        <v>112500</v>
      </c>
      <c r="G4348" s="57" t="str">
        <f t="shared" si="69"/>
        <v>-</v>
      </c>
    </row>
    <row r="4349" spans="1:8" ht="25.5" x14ac:dyDescent="0.2">
      <c r="A4349" s="1" t="s">
        <v>4</v>
      </c>
      <c r="B4349" s="2" t="s">
        <v>438</v>
      </c>
      <c r="C4349" s="5" t="s">
        <v>469</v>
      </c>
      <c r="D4349" s="5" t="s">
        <v>450</v>
      </c>
      <c r="E4349" s="3">
        <v>174204</v>
      </c>
      <c r="F4349" s="3">
        <v>162458</v>
      </c>
      <c r="G4349" s="57">
        <f t="shared" si="69"/>
        <v>-6.7426695139032405E-2</v>
      </c>
      <c r="H4349" s="5" t="s">
        <v>2260</v>
      </c>
    </row>
    <row r="4350" spans="1:8" ht="25.5" x14ac:dyDescent="0.2">
      <c r="A4350" s="1" t="s">
        <v>4</v>
      </c>
      <c r="B4350" s="2" t="s">
        <v>438</v>
      </c>
      <c r="D4350" s="5" t="s">
        <v>468</v>
      </c>
      <c r="E4350" s="3">
        <v>127777</v>
      </c>
      <c r="F4350" s="3">
        <f>110641+160+395+16655</f>
        <v>127851</v>
      </c>
      <c r="G4350" s="57">
        <f t="shared" si="69"/>
        <v>5.791339599458431E-4</v>
      </c>
      <c r="H4350" s="5" t="s">
        <v>2261</v>
      </c>
    </row>
    <row r="4351" spans="1:8" ht="38.25" x14ac:dyDescent="0.2">
      <c r="A4351" s="1" t="s">
        <v>6</v>
      </c>
      <c r="B4351" s="2" t="s">
        <v>440</v>
      </c>
      <c r="C4351" s="5" t="s">
        <v>467</v>
      </c>
      <c r="D4351" s="5" t="s">
        <v>450</v>
      </c>
      <c r="E4351" s="6">
        <v>45256</v>
      </c>
      <c r="F4351" s="3">
        <f>147910+3888</f>
        <v>151798</v>
      </c>
      <c r="G4351" s="57">
        <f t="shared" si="69"/>
        <v>2.354207176948913</v>
      </c>
      <c r="H4351" s="5" t="s">
        <v>4590</v>
      </c>
    </row>
    <row r="4352" spans="1:8" x14ac:dyDescent="0.2">
      <c r="A4352" s="1" t="s">
        <v>6</v>
      </c>
      <c r="B4352" s="2" t="s">
        <v>440</v>
      </c>
      <c r="D4352" s="5" t="s">
        <v>569</v>
      </c>
      <c r="E4352" s="6">
        <v>186888</v>
      </c>
      <c r="F4352" s="3" t="s">
        <v>465</v>
      </c>
      <c r="G4352" s="57" t="str">
        <f t="shared" si="69"/>
        <v>-</v>
      </c>
      <c r="H4352" s="5" t="s">
        <v>2424</v>
      </c>
    </row>
    <row r="4353" spans="1:8" ht="25.5" x14ac:dyDescent="0.2">
      <c r="A4353" s="1" t="s">
        <v>39</v>
      </c>
      <c r="B4353" s="2" t="s">
        <v>439</v>
      </c>
      <c r="D4353" s="5" t="s">
        <v>450</v>
      </c>
      <c r="E4353" s="3">
        <v>123863</v>
      </c>
      <c r="F4353" s="3">
        <v>115497</v>
      </c>
      <c r="G4353" s="57">
        <f t="shared" si="69"/>
        <v>-6.7542365355271555E-2</v>
      </c>
      <c r="H4353" s="5" t="s">
        <v>4589</v>
      </c>
    </row>
    <row r="4354" spans="1:8" ht="38.25" x14ac:dyDescent="0.2">
      <c r="A4354" s="1" t="s">
        <v>39</v>
      </c>
      <c r="B4354" s="2" t="s">
        <v>439</v>
      </c>
      <c r="D4354" s="5" t="s">
        <v>455</v>
      </c>
      <c r="E4354" s="3">
        <v>100974</v>
      </c>
      <c r="F4354" s="3">
        <v>152473</v>
      </c>
      <c r="G4354" s="57">
        <f t="shared" si="69"/>
        <v>0.51002238199932659</v>
      </c>
      <c r="H4354" s="5" t="s">
        <v>4588</v>
      </c>
    </row>
    <row r="4355" spans="1:8" ht="38.25" x14ac:dyDescent="0.2">
      <c r="A4355" s="1" t="s">
        <v>39</v>
      </c>
      <c r="B4355" s="2" t="s">
        <v>439</v>
      </c>
      <c r="D4355" s="5" t="s">
        <v>466</v>
      </c>
      <c r="E4355" s="3">
        <v>77003</v>
      </c>
      <c r="F4355" s="3">
        <v>109898</v>
      </c>
      <c r="G4355" s="57">
        <f t="shared" si="69"/>
        <v>0.42719114839681571</v>
      </c>
      <c r="H4355" s="5" t="s">
        <v>4587</v>
      </c>
    </row>
    <row r="4356" spans="1:8" ht="38.25" x14ac:dyDescent="0.2">
      <c r="A4356" s="1" t="s">
        <v>39</v>
      </c>
      <c r="B4356" s="2" t="s">
        <v>439</v>
      </c>
      <c r="D4356" s="5" t="s">
        <v>454</v>
      </c>
      <c r="E4356" s="3">
        <v>78327</v>
      </c>
      <c r="F4356" s="3">
        <v>195720</v>
      </c>
      <c r="G4356" s="57">
        <f t="shared" si="69"/>
        <v>1.4987552185070283</v>
      </c>
      <c r="H4356" s="5" t="s">
        <v>4586</v>
      </c>
    </row>
    <row r="4357" spans="1:8" x14ac:dyDescent="0.2">
      <c r="A4357" s="1" t="s">
        <v>39</v>
      </c>
      <c r="B4357" s="2" t="s">
        <v>439</v>
      </c>
      <c r="D4357" s="5" t="s">
        <v>464</v>
      </c>
      <c r="E4357" s="3">
        <v>102500</v>
      </c>
      <c r="F4357" s="3" t="s">
        <v>465</v>
      </c>
      <c r="G4357" s="57" t="str">
        <f t="shared" si="69"/>
        <v>-</v>
      </c>
    </row>
    <row r="4358" spans="1:8" x14ac:dyDescent="0.2">
      <c r="A4358" s="1" t="s">
        <v>39</v>
      </c>
      <c r="B4358" s="2" t="s">
        <v>439</v>
      </c>
      <c r="D4358" s="5" t="s">
        <v>464</v>
      </c>
      <c r="E4358" s="3" t="s">
        <v>465</v>
      </c>
      <c r="F4358" s="3">
        <v>137500</v>
      </c>
      <c r="G4358" s="57" t="str">
        <f t="shared" si="69"/>
        <v>-</v>
      </c>
    </row>
    <row r="4359" spans="1:8" ht="25.5" x14ac:dyDescent="0.2">
      <c r="A4359" s="1" t="s">
        <v>28</v>
      </c>
      <c r="B4359" s="2" t="s">
        <v>441</v>
      </c>
      <c r="D4359" s="5" t="s">
        <v>450</v>
      </c>
      <c r="E4359" s="3">
        <v>75000</v>
      </c>
      <c r="F4359" s="3">
        <v>156000</v>
      </c>
      <c r="G4359" s="57">
        <f t="shared" si="69"/>
        <v>1.08</v>
      </c>
      <c r="H4359" s="5" t="s">
        <v>4585</v>
      </c>
    </row>
    <row r="4360" spans="1:8" ht="51" x14ac:dyDescent="0.2">
      <c r="A4360" s="1" t="s">
        <v>28</v>
      </c>
      <c r="B4360" s="2" t="s">
        <v>441</v>
      </c>
      <c r="D4360" s="5" t="s">
        <v>458</v>
      </c>
      <c r="E4360" s="3">
        <v>129000</v>
      </c>
      <c r="F4360" s="3">
        <v>122000</v>
      </c>
      <c r="G4360" s="57">
        <f t="shared" si="69"/>
        <v>-5.4263565891472867E-2</v>
      </c>
      <c r="H4360" s="5" t="s">
        <v>4584</v>
      </c>
    </row>
    <row r="4361" spans="1:8" ht="25.5" x14ac:dyDescent="0.2">
      <c r="A4361" s="1" t="s">
        <v>28</v>
      </c>
      <c r="B4361" s="2" t="s">
        <v>441</v>
      </c>
      <c r="D4361" s="5" t="s">
        <v>459</v>
      </c>
      <c r="E4361" s="3" t="s">
        <v>465</v>
      </c>
      <c r="F4361" s="3">
        <v>121000</v>
      </c>
      <c r="G4361" s="57" t="str">
        <f t="shared" si="69"/>
        <v>-</v>
      </c>
      <c r="H4361" s="5" t="s">
        <v>4583</v>
      </c>
    </row>
    <row r="4362" spans="1:8" ht="25.5" x14ac:dyDescent="0.2">
      <c r="A4362" s="1" t="s">
        <v>28</v>
      </c>
      <c r="B4362" s="2" t="s">
        <v>441</v>
      </c>
      <c r="D4362" s="5" t="s">
        <v>460</v>
      </c>
      <c r="E4362" s="3" t="s">
        <v>465</v>
      </c>
      <c r="F4362" s="3">
        <v>121000</v>
      </c>
      <c r="G4362" s="57" t="str">
        <f t="shared" si="69"/>
        <v>-</v>
      </c>
      <c r="H4362" s="5" t="s">
        <v>4583</v>
      </c>
    </row>
    <row r="4363" spans="1:8" ht="25.5" x14ac:dyDescent="0.2">
      <c r="A4363" s="1" t="s">
        <v>28</v>
      </c>
      <c r="B4363" s="2" t="s">
        <v>441</v>
      </c>
      <c r="D4363" s="5" t="s">
        <v>461</v>
      </c>
      <c r="E4363" s="3" t="s">
        <v>465</v>
      </c>
      <c r="F4363" s="3">
        <v>122000</v>
      </c>
      <c r="G4363" s="57" t="str">
        <f t="shared" si="69"/>
        <v>-</v>
      </c>
      <c r="H4363" s="5" t="s">
        <v>4582</v>
      </c>
    </row>
    <row r="4364" spans="1:8" ht="25.5" x14ac:dyDescent="0.2">
      <c r="A4364" s="1" t="s">
        <v>28</v>
      </c>
      <c r="B4364" s="2" t="s">
        <v>441</v>
      </c>
      <c r="D4364" s="5" t="s">
        <v>4716</v>
      </c>
      <c r="E4364" s="3">
        <v>114000</v>
      </c>
      <c r="F4364" s="3" t="s">
        <v>465</v>
      </c>
      <c r="G4364" s="57" t="str">
        <f t="shared" si="69"/>
        <v>-</v>
      </c>
    </row>
    <row r="4365" spans="1:8" x14ac:dyDescent="0.2">
      <c r="A4365" s="1" t="s">
        <v>28</v>
      </c>
      <c r="B4365" s="2" t="s">
        <v>441</v>
      </c>
      <c r="D4365" s="5" t="s">
        <v>2257</v>
      </c>
      <c r="E4365" s="3">
        <v>252000</v>
      </c>
      <c r="F4365" s="3" t="s">
        <v>465</v>
      </c>
      <c r="G4365" s="57" t="str">
        <f t="shared" si="69"/>
        <v>-</v>
      </c>
      <c r="H4365" s="5" t="s">
        <v>4581</v>
      </c>
    </row>
    <row r="4366" spans="1:8" x14ac:dyDescent="0.2">
      <c r="A4366" s="1" t="s">
        <v>28</v>
      </c>
      <c r="B4366" s="2" t="s">
        <v>441</v>
      </c>
      <c r="D4366" s="5" t="s">
        <v>2258</v>
      </c>
      <c r="E4366" s="3">
        <v>144000</v>
      </c>
      <c r="F4366" s="3" t="s">
        <v>465</v>
      </c>
      <c r="G4366" s="57" t="str">
        <f t="shared" si="69"/>
        <v>-</v>
      </c>
      <c r="H4366" s="5" t="s">
        <v>4581</v>
      </c>
    </row>
    <row r="4367" spans="1:8" x14ac:dyDescent="0.2">
      <c r="A4367" s="1" t="s">
        <v>28</v>
      </c>
      <c r="B4367" s="2" t="s">
        <v>441</v>
      </c>
      <c r="D4367" s="5" t="s">
        <v>463</v>
      </c>
      <c r="E4367" s="3">
        <v>123000</v>
      </c>
      <c r="F4367" s="3" t="s">
        <v>465</v>
      </c>
      <c r="G4367" s="57" t="str">
        <f t="shared" si="69"/>
        <v>-</v>
      </c>
    </row>
    <row r="4368" spans="1:8" x14ac:dyDescent="0.2">
      <c r="A4368" s="1" t="s">
        <v>28</v>
      </c>
      <c r="B4368" s="2" t="s">
        <v>441</v>
      </c>
      <c r="D4368" s="5" t="s">
        <v>464</v>
      </c>
      <c r="E4368" s="3">
        <v>102500</v>
      </c>
      <c r="F4368" s="3" t="s">
        <v>465</v>
      </c>
      <c r="G4368" s="57" t="str">
        <f t="shared" si="69"/>
        <v>-</v>
      </c>
    </row>
    <row r="4369" spans="1:8" x14ac:dyDescent="0.2">
      <c r="A4369" s="1" t="s">
        <v>28</v>
      </c>
      <c r="B4369" s="2" t="s">
        <v>441</v>
      </c>
      <c r="D4369" s="5" t="s">
        <v>464</v>
      </c>
      <c r="E4369" s="3">
        <v>102500</v>
      </c>
      <c r="F4369" s="3" t="s">
        <v>465</v>
      </c>
      <c r="G4369" s="57" t="str">
        <f t="shared" ref="G4369:G4375" si="70">IF(ISERROR((F4369-E4369)/E4369),"-",(F4369-E4369)/E4369)</f>
        <v>-</v>
      </c>
    </row>
    <row r="4370" spans="1:8" x14ac:dyDescent="0.2">
      <c r="A4370" s="1" t="s">
        <v>28</v>
      </c>
      <c r="B4370" s="2" t="s">
        <v>441</v>
      </c>
      <c r="D4370" s="5" t="s">
        <v>464</v>
      </c>
      <c r="E4370" s="3">
        <v>132500</v>
      </c>
      <c r="F4370" s="3" t="s">
        <v>465</v>
      </c>
      <c r="G4370" s="57" t="str">
        <f t="shared" si="70"/>
        <v>-</v>
      </c>
    </row>
    <row r="4371" spans="1:8" x14ac:dyDescent="0.2">
      <c r="A4371" s="1" t="s">
        <v>28</v>
      </c>
      <c r="B4371" s="2" t="s">
        <v>441</v>
      </c>
      <c r="D4371" s="5" t="s">
        <v>464</v>
      </c>
      <c r="E4371" s="3" t="s">
        <v>465</v>
      </c>
      <c r="F4371" s="3">
        <v>102500</v>
      </c>
      <c r="G4371" s="57" t="str">
        <f t="shared" si="70"/>
        <v>-</v>
      </c>
    </row>
    <row r="4372" spans="1:8" x14ac:dyDescent="0.2">
      <c r="A4372" s="1" t="s">
        <v>28</v>
      </c>
      <c r="B4372" s="2" t="s">
        <v>441</v>
      </c>
      <c r="D4372" s="5" t="s">
        <v>464</v>
      </c>
      <c r="E4372" s="3" t="s">
        <v>465</v>
      </c>
      <c r="F4372" s="3">
        <v>102500</v>
      </c>
      <c r="G4372" s="57" t="str">
        <f t="shared" si="70"/>
        <v>-</v>
      </c>
    </row>
    <row r="4373" spans="1:8" x14ac:dyDescent="0.2">
      <c r="A4373" s="1" t="s">
        <v>28</v>
      </c>
      <c r="B4373" s="2" t="s">
        <v>441</v>
      </c>
      <c r="D4373" s="5" t="s">
        <v>464</v>
      </c>
      <c r="E4373" s="3" t="s">
        <v>465</v>
      </c>
      <c r="F4373" s="3">
        <v>102500</v>
      </c>
      <c r="G4373" s="57" t="str">
        <f t="shared" si="70"/>
        <v>-</v>
      </c>
    </row>
    <row r="4374" spans="1:8" x14ac:dyDescent="0.2">
      <c r="A4374" s="1" t="s">
        <v>28</v>
      </c>
      <c r="B4374" s="2" t="s">
        <v>441</v>
      </c>
      <c r="D4374" s="5" t="s">
        <v>464</v>
      </c>
      <c r="E4374" s="3" t="s">
        <v>465</v>
      </c>
      <c r="F4374" s="3">
        <v>102500</v>
      </c>
      <c r="G4374" s="57" t="str">
        <f t="shared" si="70"/>
        <v>-</v>
      </c>
    </row>
    <row r="4375" spans="1:8" x14ac:dyDescent="0.2">
      <c r="A4375" s="1" t="s">
        <v>28</v>
      </c>
      <c r="B4375" s="2" t="s">
        <v>441</v>
      </c>
      <c r="D4375" s="5" t="s">
        <v>464</v>
      </c>
      <c r="E4375" s="3" t="s">
        <v>465</v>
      </c>
      <c r="F4375" s="3">
        <v>132500</v>
      </c>
      <c r="G4375" s="57" t="str">
        <f t="shared" si="70"/>
        <v>-</v>
      </c>
    </row>
    <row r="4376" spans="1:8" s="47" customFormat="1" ht="13.5" thickBot="1" x14ac:dyDescent="0.25">
      <c r="B4376" s="41" t="s">
        <v>4451</v>
      </c>
      <c r="C4376" s="42"/>
      <c r="D4376" s="42"/>
      <c r="E4376" s="43">
        <v>2096</v>
      </c>
      <c r="F4376" s="43">
        <f>COUNTIF(F3:F4375,"&gt;100000")</f>
        <v>3097</v>
      </c>
      <c r="G4376" s="44"/>
      <c r="H4376" s="46"/>
    </row>
    <row r="4377" spans="1:8" x14ac:dyDescent="0.2">
      <c r="B4377" s="26" t="s">
        <v>4452</v>
      </c>
      <c r="C4377" s="40">
        <f>E4376</f>
        <v>2096</v>
      </c>
    </row>
    <row r="4378" spans="1:8" x14ac:dyDescent="0.2">
      <c r="B4378" s="26" t="s">
        <v>4453</v>
      </c>
      <c r="C4378" s="40">
        <f>F4376</f>
        <v>3097</v>
      </c>
      <c r="D4378" s="1"/>
    </row>
    <row r="4379" spans="1:8" x14ac:dyDescent="0.2">
      <c r="B4379" s="26" t="s">
        <v>4729</v>
      </c>
      <c r="C4379" s="40">
        <f>C4378-C4377</f>
        <v>1001</v>
      </c>
      <c r="D4379" s="40"/>
    </row>
    <row r="4380" spans="1:8" s="23" customFormat="1" x14ac:dyDescent="0.2">
      <c r="B4380" s="26" t="s">
        <v>4717</v>
      </c>
      <c r="C4380" s="48">
        <f>AVERAGE(G3:G4376)</f>
        <v>0.26790357710563045</v>
      </c>
      <c r="D4380" s="24"/>
      <c r="E4380" s="39"/>
      <c r="F4380" s="39"/>
      <c r="G4380" s="25"/>
      <c r="H4380" s="24"/>
    </row>
    <row r="4381" spans="1:8" s="23" customFormat="1" x14ac:dyDescent="0.2">
      <c r="B4381" s="26" t="s">
        <v>4718</v>
      </c>
      <c r="C4381" s="48">
        <f>MEDIAN(G3:G4375)</f>
        <v>1.8248621527580888E-2</v>
      </c>
      <c r="D4381" s="24"/>
      <c r="E4381" s="39"/>
      <c r="F4381" s="39"/>
      <c r="G4381" s="25"/>
      <c r="H4381" s="24"/>
    </row>
    <row r="4382" spans="1:8" x14ac:dyDescent="0.2">
      <c r="B4382" s="26" t="s">
        <v>4728</v>
      </c>
      <c r="C4382" s="50">
        <f>(F4376-E4376)/F4376</f>
        <v>0.32321601549886986</v>
      </c>
    </row>
  </sheetData>
  <autoFilter ref="A2:J4382"/>
  <mergeCells count="1">
    <mergeCell ref="E1:F1"/>
  </mergeCells>
  <pageMargins left="0.7" right="0.7" top="0.75" bottom="0.75" header="0.3" footer="0.3"/>
  <ignoredErrors>
    <ignoredError sqref="G2342"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3"/>
  <sheetViews>
    <sheetView workbookViewId="0">
      <pane ySplit="2" topLeftCell="A3" activePane="bottomLeft" state="frozen"/>
      <selection pane="bottomLeft" activeCell="E7" sqref="E7"/>
    </sheetView>
  </sheetViews>
  <sheetFormatPr defaultRowHeight="15" x14ac:dyDescent="0.25"/>
  <cols>
    <col min="1" max="1" width="17.42578125" customWidth="1"/>
    <col min="2" max="2" width="29.7109375" bestFit="1" customWidth="1"/>
    <col min="3" max="3" width="18.28515625" customWidth="1"/>
    <col min="4" max="4" width="43.5703125" bestFit="1" customWidth="1"/>
    <col min="5" max="5" width="11.7109375" customWidth="1"/>
    <col min="6" max="6" width="9.85546875" customWidth="1"/>
    <col min="7" max="7" width="14.85546875" bestFit="1" customWidth="1"/>
    <col min="8" max="9" width="12.7109375" bestFit="1" customWidth="1"/>
    <col min="10" max="10" width="55" customWidth="1"/>
  </cols>
  <sheetData>
    <row r="1" spans="1:10" s="68" customFormat="1" ht="12.75" x14ac:dyDescent="0.2">
      <c r="E1" s="68" t="s">
        <v>448</v>
      </c>
      <c r="H1" s="68" t="s">
        <v>2259</v>
      </c>
    </row>
    <row r="2" spans="1:10" s="68" customFormat="1" ht="12.75" x14ac:dyDescent="0.2">
      <c r="A2" s="68" t="s">
        <v>442</v>
      </c>
      <c r="B2" s="68" t="s">
        <v>443</v>
      </c>
      <c r="C2" s="68" t="s">
        <v>444</v>
      </c>
      <c r="D2" s="68" t="s">
        <v>445</v>
      </c>
      <c r="E2" s="68" t="s">
        <v>446</v>
      </c>
      <c r="F2" s="68" t="s">
        <v>447</v>
      </c>
      <c r="G2" s="68" t="s">
        <v>449</v>
      </c>
      <c r="H2" s="68" t="s">
        <v>446</v>
      </c>
      <c r="I2" s="68" t="s">
        <v>447</v>
      </c>
      <c r="J2" s="68" t="s">
        <v>4142</v>
      </c>
    </row>
    <row r="3" spans="1:10" ht="64.5" x14ac:dyDescent="0.25">
      <c r="A3" s="1" t="s">
        <v>1</v>
      </c>
      <c r="B3" s="2" t="s">
        <v>168</v>
      </c>
      <c r="C3" s="5" t="s">
        <v>1559</v>
      </c>
      <c r="D3" s="5" t="s">
        <v>4641</v>
      </c>
      <c r="E3" s="3">
        <v>168320</v>
      </c>
      <c r="F3" s="3">
        <v>450628</v>
      </c>
      <c r="G3" s="57">
        <v>1.6772100760456274</v>
      </c>
      <c r="H3" s="19"/>
      <c r="I3" s="19"/>
      <c r="J3" s="5" t="s">
        <v>4642</v>
      </c>
    </row>
    <row r="4" spans="1:10" ht="39" x14ac:dyDescent="0.25">
      <c r="A4" s="1" t="s">
        <v>4</v>
      </c>
      <c r="B4" s="2" t="s">
        <v>210</v>
      </c>
      <c r="C4" s="5" t="s">
        <v>1338</v>
      </c>
      <c r="D4" s="5" t="s">
        <v>450</v>
      </c>
      <c r="E4" s="9">
        <v>299611</v>
      </c>
      <c r="F4" s="9">
        <v>439071</v>
      </c>
      <c r="G4" s="57">
        <v>0.46547022639355695</v>
      </c>
      <c r="H4" s="19"/>
      <c r="I4" s="19"/>
      <c r="J4" s="5" t="s">
        <v>3358</v>
      </c>
    </row>
    <row r="5" spans="1:10" ht="39" x14ac:dyDescent="0.25">
      <c r="A5" s="1" t="s">
        <v>25</v>
      </c>
      <c r="B5" s="2" t="s">
        <v>174</v>
      </c>
      <c r="C5" s="5" t="s">
        <v>1519</v>
      </c>
      <c r="D5" s="5" t="s">
        <v>450</v>
      </c>
      <c r="E5" s="9">
        <v>236215</v>
      </c>
      <c r="F5" s="9">
        <v>433157</v>
      </c>
      <c r="G5" s="57">
        <v>0.83374044832038607</v>
      </c>
      <c r="H5" s="19"/>
      <c r="I5" s="19"/>
      <c r="J5" s="5" t="s">
        <v>4349</v>
      </c>
    </row>
    <row r="6" spans="1:10" ht="64.5" x14ac:dyDescent="0.25">
      <c r="A6" s="1" t="s">
        <v>25</v>
      </c>
      <c r="B6" s="2" t="s">
        <v>405</v>
      </c>
      <c r="C6" s="5" t="s">
        <v>639</v>
      </c>
      <c r="D6" s="5" t="s">
        <v>450</v>
      </c>
      <c r="E6" s="3">
        <v>257243</v>
      </c>
      <c r="F6" s="3">
        <v>432213</v>
      </c>
      <c r="G6" s="57">
        <v>0.68017399890376029</v>
      </c>
      <c r="H6" s="19"/>
      <c r="I6" s="19"/>
      <c r="J6" s="5" t="s">
        <v>4515</v>
      </c>
    </row>
    <row r="7" spans="1:10" ht="64.5" x14ac:dyDescent="0.25">
      <c r="A7" s="1" t="s">
        <v>28</v>
      </c>
      <c r="B7" s="2" t="s">
        <v>142</v>
      </c>
      <c r="C7" s="1"/>
      <c r="D7" s="5" t="s">
        <v>854</v>
      </c>
      <c r="E7" s="3">
        <v>162000</v>
      </c>
      <c r="F7" s="3">
        <v>424000</v>
      </c>
      <c r="G7" s="57">
        <v>1.617283950617284</v>
      </c>
      <c r="H7" s="19"/>
      <c r="I7" s="19"/>
      <c r="J7" s="5" t="s">
        <v>4307</v>
      </c>
    </row>
    <row r="8" spans="1:10" ht="77.25" x14ac:dyDescent="0.25">
      <c r="A8" s="1" t="s">
        <v>111</v>
      </c>
      <c r="B8" s="2" t="s">
        <v>257</v>
      </c>
      <c r="C8" s="5"/>
      <c r="D8" s="5" t="s">
        <v>4369</v>
      </c>
      <c r="E8" s="3">
        <v>84414</v>
      </c>
      <c r="F8" s="3">
        <v>400917</v>
      </c>
      <c r="G8" s="57">
        <v>3.7494136043784208</v>
      </c>
      <c r="H8" s="19"/>
      <c r="I8" s="19"/>
      <c r="J8" s="5" t="s">
        <v>4668</v>
      </c>
    </row>
    <row r="9" spans="1:10" ht="51.75" x14ac:dyDescent="0.25">
      <c r="A9" s="1" t="s">
        <v>20</v>
      </c>
      <c r="B9" s="2" t="s">
        <v>158</v>
      </c>
      <c r="C9" s="5"/>
      <c r="D9" s="5" t="s">
        <v>1597</v>
      </c>
      <c r="E9" s="3">
        <v>202580</v>
      </c>
      <c r="F9" s="3">
        <v>400616</v>
      </c>
      <c r="G9" s="57">
        <v>0.9775693553164182</v>
      </c>
      <c r="H9" s="19"/>
      <c r="I9" s="19"/>
      <c r="J9" s="5" t="s">
        <v>4327</v>
      </c>
    </row>
    <row r="10" spans="1:10" ht="39" x14ac:dyDescent="0.25">
      <c r="A10" s="1" t="s">
        <v>4</v>
      </c>
      <c r="B10" s="2" t="s">
        <v>423</v>
      </c>
      <c r="C10" s="5" t="s">
        <v>552</v>
      </c>
      <c r="D10" s="5" t="s">
        <v>450</v>
      </c>
      <c r="E10" s="6">
        <v>266470</v>
      </c>
      <c r="F10" s="3">
        <v>397232</v>
      </c>
      <c r="G10" s="57">
        <v>0.49071940556160171</v>
      </c>
      <c r="H10" s="19"/>
      <c r="I10" s="19"/>
      <c r="J10" s="5" t="s">
        <v>2335</v>
      </c>
    </row>
    <row r="11" spans="1:10" ht="26.25" x14ac:dyDescent="0.25">
      <c r="A11" s="1" t="s">
        <v>20</v>
      </c>
      <c r="B11" s="2" t="s">
        <v>245</v>
      </c>
      <c r="C11" s="5"/>
      <c r="D11" s="5" t="s">
        <v>450</v>
      </c>
      <c r="E11" s="3">
        <v>140946</v>
      </c>
      <c r="F11" s="3">
        <v>395091</v>
      </c>
      <c r="G11" s="57">
        <v>1.8031373717593973</v>
      </c>
      <c r="H11" s="19"/>
      <c r="I11" s="19"/>
      <c r="J11" s="5" t="s">
        <v>3154</v>
      </c>
    </row>
    <row r="12" spans="1:10" ht="39" x14ac:dyDescent="0.25">
      <c r="A12" s="1" t="s">
        <v>25</v>
      </c>
      <c r="B12" s="2" t="s">
        <v>26</v>
      </c>
      <c r="C12" s="1" t="s">
        <v>1697</v>
      </c>
      <c r="D12" s="5" t="s">
        <v>1698</v>
      </c>
      <c r="E12" s="3">
        <v>221247</v>
      </c>
      <c r="F12" s="3">
        <v>388948</v>
      </c>
      <c r="G12" s="57">
        <v>0.75798089917603406</v>
      </c>
      <c r="H12" s="19"/>
      <c r="I12" s="19"/>
      <c r="J12" s="5" t="s">
        <v>4093</v>
      </c>
    </row>
    <row r="13" spans="1:10" ht="39" x14ac:dyDescent="0.25">
      <c r="A13" s="1" t="s">
        <v>6</v>
      </c>
      <c r="B13" s="12" t="s">
        <v>231</v>
      </c>
      <c r="C13" s="5" t="s">
        <v>1244</v>
      </c>
      <c r="D13" s="5" t="s">
        <v>529</v>
      </c>
      <c r="E13" s="9">
        <v>242986</v>
      </c>
      <c r="F13" s="9">
        <v>384097</v>
      </c>
      <c r="G13" s="57">
        <v>0.58073716181179158</v>
      </c>
      <c r="H13" s="19"/>
      <c r="I13" s="19"/>
      <c r="J13" s="5" t="s">
        <v>3218</v>
      </c>
    </row>
    <row r="14" spans="1:10" ht="39" x14ac:dyDescent="0.25">
      <c r="A14" s="1" t="s">
        <v>1</v>
      </c>
      <c r="B14" s="2" t="s">
        <v>168</v>
      </c>
      <c r="C14" s="5" t="s">
        <v>1576</v>
      </c>
      <c r="D14" s="5" t="s">
        <v>1577</v>
      </c>
      <c r="E14" s="3">
        <v>92496</v>
      </c>
      <c r="F14" s="3">
        <v>376111</v>
      </c>
      <c r="G14" s="57">
        <v>3.0662407023006399</v>
      </c>
      <c r="H14" s="19"/>
      <c r="I14" s="19"/>
      <c r="J14" s="5" t="s">
        <v>4343</v>
      </c>
    </row>
    <row r="15" spans="1:10" ht="39" x14ac:dyDescent="0.25">
      <c r="A15" s="1" t="s">
        <v>1</v>
      </c>
      <c r="B15" s="2" t="s">
        <v>168</v>
      </c>
      <c r="C15" s="5" t="s">
        <v>1567</v>
      </c>
      <c r="D15" s="5" t="s">
        <v>4062</v>
      </c>
      <c r="E15" s="3">
        <v>111624</v>
      </c>
      <c r="F15" s="3">
        <v>369827</v>
      </c>
      <c r="G15" s="57">
        <v>2.313149501899233</v>
      </c>
      <c r="H15" s="19"/>
      <c r="I15" s="19"/>
      <c r="J15" s="5" t="s">
        <v>4341</v>
      </c>
    </row>
    <row r="16" spans="1:10" ht="26.25" x14ac:dyDescent="0.25">
      <c r="A16" s="1" t="s">
        <v>4</v>
      </c>
      <c r="B16" s="2" t="s">
        <v>56</v>
      </c>
      <c r="C16" s="1"/>
      <c r="D16" s="5" t="s">
        <v>562</v>
      </c>
      <c r="E16" s="3">
        <v>143400</v>
      </c>
      <c r="F16" s="3">
        <v>359500</v>
      </c>
      <c r="G16" s="57">
        <v>1.5069735006973501</v>
      </c>
      <c r="H16" s="19"/>
      <c r="I16" s="19"/>
      <c r="J16" s="5" t="s">
        <v>1855</v>
      </c>
    </row>
    <row r="17" spans="1:10" ht="26.25" x14ac:dyDescent="0.25">
      <c r="A17" s="1" t="s">
        <v>4</v>
      </c>
      <c r="B17" s="2" t="s">
        <v>336</v>
      </c>
      <c r="C17" s="5"/>
      <c r="D17" s="5" t="s">
        <v>879</v>
      </c>
      <c r="E17" s="3">
        <v>142350</v>
      </c>
      <c r="F17" s="3">
        <v>352402</v>
      </c>
      <c r="G17" s="57">
        <v>1.4756023884791007</v>
      </c>
      <c r="H17" s="19"/>
      <c r="I17" s="19"/>
      <c r="J17" s="5" t="s">
        <v>4424</v>
      </c>
    </row>
    <row r="18" spans="1:10" ht="39" x14ac:dyDescent="0.25">
      <c r="A18" s="1" t="s">
        <v>4</v>
      </c>
      <c r="B18" s="2" t="s">
        <v>423</v>
      </c>
      <c r="C18" s="5"/>
      <c r="D18" s="5" t="s">
        <v>567</v>
      </c>
      <c r="E18" s="6">
        <v>128019</v>
      </c>
      <c r="F18" s="3">
        <v>349837</v>
      </c>
      <c r="G18" s="57">
        <v>1.7326959279481953</v>
      </c>
      <c r="H18" s="19"/>
      <c r="I18" s="19"/>
      <c r="J18" s="5" t="s">
        <v>4561</v>
      </c>
    </row>
    <row r="19" spans="1:10" ht="39" x14ac:dyDescent="0.25">
      <c r="A19" s="1" t="s">
        <v>1</v>
      </c>
      <c r="B19" s="2" t="s">
        <v>168</v>
      </c>
      <c r="C19" s="5" t="s">
        <v>1574</v>
      </c>
      <c r="D19" s="5" t="s">
        <v>1575</v>
      </c>
      <c r="E19" s="3">
        <v>106767</v>
      </c>
      <c r="F19" s="3">
        <v>349600</v>
      </c>
      <c r="G19" s="57">
        <v>2.2744199986887335</v>
      </c>
      <c r="H19" s="19"/>
      <c r="I19" s="19"/>
      <c r="J19" s="5" t="s">
        <v>4342</v>
      </c>
    </row>
    <row r="20" spans="1:10" ht="26.25" x14ac:dyDescent="0.25">
      <c r="A20" s="1" t="s">
        <v>8</v>
      </c>
      <c r="B20" s="2" t="s">
        <v>268</v>
      </c>
      <c r="C20" s="5" t="s">
        <v>1142</v>
      </c>
      <c r="D20" s="5" t="s">
        <v>450</v>
      </c>
      <c r="E20" s="3">
        <v>128806</v>
      </c>
      <c r="F20" s="3">
        <v>349074</v>
      </c>
      <c r="G20" s="57">
        <v>1.7100756175954537</v>
      </c>
      <c r="H20" s="19"/>
      <c r="I20" s="19"/>
      <c r="J20" s="5" t="s">
        <v>3064</v>
      </c>
    </row>
    <row r="21" spans="1:10" ht="39" x14ac:dyDescent="0.25">
      <c r="A21" s="1" t="s">
        <v>6</v>
      </c>
      <c r="B21" s="2" t="s">
        <v>237</v>
      </c>
      <c r="C21" s="5"/>
      <c r="D21" s="14" t="s">
        <v>1228</v>
      </c>
      <c r="E21" s="10">
        <v>158180</v>
      </c>
      <c r="F21" s="10">
        <v>348830</v>
      </c>
      <c r="G21" s="57">
        <v>1.2052724743962575</v>
      </c>
      <c r="H21" s="19"/>
      <c r="I21" s="19"/>
      <c r="J21" s="5" t="s">
        <v>3189</v>
      </c>
    </row>
    <row r="22" spans="1:10" ht="39" x14ac:dyDescent="0.25">
      <c r="A22" s="1" t="s">
        <v>34</v>
      </c>
      <c r="B22" s="30" t="s">
        <v>4566</v>
      </c>
      <c r="C22" s="5" t="s">
        <v>541</v>
      </c>
      <c r="D22" s="5" t="s">
        <v>450</v>
      </c>
      <c r="E22" s="3">
        <v>110082</v>
      </c>
      <c r="F22" s="3">
        <v>343849</v>
      </c>
      <c r="G22" s="57">
        <v>2.1235715194128013</v>
      </c>
      <c r="H22" s="19"/>
      <c r="I22" s="19"/>
      <c r="J22" s="5" t="s">
        <v>4714</v>
      </c>
    </row>
    <row r="23" spans="1:10" ht="39" x14ac:dyDescent="0.25">
      <c r="A23" s="1" t="s">
        <v>111</v>
      </c>
      <c r="B23" s="2" t="s">
        <v>282</v>
      </c>
      <c r="C23" s="5" t="s">
        <v>1069</v>
      </c>
      <c r="D23" s="5" t="s">
        <v>1070</v>
      </c>
      <c r="E23" s="9">
        <v>164417</v>
      </c>
      <c r="F23" s="3">
        <v>337502</v>
      </c>
      <c r="G23" s="57">
        <v>1.0527196092861444</v>
      </c>
      <c r="H23" s="19"/>
      <c r="I23" s="19"/>
      <c r="J23" s="5" t="s">
        <v>4387</v>
      </c>
    </row>
    <row r="24" spans="1:10" ht="26.25" x14ac:dyDescent="0.25">
      <c r="A24" s="1" t="s">
        <v>28</v>
      </c>
      <c r="B24" s="2" t="s">
        <v>273</v>
      </c>
      <c r="C24" s="5"/>
      <c r="D24" s="5" t="s">
        <v>1115</v>
      </c>
      <c r="E24" s="3">
        <v>116749</v>
      </c>
      <c r="F24" s="3">
        <v>327466</v>
      </c>
      <c r="G24" s="57">
        <v>1.8048719903382471</v>
      </c>
      <c r="H24" s="19"/>
      <c r="I24" s="19"/>
      <c r="J24" s="5" t="s">
        <v>3045</v>
      </c>
    </row>
    <row r="25" spans="1:10" ht="26.25" x14ac:dyDescent="0.25">
      <c r="A25" s="1" t="s">
        <v>28</v>
      </c>
      <c r="B25" s="2" t="s">
        <v>221</v>
      </c>
      <c r="C25" s="5"/>
      <c r="D25" s="5" t="s">
        <v>1281</v>
      </c>
      <c r="E25" s="9">
        <v>140584</v>
      </c>
      <c r="F25" s="9">
        <v>325592</v>
      </c>
      <c r="G25" s="57">
        <v>1.3159961304273602</v>
      </c>
      <c r="H25" s="19"/>
      <c r="I25" s="19"/>
      <c r="J25" s="5" t="s">
        <v>3268</v>
      </c>
    </row>
    <row r="26" spans="1:10" ht="26.25" x14ac:dyDescent="0.25">
      <c r="A26" s="1" t="s">
        <v>4</v>
      </c>
      <c r="B26" s="2" t="s">
        <v>210</v>
      </c>
      <c r="C26" s="5" t="s">
        <v>1346</v>
      </c>
      <c r="D26" s="5" t="s">
        <v>1347</v>
      </c>
      <c r="E26" s="9">
        <v>198552</v>
      </c>
      <c r="F26" s="9">
        <v>318237</v>
      </c>
      <c r="G26" s="57">
        <v>0.60278919376284301</v>
      </c>
      <c r="H26" s="19"/>
      <c r="I26" s="19"/>
      <c r="J26" s="5" t="s">
        <v>3363</v>
      </c>
    </row>
    <row r="27" spans="1:10" ht="26.25" x14ac:dyDescent="0.25">
      <c r="A27" s="1" t="s">
        <v>4</v>
      </c>
      <c r="B27" s="2" t="s">
        <v>210</v>
      </c>
      <c r="C27" s="5" t="s">
        <v>1341</v>
      </c>
      <c r="D27" s="5" t="s">
        <v>1342</v>
      </c>
      <c r="E27" s="9">
        <v>205515</v>
      </c>
      <c r="F27" s="9">
        <v>317649</v>
      </c>
      <c r="G27" s="57">
        <v>0.54562440697759285</v>
      </c>
      <c r="H27" s="19"/>
      <c r="I27" s="19"/>
      <c r="J27" s="5" t="s">
        <v>3360</v>
      </c>
    </row>
    <row r="28" spans="1:10" ht="64.5" x14ac:dyDescent="0.25">
      <c r="A28" s="1" t="s">
        <v>25</v>
      </c>
      <c r="B28" s="2" t="s">
        <v>26</v>
      </c>
      <c r="C28" s="1" t="s">
        <v>1700</v>
      </c>
      <c r="D28" s="5" t="s">
        <v>1701</v>
      </c>
      <c r="E28" s="3">
        <v>202306</v>
      </c>
      <c r="F28" s="3">
        <v>313234</v>
      </c>
      <c r="G28" s="57">
        <v>0.54831789467440417</v>
      </c>
      <c r="H28" s="19"/>
      <c r="I28" s="19"/>
      <c r="J28" s="5" t="s">
        <v>4094</v>
      </c>
    </row>
    <row r="29" spans="1:10" ht="26.25" x14ac:dyDescent="0.25">
      <c r="A29" s="1" t="s">
        <v>4</v>
      </c>
      <c r="B29" s="2" t="s">
        <v>423</v>
      </c>
      <c r="C29" s="5" t="s">
        <v>553</v>
      </c>
      <c r="D29" s="5" t="s">
        <v>554</v>
      </c>
      <c r="E29" s="6">
        <v>202165</v>
      </c>
      <c r="F29" s="3">
        <v>305766</v>
      </c>
      <c r="G29" s="57">
        <v>0.51245764598224219</v>
      </c>
      <c r="H29" s="19"/>
      <c r="I29" s="19"/>
      <c r="J29" s="5" t="s">
        <v>2336</v>
      </c>
    </row>
    <row r="30" spans="1:10" ht="39" x14ac:dyDescent="0.25">
      <c r="A30" s="1" t="s">
        <v>1</v>
      </c>
      <c r="B30" s="2" t="s">
        <v>168</v>
      </c>
      <c r="C30" s="5" t="s">
        <v>1566</v>
      </c>
      <c r="D30" s="5" t="s">
        <v>4061</v>
      </c>
      <c r="E30" s="3">
        <v>154782</v>
      </c>
      <c r="F30" s="3">
        <v>298574</v>
      </c>
      <c r="G30" s="57">
        <v>0.92899691178560817</v>
      </c>
      <c r="H30" s="19"/>
      <c r="I30" s="19"/>
      <c r="J30" s="5" t="s">
        <v>4339</v>
      </c>
    </row>
    <row r="31" spans="1:10" ht="51.75" x14ac:dyDescent="0.25">
      <c r="A31" s="1" t="s">
        <v>4</v>
      </c>
      <c r="B31" s="2" t="s">
        <v>423</v>
      </c>
      <c r="C31" s="5"/>
      <c r="D31" s="5" t="s">
        <v>566</v>
      </c>
      <c r="E31" s="6">
        <v>121862</v>
      </c>
      <c r="F31" s="3">
        <v>298500</v>
      </c>
      <c r="G31" s="57">
        <v>1.4494920483825966</v>
      </c>
      <c r="H31" s="19"/>
      <c r="I31" s="19"/>
      <c r="J31" s="5" t="s">
        <v>4560</v>
      </c>
    </row>
    <row r="32" spans="1:10" ht="26.25" x14ac:dyDescent="0.25">
      <c r="A32" s="1" t="s">
        <v>4</v>
      </c>
      <c r="B32" s="2" t="s">
        <v>157</v>
      </c>
      <c r="C32" s="1"/>
      <c r="D32" s="5" t="s">
        <v>1600</v>
      </c>
      <c r="E32" s="3">
        <v>98391</v>
      </c>
      <c r="F32" s="3">
        <v>297467</v>
      </c>
      <c r="G32" s="57">
        <v>2.0233151406124543</v>
      </c>
      <c r="H32" s="19"/>
      <c r="I32" s="19"/>
      <c r="J32" s="5" t="s">
        <v>4638</v>
      </c>
    </row>
    <row r="33" spans="1:10" ht="26.25" x14ac:dyDescent="0.25">
      <c r="A33" s="1" t="s">
        <v>4</v>
      </c>
      <c r="B33" s="2" t="s">
        <v>303</v>
      </c>
      <c r="C33" s="7" t="s">
        <v>971</v>
      </c>
      <c r="D33" s="7" t="s">
        <v>854</v>
      </c>
      <c r="E33" s="6">
        <v>131881</v>
      </c>
      <c r="F33" s="6">
        <v>290082</v>
      </c>
      <c r="G33" s="57">
        <v>1.1995738582509989</v>
      </c>
      <c r="H33" s="19"/>
      <c r="I33" s="19"/>
      <c r="J33" s="5" t="s">
        <v>4401</v>
      </c>
    </row>
    <row r="34" spans="1:10" ht="39" x14ac:dyDescent="0.25">
      <c r="A34" s="1" t="s">
        <v>4</v>
      </c>
      <c r="B34" s="2" t="s">
        <v>106</v>
      </c>
      <c r="C34" s="1"/>
      <c r="D34" s="5" t="s">
        <v>4253</v>
      </c>
      <c r="E34" s="3">
        <v>75958</v>
      </c>
      <c r="F34" s="3">
        <v>288858</v>
      </c>
      <c r="G34" s="57">
        <v>2.8028647410411018</v>
      </c>
      <c r="H34" s="19"/>
      <c r="I34" s="19"/>
      <c r="J34" s="5" t="s">
        <v>4252</v>
      </c>
    </row>
    <row r="35" spans="1:10" ht="26.25" x14ac:dyDescent="0.25">
      <c r="A35" s="13" t="s">
        <v>34</v>
      </c>
      <c r="B35" s="12" t="s">
        <v>48</v>
      </c>
      <c r="C35" s="13"/>
      <c r="D35" s="7" t="s">
        <v>3744</v>
      </c>
      <c r="E35" s="6">
        <v>92232</v>
      </c>
      <c r="F35" s="6">
        <v>284767</v>
      </c>
      <c r="G35" s="57">
        <v>2.0875075895567701</v>
      </c>
      <c r="H35" s="21"/>
      <c r="I35" s="21"/>
      <c r="J35" s="7" t="s">
        <v>4179</v>
      </c>
    </row>
    <row r="36" spans="1:10" ht="64.5" x14ac:dyDescent="0.25">
      <c r="A36" s="1" t="s">
        <v>25</v>
      </c>
      <c r="B36" s="2" t="s">
        <v>181</v>
      </c>
      <c r="C36" s="5" t="s">
        <v>1476</v>
      </c>
      <c r="D36" s="5" t="s">
        <v>450</v>
      </c>
      <c r="E36" s="9">
        <v>270474</v>
      </c>
      <c r="F36" s="9">
        <v>281666</v>
      </c>
      <c r="G36" s="57">
        <v>4.1379208352743703E-2</v>
      </c>
      <c r="H36" s="19"/>
      <c r="I36" s="19"/>
      <c r="J36" s="5" t="s">
        <v>3540</v>
      </c>
    </row>
    <row r="37" spans="1:10" ht="102.75" x14ac:dyDescent="0.25">
      <c r="A37" s="1" t="s">
        <v>4</v>
      </c>
      <c r="B37" s="2" t="s">
        <v>319</v>
      </c>
      <c r="C37" s="5"/>
      <c r="D37" s="5" t="s">
        <v>922</v>
      </c>
      <c r="E37" s="3">
        <v>108885</v>
      </c>
      <c r="F37" s="3">
        <v>280432</v>
      </c>
      <c r="G37" s="57">
        <v>1.5754879000780639</v>
      </c>
      <c r="H37" s="19"/>
      <c r="I37" s="19"/>
      <c r="J37" s="5" t="s">
        <v>2792</v>
      </c>
    </row>
    <row r="38" spans="1:10" ht="39" x14ac:dyDescent="0.25">
      <c r="A38" s="1" t="s">
        <v>4</v>
      </c>
      <c r="B38" s="2" t="s">
        <v>191</v>
      </c>
      <c r="C38" s="5"/>
      <c r="D38" s="5" t="s">
        <v>1447</v>
      </c>
      <c r="E38" s="9">
        <v>96478</v>
      </c>
      <c r="F38" s="9">
        <v>271992</v>
      </c>
      <c r="G38" s="57">
        <v>1.8192126702460665</v>
      </c>
      <c r="H38" s="19"/>
      <c r="I38" s="19"/>
      <c r="J38" s="5" t="s">
        <v>3496</v>
      </c>
    </row>
    <row r="39" spans="1:10" ht="64.5" x14ac:dyDescent="0.25">
      <c r="A39" s="13" t="s">
        <v>111</v>
      </c>
      <c r="B39" s="12" t="s">
        <v>110</v>
      </c>
      <c r="C39" s="13" t="s">
        <v>3886</v>
      </c>
      <c r="D39" s="7" t="s">
        <v>855</v>
      </c>
      <c r="E39" s="6">
        <v>154476</v>
      </c>
      <c r="F39" s="6">
        <v>271771</v>
      </c>
      <c r="G39" s="57">
        <v>0.75930888940676866</v>
      </c>
      <c r="H39" s="21"/>
      <c r="I39" s="21"/>
      <c r="J39" s="7" t="s">
        <v>4261</v>
      </c>
    </row>
    <row r="40" spans="1:10" ht="39" x14ac:dyDescent="0.25">
      <c r="A40" s="1" t="s">
        <v>20</v>
      </c>
      <c r="B40" s="2" t="s">
        <v>154</v>
      </c>
      <c r="C40" s="1" t="s">
        <v>1615</v>
      </c>
      <c r="D40" s="5" t="s">
        <v>450</v>
      </c>
      <c r="E40" s="3">
        <v>267442</v>
      </c>
      <c r="F40" s="3">
        <v>271060</v>
      </c>
      <c r="G40" s="57">
        <v>1.3528166854869466E-2</v>
      </c>
      <c r="H40" s="19"/>
      <c r="I40" s="19"/>
      <c r="J40" s="5" t="s">
        <v>4321</v>
      </c>
    </row>
    <row r="41" spans="1:10" ht="39" x14ac:dyDescent="0.25">
      <c r="A41" s="1" t="s">
        <v>25</v>
      </c>
      <c r="B41" s="2" t="s">
        <v>209</v>
      </c>
      <c r="C41" s="5" t="s">
        <v>1357</v>
      </c>
      <c r="D41" s="5" t="s">
        <v>1358</v>
      </c>
      <c r="E41" s="9">
        <v>268423</v>
      </c>
      <c r="F41" s="9">
        <v>268475</v>
      </c>
      <c r="G41" s="57">
        <v>1.9372408474683614E-4</v>
      </c>
      <c r="H41" s="19"/>
      <c r="I41" s="19"/>
      <c r="J41" s="5" t="s">
        <v>3369</v>
      </c>
    </row>
    <row r="42" spans="1:10" ht="26.25" x14ac:dyDescent="0.25">
      <c r="A42" s="1" t="s">
        <v>20</v>
      </c>
      <c r="B42" s="2" t="s">
        <v>374</v>
      </c>
      <c r="C42" s="5" t="s">
        <v>745</v>
      </c>
      <c r="D42" s="5" t="s">
        <v>450</v>
      </c>
      <c r="E42" s="3">
        <v>267775</v>
      </c>
      <c r="F42" s="3">
        <v>267775</v>
      </c>
      <c r="G42" s="57">
        <v>0</v>
      </c>
      <c r="H42" s="19"/>
      <c r="I42" s="19"/>
      <c r="J42" s="5" t="s">
        <v>2540</v>
      </c>
    </row>
    <row r="43" spans="1:10" ht="39" x14ac:dyDescent="0.25">
      <c r="A43" s="1" t="s">
        <v>4</v>
      </c>
      <c r="B43" s="2" t="s">
        <v>319</v>
      </c>
      <c r="C43" s="5"/>
      <c r="D43" s="5" t="s">
        <v>507</v>
      </c>
      <c r="E43" s="3">
        <v>108529</v>
      </c>
      <c r="F43" s="3">
        <v>262588</v>
      </c>
      <c r="G43" s="57">
        <v>1.4195192068479392</v>
      </c>
      <c r="H43" s="19"/>
      <c r="I43" s="19"/>
      <c r="J43" s="5" t="s">
        <v>4415</v>
      </c>
    </row>
    <row r="44" spans="1:10" ht="26.25" x14ac:dyDescent="0.25">
      <c r="A44" s="13" t="s">
        <v>4</v>
      </c>
      <c r="B44" s="12" t="s">
        <v>63</v>
      </c>
      <c r="C44" s="13" t="s">
        <v>1878</v>
      </c>
      <c r="D44" s="7" t="s">
        <v>450</v>
      </c>
      <c r="E44" s="6">
        <v>258868</v>
      </c>
      <c r="F44" s="6">
        <v>259104</v>
      </c>
      <c r="G44" s="57">
        <v>9.1166154178963792E-4</v>
      </c>
      <c r="H44" s="21"/>
      <c r="I44" s="21"/>
      <c r="J44" s="7" t="s">
        <v>4199</v>
      </c>
    </row>
    <row r="45" spans="1:10" ht="39" x14ac:dyDescent="0.25">
      <c r="A45" s="13" t="s">
        <v>25</v>
      </c>
      <c r="B45" s="12" t="s">
        <v>37</v>
      </c>
      <c r="C45" s="13" t="s">
        <v>1755</v>
      </c>
      <c r="D45" s="7" t="s">
        <v>450</v>
      </c>
      <c r="E45" s="36">
        <v>250627</v>
      </c>
      <c r="F45" s="36">
        <v>258782</v>
      </c>
      <c r="G45" s="57">
        <v>3.2538393708578882E-2</v>
      </c>
      <c r="H45" s="21"/>
      <c r="I45" s="21"/>
      <c r="J45" s="7" t="s">
        <v>4144</v>
      </c>
    </row>
    <row r="46" spans="1:10" ht="26.25" x14ac:dyDescent="0.25">
      <c r="A46" s="1" t="s">
        <v>20</v>
      </c>
      <c r="B46" s="2" t="s">
        <v>263</v>
      </c>
      <c r="C46" s="5" t="s">
        <v>1150</v>
      </c>
      <c r="D46" s="5" t="s">
        <v>450</v>
      </c>
      <c r="E46" s="3">
        <v>263700</v>
      </c>
      <c r="F46" s="3">
        <v>256900</v>
      </c>
      <c r="G46" s="57">
        <v>-2.578687902919985E-2</v>
      </c>
      <c r="H46" s="19"/>
      <c r="I46" s="19"/>
      <c r="J46" s="5" t="s">
        <v>3071</v>
      </c>
    </row>
    <row r="47" spans="1:10" ht="39" x14ac:dyDescent="0.25">
      <c r="A47" s="1" t="s">
        <v>1</v>
      </c>
      <c r="B47" s="2" t="s">
        <v>168</v>
      </c>
      <c r="C47" s="5" t="s">
        <v>1572</v>
      </c>
      <c r="D47" s="5" t="s">
        <v>1573</v>
      </c>
      <c r="E47" s="3">
        <v>95616</v>
      </c>
      <c r="F47" s="3">
        <v>256530</v>
      </c>
      <c r="G47" s="57">
        <v>1.6829191767068272</v>
      </c>
      <c r="H47" s="19"/>
      <c r="I47" s="19"/>
      <c r="J47" s="5" t="s">
        <v>4344</v>
      </c>
    </row>
    <row r="48" spans="1:10" ht="26.25" x14ac:dyDescent="0.25">
      <c r="A48" s="1" t="s">
        <v>6</v>
      </c>
      <c r="B48" s="2" t="s">
        <v>237</v>
      </c>
      <c r="C48" s="5"/>
      <c r="D48" s="14" t="s">
        <v>562</v>
      </c>
      <c r="E48" s="10">
        <v>156994</v>
      </c>
      <c r="F48" s="10">
        <v>256138</v>
      </c>
      <c r="G48" s="57">
        <v>0.63151458017503859</v>
      </c>
      <c r="H48" s="19"/>
      <c r="I48" s="19"/>
      <c r="J48" s="5" t="s">
        <v>3188</v>
      </c>
    </row>
    <row r="49" spans="1:10" ht="39" x14ac:dyDescent="0.25">
      <c r="A49" s="1" t="s">
        <v>4</v>
      </c>
      <c r="B49" s="2" t="s">
        <v>377</v>
      </c>
      <c r="C49" s="5" t="s">
        <v>727</v>
      </c>
      <c r="D49" s="5" t="s">
        <v>450</v>
      </c>
      <c r="E49" s="3">
        <v>176073</v>
      </c>
      <c r="F49" s="3">
        <v>253133</v>
      </c>
      <c r="G49" s="57">
        <v>0.43765937991628473</v>
      </c>
      <c r="H49" s="19"/>
      <c r="I49" s="19"/>
      <c r="J49" s="5" t="s">
        <v>4473</v>
      </c>
    </row>
    <row r="50" spans="1:10" ht="51.75" x14ac:dyDescent="0.25">
      <c r="A50" s="1" t="s">
        <v>4</v>
      </c>
      <c r="B50" s="2" t="s">
        <v>182</v>
      </c>
      <c r="C50" s="5"/>
      <c r="D50" s="5" t="s">
        <v>1472</v>
      </c>
      <c r="E50" s="9">
        <v>101832</v>
      </c>
      <c r="F50" s="9">
        <v>253040</v>
      </c>
      <c r="G50" s="57">
        <v>1.4848770524000314</v>
      </c>
      <c r="H50" s="19"/>
      <c r="I50" s="19"/>
      <c r="J50" s="5" t="s">
        <v>3535</v>
      </c>
    </row>
    <row r="51" spans="1:10" ht="39" x14ac:dyDescent="0.25">
      <c r="A51" s="1" t="s">
        <v>111</v>
      </c>
      <c r="B51" s="2" t="s">
        <v>166</v>
      </c>
      <c r="C51" s="5" t="s">
        <v>1578</v>
      </c>
      <c r="D51" s="5" t="s">
        <v>450</v>
      </c>
      <c r="E51" s="3">
        <v>245581</v>
      </c>
      <c r="F51" s="3">
        <v>252838</v>
      </c>
      <c r="G51" s="57">
        <v>2.9550331662465745E-2</v>
      </c>
      <c r="H51" s="19"/>
      <c r="I51" s="19"/>
      <c r="J51" s="5" t="s">
        <v>4051</v>
      </c>
    </row>
    <row r="52" spans="1:10" x14ac:dyDescent="0.25">
      <c r="A52" s="1" t="s">
        <v>39</v>
      </c>
      <c r="B52" s="2" t="s">
        <v>335</v>
      </c>
      <c r="C52" s="5"/>
      <c r="D52" s="7" t="s">
        <v>464</v>
      </c>
      <c r="E52" s="6" t="s">
        <v>465</v>
      </c>
      <c r="F52" s="6">
        <v>252500</v>
      </c>
      <c r="G52" s="57" t="s">
        <v>465</v>
      </c>
      <c r="H52" s="21"/>
      <c r="I52" s="21"/>
      <c r="J52" s="5" t="s">
        <v>2742</v>
      </c>
    </row>
    <row r="53" spans="1:10" ht="26.25" x14ac:dyDescent="0.25">
      <c r="A53" s="1" t="s">
        <v>25</v>
      </c>
      <c r="B53" s="2" t="s">
        <v>26</v>
      </c>
      <c r="C53" s="1" t="s">
        <v>1696</v>
      </c>
      <c r="D53" s="5" t="s">
        <v>450</v>
      </c>
      <c r="E53" s="3">
        <v>249210</v>
      </c>
      <c r="F53" s="3">
        <v>250818</v>
      </c>
      <c r="G53" s="57">
        <v>6.4523895509811004E-3</v>
      </c>
      <c r="H53" s="19"/>
      <c r="I53" s="19"/>
      <c r="J53" s="5" t="s">
        <v>3662</v>
      </c>
    </row>
    <row r="54" spans="1:10" ht="26.25" x14ac:dyDescent="0.25">
      <c r="A54" s="1" t="s">
        <v>20</v>
      </c>
      <c r="B54" s="2" t="s">
        <v>194</v>
      </c>
      <c r="C54" s="5" t="s">
        <v>1424</v>
      </c>
      <c r="D54" s="5" t="s">
        <v>450</v>
      </c>
      <c r="E54" s="9">
        <v>251190</v>
      </c>
      <c r="F54" s="9">
        <v>250118</v>
      </c>
      <c r="G54" s="57">
        <v>-4.2676858155181333E-3</v>
      </c>
      <c r="H54" s="19"/>
      <c r="I54" s="19"/>
      <c r="J54" s="5" t="s">
        <v>3468</v>
      </c>
    </row>
    <row r="55" spans="1:10" ht="26.25" x14ac:dyDescent="0.25">
      <c r="A55" s="1" t="s">
        <v>25</v>
      </c>
      <c r="B55" s="2" t="s">
        <v>107</v>
      </c>
      <c r="C55" s="1" t="s">
        <v>2187</v>
      </c>
      <c r="D55" s="5" t="s">
        <v>450</v>
      </c>
      <c r="E55" s="3">
        <v>246810</v>
      </c>
      <c r="F55" s="3">
        <v>248362</v>
      </c>
      <c r="G55" s="57">
        <v>6.2882379158056808E-3</v>
      </c>
      <c r="H55" s="19"/>
      <c r="I55" s="19"/>
      <c r="J55" s="5" t="s">
        <v>3861</v>
      </c>
    </row>
    <row r="56" spans="1:10" x14ac:dyDescent="0.25">
      <c r="A56" s="1" t="s">
        <v>25</v>
      </c>
      <c r="B56" s="12" t="s">
        <v>24</v>
      </c>
      <c r="C56" s="13"/>
      <c r="D56" s="7" t="s">
        <v>464</v>
      </c>
      <c r="E56" s="6" t="s">
        <v>465</v>
      </c>
      <c r="F56" s="6">
        <v>247500</v>
      </c>
      <c r="G56" s="57" t="s">
        <v>465</v>
      </c>
      <c r="H56" s="21"/>
      <c r="I56" s="21"/>
      <c r="J56" s="7" t="s">
        <v>1241</v>
      </c>
    </row>
    <row r="57" spans="1:10" ht="26.25" x14ac:dyDescent="0.25">
      <c r="A57" s="1" t="s">
        <v>4</v>
      </c>
      <c r="B57" s="2" t="s">
        <v>182</v>
      </c>
      <c r="C57" s="5" t="s">
        <v>1467</v>
      </c>
      <c r="D57" s="5" t="s">
        <v>450</v>
      </c>
      <c r="E57" s="9">
        <v>246648</v>
      </c>
      <c r="F57" s="9">
        <v>246980</v>
      </c>
      <c r="G57" s="57">
        <v>1.3460478090233856E-3</v>
      </c>
      <c r="H57" s="19"/>
      <c r="I57" s="19"/>
      <c r="J57" s="5" t="s">
        <v>3529</v>
      </c>
    </row>
    <row r="58" spans="1:10" ht="26.25" x14ac:dyDescent="0.25">
      <c r="A58" s="1" t="s">
        <v>25</v>
      </c>
      <c r="B58" s="2" t="s">
        <v>217</v>
      </c>
      <c r="C58" s="5" t="s">
        <v>1300</v>
      </c>
      <c r="D58" s="5" t="s">
        <v>450</v>
      </c>
      <c r="E58" s="3">
        <v>269836</v>
      </c>
      <c r="F58" s="3">
        <v>246939</v>
      </c>
      <c r="G58" s="57">
        <v>-8.4855245408322094E-2</v>
      </c>
      <c r="H58" s="19"/>
      <c r="I58" s="19"/>
      <c r="J58" s="5" t="s">
        <v>3294</v>
      </c>
    </row>
    <row r="59" spans="1:10" ht="39" x14ac:dyDescent="0.25">
      <c r="A59" s="1" t="s">
        <v>111</v>
      </c>
      <c r="B59" s="2" t="s">
        <v>282</v>
      </c>
      <c r="C59" s="5"/>
      <c r="D59" s="5" t="s">
        <v>452</v>
      </c>
      <c r="E59" s="9">
        <v>137845</v>
      </c>
      <c r="F59" s="3">
        <v>246460</v>
      </c>
      <c r="G59" s="57">
        <v>0.78795023395843156</v>
      </c>
      <c r="H59" s="19"/>
      <c r="I59" s="19"/>
      <c r="J59" s="5" t="s">
        <v>4388</v>
      </c>
    </row>
    <row r="60" spans="1:10" ht="26.25" x14ac:dyDescent="0.25">
      <c r="A60" s="1" t="s">
        <v>25</v>
      </c>
      <c r="B60" s="2" t="s">
        <v>184</v>
      </c>
      <c r="C60" s="5" t="s">
        <v>1462</v>
      </c>
      <c r="D60" s="5" t="s">
        <v>764</v>
      </c>
      <c r="E60" s="9">
        <v>282670</v>
      </c>
      <c r="F60" s="9">
        <v>245800</v>
      </c>
      <c r="G60" s="57">
        <v>-0.13043478260869565</v>
      </c>
      <c r="H60" s="19"/>
      <c r="I60" s="19"/>
      <c r="J60" s="5" t="s">
        <v>2232</v>
      </c>
    </row>
    <row r="61" spans="1:10" ht="51.75" x14ac:dyDescent="0.25">
      <c r="A61" s="1" t="s">
        <v>34</v>
      </c>
      <c r="B61" s="2" t="s">
        <v>101</v>
      </c>
      <c r="C61" s="1" t="s">
        <v>2210</v>
      </c>
      <c r="D61" s="5" t="s">
        <v>450</v>
      </c>
      <c r="E61" s="3">
        <v>238800</v>
      </c>
      <c r="F61" s="3">
        <v>245342</v>
      </c>
      <c r="G61" s="57">
        <v>2.739530988274707E-2</v>
      </c>
      <c r="H61" s="19"/>
      <c r="I61" s="19"/>
      <c r="J61" s="5" t="s">
        <v>4238</v>
      </c>
    </row>
    <row r="62" spans="1:10" ht="39" x14ac:dyDescent="0.25">
      <c r="A62" s="1" t="s">
        <v>8</v>
      </c>
      <c r="B62" s="2" t="s">
        <v>113</v>
      </c>
      <c r="C62" s="1"/>
      <c r="D62" s="5" t="s">
        <v>529</v>
      </c>
      <c r="E62" s="3" t="s">
        <v>465</v>
      </c>
      <c r="F62" s="3">
        <v>243886</v>
      </c>
      <c r="G62" s="57" t="s">
        <v>465</v>
      </c>
      <c r="H62" s="19"/>
      <c r="I62" s="19"/>
      <c r="J62" s="5" t="s">
        <v>4619</v>
      </c>
    </row>
    <row r="63" spans="1:10" ht="26.25" x14ac:dyDescent="0.25">
      <c r="A63" s="1" t="s">
        <v>111</v>
      </c>
      <c r="B63" s="2" t="s">
        <v>128</v>
      </c>
      <c r="C63" s="1" t="s">
        <v>2101</v>
      </c>
      <c r="D63" s="5" t="s">
        <v>450</v>
      </c>
      <c r="E63" s="3">
        <v>242485</v>
      </c>
      <c r="F63" s="3">
        <v>243728</v>
      </c>
      <c r="G63" s="57">
        <v>5.1260902736251727E-3</v>
      </c>
      <c r="H63" s="19"/>
      <c r="I63" s="19"/>
      <c r="J63" s="5" t="s">
        <v>3941</v>
      </c>
    </row>
    <row r="64" spans="1:10" ht="26.25" x14ac:dyDescent="0.25">
      <c r="A64" s="1" t="s">
        <v>20</v>
      </c>
      <c r="B64" s="2" t="s">
        <v>263</v>
      </c>
      <c r="C64" s="5" t="s">
        <v>1152</v>
      </c>
      <c r="D64" s="5" t="s">
        <v>1153</v>
      </c>
      <c r="E64" s="3">
        <v>161400</v>
      </c>
      <c r="F64" s="3">
        <v>240100</v>
      </c>
      <c r="G64" s="57">
        <v>0.48760842627013629</v>
      </c>
      <c r="H64" s="19"/>
      <c r="I64" s="19"/>
      <c r="J64" s="5" t="s">
        <v>3073</v>
      </c>
    </row>
    <row r="65" spans="1:10" ht="39" x14ac:dyDescent="0.25">
      <c r="A65" s="1" t="s">
        <v>8</v>
      </c>
      <c r="B65" s="2" t="s">
        <v>345</v>
      </c>
      <c r="C65" s="5"/>
      <c r="D65" s="5" t="s">
        <v>468</v>
      </c>
      <c r="E65" s="3">
        <v>99059</v>
      </c>
      <c r="F65" s="3">
        <v>238575</v>
      </c>
      <c r="G65" s="57">
        <v>1.4084131679100333</v>
      </c>
      <c r="H65" s="19"/>
      <c r="I65" s="19"/>
      <c r="J65" s="5" t="s">
        <v>2695</v>
      </c>
    </row>
    <row r="66" spans="1:10" ht="26.25" x14ac:dyDescent="0.25">
      <c r="A66" s="1" t="s">
        <v>6</v>
      </c>
      <c r="B66" s="2" t="s">
        <v>426</v>
      </c>
      <c r="C66" s="5" t="s">
        <v>527</v>
      </c>
      <c r="D66" s="5" t="s">
        <v>450</v>
      </c>
      <c r="E66" s="3">
        <v>228876</v>
      </c>
      <c r="F66" s="3">
        <v>238258</v>
      </c>
      <c r="G66" s="57">
        <v>4.0991628654817452E-2</v>
      </c>
      <c r="H66" s="19"/>
      <c r="I66" s="19"/>
      <c r="J66" s="5" t="s">
        <v>4715</v>
      </c>
    </row>
    <row r="67" spans="1:10" ht="39" x14ac:dyDescent="0.25">
      <c r="A67" s="1" t="s">
        <v>6</v>
      </c>
      <c r="B67" s="12" t="s">
        <v>231</v>
      </c>
      <c r="C67" s="5" t="s">
        <v>1246</v>
      </c>
      <c r="D67" s="5" t="s">
        <v>529</v>
      </c>
      <c r="E67" s="9">
        <v>212677</v>
      </c>
      <c r="F67" s="9">
        <v>238153</v>
      </c>
      <c r="G67" s="57">
        <v>0.11978728306304866</v>
      </c>
      <c r="H67" s="19"/>
      <c r="I67" s="19"/>
      <c r="J67" s="5" t="s">
        <v>3220</v>
      </c>
    </row>
    <row r="68" spans="1:10" ht="26.25" x14ac:dyDescent="0.25">
      <c r="A68" s="1" t="s">
        <v>39</v>
      </c>
      <c r="B68" s="2" t="s">
        <v>434</v>
      </c>
      <c r="C68" s="5"/>
      <c r="D68" s="5" t="s">
        <v>479</v>
      </c>
      <c r="E68" s="3">
        <v>92025</v>
      </c>
      <c r="F68" s="3">
        <v>238034</v>
      </c>
      <c r="G68" s="57">
        <v>1.5866232002173322</v>
      </c>
      <c r="H68" s="19"/>
      <c r="I68" s="19"/>
      <c r="J68" s="5" t="s">
        <v>2276</v>
      </c>
    </row>
    <row r="69" spans="1:10" x14ac:dyDescent="0.25">
      <c r="A69" s="1" t="s">
        <v>4</v>
      </c>
      <c r="B69" s="2" t="s">
        <v>88</v>
      </c>
      <c r="C69" s="1"/>
      <c r="D69" s="5" t="s">
        <v>464</v>
      </c>
      <c r="E69" s="3" t="s">
        <v>465</v>
      </c>
      <c r="F69" s="3">
        <v>237500</v>
      </c>
      <c r="G69" s="57" t="s">
        <v>465</v>
      </c>
      <c r="H69" s="19"/>
      <c r="I69" s="19"/>
      <c r="J69" s="5" t="s">
        <v>2254</v>
      </c>
    </row>
    <row r="70" spans="1:10" x14ac:dyDescent="0.25">
      <c r="A70" s="1" t="s">
        <v>4</v>
      </c>
      <c r="B70" s="2" t="s">
        <v>88</v>
      </c>
      <c r="C70" s="1"/>
      <c r="D70" s="5" t="s">
        <v>464</v>
      </c>
      <c r="E70" s="3" t="s">
        <v>465</v>
      </c>
      <c r="F70" s="3">
        <v>237500</v>
      </c>
      <c r="G70" s="57" t="s">
        <v>465</v>
      </c>
      <c r="H70" s="19"/>
      <c r="I70" s="19"/>
      <c r="J70" s="5" t="s">
        <v>2254</v>
      </c>
    </row>
    <row r="71" spans="1:10" ht="39" x14ac:dyDescent="0.25">
      <c r="A71" s="1" t="s">
        <v>4</v>
      </c>
      <c r="B71" s="2" t="s">
        <v>191</v>
      </c>
      <c r="C71" s="5"/>
      <c r="D71" s="5" t="s">
        <v>1449</v>
      </c>
      <c r="E71" s="9">
        <v>84961</v>
      </c>
      <c r="F71" s="9">
        <v>237122</v>
      </c>
      <c r="G71" s="57">
        <v>1.7909511422888149</v>
      </c>
      <c r="H71" s="19"/>
      <c r="I71" s="19"/>
      <c r="J71" s="5" t="s">
        <v>3498</v>
      </c>
    </row>
    <row r="72" spans="1:10" ht="26.25" x14ac:dyDescent="0.25">
      <c r="A72" s="1" t="s">
        <v>6</v>
      </c>
      <c r="B72" s="2" t="s">
        <v>430</v>
      </c>
      <c r="C72" s="5"/>
      <c r="D72" s="5" t="s">
        <v>450</v>
      </c>
      <c r="E72" s="3">
        <v>159188</v>
      </c>
      <c r="F72" s="3">
        <v>237117</v>
      </c>
      <c r="G72" s="57">
        <v>0.48954066889464032</v>
      </c>
      <c r="H72" s="19"/>
      <c r="I72" s="19"/>
      <c r="J72" s="5" t="s">
        <v>4574</v>
      </c>
    </row>
    <row r="73" spans="1:10" x14ac:dyDescent="0.25">
      <c r="A73" s="1" t="s">
        <v>25</v>
      </c>
      <c r="B73" s="2" t="s">
        <v>70</v>
      </c>
      <c r="C73" s="1" t="s">
        <v>3782</v>
      </c>
      <c r="D73" s="5" t="s">
        <v>450</v>
      </c>
      <c r="E73" s="19">
        <v>241440</v>
      </c>
      <c r="F73" s="19">
        <v>236869</v>
      </c>
      <c r="G73" s="57">
        <v>-1.8932239893969516E-2</v>
      </c>
      <c r="H73" s="19"/>
      <c r="I73" s="19"/>
      <c r="J73" s="5" t="s">
        <v>1912</v>
      </c>
    </row>
    <row r="74" spans="1:10" ht="26.25" x14ac:dyDescent="0.25">
      <c r="A74" s="1" t="s">
        <v>25</v>
      </c>
      <c r="B74" s="2" t="s">
        <v>184</v>
      </c>
      <c r="C74" s="5" t="s">
        <v>1463</v>
      </c>
      <c r="D74" s="5" t="s">
        <v>450</v>
      </c>
      <c r="E74" s="9">
        <v>19355</v>
      </c>
      <c r="F74" s="9">
        <v>236263</v>
      </c>
      <c r="G74" s="57">
        <v>11.20681994316714</v>
      </c>
      <c r="H74" s="19"/>
      <c r="I74" s="19"/>
      <c r="J74" s="5" t="s">
        <v>2233</v>
      </c>
    </row>
    <row r="75" spans="1:10" x14ac:dyDescent="0.25">
      <c r="A75" s="1" t="s">
        <v>6</v>
      </c>
      <c r="B75" s="2" t="s">
        <v>86</v>
      </c>
      <c r="C75" s="1" t="s">
        <v>2030</v>
      </c>
      <c r="D75" s="5" t="s">
        <v>450</v>
      </c>
      <c r="E75" s="3">
        <v>218000</v>
      </c>
      <c r="F75" s="3">
        <v>235000</v>
      </c>
      <c r="G75" s="57">
        <v>7.7981651376146793E-2</v>
      </c>
      <c r="H75" s="19"/>
      <c r="I75" s="19"/>
      <c r="J75" s="5" t="s">
        <v>2031</v>
      </c>
    </row>
    <row r="76" spans="1:10" ht="26.25" x14ac:dyDescent="0.25">
      <c r="A76" s="1" t="s">
        <v>25</v>
      </c>
      <c r="B76" s="2" t="s">
        <v>259</v>
      </c>
      <c r="C76" s="5" t="s">
        <v>1165</v>
      </c>
      <c r="D76" s="5" t="s">
        <v>4372</v>
      </c>
      <c r="E76" s="6">
        <v>198304</v>
      </c>
      <c r="F76" s="3">
        <v>234783</v>
      </c>
      <c r="G76" s="57">
        <v>0.18395493787316444</v>
      </c>
      <c r="H76" s="19"/>
      <c r="I76" s="19"/>
      <c r="J76" s="5" t="s">
        <v>4371</v>
      </c>
    </row>
    <row r="77" spans="1:10" ht="39" x14ac:dyDescent="0.25">
      <c r="A77" s="1" t="s">
        <v>1</v>
      </c>
      <c r="B77" s="12" t="s">
        <v>420</v>
      </c>
      <c r="C77" s="5" t="s">
        <v>3617</v>
      </c>
      <c r="D77" s="5" t="s">
        <v>3622</v>
      </c>
      <c r="E77" s="9">
        <v>92616</v>
      </c>
      <c r="F77" s="9">
        <v>234364</v>
      </c>
      <c r="G77" s="57">
        <v>1.5304914917508854</v>
      </c>
      <c r="H77" s="19"/>
      <c r="I77" s="19"/>
      <c r="J77" s="5" t="s">
        <v>3623</v>
      </c>
    </row>
    <row r="78" spans="1:10" x14ac:dyDescent="0.25">
      <c r="A78" s="1" t="s">
        <v>20</v>
      </c>
      <c r="B78" s="2" t="s">
        <v>69</v>
      </c>
      <c r="C78" s="1" t="s">
        <v>1903</v>
      </c>
      <c r="D78" s="5" t="s">
        <v>450</v>
      </c>
      <c r="E78" s="3">
        <v>230456</v>
      </c>
      <c r="F78" s="3">
        <v>233200</v>
      </c>
      <c r="G78" s="57">
        <v>1.1906828201478807E-2</v>
      </c>
      <c r="H78" s="19"/>
      <c r="I78" s="19"/>
      <c r="J78" s="5" t="s">
        <v>1904</v>
      </c>
    </row>
    <row r="79" spans="1:10" ht="39" x14ac:dyDescent="0.25">
      <c r="A79" s="1" t="s">
        <v>20</v>
      </c>
      <c r="B79" s="2" t="s">
        <v>30</v>
      </c>
      <c r="C79" s="1" t="s">
        <v>1731</v>
      </c>
      <c r="D79" s="5" t="s">
        <v>450</v>
      </c>
      <c r="E79" s="3">
        <v>227968</v>
      </c>
      <c r="F79" s="3">
        <v>232820</v>
      </c>
      <c r="G79" s="57">
        <v>2.1283688938798426E-2</v>
      </c>
      <c r="H79" s="19"/>
      <c r="I79" s="19"/>
      <c r="J79" s="7" t="s">
        <v>4117</v>
      </c>
    </row>
    <row r="80" spans="1:10" x14ac:dyDescent="0.25">
      <c r="A80" s="1" t="s">
        <v>25</v>
      </c>
      <c r="B80" s="2" t="s">
        <v>53</v>
      </c>
      <c r="C80" s="1" t="s">
        <v>1833</v>
      </c>
      <c r="D80" s="5" t="s">
        <v>450</v>
      </c>
      <c r="E80" s="3">
        <v>233870</v>
      </c>
      <c r="F80" s="3">
        <v>232646</v>
      </c>
      <c r="G80" s="57">
        <v>-5.2336768290075679E-3</v>
      </c>
      <c r="H80" s="19"/>
      <c r="I80" s="19"/>
      <c r="J80" s="5" t="s">
        <v>1834</v>
      </c>
    </row>
    <row r="81" spans="1:10" ht="26.25" x14ac:dyDescent="0.25">
      <c r="A81" s="1" t="s">
        <v>25</v>
      </c>
      <c r="B81" s="2" t="s">
        <v>424</v>
      </c>
      <c r="C81" s="5" t="s">
        <v>542</v>
      </c>
      <c r="D81" s="5" t="s">
        <v>450</v>
      </c>
      <c r="E81" s="3">
        <v>234500</v>
      </c>
      <c r="F81" s="3">
        <v>232604</v>
      </c>
      <c r="G81" s="57">
        <v>-8.0852878464818759E-3</v>
      </c>
      <c r="H81" s="19"/>
      <c r="I81" s="19"/>
      <c r="J81" s="5" t="s">
        <v>2328</v>
      </c>
    </row>
    <row r="82" spans="1:10" ht="39" x14ac:dyDescent="0.25">
      <c r="A82" s="1" t="s">
        <v>6</v>
      </c>
      <c r="B82" s="2" t="s">
        <v>237</v>
      </c>
      <c r="C82" s="5" t="s">
        <v>1224</v>
      </c>
      <c r="D82" s="14" t="s">
        <v>1225</v>
      </c>
      <c r="E82" s="10">
        <v>232326</v>
      </c>
      <c r="F82" s="10">
        <v>232410</v>
      </c>
      <c r="G82" s="57">
        <v>3.6156091010046231E-4</v>
      </c>
      <c r="H82" s="19"/>
      <c r="I82" s="19"/>
      <c r="J82" s="5" t="s">
        <v>3186</v>
      </c>
    </row>
    <row r="83" spans="1:10" ht="77.25" x14ac:dyDescent="0.25">
      <c r="A83" s="1" t="s">
        <v>25</v>
      </c>
      <c r="B83" s="2" t="s">
        <v>150</v>
      </c>
      <c r="C83" s="1" t="s">
        <v>1633</v>
      </c>
      <c r="D83" s="5" t="s">
        <v>450</v>
      </c>
      <c r="E83" s="3">
        <v>248441.54</v>
      </c>
      <c r="F83" s="3">
        <v>231603.89</v>
      </c>
      <c r="G83" s="57">
        <v>-6.7773086578033589E-2</v>
      </c>
      <c r="H83" s="19"/>
      <c r="I83" s="19"/>
      <c r="J83" s="5" t="s">
        <v>4635</v>
      </c>
    </row>
    <row r="84" spans="1:10" ht="26.25" x14ac:dyDescent="0.25">
      <c r="A84" s="1" t="s">
        <v>25</v>
      </c>
      <c r="B84" s="2" t="s">
        <v>225</v>
      </c>
      <c r="C84" s="5" t="s">
        <v>1255</v>
      </c>
      <c r="D84" s="5" t="s">
        <v>450</v>
      </c>
      <c r="E84" s="3">
        <v>229902</v>
      </c>
      <c r="F84" s="3">
        <v>230864</v>
      </c>
      <c r="G84" s="57">
        <v>4.1843916103383181E-3</v>
      </c>
      <c r="H84" s="19"/>
      <c r="I84" s="19"/>
      <c r="J84" s="5" t="s">
        <v>3239</v>
      </c>
    </row>
    <row r="85" spans="1:10" ht="26.25" x14ac:dyDescent="0.25">
      <c r="A85" s="1" t="s">
        <v>25</v>
      </c>
      <c r="B85" s="2" t="s">
        <v>187</v>
      </c>
      <c r="C85" s="5" t="s">
        <v>1456</v>
      </c>
      <c r="D85" s="5" t="s">
        <v>450</v>
      </c>
      <c r="E85" s="9">
        <v>219504</v>
      </c>
      <c r="F85" s="9">
        <v>230822</v>
      </c>
      <c r="G85" s="57">
        <v>5.1561702748013701E-2</v>
      </c>
      <c r="H85" s="19"/>
      <c r="I85" s="19"/>
      <c r="J85" s="5" t="s">
        <v>3506</v>
      </c>
    </row>
    <row r="86" spans="1:10" ht="26.25" x14ac:dyDescent="0.25">
      <c r="A86" s="1" t="s">
        <v>25</v>
      </c>
      <c r="B86" s="2" t="s">
        <v>53</v>
      </c>
      <c r="C86" s="1"/>
      <c r="D86" s="5" t="s">
        <v>4170</v>
      </c>
      <c r="E86" s="3">
        <v>161303</v>
      </c>
      <c r="F86" s="3">
        <v>230342</v>
      </c>
      <c r="G86" s="57">
        <v>0.42800815855873731</v>
      </c>
      <c r="H86" s="19"/>
      <c r="I86" s="19"/>
      <c r="J86" s="5" t="s">
        <v>4171</v>
      </c>
    </row>
    <row r="87" spans="1:10" x14ac:dyDescent="0.25">
      <c r="A87" s="13" t="s">
        <v>111</v>
      </c>
      <c r="B87" s="2" t="s">
        <v>247</v>
      </c>
      <c r="C87" s="5"/>
      <c r="D87" s="5" t="s">
        <v>949</v>
      </c>
      <c r="E87" s="3">
        <v>100479</v>
      </c>
      <c r="F87" s="3">
        <v>230101</v>
      </c>
      <c r="G87" s="57">
        <v>1.2900407050229401</v>
      </c>
      <c r="H87" s="19"/>
      <c r="I87" s="19"/>
      <c r="J87" s="5" t="s">
        <v>3153</v>
      </c>
    </row>
    <row r="88" spans="1:10" ht="26.25" x14ac:dyDescent="0.25">
      <c r="A88" s="1" t="s">
        <v>8</v>
      </c>
      <c r="B88" s="2" t="s">
        <v>223</v>
      </c>
      <c r="C88" s="5" t="s">
        <v>1265</v>
      </c>
      <c r="D88" s="5" t="s">
        <v>450</v>
      </c>
      <c r="E88" s="3">
        <v>231000</v>
      </c>
      <c r="F88" s="3">
        <v>230000</v>
      </c>
      <c r="G88" s="57">
        <v>-4.329004329004329E-3</v>
      </c>
      <c r="H88" s="19"/>
      <c r="I88" s="19"/>
      <c r="J88" s="5" t="s">
        <v>3248</v>
      </c>
    </row>
    <row r="89" spans="1:10" ht="26.25" x14ac:dyDescent="0.25">
      <c r="A89" s="1" t="s">
        <v>111</v>
      </c>
      <c r="B89" s="2" t="s">
        <v>376</v>
      </c>
      <c r="C89" s="5" t="s">
        <v>741</v>
      </c>
      <c r="D89" s="5" t="s">
        <v>450</v>
      </c>
      <c r="E89" s="3">
        <v>238967</v>
      </c>
      <c r="F89" s="3">
        <v>229547</v>
      </c>
      <c r="G89" s="57">
        <v>-3.9419668824565733E-2</v>
      </c>
      <c r="H89" s="19"/>
      <c r="I89" s="19"/>
      <c r="J89" s="5" t="s">
        <v>2537</v>
      </c>
    </row>
    <row r="90" spans="1:10" ht="26.25" x14ac:dyDescent="0.25">
      <c r="A90" s="1" t="s">
        <v>20</v>
      </c>
      <c r="B90" s="2" t="s">
        <v>79</v>
      </c>
      <c r="C90" s="1" t="s">
        <v>1980</v>
      </c>
      <c r="D90" s="5" t="s">
        <v>450</v>
      </c>
      <c r="E90" s="3">
        <v>98814</v>
      </c>
      <c r="F90" s="3">
        <v>228770</v>
      </c>
      <c r="G90" s="57">
        <v>1.3151577711660292</v>
      </c>
      <c r="H90" s="19"/>
      <c r="I90" s="19"/>
      <c r="J90" s="5" t="s">
        <v>3812</v>
      </c>
    </row>
    <row r="91" spans="1:10" ht="26.25" x14ac:dyDescent="0.25">
      <c r="A91" s="1" t="s">
        <v>6</v>
      </c>
      <c r="B91" s="2" t="s">
        <v>430</v>
      </c>
      <c r="C91" s="5"/>
      <c r="D91" s="5" t="s">
        <v>509</v>
      </c>
      <c r="E91" s="3">
        <v>126966</v>
      </c>
      <c r="F91" s="3">
        <v>228746</v>
      </c>
      <c r="G91" s="57">
        <v>0.80163193295842983</v>
      </c>
      <c r="H91" s="19"/>
      <c r="I91" s="19"/>
      <c r="J91" s="5" t="s">
        <v>2298</v>
      </c>
    </row>
    <row r="92" spans="1:10" x14ac:dyDescent="0.25">
      <c r="A92" s="1" t="s">
        <v>39</v>
      </c>
      <c r="B92" s="2" t="s">
        <v>38</v>
      </c>
      <c r="C92" s="1" t="s">
        <v>1764</v>
      </c>
      <c r="D92" s="5" t="s">
        <v>450</v>
      </c>
      <c r="E92" s="3">
        <v>233097</v>
      </c>
      <c r="F92" s="3">
        <v>228490</v>
      </c>
      <c r="G92" s="57">
        <v>-1.9764304130898296E-2</v>
      </c>
      <c r="H92" s="19"/>
      <c r="I92" s="19"/>
      <c r="J92" s="5" t="s">
        <v>1765</v>
      </c>
    </row>
    <row r="93" spans="1:10" ht="51.75" x14ac:dyDescent="0.25">
      <c r="A93" s="1" t="s">
        <v>25</v>
      </c>
      <c r="B93" s="2" t="s">
        <v>26</v>
      </c>
      <c r="C93" s="1"/>
      <c r="D93" s="5" t="s">
        <v>1702</v>
      </c>
      <c r="E93" s="6">
        <v>173365</v>
      </c>
      <c r="F93" s="3">
        <v>228206</v>
      </c>
      <c r="G93" s="57">
        <v>0.31633259308395584</v>
      </c>
      <c r="H93" s="19"/>
      <c r="I93" s="19"/>
      <c r="J93" s="5" t="s">
        <v>4095</v>
      </c>
    </row>
    <row r="94" spans="1:10" ht="51.75" x14ac:dyDescent="0.25">
      <c r="A94" s="1" t="s">
        <v>25</v>
      </c>
      <c r="B94" s="2" t="s">
        <v>406</v>
      </c>
      <c r="C94" s="5" t="s">
        <v>617</v>
      </c>
      <c r="D94" s="5" t="s">
        <v>618</v>
      </c>
      <c r="E94" s="9">
        <v>356891</v>
      </c>
      <c r="F94" s="3">
        <v>227420</v>
      </c>
      <c r="G94" s="57">
        <v>-0.36277462866813676</v>
      </c>
      <c r="H94" s="19"/>
      <c r="I94" s="19"/>
      <c r="J94" s="5" t="s">
        <v>4521</v>
      </c>
    </row>
    <row r="95" spans="1:10" ht="26.25" x14ac:dyDescent="0.25">
      <c r="A95" s="1" t="s">
        <v>28</v>
      </c>
      <c r="B95" s="2" t="s">
        <v>50</v>
      </c>
      <c r="C95" s="1" t="s">
        <v>1819</v>
      </c>
      <c r="D95" s="5" t="s">
        <v>450</v>
      </c>
      <c r="E95" s="3">
        <v>223760</v>
      </c>
      <c r="F95" s="3">
        <v>227234</v>
      </c>
      <c r="G95" s="57">
        <v>1.5525563103324992E-2</v>
      </c>
      <c r="H95" s="19"/>
      <c r="I95" s="19"/>
      <c r="J95" s="5" t="s">
        <v>1820</v>
      </c>
    </row>
    <row r="96" spans="1:10" ht="26.25" x14ac:dyDescent="0.25">
      <c r="A96" s="1" t="s">
        <v>39</v>
      </c>
      <c r="B96" s="2" t="s">
        <v>404</v>
      </c>
      <c r="C96" s="5" t="s">
        <v>645</v>
      </c>
      <c r="D96" s="5" t="s">
        <v>450</v>
      </c>
      <c r="E96" s="3">
        <v>213893</v>
      </c>
      <c r="F96" s="3">
        <v>226582</v>
      </c>
      <c r="G96" s="57">
        <v>5.9324054550639806E-2</v>
      </c>
      <c r="H96" s="19"/>
      <c r="I96" s="19"/>
      <c r="J96" s="5" t="s">
        <v>4710</v>
      </c>
    </row>
    <row r="97" spans="1:10" ht="51.75" x14ac:dyDescent="0.25">
      <c r="A97" s="1" t="s">
        <v>39</v>
      </c>
      <c r="B97" s="2" t="s">
        <v>370</v>
      </c>
      <c r="C97" s="5" t="s">
        <v>760</v>
      </c>
      <c r="D97" s="5" t="s">
        <v>450</v>
      </c>
      <c r="E97" s="3">
        <v>58725</v>
      </c>
      <c r="F97" s="3">
        <v>226575</v>
      </c>
      <c r="G97" s="57">
        <v>2.8582375478927204</v>
      </c>
      <c r="H97" s="19"/>
      <c r="I97" s="19"/>
      <c r="J97" s="5" t="s">
        <v>4469</v>
      </c>
    </row>
    <row r="98" spans="1:10" ht="39" x14ac:dyDescent="0.25">
      <c r="A98" s="1" t="s">
        <v>39</v>
      </c>
      <c r="B98" s="2" t="s">
        <v>433</v>
      </c>
      <c r="C98" s="5"/>
      <c r="D98" s="5" t="s">
        <v>481</v>
      </c>
      <c r="E98" s="3">
        <v>135493</v>
      </c>
      <c r="F98" s="3">
        <v>226521</v>
      </c>
      <c r="G98" s="57">
        <v>0.6718280649184829</v>
      </c>
      <c r="H98" s="19"/>
      <c r="I98" s="19"/>
      <c r="J98" s="5" t="s">
        <v>2278</v>
      </c>
    </row>
    <row r="99" spans="1:10" x14ac:dyDescent="0.25">
      <c r="A99" s="1" t="s">
        <v>6</v>
      </c>
      <c r="B99" s="2" t="s">
        <v>85</v>
      </c>
      <c r="C99" s="1" t="s">
        <v>2012</v>
      </c>
      <c r="D99" s="5" t="s">
        <v>450</v>
      </c>
      <c r="E99" s="6">
        <v>229291</v>
      </c>
      <c r="F99" s="3">
        <v>226318</v>
      </c>
      <c r="G99" s="57">
        <v>-1.2966056234217654E-2</v>
      </c>
      <c r="H99" s="19"/>
      <c r="I99" s="19"/>
      <c r="J99" s="5" t="s">
        <v>2013</v>
      </c>
    </row>
    <row r="100" spans="1:10" ht="39" x14ac:dyDescent="0.25">
      <c r="A100" s="1" t="s">
        <v>34</v>
      </c>
      <c r="B100" s="12" t="s">
        <v>427</v>
      </c>
      <c r="C100" s="5" t="s">
        <v>523</v>
      </c>
      <c r="D100" s="5" t="s">
        <v>450</v>
      </c>
      <c r="E100" s="3">
        <v>30021</v>
      </c>
      <c r="F100" s="3">
        <v>225830</v>
      </c>
      <c r="G100" s="57">
        <v>6.5224009859764829</v>
      </c>
      <c r="H100" s="19"/>
      <c r="I100" s="19"/>
      <c r="J100" s="5" t="s">
        <v>4567</v>
      </c>
    </row>
    <row r="101" spans="1:10" ht="26.25" x14ac:dyDescent="0.25">
      <c r="A101" s="1" t="s">
        <v>39</v>
      </c>
      <c r="B101" s="2" t="s">
        <v>364</v>
      </c>
      <c r="C101" s="5" t="s">
        <v>781</v>
      </c>
      <c r="D101" s="5" t="s">
        <v>450</v>
      </c>
      <c r="E101" s="9" t="s">
        <v>465</v>
      </c>
      <c r="F101" s="9">
        <v>224884</v>
      </c>
      <c r="G101" s="57" t="s">
        <v>465</v>
      </c>
      <c r="H101" s="19"/>
      <c r="I101" s="19"/>
      <c r="J101" s="5" t="s">
        <v>2604</v>
      </c>
    </row>
    <row r="102" spans="1:10" x14ac:dyDescent="0.25">
      <c r="A102" s="1" t="s">
        <v>25</v>
      </c>
      <c r="B102" s="2" t="s">
        <v>175</v>
      </c>
      <c r="C102" s="5" t="s">
        <v>1509</v>
      </c>
      <c r="D102" s="5" t="s">
        <v>450</v>
      </c>
      <c r="E102" s="9">
        <v>225150</v>
      </c>
      <c r="F102" s="9">
        <v>224816.65</v>
      </c>
      <c r="G102" s="57">
        <v>-1.4805685098823265E-3</v>
      </c>
      <c r="H102" s="19"/>
      <c r="I102" s="19"/>
      <c r="J102" s="5" t="s">
        <v>3575</v>
      </c>
    </row>
    <row r="103" spans="1:10" ht="26.25" x14ac:dyDescent="0.25">
      <c r="A103" s="1" t="s">
        <v>6</v>
      </c>
      <c r="B103" s="2" t="s">
        <v>216</v>
      </c>
      <c r="C103" s="5" t="s">
        <v>1308</v>
      </c>
      <c r="D103" s="5" t="s">
        <v>450</v>
      </c>
      <c r="E103" s="3">
        <v>224772</v>
      </c>
      <c r="F103" s="3">
        <v>224769</v>
      </c>
      <c r="G103" s="57">
        <v>-1.3346858149591586E-5</v>
      </c>
      <c r="H103" s="19"/>
      <c r="I103" s="19"/>
      <c r="J103" s="5" t="s">
        <v>3297</v>
      </c>
    </row>
    <row r="104" spans="1:10" x14ac:dyDescent="0.25">
      <c r="A104" s="1" t="s">
        <v>34</v>
      </c>
      <c r="B104" s="2" t="s">
        <v>276</v>
      </c>
      <c r="C104" s="5" t="s">
        <v>3001</v>
      </c>
      <c r="D104" s="5" t="s">
        <v>450</v>
      </c>
      <c r="E104" s="9" t="s">
        <v>465</v>
      </c>
      <c r="F104" s="3">
        <v>224711</v>
      </c>
      <c r="G104" s="57" t="s">
        <v>465</v>
      </c>
      <c r="H104" s="19"/>
      <c r="I104" s="19"/>
      <c r="J104" s="5" t="s">
        <v>3013</v>
      </c>
    </row>
    <row r="105" spans="1:10" ht="26.25" x14ac:dyDescent="0.25">
      <c r="A105" s="1" t="s">
        <v>25</v>
      </c>
      <c r="B105" s="2" t="s">
        <v>214</v>
      </c>
      <c r="C105" s="5" t="s">
        <v>1320</v>
      </c>
      <c r="D105" s="15" t="s">
        <v>450</v>
      </c>
      <c r="E105" s="9">
        <v>222000</v>
      </c>
      <c r="F105" s="9">
        <v>224000</v>
      </c>
      <c r="G105" s="57">
        <v>9.0090090090090089E-3</v>
      </c>
      <c r="H105" s="19"/>
      <c r="I105" s="19"/>
      <c r="J105" s="5" t="s">
        <v>3315</v>
      </c>
    </row>
    <row r="106" spans="1:10" ht="26.25" x14ac:dyDescent="0.25">
      <c r="A106" s="1" t="s">
        <v>25</v>
      </c>
      <c r="B106" s="2" t="s">
        <v>208</v>
      </c>
      <c r="C106" s="5" t="s">
        <v>1373</v>
      </c>
      <c r="D106" s="5" t="s">
        <v>450</v>
      </c>
      <c r="E106" s="9">
        <v>222868</v>
      </c>
      <c r="F106" s="9">
        <v>223834.75</v>
      </c>
      <c r="G106" s="57">
        <v>4.3377694420015439E-3</v>
      </c>
      <c r="H106" s="19"/>
      <c r="I106" s="19"/>
      <c r="J106" s="5" t="s">
        <v>3377</v>
      </c>
    </row>
    <row r="107" spans="1:10" ht="26.25" x14ac:dyDescent="0.25">
      <c r="A107" s="1" t="s">
        <v>25</v>
      </c>
      <c r="B107" s="2" t="s">
        <v>304</v>
      </c>
      <c r="C107" s="5" t="s">
        <v>966</v>
      </c>
      <c r="D107" s="5" t="s">
        <v>450</v>
      </c>
      <c r="E107" s="3">
        <v>223478</v>
      </c>
      <c r="F107" s="3">
        <v>223478</v>
      </c>
      <c r="G107" s="57">
        <v>0</v>
      </c>
      <c r="H107" s="19"/>
      <c r="I107" s="19"/>
      <c r="J107" s="5" t="s">
        <v>2840</v>
      </c>
    </row>
    <row r="108" spans="1:10" ht="39" x14ac:dyDescent="0.25">
      <c r="A108" s="1" t="s">
        <v>6</v>
      </c>
      <c r="B108" s="12" t="s">
        <v>231</v>
      </c>
      <c r="C108" s="5" t="s">
        <v>1245</v>
      </c>
      <c r="D108" s="5" t="s">
        <v>529</v>
      </c>
      <c r="E108" s="9">
        <v>245026</v>
      </c>
      <c r="F108" s="9">
        <v>223207</v>
      </c>
      <c r="G108" s="57">
        <v>-8.9047692897896547E-2</v>
      </c>
      <c r="H108" s="19"/>
      <c r="I108" s="19"/>
      <c r="J108" s="5" t="s">
        <v>3219</v>
      </c>
    </row>
    <row r="109" spans="1:10" ht="51.75" x14ac:dyDescent="0.25">
      <c r="A109" s="1" t="s">
        <v>28</v>
      </c>
      <c r="B109" s="2" t="s">
        <v>213</v>
      </c>
      <c r="C109" s="5" t="s">
        <v>1325</v>
      </c>
      <c r="D109" s="5" t="s">
        <v>450</v>
      </c>
      <c r="E109" s="9">
        <v>112777</v>
      </c>
      <c r="F109" s="9">
        <v>222760</v>
      </c>
      <c r="G109" s="57">
        <v>0.9752254449045461</v>
      </c>
      <c r="H109" s="19"/>
      <c r="I109" s="19"/>
      <c r="J109" s="5" t="s">
        <v>4660</v>
      </c>
    </row>
    <row r="110" spans="1:10" x14ac:dyDescent="0.25">
      <c r="A110" s="1" t="s">
        <v>34</v>
      </c>
      <c r="B110" s="2" t="s">
        <v>57</v>
      </c>
      <c r="C110" s="1" t="s">
        <v>1856</v>
      </c>
      <c r="D110" s="5" t="s">
        <v>450</v>
      </c>
      <c r="E110" s="3">
        <v>220457</v>
      </c>
      <c r="F110" s="3">
        <v>222133</v>
      </c>
      <c r="G110" s="57">
        <v>7.6023895816417714E-3</v>
      </c>
      <c r="H110" s="19"/>
      <c r="I110" s="19"/>
      <c r="J110" s="5" t="s">
        <v>1857</v>
      </c>
    </row>
    <row r="111" spans="1:10" ht="39" x14ac:dyDescent="0.25">
      <c r="A111" s="1" t="s">
        <v>34</v>
      </c>
      <c r="B111" s="2" t="s">
        <v>338</v>
      </c>
      <c r="C111" s="5"/>
      <c r="D111" s="5" t="s">
        <v>589</v>
      </c>
      <c r="E111" s="3">
        <v>139699.54</v>
      </c>
      <c r="F111" s="3">
        <v>221364.7</v>
      </c>
      <c r="G111" s="57">
        <v>0.58457715751963102</v>
      </c>
      <c r="H111" s="19"/>
      <c r="I111" s="19"/>
      <c r="J111" s="5" t="s">
        <v>4450</v>
      </c>
    </row>
    <row r="112" spans="1:10" ht="26.25" x14ac:dyDescent="0.25">
      <c r="A112" s="1" t="s">
        <v>39</v>
      </c>
      <c r="B112" s="2" t="s">
        <v>193</v>
      </c>
      <c r="C112" s="5" t="s">
        <v>1441</v>
      </c>
      <c r="D112" s="5" t="s">
        <v>450</v>
      </c>
      <c r="E112" s="9">
        <v>219734</v>
      </c>
      <c r="F112" s="9">
        <v>221203</v>
      </c>
      <c r="G112" s="57">
        <v>6.6853559303521534E-3</v>
      </c>
      <c r="H112" s="19"/>
      <c r="I112" s="19"/>
      <c r="J112" s="5" t="s">
        <v>3482</v>
      </c>
    </row>
    <row r="113" spans="1:10" ht="26.25" x14ac:dyDescent="0.25">
      <c r="A113" s="1" t="s">
        <v>25</v>
      </c>
      <c r="B113" s="2" t="s">
        <v>311</v>
      </c>
      <c r="C113" s="5" t="s">
        <v>936</v>
      </c>
      <c r="D113" s="5" t="s">
        <v>450</v>
      </c>
      <c r="E113" s="3">
        <v>215657</v>
      </c>
      <c r="F113" s="3">
        <v>220859</v>
      </c>
      <c r="G113" s="57">
        <v>2.4121637600448862E-2</v>
      </c>
      <c r="H113" s="19"/>
      <c r="I113" s="19"/>
      <c r="J113" s="5" t="s">
        <v>2809</v>
      </c>
    </row>
    <row r="114" spans="1:10" ht="39" x14ac:dyDescent="0.25">
      <c r="A114" s="1" t="s">
        <v>25</v>
      </c>
      <c r="B114" s="2" t="s">
        <v>197</v>
      </c>
      <c r="C114" s="5"/>
      <c r="D114" s="5" t="s">
        <v>1011</v>
      </c>
      <c r="E114" s="9">
        <v>164192</v>
      </c>
      <c r="F114" s="9">
        <v>220608</v>
      </c>
      <c r="G114" s="57">
        <v>0.3435977392321185</v>
      </c>
      <c r="H114" s="19"/>
      <c r="I114" s="19"/>
      <c r="J114" s="5" t="s">
        <v>3446</v>
      </c>
    </row>
    <row r="115" spans="1:10" ht="26.25" x14ac:dyDescent="0.25">
      <c r="A115" s="1" t="s">
        <v>28</v>
      </c>
      <c r="B115" s="2" t="s">
        <v>403</v>
      </c>
      <c r="C115" s="5" t="s">
        <v>653</v>
      </c>
      <c r="D115" s="5" t="s">
        <v>450</v>
      </c>
      <c r="E115" s="3">
        <v>222172</v>
      </c>
      <c r="F115" s="3">
        <v>220451</v>
      </c>
      <c r="G115" s="57">
        <v>-7.7462506526474982E-3</v>
      </c>
      <c r="H115" s="19"/>
      <c r="I115" s="19"/>
      <c r="J115" s="5" t="s">
        <v>2425</v>
      </c>
    </row>
    <row r="116" spans="1:10" ht="26.25" x14ac:dyDescent="0.25">
      <c r="A116" s="1" t="s">
        <v>4</v>
      </c>
      <c r="B116" s="2" t="s">
        <v>56</v>
      </c>
      <c r="C116" s="1" t="s">
        <v>1849</v>
      </c>
      <c r="D116" s="5" t="s">
        <v>450</v>
      </c>
      <c r="E116" s="3">
        <v>107900</v>
      </c>
      <c r="F116" s="3">
        <v>220100</v>
      </c>
      <c r="G116" s="57">
        <v>1.0398517145505097</v>
      </c>
      <c r="H116" s="19"/>
      <c r="I116" s="19"/>
      <c r="J116" s="5" t="s">
        <v>4429</v>
      </c>
    </row>
    <row r="117" spans="1:10" ht="51.75" x14ac:dyDescent="0.25">
      <c r="A117" s="1" t="s">
        <v>8</v>
      </c>
      <c r="B117" s="2" t="s">
        <v>322</v>
      </c>
      <c r="C117" s="5"/>
      <c r="D117" s="5" t="s">
        <v>855</v>
      </c>
      <c r="E117" s="3">
        <v>89005</v>
      </c>
      <c r="F117" s="3">
        <v>219598</v>
      </c>
      <c r="G117" s="57">
        <v>1.4672546486152462</v>
      </c>
      <c r="H117" s="19"/>
      <c r="I117" s="19"/>
      <c r="J117" s="5" t="s">
        <v>4417</v>
      </c>
    </row>
    <row r="118" spans="1:10" ht="26.25" x14ac:dyDescent="0.25">
      <c r="A118" s="1" t="s">
        <v>20</v>
      </c>
      <c r="B118" s="2" t="s">
        <v>374</v>
      </c>
      <c r="C118" s="5" t="s">
        <v>748</v>
      </c>
      <c r="D118" s="5" t="s">
        <v>749</v>
      </c>
      <c r="E118" s="3">
        <v>154766</v>
      </c>
      <c r="F118" s="3">
        <v>219114</v>
      </c>
      <c r="G118" s="57">
        <v>0.41577607484848095</v>
      </c>
      <c r="H118" s="19"/>
      <c r="I118" s="19"/>
      <c r="J118" s="5" t="s">
        <v>2542</v>
      </c>
    </row>
    <row r="119" spans="1:10" ht="26.25" x14ac:dyDescent="0.25">
      <c r="A119" s="1" t="s">
        <v>4</v>
      </c>
      <c r="B119" s="2" t="s">
        <v>56</v>
      </c>
      <c r="C119" s="1"/>
      <c r="D119" s="5" t="s">
        <v>1853</v>
      </c>
      <c r="E119" s="3">
        <v>126400</v>
      </c>
      <c r="F119" s="3">
        <v>219100</v>
      </c>
      <c r="G119" s="57">
        <v>0.73338607594936711</v>
      </c>
      <c r="H119" s="19"/>
      <c r="I119" s="19"/>
      <c r="J119" s="5" t="s">
        <v>1854</v>
      </c>
    </row>
    <row r="120" spans="1:10" ht="26.25" x14ac:dyDescent="0.25">
      <c r="A120" s="1" t="s">
        <v>28</v>
      </c>
      <c r="B120" s="2" t="s">
        <v>332</v>
      </c>
      <c r="C120" s="5" t="s">
        <v>885</v>
      </c>
      <c r="D120" s="5" t="s">
        <v>450</v>
      </c>
      <c r="E120" s="3">
        <v>217814</v>
      </c>
      <c r="F120" s="3">
        <v>217814</v>
      </c>
      <c r="G120" s="57">
        <v>0</v>
      </c>
      <c r="H120" s="19"/>
      <c r="I120" s="19"/>
      <c r="J120" s="5" t="s">
        <v>2750</v>
      </c>
    </row>
    <row r="121" spans="1:10" ht="26.25" x14ac:dyDescent="0.25">
      <c r="A121" s="1" t="s">
        <v>4</v>
      </c>
      <c r="B121" s="2" t="s">
        <v>292</v>
      </c>
      <c r="C121" s="5" t="s">
        <v>1015</v>
      </c>
      <c r="D121" s="5" t="s">
        <v>450</v>
      </c>
      <c r="E121" s="3">
        <v>225665</v>
      </c>
      <c r="F121" s="3">
        <v>217640</v>
      </c>
      <c r="G121" s="57">
        <v>-3.5561562493076022E-2</v>
      </c>
      <c r="H121" s="19"/>
      <c r="I121" s="19"/>
      <c r="J121" s="5" t="s">
        <v>2909</v>
      </c>
    </row>
    <row r="122" spans="1:10" ht="26.25" x14ac:dyDescent="0.25">
      <c r="A122" s="1" t="s">
        <v>1</v>
      </c>
      <c r="B122" s="12" t="s">
        <v>248</v>
      </c>
      <c r="C122" s="7" t="s">
        <v>3143</v>
      </c>
      <c r="D122" s="7" t="s">
        <v>452</v>
      </c>
      <c r="E122" s="6">
        <v>116411</v>
      </c>
      <c r="F122" s="6">
        <v>217469</v>
      </c>
      <c r="G122" s="57">
        <v>0.8681138380393606</v>
      </c>
      <c r="H122" s="21"/>
      <c r="I122" s="21"/>
      <c r="J122" s="7" t="s">
        <v>3145</v>
      </c>
    </row>
    <row r="123" spans="1:10" ht="26.25" x14ac:dyDescent="0.25">
      <c r="A123" s="1" t="s">
        <v>1</v>
      </c>
      <c r="B123" s="2" t="s">
        <v>168</v>
      </c>
      <c r="C123" s="5" t="s">
        <v>1556</v>
      </c>
      <c r="D123" s="5" t="s">
        <v>450</v>
      </c>
      <c r="E123" s="3">
        <v>217435</v>
      </c>
      <c r="F123" s="3">
        <v>217419</v>
      </c>
      <c r="G123" s="57">
        <v>-7.3585209372916039E-5</v>
      </c>
      <c r="H123" s="19"/>
      <c r="I123" s="19"/>
      <c r="J123" s="5" t="s">
        <v>4056</v>
      </c>
    </row>
    <row r="124" spans="1:10" ht="26.25" x14ac:dyDescent="0.25">
      <c r="A124" s="1" t="s">
        <v>25</v>
      </c>
      <c r="B124" s="2" t="s">
        <v>93</v>
      </c>
      <c r="C124" s="1" t="s">
        <v>2226</v>
      </c>
      <c r="D124" s="5" t="s">
        <v>2227</v>
      </c>
      <c r="E124" s="3">
        <v>215000</v>
      </c>
      <c r="F124" s="3">
        <v>217000</v>
      </c>
      <c r="G124" s="57">
        <v>9.3023255813953487E-3</v>
      </c>
      <c r="H124" s="19"/>
      <c r="I124" s="19"/>
      <c r="J124" s="5" t="s">
        <v>3838</v>
      </c>
    </row>
    <row r="125" spans="1:10" x14ac:dyDescent="0.25">
      <c r="A125" s="1" t="s">
        <v>39</v>
      </c>
      <c r="B125" s="2" t="s">
        <v>435</v>
      </c>
      <c r="C125" s="5" t="s">
        <v>474</v>
      </c>
      <c r="D125" s="5" t="s">
        <v>450</v>
      </c>
      <c r="E125" s="3">
        <v>216931</v>
      </c>
      <c r="F125" s="3">
        <v>216999</v>
      </c>
      <c r="G125" s="57">
        <v>3.1346372809787446E-4</v>
      </c>
      <c r="H125" s="19"/>
      <c r="I125" s="19"/>
      <c r="J125" s="5" t="s">
        <v>2269</v>
      </c>
    </row>
    <row r="126" spans="1:10" ht="26.25" x14ac:dyDescent="0.25">
      <c r="A126" s="1" t="s">
        <v>39</v>
      </c>
      <c r="B126" s="2" t="s">
        <v>103</v>
      </c>
      <c r="C126" s="1" t="s">
        <v>2204</v>
      </c>
      <c r="D126" s="5" t="s">
        <v>450</v>
      </c>
      <c r="E126" s="3">
        <v>221949</v>
      </c>
      <c r="F126" s="3">
        <v>216854</v>
      </c>
      <c r="G126" s="57">
        <v>-2.2955724062735133E-2</v>
      </c>
      <c r="H126" s="19"/>
      <c r="I126" s="19"/>
      <c r="J126" s="5" t="s">
        <v>4244</v>
      </c>
    </row>
    <row r="127" spans="1:10" ht="26.25" x14ac:dyDescent="0.25">
      <c r="A127" s="1" t="s">
        <v>8</v>
      </c>
      <c r="B127" s="2" t="s">
        <v>285</v>
      </c>
      <c r="C127" s="5" t="s">
        <v>1047</v>
      </c>
      <c r="D127" s="5" t="s">
        <v>450</v>
      </c>
      <c r="E127" s="3">
        <v>214643</v>
      </c>
      <c r="F127" s="3">
        <v>216493</v>
      </c>
      <c r="G127" s="57">
        <v>8.6189626496088849E-3</v>
      </c>
      <c r="H127" s="19"/>
      <c r="I127" s="19"/>
      <c r="J127" s="5" t="s">
        <v>2959</v>
      </c>
    </row>
    <row r="128" spans="1:10" ht="26.25" x14ac:dyDescent="0.25">
      <c r="A128" s="1" t="s">
        <v>6</v>
      </c>
      <c r="B128" s="2" t="s">
        <v>288</v>
      </c>
      <c r="C128" s="5" t="s">
        <v>1036</v>
      </c>
      <c r="D128" s="5" t="s">
        <v>1037</v>
      </c>
      <c r="E128" s="3">
        <v>213000</v>
      </c>
      <c r="F128" s="3">
        <v>216000</v>
      </c>
      <c r="G128" s="57">
        <v>1.4084507042253521E-2</v>
      </c>
      <c r="H128" s="19"/>
      <c r="I128" s="19"/>
      <c r="J128" s="5" t="s">
        <v>2948</v>
      </c>
    </row>
    <row r="129" spans="1:10" ht="26.25" x14ac:dyDescent="0.25">
      <c r="A129" s="1" t="s">
        <v>4</v>
      </c>
      <c r="B129" s="2" t="s">
        <v>307</v>
      </c>
      <c r="C129" s="5"/>
      <c r="D129" s="5" t="s">
        <v>463</v>
      </c>
      <c r="E129" s="3">
        <v>112000</v>
      </c>
      <c r="F129" s="3">
        <v>216000</v>
      </c>
      <c r="G129" s="57">
        <v>0.9285714285714286</v>
      </c>
      <c r="H129" s="19"/>
      <c r="I129" s="19"/>
      <c r="J129" s="5" t="s">
        <v>2825</v>
      </c>
    </row>
    <row r="130" spans="1:10" ht="26.25" x14ac:dyDescent="0.25">
      <c r="A130" s="1" t="s">
        <v>25</v>
      </c>
      <c r="B130" s="2" t="s">
        <v>398</v>
      </c>
      <c r="C130" s="5" t="s">
        <v>664</v>
      </c>
      <c r="D130" s="5" t="s">
        <v>450</v>
      </c>
      <c r="E130" s="3">
        <v>204261</v>
      </c>
      <c r="F130" s="3">
        <v>215583</v>
      </c>
      <c r="G130" s="57">
        <v>5.5429083378618529E-2</v>
      </c>
      <c r="H130" s="19"/>
      <c r="I130" s="19"/>
      <c r="J130" s="5" t="s">
        <v>2448</v>
      </c>
    </row>
    <row r="131" spans="1:10" ht="26.25" x14ac:dyDescent="0.25">
      <c r="A131" s="1" t="s">
        <v>25</v>
      </c>
      <c r="B131" s="2" t="s">
        <v>26</v>
      </c>
      <c r="C131" s="1"/>
      <c r="D131" s="5" t="s">
        <v>1703</v>
      </c>
      <c r="E131" s="6" t="s">
        <v>465</v>
      </c>
      <c r="F131" s="3">
        <v>215349</v>
      </c>
      <c r="G131" s="57" t="s">
        <v>465</v>
      </c>
      <c r="H131" s="19"/>
      <c r="I131" s="19"/>
      <c r="J131" s="5" t="s">
        <v>3665</v>
      </c>
    </row>
    <row r="132" spans="1:10" ht="39" x14ac:dyDescent="0.25">
      <c r="A132" s="1" t="s">
        <v>4</v>
      </c>
      <c r="B132" s="2" t="s">
        <v>182</v>
      </c>
      <c r="C132" s="5"/>
      <c r="D132" s="5" t="s">
        <v>1474</v>
      </c>
      <c r="E132" s="9">
        <v>148113</v>
      </c>
      <c r="F132" s="9">
        <v>215051</v>
      </c>
      <c r="G132" s="57">
        <v>0.45193872246190409</v>
      </c>
      <c r="H132" s="19"/>
      <c r="I132" s="19"/>
      <c r="J132" s="5" t="s">
        <v>3538</v>
      </c>
    </row>
    <row r="133" spans="1:10" ht="39" x14ac:dyDescent="0.25">
      <c r="A133" s="1" t="s">
        <v>6</v>
      </c>
      <c r="B133" s="2" t="s">
        <v>288</v>
      </c>
      <c r="C133" s="5"/>
      <c r="D133" s="5" t="s">
        <v>1038</v>
      </c>
      <c r="E133" s="3">
        <v>160000</v>
      </c>
      <c r="F133" s="3">
        <v>215000</v>
      </c>
      <c r="G133" s="57">
        <v>0.34375</v>
      </c>
      <c r="H133" s="19"/>
      <c r="I133" s="19"/>
      <c r="J133" s="5" t="s">
        <v>2949</v>
      </c>
    </row>
    <row r="134" spans="1:10" ht="77.25" x14ac:dyDescent="0.25">
      <c r="A134" s="1" t="s">
        <v>4</v>
      </c>
      <c r="B134" s="2" t="s">
        <v>144</v>
      </c>
      <c r="C134" s="1" t="s">
        <v>1641</v>
      </c>
      <c r="D134" s="5" t="s">
        <v>450</v>
      </c>
      <c r="E134" s="3">
        <v>233239</v>
      </c>
      <c r="F134" s="3">
        <v>213716</v>
      </c>
      <c r="G134" s="57">
        <v>-8.3703840266850738E-2</v>
      </c>
      <c r="H134" s="19"/>
      <c r="I134" s="19"/>
      <c r="J134" s="5" t="s">
        <v>4310</v>
      </c>
    </row>
    <row r="135" spans="1:10" ht="26.25" x14ac:dyDescent="0.25">
      <c r="A135" s="13" t="s">
        <v>111</v>
      </c>
      <c r="B135" s="2" t="s">
        <v>247</v>
      </c>
      <c r="C135" s="5"/>
      <c r="D135" s="5" t="s">
        <v>1198</v>
      </c>
      <c r="E135" s="3">
        <v>134863</v>
      </c>
      <c r="F135" s="3">
        <v>212672</v>
      </c>
      <c r="G135" s="57">
        <v>0.57694845880634427</v>
      </c>
      <c r="H135" s="19"/>
      <c r="I135" s="19"/>
      <c r="J135" s="5" t="s">
        <v>3148</v>
      </c>
    </row>
    <row r="136" spans="1:10" ht="26.25" x14ac:dyDescent="0.25">
      <c r="A136" s="1" t="s">
        <v>39</v>
      </c>
      <c r="B136" s="2" t="s">
        <v>335</v>
      </c>
      <c r="C136" s="7" t="s">
        <v>880</v>
      </c>
      <c r="D136" s="7" t="s">
        <v>450</v>
      </c>
      <c r="E136" s="6">
        <v>104625</v>
      </c>
      <c r="F136" s="6">
        <v>212520</v>
      </c>
      <c r="G136" s="57">
        <v>1.0312544802867383</v>
      </c>
      <c r="H136" s="21"/>
      <c r="I136" s="21"/>
      <c r="J136" s="7" t="s">
        <v>4596</v>
      </c>
    </row>
    <row r="137" spans="1:10" x14ac:dyDescent="0.25">
      <c r="A137" s="1" t="s">
        <v>4</v>
      </c>
      <c r="B137" s="2" t="s">
        <v>210</v>
      </c>
      <c r="C137" s="5"/>
      <c r="D137" s="5" t="s">
        <v>464</v>
      </c>
      <c r="E137" s="3" t="s">
        <v>465</v>
      </c>
      <c r="F137" s="3">
        <v>212500</v>
      </c>
      <c r="G137" s="57" t="s">
        <v>465</v>
      </c>
      <c r="H137" s="19"/>
      <c r="I137" s="19"/>
      <c r="J137" s="5"/>
    </row>
    <row r="138" spans="1:10" ht="39" x14ac:dyDescent="0.25">
      <c r="A138" s="1" t="s">
        <v>1</v>
      </c>
      <c r="B138" s="13" t="s">
        <v>0</v>
      </c>
      <c r="C138" s="13" t="s">
        <v>3635</v>
      </c>
      <c r="D138" s="7" t="s">
        <v>4074</v>
      </c>
      <c r="E138" s="6">
        <v>82515</v>
      </c>
      <c r="F138" s="6">
        <v>212425</v>
      </c>
      <c r="G138" s="57">
        <v>1.5743804156819972</v>
      </c>
      <c r="H138" s="21"/>
      <c r="I138" s="21"/>
      <c r="J138" s="7" t="s">
        <v>4075</v>
      </c>
    </row>
    <row r="139" spans="1:10" ht="39" x14ac:dyDescent="0.25">
      <c r="A139" s="1" t="s">
        <v>25</v>
      </c>
      <c r="B139" s="2" t="s">
        <v>406</v>
      </c>
      <c r="C139" s="5" t="s">
        <v>619</v>
      </c>
      <c r="D139" s="5" t="s">
        <v>562</v>
      </c>
      <c r="E139" s="9">
        <v>213788</v>
      </c>
      <c r="F139" s="3">
        <v>212420</v>
      </c>
      <c r="G139" s="57">
        <v>-6.3988624244578742E-3</v>
      </c>
      <c r="H139" s="19"/>
      <c r="I139" s="19"/>
      <c r="J139" s="5" t="s">
        <v>2402</v>
      </c>
    </row>
    <row r="140" spans="1:10" ht="26.25" x14ac:dyDescent="0.25">
      <c r="A140" s="1" t="s">
        <v>25</v>
      </c>
      <c r="B140" s="2" t="s">
        <v>259</v>
      </c>
      <c r="C140" s="5" t="s">
        <v>1166</v>
      </c>
      <c r="D140" s="5" t="s">
        <v>1167</v>
      </c>
      <c r="E140" s="3">
        <v>134593</v>
      </c>
      <c r="F140" s="3">
        <v>212329</v>
      </c>
      <c r="G140" s="57">
        <v>0.57756346912543743</v>
      </c>
      <c r="H140" s="19"/>
      <c r="I140" s="19"/>
      <c r="J140" s="5" t="s">
        <v>3086</v>
      </c>
    </row>
    <row r="141" spans="1:10" x14ac:dyDescent="0.25">
      <c r="A141" s="1" t="s">
        <v>25</v>
      </c>
      <c r="B141" s="2" t="s">
        <v>243</v>
      </c>
      <c r="C141" s="5" t="s">
        <v>1201</v>
      </c>
      <c r="D141" s="5" t="s">
        <v>450</v>
      </c>
      <c r="E141" s="3">
        <v>207689</v>
      </c>
      <c r="F141" s="3">
        <v>212325</v>
      </c>
      <c r="G141" s="57">
        <v>2.2321836977403715E-2</v>
      </c>
      <c r="H141" s="19"/>
      <c r="I141" s="19"/>
      <c r="J141" s="5" t="s">
        <v>3156</v>
      </c>
    </row>
    <row r="142" spans="1:10" ht="26.25" x14ac:dyDescent="0.25">
      <c r="A142" s="13" t="s">
        <v>34</v>
      </c>
      <c r="B142" s="12" t="s">
        <v>33</v>
      </c>
      <c r="C142" s="13" t="s">
        <v>1736</v>
      </c>
      <c r="D142" s="7" t="s">
        <v>450</v>
      </c>
      <c r="E142" s="6">
        <v>211859</v>
      </c>
      <c r="F142" s="6">
        <v>212186</v>
      </c>
      <c r="G142" s="57">
        <v>1.5434793895940224E-3</v>
      </c>
      <c r="H142" s="21"/>
      <c r="I142" s="21"/>
      <c r="J142" s="7" t="s">
        <v>4133</v>
      </c>
    </row>
    <row r="143" spans="1:10" ht="39" x14ac:dyDescent="0.25">
      <c r="A143" s="1" t="s">
        <v>20</v>
      </c>
      <c r="B143" s="2" t="s">
        <v>341</v>
      </c>
      <c r="C143" s="5"/>
      <c r="D143" s="5" t="s">
        <v>450</v>
      </c>
      <c r="E143" s="3">
        <v>157029</v>
      </c>
      <c r="F143" s="3">
        <v>211817</v>
      </c>
      <c r="G143" s="57">
        <v>0.34890370568493717</v>
      </c>
      <c r="H143" s="19"/>
      <c r="I143" s="19"/>
      <c r="J143" s="5" t="s">
        <v>4427</v>
      </c>
    </row>
    <row r="144" spans="1:10" x14ac:dyDescent="0.25">
      <c r="A144" s="1" t="s">
        <v>34</v>
      </c>
      <c r="B144" s="2" t="s">
        <v>91</v>
      </c>
      <c r="C144" s="1"/>
      <c r="D144" s="5" t="s">
        <v>3834</v>
      </c>
      <c r="E144" s="3">
        <v>81919</v>
      </c>
      <c r="F144" s="3">
        <v>211809</v>
      </c>
      <c r="G144" s="57">
        <v>1.585590644417046</v>
      </c>
      <c r="H144" s="19"/>
      <c r="I144" s="19"/>
      <c r="J144" s="5" t="s">
        <v>2074</v>
      </c>
    </row>
    <row r="145" spans="1:10" ht="26.25" x14ac:dyDescent="0.25">
      <c r="A145" s="1" t="s">
        <v>34</v>
      </c>
      <c r="B145" s="2" t="s">
        <v>297</v>
      </c>
      <c r="C145" s="5" t="s">
        <v>993</v>
      </c>
      <c r="D145" s="5" t="s">
        <v>450</v>
      </c>
      <c r="E145" s="3">
        <v>204297</v>
      </c>
      <c r="F145" s="3">
        <v>211323</v>
      </c>
      <c r="G145" s="57">
        <v>3.4391107064714606E-2</v>
      </c>
      <c r="H145" s="19"/>
      <c r="I145" s="19"/>
      <c r="J145" s="5" t="s">
        <v>2867</v>
      </c>
    </row>
    <row r="146" spans="1:10" ht="39" x14ac:dyDescent="0.25">
      <c r="A146" s="1" t="s">
        <v>4</v>
      </c>
      <c r="B146" s="2" t="s">
        <v>421</v>
      </c>
      <c r="C146" s="5"/>
      <c r="D146" s="5" t="s">
        <v>573</v>
      </c>
      <c r="E146" s="3">
        <v>101812</v>
      </c>
      <c r="F146" s="3">
        <v>211245</v>
      </c>
      <c r="G146" s="57">
        <v>1.0748536518288609</v>
      </c>
      <c r="H146" s="19"/>
      <c r="I146" s="19"/>
      <c r="J146" s="5" t="s">
        <v>2351</v>
      </c>
    </row>
    <row r="147" spans="1:10" ht="39" x14ac:dyDescent="0.25">
      <c r="A147" s="1" t="s">
        <v>25</v>
      </c>
      <c r="B147" s="2" t="s">
        <v>405</v>
      </c>
      <c r="C147" s="5" t="s">
        <v>640</v>
      </c>
      <c r="D147" s="5" t="s">
        <v>4517</v>
      </c>
      <c r="E147" s="6">
        <v>181889</v>
      </c>
      <c r="F147" s="3">
        <v>210834</v>
      </c>
      <c r="G147" s="57">
        <v>0.15913551671623902</v>
      </c>
      <c r="H147" s="19"/>
      <c r="I147" s="19"/>
      <c r="J147" s="5" t="s">
        <v>4516</v>
      </c>
    </row>
    <row r="148" spans="1:10" ht="39" x14ac:dyDescent="0.25">
      <c r="A148" s="1" t="s">
        <v>25</v>
      </c>
      <c r="B148" s="2" t="s">
        <v>406</v>
      </c>
      <c r="C148" s="5" t="s">
        <v>620</v>
      </c>
      <c r="D148" s="5" t="s">
        <v>621</v>
      </c>
      <c r="E148" s="9">
        <v>193751</v>
      </c>
      <c r="F148" s="3">
        <v>210753</v>
      </c>
      <c r="G148" s="57">
        <v>8.7751805151973408E-2</v>
      </c>
      <c r="H148" s="19"/>
      <c r="I148" s="19"/>
      <c r="J148" s="5" t="s">
        <v>4522</v>
      </c>
    </row>
    <row r="149" spans="1:10" ht="26.25" x14ac:dyDescent="0.25">
      <c r="A149" s="1" t="s">
        <v>6</v>
      </c>
      <c r="B149" s="2" t="s">
        <v>324</v>
      </c>
      <c r="C149" s="5" t="s">
        <v>913</v>
      </c>
      <c r="D149" s="5" t="s">
        <v>450</v>
      </c>
      <c r="E149" s="3">
        <v>208977</v>
      </c>
      <c r="F149" s="3">
        <v>210392</v>
      </c>
      <c r="G149" s="57">
        <v>6.7710800710125991E-3</v>
      </c>
      <c r="H149" s="19"/>
      <c r="I149" s="19"/>
      <c r="J149" s="5" t="s">
        <v>2779</v>
      </c>
    </row>
    <row r="150" spans="1:10" ht="39" x14ac:dyDescent="0.25">
      <c r="A150" s="1" t="s">
        <v>25</v>
      </c>
      <c r="B150" s="2" t="s">
        <v>406</v>
      </c>
      <c r="C150" s="5" t="s">
        <v>622</v>
      </c>
      <c r="D150" s="5" t="s">
        <v>623</v>
      </c>
      <c r="E150" s="9">
        <v>252180</v>
      </c>
      <c r="F150" s="3">
        <v>209707</v>
      </c>
      <c r="G150" s="57">
        <v>-0.16842334840193512</v>
      </c>
      <c r="H150" s="19"/>
      <c r="I150" s="19"/>
      <c r="J150" s="5" t="s">
        <v>2403</v>
      </c>
    </row>
    <row r="151" spans="1:10" ht="51.75" x14ac:dyDescent="0.25">
      <c r="A151" s="1" t="s">
        <v>28</v>
      </c>
      <c r="B151" s="2" t="s">
        <v>120</v>
      </c>
      <c r="C151" s="1"/>
      <c r="D151" s="5" t="s">
        <v>3917</v>
      </c>
      <c r="E151" s="3">
        <v>139375</v>
      </c>
      <c r="F151" s="3">
        <v>209424</v>
      </c>
      <c r="G151" s="57">
        <v>0.50259372197309415</v>
      </c>
      <c r="H151" s="19"/>
      <c r="I151" s="19"/>
      <c r="J151" s="5" t="s">
        <v>4281</v>
      </c>
    </row>
    <row r="152" spans="1:10" ht="26.25" x14ac:dyDescent="0.25">
      <c r="A152" s="1" t="s">
        <v>25</v>
      </c>
      <c r="B152" s="2" t="s">
        <v>192</v>
      </c>
      <c r="C152" s="5" t="s">
        <v>1442</v>
      </c>
      <c r="D152" s="5" t="s">
        <v>450</v>
      </c>
      <c r="E152" s="9">
        <v>200215</v>
      </c>
      <c r="F152" s="9">
        <v>208326</v>
      </c>
      <c r="G152" s="57">
        <v>4.0511450191044629E-2</v>
      </c>
      <c r="H152" s="19"/>
      <c r="I152" s="19"/>
      <c r="J152" s="5" t="s">
        <v>3490</v>
      </c>
    </row>
    <row r="153" spans="1:10" ht="26.25" x14ac:dyDescent="0.25">
      <c r="A153" s="1" t="s">
        <v>8</v>
      </c>
      <c r="B153" s="2" t="s">
        <v>222</v>
      </c>
      <c r="C153" s="5" t="s">
        <v>1276</v>
      </c>
      <c r="D153" s="5" t="s">
        <v>450</v>
      </c>
      <c r="E153" s="3">
        <v>208127</v>
      </c>
      <c r="F153" s="3">
        <v>208322</v>
      </c>
      <c r="G153" s="57">
        <v>9.3692793342526443E-4</v>
      </c>
      <c r="H153" s="19"/>
      <c r="I153" s="19"/>
      <c r="J153" s="5" t="s">
        <v>4666</v>
      </c>
    </row>
    <row r="154" spans="1:10" ht="26.25" x14ac:dyDescent="0.25">
      <c r="A154" s="1" t="s">
        <v>4</v>
      </c>
      <c r="B154" s="2" t="s">
        <v>423</v>
      </c>
      <c r="C154" s="5" t="s">
        <v>551</v>
      </c>
      <c r="D154" s="5" t="s">
        <v>450</v>
      </c>
      <c r="E154" s="6">
        <v>183342</v>
      </c>
      <c r="F154" s="3">
        <v>207693</v>
      </c>
      <c r="G154" s="57">
        <v>0.13281735772490755</v>
      </c>
      <c r="H154" s="19"/>
      <c r="I154" s="19"/>
      <c r="J154" s="5" t="s">
        <v>2334</v>
      </c>
    </row>
    <row r="155" spans="1:10" x14ac:dyDescent="0.25">
      <c r="A155" s="1" t="s">
        <v>25</v>
      </c>
      <c r="B155" s="2" t="s">
        <v>178</v>
      </c>
      <c r="C155" s="5"/>
      <c r="D155" s="5" t="s">
        <v>464</v>
      </c>
      <c r="E155" s="3" t="s">
        <v>465</v>
      </c>
      <c r="F155" s="3">
        <v>207500</v>
      </c>
      <c r="G155" s="57" t="s">
        <v>465</v>
      </c>
      <c r="H155" s="19"/>
      <c r="I155" s="19"/>
      <c r="J155" s="5"/>
    </row>
    <row r="156" spans="1:10" x14ac:dyDescent="0.25">
      <c r="A156" s="1" t="s">
        <v>4</v>
      </c>
      <c r="B156" s="2" t="s">
        <v>210</v>
      </c>
      <c r="C156" s="5"/>
      <c r="D156" s="5" t="s">
        <v>464</v>
      </c>
      <c r="E156" s="3" t="s">
        <v>465</v>
      </c>
      <c r="F156" s="3">
        <v>207500</v>
      </c>
      <c r="G156" s="57" t="s">
        <v>465</v>
      </c>
      <c r="H156" s="19"/>
      <c r="I156" s="19"/>
      <c r="J156" s="5"/>
    </row>
    <row r="157" spans="1:10" x14ac:dyDescent="0.25">
      <c r="A157" s="1" t="s">
        <v>6</v>
      </c>
      <c r="B157" s="12" t="s">
        <v>231</v>
      </c>
      <c r="C157" s="5"/>
      <c r="D157" s="5" t="s">
        <v>464</v>
      </c>
      <c r="E157" s="3" t="s">
        <v>465</v>
      </c>
      <c r="F157" s="3">
        <v>207500</v>
      </c>
      <c r="G157" s="57" t="s">
        <v>465</v>
      </c>
      <c r="H157" s="19"/>
      <c r="I157" s="19"/>
      <c r="J157" s="5"/>
    </row>
    <row r="158" spans="1:10" x14ac:dyDescent="0.25">
      <c r="A158" s="1" t="s">
        <v>39</v>
      </c>
      <c r="B158" s="2" t="s">
        <v>409</v>
      </c>
      <c r="C158" s="5"/>
      <c r="D158" s="5" t="s">
        <v>587</v>
      </c>
      <c r="E158" s="3" t="s">
        <v>465</v>
      </c>
      <c r="F158" s="3">
        <v>207500</v>
      </c>
      <c r="G158" s="57" t="s">
        <v>465</v>
      </c>
      <c r="H158" s="19"/>
      <c r="I158" s="19"/>
      <c r="J158" s="5" t="s">
        <v>540</v>
      </c>
    </row>
    <row r="159" spans="1:10" ht="26.25" x14ac:dyDescent="0.25">
      <c r="A159" s="1" t="s">
        <v>111</v>
      </c>
      <c r="B159" s="2" t="s">
        <v>282</v>
      </c>
      <c r="C159" s="5" t="s">
        <v>1062</v>
      </c>
      <c r="D159" s="5" t="s">
        <v>1063</v>
      </c>
      <c r="E159" s="9">
        <v>152092</v>
      </c>
      <c r="F159" s="3">
        <v>207341</v>
      </c>
      <c r="G159" s="57">
        <v>0.36326039502406438</v>
      </c>
      <c r="H159" s="19"/>
      <c r="I159" s="19"/>
      <c r="J159" s="5" t="s">
        <v>2980</v>
      </c>
    </row>
    <row r="160" spans="1:10" ht="26.25" x14ac:dyDescent="0.25">
      <c r="A160" s="13" t="s">
        <v>25</v>
      </c>
      <c r="B160" s="12" t="s">
        <v>37</v>
      </c>
      <c r="C160" s="13" t="s">
        <v>1756</v>
      </c>
      <c r="D160" s="7" t="s">
        <v>3697</v>
      </c>
      <c r="E160" s="36">
        <v>210998</v>
      </c>
      <c r="F160" s="36">
        <v>207265</v>
      </c>
      <c r="G160" s="57">
        <v>-1.769211082569503E-2</v>
      </c>
      <c r="H160" s="21"/>
      <c r="I160" s="21"/>
      <c r="J160" s="7" t="s">
        <v>3698</v>
      </c>
    </row>
    <row r="161" spans="1:10" ht="26.25" x14ac:dyDescent="0.25">
      <c r="A161" s="1" t="s">
        <v>8</v>
      </c>
      <c r="B161" s="2" t="s">
        <v>229</v>
      </c>
      <c r="C161" s="5" t="s">
        <v>1248</v>
      </c>
      <c r="D161" s="5" t="s">
        <v>450</v>
      </c>
      <c r="E161" s="3">
        <v>206059</v>
      </c>
      <c r="F161" s="3">
        <v>207113</v>
      </c>
      <c r="G161" s="57">
        <v>5.1150398672224944E-3</v>
      </c>
      <c r="H161" s="19"/>
      <c r="I161" s="19"/>
      <c r="J161" s="5" t="s">
        <v>3225</v>
      </c>
    </row>
    <row r="162" spans="1:10" ht="26.25" x14ac:dyDescent="0.25">
      <c r="A162" s="13" t="s">
        <v>25</v>
      </c>
      <c r="B162" s="12" t="s">
        <v>37</v>
      </c>
      <c r="C162" s="13" t="s">
        <v>1757</v>
      </c>
      <c r="D162" s="7" t="s">
        <v>1758</v>
      </c>
      <c r="E162" s="36">
        <v>210818</v>
      </c>
      <c r="F162" s="36">
        <v>206963</v>
      </c>
      <c r="G162" s="57">
        <v>-1.8285914864954605E-2</v>
      </c>
      <c r="H162" s="21"/>
      <c r="I162" s="21"/>
      <c r="J162" s="7" t="s">
        <v>3699</v>
      </c>
    </row>
    <row r="163" spans="1:10" ht="26.25" x14ac:dyDescent="0.25">
      <c r="A163" s="1" t="s">
        <v>25</v>
      </c>
      <c r="B163" s="2" t="s">
        <v>26</v>
      </c>
      <c r="C163" s="1" t="s">
        <v>1699</v>
      </c>
      <c r="D163" s="5" t="s">
        <v>456</v>
      </c>
      <c r="E163" s="3">
        <v>171021</v>
      </c>
      <c r="F163" s="3">
        <v>206549</v>
      </c>
      <c r="G163" s="57">
        <v>0.20774056987153625</v>
      </c>
      <c r="H163" s="19"/>
      <c r="I163" s="19"/>
      <c r="J163" s="5" t="s">
        <v>4098</v>
      </c>
    </row>
    <row r="164" spans="1:10" ht="26.25" x14ac:dyDescent="0.25">
      <c r="A164" s="1" t="s">
        <v>25</v>
      </c>
      <c r="B164" s="2" t="s">
        <v>181</v>
      </c>
      <c r="C164" s="5" t="s">
        <v>1477</v>
      </c>
      <c r="D164" s="5" t="s">
        <v>1478</v>
      </c>
      <c r="E164" s="9">
        <v>203806</v>
      </c>
      <c r="F164" s="9">
        <v>206133</v>
      </c>
      <c r="G164" s="57">
        <v>1.1417720773676927E-2</v>
      </c>
      <c r="H164" s="19"/>
      <c r="I164" s="19"/>
      <c r="J164" s="5" t="s">
        <v>3541</v>
      </c>
    </row>
    <row r="165" spans="1:10" ht="26.25" x14ac:dyDescent="0.25">
      <c r="A165" s="1" t="s">
        <v>25</v>
      </c>
      <c r="B165" s="2" t="s">
        <v>26</v>
      </c>
      <c r="C165" s="13" t="s">
        <v>3663</v>
      </c>
      <c r="D165" s="7" t="s">
        <v>3664</v>
      </c>
      <c r="E165" s="8" t="s">
        <v>465</v>
      </c>
      <c r="F165" s="6">
        <v>206000</v>
      </c>
      <c r="G165" s="57" t="s">
        <v>465</v>
      </c>
      <c r="H165" s="21"/>
      <c r="I165" s="21"/>
      <c r="J165" s="7" t="s">
        <v>4092</v>
      </c>
    </row>
    <row r="166" spans="1:10" ht="26.25" x14ac:dyDescent="0.25">
      <c r="A166" s="1" t="s">
        <v>20</v>
      </c>
      <c r="B166" s="2" t="s">
        <v>296</v>
      </c>
      <c r="C166" s="5" t="s">
        <v>998</v>
      </c>
      <c r="D166" s="5" t="s">
        <v>450</v>
      </c>
      <c r="E166" s="3">
        <v>200084</v>
      </c>
      <c r="F166" s="3">
        <v>205126</v>
      </c>
      <c r="G166" s="57">
        <v>2.5199416245177027E-2</v>
      </c>
      <c r="H166" s="19"/>
      <c r="I166" s="19"/>
      <c r="J166" s="5" t="s">
        <v>2873</v>
      </c>
    </row>
    <row r="167" spans="1:10" ht="39" x14ac:dyDescent="0.25">
      <c r="A167" s="1" t="s">
        <v>6</v>
      </c>
      <c r="B167" s="2" t="s">
        <v>218</v>
      </c>
      <c r="C167" s="5" t="s">
        <v>1294</v>
      </c>
      <c r="D167" s="5" t="s">
        <v>450</v>
      </c>
      <c r="E167" s="9">
        <v>266675</v>
      </c>
      <c r="F167" s="9">
        <v>205048</v>
      </c>
      <c r="G167" s="57">
        <v>-0.23109402831161527</v>
      </c>
      <c r="H167" s="19"/>
      <c r="I167" s="19"/>
      <c r="J167" s="5" t="s">
        <v>3286</v>
      </c>
    </row>
    <row r="168" spans="1:10" ht="51.75" x14ac:dyDescent="0.25">
      <c r="A168" s="1" t="s">
        <v>6</v>
      </c>
      <c r="B168" s="2" t="s">
        <v>399</v>
      </c>
      <c r="C168" s="5" t="s">
        <v>2439</v>
      </c>
      <c r="D168" s="5" t="s">
        <v>450</v>
      </c>
      <c r="E168" s="3">
        <v>57000</v>
      </c>
      <c r="F168" s="3">
        <v>205000</v>
      </c>
      <c r="G168" s="57">
        <v>2.5964912280701755</v>
      </c>
      <c r="H168" s="19"/>
      <c r="I168" s="19"/>
      <c r="J168" s="5" t="s">
        <v>4707</v>
      </c>
    </row>
    <row r="169" spans="1:10" ht="64.5" x14ac:dyDescent="0.25">
      <c r="A169" s="1" t="s">
        <v>28</v>
      </c>
      <c r="B169" s="2" t="s">
        <v>403</v>
      </c>
      <c r="C169" s="5"/>
      <c r="D169" s="5" t="s">
        <v>657</v>
      </c>
      <c r="E169" s="3">
        <v>120987</v>
      </c>
      <c r="F169" s="3">
        <v>204244</v>
      </c>
      <c r="G169" s="57">
        <v>0.68814831345516458</v>
      </c>
      <c r="H169" s="19"/>
      <c r="I169" s="19"/>
      <c r="J169" s="5" t="s">
        <v>4709</v>
      </c>
    </row>
    <row r="170" spans="1:10" ht="26.25" x14ac:dyDescent="0.25">
      <c r="A170" s="1" t="s">
        <v>39</v>
      </c>
      <c r="B170" s="2" t="s">
        <v>409</v>
      </c>
      <c r="C170" s="5" t="s">
        <v>600</v>
      </c>
      <c r="D170" s="5" t="s">
        <v>450</v>
      </c>
      <c r="E170" s="3">
        <v>204242</v>
      </c>
      <c r="F170" s="3">
        <v>204100</v>
      </c>
      <c r="G170" s="57">
        <v>-6.9525366966637612E-4</v>
      </c>
      <c r="H170" s="19"/>
      <c r="I170" s="19"/>
      <c r="J170" s="5" t="s">
        <v>2379</v>
      </c>
    </row>
    <row r="171" spans="1:10" ht="26.25" x14ac:dyDescent="0.25">
      <c r="A171" s="1" t="s">
        <v>25</v>
      </c>
      <c r="B171" s="2" t="s">
        <v>197</v>
      </c>
      <c r="C171" s="5"/>
      <c r="D171" s="5" t="s">
        <v>1411</v>
      </c>
      <c r="E171" s="9">
        <v>168328</v>
      </c>
      <c r="F171" s="9">
        <v>204050</v>
      </c>
      <c r="G171" s="57">
        <v>0.21221662468513855</v>
      </c>
      <c r="H171" s="19"/>
      <c r="I171" s="19"/>
      <c r="J171" s="5" t="s">
        <v>3450</v>
      </c>
    </row>
    <row r="172" spans="1:10" ht="39" x14ac:dyDescent="0.25">
      <c r="A172" s="1" t="s">
        <v>25</v>
      </c>
      <c r="B172" s="2" t="s">
        <v>178</v>
      </c>
      <c r="C172" s="5" t="s">
        <v>1502</v>
      </c>
      <c r="D172" s="5" t="s">
        <v>450</v>
      </c>
      <c r="E172" s="9">
        <v>202805</v>
      </c>
      <c r="F172" s="9">
        <v>203376</v>
      </c>
      <c r="G172" s="57">
        <v>2.815512438056261E-3</v>
      </c>
      <c r="H172" s="19"/>
      <c r="I172" s="19"/>
      <c r="J172" s="5" t="s">
        <v>3569</v>
      </c>
    </row>
    <row r="173" spans="1:10" ht="39" x14ac:dyDescent="0.25">
      <c r="A173" s="1" t="s">
        <v>25</v>
      </c>
      <c r="B173" s="2" t="s">
        <v>107</v>
      </c>
      <c r="C173" s="1" t="s">
        <v>2188</v>
      </c>
      <c r="D173" s="5" t="s">
        <v>2189</v>
      </c>
      <c r="E173" s="3">
        <v>195453</v>
      </c>
      <c r="F173" s="3">
        <v>202940</v>
      </c>
      <c r="G173" s="57">
        <v>3.8305884279084997E-2</v>
      </c>
      <c r="H173" s="19"/>
      <c r="I173" s="19"/>
      <c r="J173" s="5" t="s">
        <v>3862</v>
      </c>
    </row>
    <row r="174" spans="1:10" ht="51.75" x14ac:dyDescent="0.25">
      <c r="A174" s="1" t="s">
        <v>39</v>
      </c>
      <c r="B174" s="17" t="s">
        <v>4466</v>
      </c>
      <c r="C174" s="5" t="s">
        <v>782</v>
      </c>
      <c r="D174" s="5" t="s">
        <v>783</v>
      </c>
      <c r="E174" s="3">
        <v>205039</v>
      </c>
      <c r="F174" s="3">
        <v>202863</v>
      </c>
      <c r="G174" s="57">
        <v>-1.0612615161018147E-2</v>
      </c>
      <c r="H174" s="19"/>
      <c r="I174" s="19"/>
      <c r="J174" s="5" t="s">
        <v>2592</v>
      </c>
    </row>
    <row r="175" spans="1:10" x14ac:dyDescent="0.25">
      <c r="A175" s="1" t="s">
        <v>111</v>
      </c>
      <c r="B175" s="2" t="s">
        <v>128</v>
      </c>
      <c r="C175" s="1"/>
      <c r="D175" s="5" t="s">
        <v>464</v>
      </c>
      <c r="E175" s="3" t="s">
        <v>465</v>
      </c>
      <c r="F175" s="3">
        <v>202500</v>
      </c>
      <c r="G175" s="57" t="s">
        <v>465</v>
      </c>
      <c r="H175" s="19"/>
      <c r="I175" s="19"/>
      <c r="J175" s="5"/>
    </row>
    <row r="176" spans="1:10" x14ac:dyDescent="0.25">
      <c r="A176" s="1" t="s">
        <v>20</v>
      </c>
      <c r="B176" s="2" t="s">
        <v>35</v>
      </c>
      <c r="C176" s="1" t="s">
        <v>1743</v>
      </c>
      <c r="D176" s="5" t="s">
        <v>450</v>
      </c>
      <c r="E176" s="3">
        <v>175145</v>
      </c>
      <c r="F176" s="3">
        <v>202470</v>
      </c>
      <c r="G176" s="57">
        <v>0.15601358874075766</v>
      </c>
      <c r="H176" s="19"/>
      <c r="I176" s="19"/>
      <c r="J176" s="5" t="s">
        <v>1744</v>
      </c>
    </row>
    <row r="177" spans="1:10" ht="26.25" x14ac:dyDescent="0.25">
      <c r="A177" s="1" t="s">
        <v>6</v>
      </c>
      <c r="B177" s="2" t="s">
        <v>426</v>
      </c>
      <c r="C177" s="5" t="s">
        <v>528</v>
      </c>
      <c r="D177" s="5" t="s">
        <v>531</v>
      </c>
      <c r="E177" s="3">
        <v>157291</v>
      </c>
      <c r="F177" s="6">
        <v>202462</v>
      </c>
      <c r="G177" s="57">
        <v>0.28718108474102144</v>
      </c>
      <c r="H177" s="19"/>
      <c r="I177" s="19"/>
      <c r="J177" s="5" t="s">
        <v>2322</v>
      </c>
    </row>
    <row r="178" spans="1:10" ht="26.25" x14ac:dyDescent="0.25">
      <c r="A178" s="1" t="s">
        <v>20</v>
      </c>
      <c r="B178" s="2" t="s">
        <v>194</v>
      </c>
      <c r="C178" s="5" t="s">
        <v>1425</v>
      </c>
      <c r="D178" s="5" t="s">
        <v>1426</v>
      </c>
      <c r="E178" s="9">
        <v>202191</v>
      </c>
      <c r="F178" s="9">
        <v>202443</v>
      </c>
      <c r="G178" s="57">
        <v>1.2463462765404988E-3</v>
      </c>
      <c r="H178" s="19"/>
      <c r="I178" s="19"/>
      <c r="J178" s="5" t="s">
        <v>3469</v>
      </c>
    </row>
    <row r="179" spans="1:10" x14ac:dyDescent="0.25">
      <c r="A179" s="1" t="s">
        <v>25</v>
      </c>
      <c r="B179" s="2" t="s">
        <v>59</v>
      </c>
      <c r="C179" s="1" t="s">
        <v>1862</v>
      </c>
      <c r="D179" s="5" t="s">
        <v>450</v>
      </c>
      <c r="E179" s="3">
        <v>202760</v>
      </c>
      <c r="F179" s="3">
        <v>202295</v>
      </c>
      <c r="G179" s="57">
        <v>-2.2933517459064905E-3</v>
      </c>
      <c r="H179" s="19"/>
      <c r="I179" s="19"/>
      <c r="J179" s="5" t="s">
        <v>1863</v>
      </c>
    </row>
    <row r="180" spans="1:10" ht="26.25" x14ac:dyDescent="0.25">
      <c r="A180" s="1" t="s">
        <v>28</v>
      </c>
      <c r="B180" s="2" t="s">
        <v>142</v>
      </c>
      <c r="C180" s="1" t="s">
        <v>1646</v>
      </c>
      <c r="D180" s="5" t="s">
        <v>450</v>
      </c>
      <c r="E180" s="3">
        <v>201000</v>
      </c>
      <c r="F180" s="3">
        <v>202000</v>
      </c>
      <c r="G180" s="57">
        <v>4.9751243781094526E-3</v>
      </c>
      <c r="H180" s="19"/>
      <c r="I180" s="19"/>
      <c r="J180" s="5" t="s">
        <v>3979</v>
      </c>
    </row>
    <row r="181" spans="1:10" ht="26.25" x14ac:dyDescent="0.25">
      <c r="A181" s="1" t="s">
        <v>6</v>
      </c>
      <c r="B181" s="2" t="s">
        <v>368</v>
      </c>
      <c r="C181" s="5" t="s">
        <v>772</v>
      </c>
      <c r="D181" s="5" t="s">
        <v>450</v>
      </c>
      <c r="E181" s="3" t="s">
        <v>465</v>
      </c>
      <c r="F181" s="3">
        <v>202000</v>
      </c>
      <c r="G181" s="57" t="s">
        <v>465</v>
      </c>
      <c r="H181" s="19"/>
      <c r="I181" s="19"/>
      <c r="J181" s="5" t="s">
        <v>4468</v>
      </c>
    </row>
    <row r="182" spans="1:10" ht="26.25" x14ac:dyDescent="0.25">
      <c r="A182" s="1" t="s">
        <v>6</v>
      </c>
      <c r="B182" s="2" t="s">
        <v>108</v>
      </c>
      <c r="C182" s="1" t="s">
        <v>2172</v>
      </c>
      <c r="D182" s="5" t="s">
        <v>450</v>
      </c>
      <c r="E182" s="6">
        <v>186705</v>
      </c>
      <c r="F182" s="3">
        <v>201941</v>
      </c>
      <c r="G182" s="57">
        <v>8.1604670469457172E-2</v>
      </c>
      <c r="H182" s="19"/>
      <c r="I182" s="19"/>
      <c r="J182" s="5" t="s">
        <v>3865</v>
      </c>
    </row>
    <row r="183" spans="1:10" ht="26.25" x14ac:dyDescent="0.25">
      <c r="A183" s="1" t="s">
        <v>4</v>
      </c>
      <c r="B183" s="2" t="s">
        <v>182</v>
      </c>
      <c r="C183" s="5" t="s">
        <v>1468</v>
      </c>
      <c r="D183" s="5" t="s">
        <v>1469</v>
      </c>
      <c r="E183" s="9">
        <v>193541</v>
      </c>
      <c r="F183" s="9">
        <v>201759</v>
      </c>
      <c r="G183" s="57">
        <v>4.2461287272464232E-2</v>
      </c>
      <c r="H183" s="19"/>
      <c r="I183" s="19"/>
      <c r="J183" s="5" t="s">
        <v>3530</v>
      </c>
    </row>
    <row r="184" spans="1:10" ht="26.25" x14ac:dyDescent="0.25">
      <c r="A184" s="1" t="s">
        <v>20</v>
      </c>
      <c r="B184" s="2" t="s">
        <v>201</v>
      </c>
      <c r="C184" s="5" t="s">
        <v>1393</v>
      </c>
      <c r="D184" s="5" t="s">
        <v>450</v>
      </c>
      <c r="E184" s="3">
        <v>206684</v>
      </c>
      <c r="F184" s="3">
        <v>201524</v>
      </c>
      <c r="G184" s="57">
        <v>-2.496564804242225E-2</v>
      </c>
      <c r="H184" s="19"/>
      <c r="I184" s="19"/>
      <c r="J184" s="5" t="s">
        <v>3410</v>
      </c>
    </row>
    <row r="185" spans="1:10" x14ac:dyDescent="0.25">
      <c r="A185" s="1" t="s">
        <v>25</v>
      </c>
      <c r="B185" s="2" t="s">
        <v>175</v>
      </c>
      <c r="C185" s="5" t="s">
        <v>1510</v>
      </c>
      <c r="D185" s="5" t="s">
        <v>455</v>
      </c>
      <c r="E185" s="9">
        <v>196969.97</v>
      </c>
      <c r="F185" s="9">
        <v>201450</v>
      </c>
      <c r="G185" s="57">
        <v>2.2744736164604172E-2</v>
      </c>
      <c r="H185" s="19"/>
      <c r="I185" s="19"/>
      <c r="J185" s="5" t="s">
        <v>3576</v>
      </c>
    </row>
    <row r="186" spans="1:10" ht="39" x14ac:dyDescent="0.25">
      <c r="A186" s="1" t="s">
        <v>39</v>
      </c>
      <c r="B186" s="2" t="s">
        <v>433</v>
      </c>
      <c r="C186" s="5"/>
      <c r="D186" s="5" t="s">
        <v>482</v>
      </c>
      <c r="E186" s="3">
        <v>153291</v>
      </c>
      <c r="F186" s="3">
        <v>201377</v>
      </c>
      <c r="G186" s="57">
        <v>0.31369095380681189</v>
      </c>
      <c r="H186" s="19"/>
      <c r="I186" s="19"/>
      <c r="J186" s="5" t="s">
        <v>2279</v>
      </c>
    </row>
    <row r="187" spans="1:10" ht="26.25" x14ac:dyDescent="0.25">
      <c r="A187" s="1" t="s">
        <v>4</v>
      </c>
      <c r="B187" s="2" t="s">
        <v>210</v>
      </c>
      <c r="C187" s="5" t="s">
        <v>1345</v>
      </c>
      <c r="D187" s="5" t="s">
        <v>4656</v>
      </c>
      <c r="E187" s="9">
        <v>204862</v>
      </c>
      <c r="F187" s="9">
        <v>201355</v>
      </c>
      <c r="G187" s="57">
        <v>-1.7118840975876445E-2</v>
      </c>
      <c r="H187" s="19"/>
      <c r="I187" s="19"/>
      <c r="J187" s="5" t="s">
        <v>3362</v>
      </c>
    </row>
    <row r="188" spans="1:10" ht="26.25" x14ac:dyDescent="0.25">
      <c r="A188" s="1" t="s">
        <v>34</v>
      </c>
      <c r="B188" s="2" t="s">
        <v>121</v>
      </c>
      <c r="C188" s="1" t="s">
        <v>2147</v>
      </c>
      <c r="D188" s="5" t="s">
        <v>450</v>
      </c>
      <c r="E188" s="3">
        <v>197000</v>
      </c>
      <c r="F188" s="3">
        <v>201000</v>
      </c>
      <c r="G188" s="57">
        <v>2.030456852791878E-2</v>
      </c>
      <c r="H188" s="19"/>
      <c r="I188" s="19"/>
      <c r="J188" s="5" t="s">
        <v>3924</v>
      </c>
    </row>
    <row r="189" spans="1:10" ht="26.25" x14ac:dyDescent="0.25">
      <c r="A189" s="1" t="s">
        <v>34</v>
      </c>
      <c r="B189" s="2" t="s">
        <v>132</v>
      </c>
      <c r="C189" s="1" t="s">
        <v>2082</v>
      </c>
      <c r="D189" s="5" t="s">
        <v>468</v>
      </c>
      <c r="E189" s="3">
        <v>95875</v>
      </c>
      <c r="F189" s="3">
        <v>200751</v>
      </c>
      <c r="G189" s="57">
        <v>1.0938826597131681</v>
      </c>
      <c r="H189" s="19"/>
      <c r="I189" s="19"/>
      <c r="J189" s="5" t="s">
        <v>3954</v>
      </c>
    </row>
    <row r="190" spans="1:10" ht="39" x14ac:dyDescent="0.25">
      <c r="A190" s="1" t="s">
        <v>34</v>
      </c>
      <c r="B190" s="2" t="s">
        <v>132</v>
      </c>
      <c r="C190" s="1" t="s">
        <v>2083</v>
      </c>
      <c r="D190" s="5" t="s">
        <v>468</v>
      </c>
      <c r="E190" s="3">
        <v>95999</v>
      </c>
      <c r="F190" s="3">
        <v>200751</v>
      </c>
      <c r="G190" s="57">
        <v>1.0911780331045116</v>
      </c>
      <c r="H190" s="19"/>
      <c r="I190" s="19"/>
      <c r="J190" s="5" t="s">
        <v>4301</v>
      </c>
    </row>
    <row r="191" spans="1:10" ht="39" x14ac:dyDescent="0.25">
      <c r="A191" s="1" t="s">
        <v>25</v>
      </c>
      <c r="B191" s="2" t="s">
        <v>406</v>
      </c>
      <c r="C191" s="5" t="s">
        <v>624</v>
      </c>
      <c r="D191" s="5" t="s">
        <v>625</v>
      </c>
      <c r="E191" s="9">
        <v>197589</v>
      </c>
      <c r="F191" s="3">
        <v>200253</v>
      </c>
      <c r="G191" s="57">
        <v>1.3482531922323611E-2</v>
      </c>
      <c r="H191" s="19"/>
      <c r="I191" s="19"/>
      <c r="J191" s="5" t="s">
        <v>2404</v>
      </c>
    </row>
    <row r="192" spans="1:10" ht="39" x14ac:dyDescent="0.25">
      <c r="A192" s="1" t="s">
        <v>25</v>
      </c>
      <c r="B192" s="2" t="s">
        <v>406</v>
      </c>
      <c r="C192" s="5" t="s">
        <v>626</v>
      </c>
      <c r="D192" s="5" t="s">
        <v>627</v>
      </c>
      <c r="E192" s="9">
        <v>197440</v>
      </c>
      <c r="F192" s="3">
        <v>199856</v>
      </c>
      <c r="G192" s="57">
        <v>1.2236628849270665E-2</v>
      </c>
      <c r="H192" s="19"/>
      <c r="I192" s="19"/>
      <c r="J192" s="5" t="s">
        <v>2405</v>
      </c>
    </row>
    <row r="193" spans="1:10" ht="26.25" x14ac:dyDescent="0.25">
      <c r="A193" s="1" t="s">
        <v>1</v>
      </c>
      <c r="B193" s="2" t="s">
        <v>160</v>
      </c>
      <c r="C193" s="5" t="s">
        <v>1586</v>
      </c>
      <c r="D193" s="5" t="s">
        <v>450</v>
      </c>
      <c r="E193" s="3">
        <v>193596</v>
      </c>
      <c r="F193" s="3">
        <v>199349</v>
      </c>
      <c r="G193" s="57">
        <v>2.9716523068658442E-2</v>
      </c>
      <c r="H193" s="19"/>
      <c r="I193" s="19"/>
      <c r="J193" s="5" t="s">
        <v>4036</v>
      </c>
    </row>
    <row r="194" spans="1:10" ht="26.25" x14ac:dyDescent="0.25">
      <c r="A194" s="1" t="s">
        <v>111</v>
      </c>
      <c r="B194" s="2" t="s">
        <v>257</v>
      </c>
      <c r="C194" s="5" t="s">
        <v>1177</v>
      </c>
      <c r="D194" s="5" t="s">
        <v>450</v>
      </c>
      <c r="E194" s="3">
        <v>183082</v>
      </c>
      <c r="F194" s="3">
        <v>199101</v>
      </c>
      <c r="G194" s="57">
        <v>8.7496313127451084E-2</v>
      </c>
      <c r="H194" s="19"/>
      <c r="I194" s="19"/>
      <c r="J194" s="5" t="s">
        <v>3094</v>
      </c>
    </row>
    <row r="195" spans="1:10" ht="26.25" x14ac:dyDescent="0.25">
      <c r="A195" s="1" t="s">
        <v>4</v>
      </c>
      <c r="B195" s="2" t="s">
        <v>144</v>
      </c>
      <c r="C195" s="1" t="s">
        <v>1640</v>
      </c>
      <c r="D195" s="5" t="s">
        <v>450</v>
      </c>
      <c r="E195" s="3" t="s">
        <v>465</v>
      </c>
      <c r="F195" s="3">
        <v>198747</v>
      </c>
      <c r="G195" s="57" t="s">
        <v>465</v>
      </c>
      <c r="H195" s="19"/>
      <c r="I195" s="19"/>
      <c r="J195" s="5" t="s">
        <v>3985</v>
      </c>
    </row>
    <row r="196" spans="1:10" x14ac:dyDescent="0.25">
      <c r="A196" s="1" t="s">
        <v>25</v>
      </c>
      <c r="B196" s="2" t="s">
        <v>358</v>
      </c>
      <c r="C196" s="5" t="s">
        <v>798</v>
      </c>
      <c r="D196" s="5" t="s">
        <v>455</v>
      </c>
      <c r="E196" s="9">
        <v>177475</v>
      </c>
      <c r="F196" s="9">
        <v>198570</v>
      </c>
      <c r="G196" s="57">
        <v>0.11886181152274969</v>
      </c>
      <c r="H196" s="19"/>
      <c r="I196" s="19"/>
      <c r="J196" s="5" t="s">
        <v>2630</v>
      </c>
    </row>
    <row r="197" spans="1:10" ht="26.25" x14ac:dyDescent="0.25">
      <c r="A197" s="1" t="s">
        <v>6</v>
      </c>
      <c r="B197" s="2" t="s">
        <v>407</v>
      </c>
      <c r="C197" s="5" t="s">
        <v>605</v>
      </c>
      <c r="D197" s="5" t="s">
        <v>450</v>
      </c>
      <c r="E197" s="3">
        <v>191000</v>
      </c>
      <c r="F197" s="3">
        <v>198519</v>
      </c>
      <c r="G197" s="57">
        <v>3.9366492146596856E-2</v>
      </c>
      <c r="H197" s="19"/>
      <c r="I197" s="19"/>
      <c r="J197" s="5" t="s">
        <v>2392</v>
      </c>
    </row>
    <row r="198" spans="1:10" ht="26.25" x14ac:dyDescent="0.25">
      <c r="A198" s="1" t="s">
        <v>34</v>
      </c>
      <c r="B198" s="2" t="s">
        <v>382</v>
      </c>
      <c r="C198" s="5" t="s">
        <v>709</v>
      </c>
      <c r="D198" s="5" t="s">
        <v>450</v>
      </c>
      <c r="E198" s="6">
        <v>206331</v>
      </c>
      <c r="F198" s="3">
        <v>198393</v>
      </c>
      <c r="G198" s="57">
        <v>-3.8472163659362867E-2</v>
      </c>
      <c r="H198" s="19"/>
      <c r="I198" s="19"/>
      <c r="J198" s="5" t="s">
        <v>4697</v>
      </c>
    </row>
    <row r="199" spans="1:10" ht="26.25" x14ac:dyDescent="0.25">
      <c r="A199" s="1" t="s">
        <v>25</v>
      </c>
      <c r="B199" s="2" t="s">
        <v>181</v>
      </c>
      <c r="C199" s="5" t="s">
        <v>1482</v>
      </c>
      <c r="D199" s="5" t="s">
        <v>562</v>
      </c>
      <c r="E199" s="9">
        <v>192192</v>
      </c>
      <c r="F199" s="9">
        <v>198367</v>
      </c>
      <c r="G199" s="57">
        <v>3.2129329004329008E-2</v>
      </c>
      <c r="H199" s="19"/>
      <c r="I199" s="19"/>
      <c r="J199" s="5" t="s">
        <v>3544</v>
      </c>
    </row>
    <row r="200" spans="1:10" ht="26.25" x14ac:dyDescent="0.25">
      <c r="A200" s="1" t="s">
        <v>4</v>
      </c>
      <c r="B200" s="2" t="s">
        <v>210</v>
      </c>
      <c r="C200" s="5" t="s">
        <v>1339</v>
      </c>
      <c r="D200" s="5" t="s">
        <v>1340</v>
      </c>
      <c r="E200" s="9"/>
      <c r="F200" s="9">
        <v>198047</v>
      </c>
      <c r="G200" s="57" t="s">
        <v>465</v>
      </c>
      <c r="H200" s="19"/>
      <c r="I200" s="19"/>
      <c r="J200" s="5" t="s">
        <v>3359</v>
      </c>
    </row>
    <row r="201" spans="1:10" x14ac:dyDescent="0.25">
      <c r="A201" s="1" t="s">
        <v>25</v>
      </c>
      <c r="B201" s="2" t="s">
        <v>187</v>
      </c>
      <c r="C201" s="5"/>
      <c r="D201" s="5" t="s">
        <v>464</v>
      </c>
      <c r="E201" s="3" t="s">
        <v>465</v>
      </c>
      <c r="F201" s="3">
        <v>197500</v>
      </c>
      <c r="G201" s="57" t="s">
        <v>465</v>
      </c>
      <c r="H201" s="19"/>
      <c r="I201" s="19"/>
      <c r="J201" s="1"/>
    </row>
    <row r="202" spans="1:10" x14ac:dyDescent="0.25">
      <c r="A202" s="1" t="s">
        <v>6</v>
      </c>
      <c r="B202" s="2" t="s">
        <v>216</v>
      </c>
      <c r="C202" s="5"/>
      <c r="D202" s="5" t="s">
        <v>464</v>
      </c>
      <c r="E202" s="3" t="s">
        <v>465</v>
      </c>
      <c r="F202" s="3">
        <v>197500</v>
      </c>
      <c r="G202" s="57" t="s">
        <v>465</v>
      </c>
      <c r="H202" s="19"/>
      <c r="I202" s="19"/>
      <c r="J202" s="5"/>
    </row>
    <row r="203" spans="1:10" ht="26.25" x14ac:dyDescent="0.25">
      <c r="A203" s="1" t="s">
        <v>34</v>
      </c>
      <c r="B203" s="2" t="s">
        <v>170</v>
      </c>
      <c r="C203" s="5" t="s">
        <v>1553</v>
      </c>
      <c r="D203" s="5" t="s">
        <v>450</v>
      </c>
      <c r="E203" s="3">
        <v>195561</v>
      </c>
      <c r="F203" s="3">
        <v>197317</v>
      </c>
      <c r="G203" s="57">
        <v>8.9792954627967748E-3</v>
      </c>
      <c r="H203" s="19"/>
      <c r="I203" s="19"/>
      <c r="J203" s="5" t="s">
        <v>4070</v>
      </c>
    </row>
    <row r="204" spans="1:10" ht="39" x14ac:dyDescent="0.25">
      <c r="A204" s="1" t="s">
        <v>4</v>
      </c>
      <c r="B204" s="2" t="s">
        <v>191</v>
      </c>
      <c r="C204" s="5"/>
      <c r="D204" s="5" t="s">
        <v>1448</v>
      </c>
      <c r="E204" s="9">
        <v>97214</v>
      </c>
      <c r="F204" s="9">
        <v>197188</v>
      </c>
      <c r="G204" s="57">
        <v>1.0283909724936737</v>
      </c>
      <c r="H204" s="19"/>
      <c r="I204" s="19"/>
      <c r="J204" s="5" t="s">
        <v>3497</v>
      </c>
    </row>
    <row r="205" spans="1:10" ht="26.25" x14ac:dyDescent="0.25">
      <c r="A205" s="1" t="s">
        <v>111</v>
      </c>
      <c r="B205" s="2" t="s">
        <v>189</v>
      </c>
      <c r="C205" s="5" t="s">
        <v>1452</v>
      </c>
      <c r="D205" s="5" t="s">
        <v>450</v>
      </c>
      <c r="E205" s="9">
        <v>183565</v>
      </c>
      <c r="F205" s="9">
        <v>196934</v>
      </c>
      <c r="G205" s="57">
        <v>7.2829787813581015E-2</v>
      </c>
      <c r="H205" s="19"/>
      <c r="I205" s="19"/>
      <c r="J205" s="5" t="s">
        <v>3501</v>
      </c>
    </row>
    <row r="206" spans="1:10" x14ac:dyDescent="0.25">
      <c r="A206" s="1" t="s">
        <v>6</v>
      </c>
      <c r="B206" s="2" t="s">
        <v>46</v>
      </c>
      <c r="C206" s="1" t="s">
        <v>1792</v>
      </c>
      <c r="D206" s="5" t="s">
        <v>450</v>
      </c>
      <c r="E206" s="3">
        <v>190647</v>
      </c>
      <c r="F206" s="3">
        <v>196860</v>
      </c>
      <c r="G206" s="57">
        <v>3.2589025791121815E-2</v>
      </c>
      <c r="H206" s="19"/>
      <c r="I206" s="19"/>
      <c r="J206" s="5" t="s">
        <v>1793</v>
      </c>
    </row>
    <row r="207" spans="1:10" ht="39" x14ac:dyDescent="0.25">
      <c r="A207" s="1" t="s">
        <v>25</v>
      </c>
      <c r="B207" s="2" t="s">
        <v>107</v>
      </c>
      <c r="C207" s="1" t="s">
        <v>2190</v>
      </c>
      <c r="D207" s="5" t="s">
        <v>2191</v>
      </c>
      <c r="E207" s="3">
        <v>192672</v>
      </c>
      <c r="F207" s="3">
        <v>196077</v>
      </c>
      <c r="G207" s="57">
        <v>1.7672521175884404E-2</v>
      </c>
      <c r="H207" s="19"/>
      <c r="I207" s="19"/>
      <c r="J207" s="5" t="s">
        <v>3863</v>
      </c>
    </row>
    <row r="208" spans="1:10" ht="26.25" x14ac:dyDescent="0.25">
      <c r="A208" s="1" t="s">
        <v>25</v>
      </c>
      <c r="B208" s="2" t="s">
        <v>181</v>
      </c>
      <c r="C208" s="5" t="s">
        <v>1479</v>
      </c>
      <c r="D208" s="5" t="s">
        <v>1480</v>
      </c>
      <c r="E208" s="9">
        <v>193612</v>
      </c>
      <c r="F208" s="9">
        <v>195865</v>
      </c>
      <c r="G208" s="57">
        <v>1.1636675412681033E-2</v>
      </c>
      <c r="H208" s="19"/>
      <c r="I208" s="19"/>
      <c r="J208" s="5" t="s">
        <v>3542</v>
      </c>
    </row>
    <row r="209" spans="1:10" ht="26.25" x14ac:dyDescent="0.25">
      <c r="A209" s="1" t="s">
        <v>4</v>
      </c>
      <c r="B209" s="2" t="s">
        <v>210</v>
      </c>
      <c r="C209" s="5" t="s">
        <v>1343</v>
      </c>
      <c r="D209" s="5" t="s">
        <v>1344</v>
      </c>
      <c r="E209" s="9">
        <v>205515</v>
      </c>
      <c r="F209" s="9">
        <v>195821</v>
      </c>
      <c r="G209" s="57">
        <v>-4.7169306376663507E-2</v>
      </c>
      <c r="H209" s="19"/>
      <c r="I209" s="19"/>
      <c r="J209" s="5" t="s">
        <v>3361</v>
      </c>
    </row>
    <row r="210" spans="1:10" ht="39" x14ac:dyDescent="0.25">
      <c r="A210" s="1" t="s">
        <v>39</v>
      </c>
      <c r="B210" s="2" t="s">
        <v>439</v>
      </c>
      <c r="C210" s="5"/>
      <c r="D210" s="5" t="s">
        <v>454</v>
      </c>
      <c r="E210" s="3">
        <v>78327</v>
      </c>
      <c r="F210" s="3">
        <v>195720</v>
      </c>
      <c r="G210" s="57">
        <v>1.4987552185070283</v>
      </c>
      <c r="H210" s="19"/>
      <c r="I210" s="19"/>
      <c r="J210" s="5" t="s">
        <v>4586</v>
      </c>
    </row>
    <row r="211" spans="1:10" ht="39" x14ac:dyDescent="0.25">
      <c r="A211" s="1" t="s">
        <v>20</v>
      </c>
      <c r="B211" s="2" t="s">
        <v>109</v>
      </c>
      <c r="C211" s="1"/>
      <c r="D211" s="5" t="s">
        <v>740</v>
      </c>
      <c r="E211" s="3">
        <v>76092</v>
      </c>
      <c r="F211" s="3">
        <v>195565</v>
      </c>
      <c r="G211" s="57">
        <v>1.570112495400305</v>
      </c>
      <c r="H211" s="19"/>
      <c r="I211" s="19"/>
      <c r="J211" s="5" t="s">
        <v>4616</v>
      </c>
    </row>
    <row r="212" spans="1:10" x14ac:dyDescent="0.25">
      <c r="A212" s="1" t="s">
        <v>25</v>
      </c>
      <c r="B212" s="2" t="s">
        <v>358</v>
      </c>
      <c r="C212" s="5" t="s">
        <v>797</v>
      </c>
      <c r="D212" s="5" t="s">
        <v>450</v>
      </c>
      <c r="E212" s="9">
        <v>224736</v>
      </c>
      <c r="F212" s="9">
        <v>195510</v>
      </c>
      <c r="G212" s="57">
        <v>-0.13004592054677488</v>
      </c>
      <c r="H212" s="19"/>
      <c r="I212" s="19"/>
      <c r="J212" s="5" t="s">
        <v>2629</v>
      </c>
    </row>
    <row r="213" spans="1:10" ht="39" x14ac:dyDescent="0.25">
      <c r="A213" s="1" t="s">
        <v>6</v>
      </c>
      <c r="B213" s="12" t="s">
        <v>42</v>
      </c>
      <c r="C213" s="13"/>
      <c r="D213" s="7" t="s">
        <v>3720</v>
      </c>
      <c r="E213" s="6">
        <v>175995</v>
      </c>
      <c r="F213" s="6">
        <v>195304</v>
      </c>
      <c r="G213" s="57">
        <v>0.10971334412909457</v>
      </c>
      <c r="H213" s="21"/>
      <c r="I213" s="21"/>
      <c r="J213" s="7" t="s">
        <v>4150</v>
      </c>
    </row>
    <row r="214" spans="1:10" ht="26.25" x14ac:dyDescent="0.25">
      <c r="A214" s="1" t="s">
        <v>44</v>
      </c>
      <c r="B214" s="2" t="s">
        <v>293</v>
      </c>
      <c r="C214" s="5" t="s">
        <v>1010</v>
      </c>
      <c r="D214" s="5" t="s">
        <v>450</v>
      </c>
      <c r="E214" s="3">
        <v>190020</v>
      </c>
      <c r="F214" s="3">
        <v>195164</v>
      </c>
      <c r="G214" s="57">
        <v>2.7070834648984316E-2</v>
      </c>
      <c r="H214" s="19"/>
      <c r="I214" s="19"/>
      <c r="J214" s="5" t="s">
        <v>2902</v>
      </c>
    </row>
    <row r="215" spans="1:10" ht="115.5" x14ac:dyDescent="0.25">
      <c r="A215" s="1" t="s">
        <v>6</v>
      </c>
      <c r="B215" s="2" t="s">
        <v>179</v>
      </c>
      <c r="C215" s="5" t="s">
        <v>1489</v>
      </c>
      <c r="D215" s="5" t="s">
        <v>450</v>
      </c>
      <c r="E215" s="9">
        <v>194700</v>
      </c>
      <c r="F215" s="9">
        <v>194700</v>
      </c>
      <c r="G215" s="57">
        <v>0</v>
      </c>
      <c r="H215" s="19"/>
      <c r="I215" s="19"/>
      <c r="J215" s="5" t="s">
        <v>3551</v>
      </c>
    </row>
    <row r="216" spans="1:10" ht="26.25" x14ac:dyDescent="0.25">
      <c r="A216" s="1" t="s">
        <v>20</v>
      </c>
      <c r="B216" s="2" t="s">
        <v>79</v>
      </c>
      <c r="C216" s="1" t="s">
        <v>1984</v>
      </c>
      <c r="D216" s="5" t="s">
        <v>1469</v>
      </c>
      <c r="E216" s="3">
        <v>195925</v>
      </c>
      <c r="F216" s="3">
        <v>194148</v>
      </c>
      <c r="G216" s="57">
        <v>-9.0697971162434603E-3</v>
      </c>
      <c r="H216" s="19"/>
      <c r="I216" s="19"/>
      <c r="J216" s="5" t="s">
        <v>1985</v>
      </c>
    </row>
    <row r="217" spans="1:10" ht="26.25" x14ac:dyDescent="0.25">
      <c r="A217" s="1" t="s">
        <v>8</v>
      </c>
      <c r="B217" s="2" t="s">
        <v>284</v>
      </c>
      <c r="C217" s="5" t="s">
        <v>1053</v>
      </c>
      <c r="D217" s="5" t="s">
        <v>450</v>
      </c>
      <c r="E217" s="3">
        <v>193206</v>
      </c>
      <c r="F217" s="3">
        <v>193929</v>
      </c>
      <c r="G217" s="57">
        <v>3.7421198099437908E-3</v>
      </c>
      <c r="H217" s="19"/>
      <c r="I217" s="19"/>
      <c r="J217" s="5" t="s">
        <v>2969</v>
      </c>
    </row>
    <row r="218" spans="1:10" ht="26.25" x14ac:dyDescent="0.25">
      <c r="A218" s="1" t="s">
        <v>28</v>
      </c>
      <c r="B218" s="2" t="s">
        <v>50</v>
      </c>
      <c r="C218" s="1"/>
      <c r="D218" s="5" t="s">
        <v>1825</v>
      </c>
      <c r="E218" s="6">
        <v>139466</v>
      </c>
      <c r="F218" s="3">
        <v>193807</v>
      </c>
      <c r="G218" s="57">
        <v>0.38963618372936776</v>
      </c>
      <c r="H218" s="19"/>
      <c r="I218" s="19"/>
      <c r="J218" s="5" t="s">
        <v>4159</v>
      </c>
    </row>
    <row r="219" spans="1:10" ht="39" x14ac:dyDescent="0.25">
      <c r="A219" s="1" t="s">
        <v>39</v>
      </c>
      <c r="B219" s="2" t="s">
        <v>372</v>
      </c>
      <c r="C219" s="5"/>
      <c r="D219" s="5" t="s">
        <v>758</v>
      </c>
      <c r="E219" s="3">
        <v>97592</v>
      </c>
      <c r="F219" s="3">
        <v>193153</v>
      </c>
      <c r="G219" s="57">
        <v>0.97918886793999504</v>
      </c>
      <c r="H219" s="19"/>
      <c r="I219" s="19"/>
      <c r="J219" s="5" t="s">
        <v>2550</v>
      </c>
    </row>
    <row r="220" spans="1:10" ht="51.75" x14ac:dyDescent="0.25">
      <c r="A220" s="1" t="s">
        <v>25</v>
      </c>
      <c r="B220" s="2" t="s">
        <v>24</v>
      </c>
      <c r="C220" s="1" t="s">
        <v>1695</v>
      </c>
      <c r="D220" s="5" t="s">
        <v>450</v>
      </c>
      <c r="E220" s="3">
        <v>224046</v>
      </c>
      <c r="F220" s="3">
        <v>192832</v>
      </c>
      <c r="G220" s="57">
        <v>-0.13931960400989082</v>
      </c>
      <c r="H220" s="19"/>
      <c r="I220" s="19"/>
      <c r="J220" s="5" t="s">
        <v>4091</v>
      </c>
    </row>
    <row r="221" spans="1:10" ht="77.25" x14ac:dyDescent="0.25">
      <c r="A221" s="1" t="s">
        <v>25</v>
      </c>
      <c r="B221" s="2" t="s">
        <v>70</v>
      </c>
      <c r="C221" s="1"/>
      <c r="D221" s="5" t="s">
        <v>451</v>
      </c>
      <c r="E221" s="19" t="s">
        <v>465</v>
      </c>
      <c r="F221" s="19">
        <v>192770</v>
      </c>
      <c r="G221" s="57" t="s">
        <v>465</v>
      </c>
      <c r="H221" s="19"/>
      <c r="I221" s="19"/>
      <c r="J221" s="5" t="s">
        <v>4220</v>
      </c>
    </row>
    <row r="222" spans="1:10" ht="39" x14ac:dyDescent="0.25">
      <c r="A222" s="1" t="s">
        <v>25</v>
      </c>
      <c r="B222" s="2" t="s">
        <v>424</v>
      </c>
      <c r="C222" s="5" t="s">
        <v>543</v>
      </c>
      <c r="D222" s="5" t="s">
        <v>544</v>
      </c>
      <c r="E222" s="3">
        <v>53292</v>
      </c>
      <c r="F222" s="3">
        <v>192617</v>
      </c>
      <c r="G222" s="57">
        <v>2.6143698866621632</v>
      </c>
      <c r="H222" s="19"/>
      <c r="I222" s="19"/>
      <c r="J222" s="5" t="s">
        <v>4563</v>
      </c>
    </row>
    <row r="223" spans="1:10" ht="26.25" x14ac:dyDescent="0.25">
      <c r="A223" s="1" t="s">
        <v>25</v>
      </c>
      <c r="B223" s="2" t="s">
        <v>259</v>
      </c>
      <c r="C223" s="5" t="s">
        <v>1170</v>
      </c>
      <c r="D223" s="5" t="s">
        <v>1171</v>
      </c>
      <c r="E223" s="6" t="s">
        <v>465</v>
      </c>
      <c r="F223" s="3">
        <v>192507</v>
      </c>
      <c r="G223" s="57" t="s">
        <v>465</v>
      </c>
      <c r="H223" s="19"/>
      <c r="I223" s="19"/>
      <c r="J223" s="5" t="s">
        <v>3088</v>
      </c>
    </row>
    <row r="224" spans="1:10" x14ac:dyDescent="0.25">
      <c r="A224" s="1" t="s">
        <v>25</v>
      </c>
      <c r="B224" s="2" t="s">
        <v>53</v>
      </c>
      <c r="C224" s="1"/>
      <c r="D224" s="5" t="s">
        <v>464</v>
      </c>
      <c r="E224" s="3" t="s">
        <v>465</v>
      </c>
      <c r="F224" s="3">
        <v>192500</v>
      </c>
      <c r="G224" s="57" t="s">
        <v>465</v>
      </c>
      <c r="H224" s="19"/>
      <c r="I224" s="19"/>
      <c r="J224" s="5"/>
    </row>
    <row r="225" spans="1:10" x14ac:dyDescent="0.25">
      <c r="A225" s="1" t="s">
        <v>8</v>
      </c>
      <c r="B225" s="2" t="s">
        <v>285</v>
      </c>
      <c r="C225" s="5"/>
      <c r="D225" s="5" t="s">
        <v>464</v>
      </c>
      <c r="E225" s="3" t="s">
        <v>465</v>
      </c>
      <c r="F225" s="3">
        <v>192500</v>
      </c>
      <c r="G225" s="57" t="s">
        <v>465</v>
      </c>
      <c r="H225" s="19"/>
      <c r="I225" s="19"/>
      <c r="J225" s="5"/>
    </row>
    <row r="226" spans="1:10" x14ac:dyDescent="0.25">
      <c r="A226" s="1" t="s">
        <v>39</v>
      </c>
      <c r="B226" s="2" t="s">
        <v>335</v>
      </c>
      <c r="C226" s="5"/>
      <c r="D226" s="7" t="s">
        <v>464</v>
      </c>
      <c r="E226" s="6" t="s">
        <v>465</v>
      </c>
      <c r="F226" s="6">
        <v>192500</v>
      </c>
      <c r="G226" s="57" t="s">
        <v>465</v>
      </c>
      <c r="H226" s="21"/>
      <c r="I226" s="21"/>
      <c r="J226" s="5"/>
    </row>
    <row r="227" spans="1:10" x14ac:dyDescent="0.25">
      <c r="A227" s="1" t="s">
        <v>39</v>
      </c>
      <c r="B227" s="2" t="s">
        <v>388</v>
      </c>
      <c r="C227" s="5"/>
      <c r="D227" s="5" t="s">
        <v>464</v>
      </c>
      <c r="E227" s="3" t="s">
        <v>465</v>
      </c>
      <c r="F227" s="3">
        <v>192500</v>
      </c>
      <c r="G227" s="57" t="s">
        <v>465</v>
      </c>
      <c r="H227" s="19"/>
      <c r="I227" s="19"/>
      <c r="J227" s="5"/>
    </row>
    <row r="228" spans="1:10" x14ac:dyDescent="0.25">
      <c r="A228" s="1" t="s">
        <v>6</v>
      </c>
      <c r="B228" s="2" t="s">
        <v>383</v>
      </c>
      <c r="C228" s="5" t="s">
        <v>701</v>
      </c>
      <c r="D228" s="5" t="s">
        <v>450</v>
      </c>
      <c r="E228" s="3">
        <v>190800</v>
      </c>
      <c r="F228" s="3">
        <v>192469</v>
      </c>
      <c r="G228" s="57">
        <v>8.7473794549266255E-3</v>
      </c>
      <c r="H228" s="19"/>
      <c r="I228" s="19"/>
      <c r="J228" s="5" t="s">
        <v>2498</v>
      </c>
    </row>
    <row r="229" spans="1:10" x14ac:dyDescent="0.25">
      <c r="A229" s="1" t="s">
        <v>20</v>
      </c>
      <c r="B229" s="2" t="s">
        <v>194</v>
      </c>
      <c r="C229" s="5" t="s">
        <v>1427</v>
      </c>
      <c r="D229" s="5" t="s">
        <v>1428</v>
      </c>
      <c r="E229" s="9">
        <v>192305</v>
      </c>
      <c r="F229" s="9">
        <v>192305</v>
      </c>
      <c r="G229" s="57">
        <v>0</v>
      </c>
      <c r="H229" s="19"/>
      <c r="I229" s="19"/>
      <c r="J229" s="5" t="s">
        <v>3470</v>
      </c>
    </row>
    <row r="230" spans="1:10" ht="39" x14ac:dyDescent="0.25">
      <c r="A230" s="1" t="s">
        <v>1</v>
      </c>
      <c r="B230" s="2" t="s">
        <v>196</v>
      </c>
      <c r="C230" s="5" t="s">
        <v>1415</v>
      </c>
      <c r="D230" s="5" t="s">
        <v>450</v>
      </c>
      <c r="E230" s="6">
        <v>140112</v>
      </c>
      <c r="F230" s="9">
        <v>192025</v>
      </c>
      <c r="G230" s="57">
        <v>0.37051073426972708</v>
      </c>
      <c r="H230" s="19"/>
      <c r="I230" s="19"/>
      <c r="J230" s="5" t="s">
        <v>3457</v>
      </c>
    </row>
    <row r="231" spans="1:10" ht="26.25" x14ac:dyDescent="0.25">
      <c r="A231" s="1" t="s">
        <v>25</v>
      </c>
      <c r="B231" s="2" t="s">
        <v>209</v>
      </c>
      <c r="C231" s="5" t="s">
        <v>1359</v>
      </c>
      <c r="D231" s="5" t="s">
        <v>1360</v>
      </c>
      <c r="E231" s="9">
        <v>179743</v>
      </c>
      <c r="F231" s="9">
        <v>191487</v>
      </c>
      <c r="G231" s="57">
        <v>6.5337732206539337E-2</v>
      </c>
      <c r="H231" s="19"/>
      <c r="I231" s="19"/>
      <c r="J231" s="5" t="s">
        <v>3370</v>
      </c>
    </row>
    <row r="232" spans="1:10" x14ac:dyDescent="0.25">
      <c r="A232" s="1" t="s">
        <v>34</v>
      </c>
      <c r="B232" s="2" t="s">
        <v>343</v>
      </c>
      <c r="C232" s="5" t="s">
        <v>853</v>
      </c>
      <c r="D232" s="5" t="s">
        <v>450</v>
      </c>
      <c r="E232" s="3">
        <v>186590</v>
      </c>
      <c r="F232" s="3">
        <v>191459</v>
      </c>
      <c r="G232" s="57">
        <v>2.6094646015327724E-2</v>
      </c>
      <c r="H232" s="19"/>
      <c r="I232" s="19"/>
      <c r="J232" s="5" t="s">
        <v>2699</v>
      </c>
    </row>
    <row r="233" spans="1:10" ht="39" x14ac:dyDescent="0.25">
      <c r="A233" s="1" t="s">
        <v>28</v>
      </c>
      <c r="B233" s="2" t="s">
        <v>215</v>
      </c>
      <c r="C233" s="5"/>
      <c r="D233" s="5" t="s">
        <v>1318</v>
      </c>
      <c r="E233" s="3">
        <v>117533</v>
      </c>
      <c r="F233" s="3">
        <v>191003</v>
      </c>
      <c r="G233" s="57">
        <v>0.62510103545387252</v>
      </c>
      <c r="H233" s="19"/>
      <c r="I233" s="19"/>
      <c r="J233" s="5" t="s">
        <v>3311</v>
      </c>
    </row>
    <row r="234" spans="1:10" ht="39" x14ac:dyDescent="0.25">
      <c r="A234" s="1" t="s">
        <v>25</v>
      </c>
      <c r="B234" s="2" t="s">
        <v>406</v>
      </c>
      <c r="C234" s="5" t="s">
        <v>628</v>
      </c>
      <c r="D234" s="5" t="s">
        <v>549</v>
      </c>
      <c r="E234" s="9">
        <v>188721</v>
      </c>
      <c r="F234" s="3">
        <v>189730</v>
      </c>
      <c r="G234" s="57">
        <v>5.3465168158286572E-3</v>
      </c>
      <c r="H234" s="19"/>
      <c r="I234" s="19"/>
      <c r="J234" s="5" t="s">
        <v>2406</v>
      </c>
    </row>
    <row r="235" spans="1:10" ht="39" x14ac:dyDescent="0.25">
      <c r="A235" s="1" t="s">
        <v>34</v>
      </c>
      <c r="B235" s="2" t="s">
        <v>170</v>
      </c>
      <c r="C235" s="5"/>
      <c r="D235" s="5" t="s">
        <v>1551</v>
      </c>
      <c r="E235" s="3">
        <v>150744</v>
      </c>
      <c r="F235" s="3">
        <v>189720</v>
      </c>
      <c r="G235" s="57">
        <v>0.2585575545295335</v>
      </c>
      <c r="H235" s="19"/>
      <c r="I235" s="19"/>
      <c r="J235" s="5" t="s">
        <v>4069</v>
      </c>
    </row>
    <row r="236" spans="1:10" ht="39" x14ac:dyDescent="0.25">
      <c r="A236" s="1" t="s">
        <v>111</v>
      </c>
      <c r="B236" s="2" t="s">
        <v>369</v>
      </c>
      <c r="C236" s="5" t="s">
        <v>771</v>
      </c>
      <c r="D236" s="5" t="s">
        <v>450</v>
      </c>
      <c r="E236" s="3">
        <v>188211</v>
      </c>
      <c r="F236" s="3">
        <v>189201</v>
      </c>
      <c r="G236" s="57">
        <v>5.2600538757033325E-3</v>
      </c>
      <c r="H236" s="19"/>
      <c r="I236" s="19"/>
      <c r="J236" s="5" t="s">
        <v>2563</v>
      </c>
    </row>
    <row r="237" spans="1:10" x14ac:dyDescent="0.25">
      <c r="A237" s="1" t="s">
        <v>44</v>
      </c>
      <c r="B237" s="2" t="s">
        <v>75</v>
      </c>
      <c r="C237" s="1" t="s">
        <v>1963</v>
      </c>
      <c r="D237" s="5" t="s">
        <v>450</v>
      </c>
      <c r="E237" s="3">
        <v>188018</v>
      </c>
      <c r="F237" s="3">
        <v>189178</v>
      </c>
      <c r="G237" s="57">
        <v>6.1696220574625838E-3</v>
      </c>
      <c r="H237" s="19"/>
      <c r="I237" s="19"/>
      <c r="J237" s="5" t="s">
        <v>1964</v>
      </c>
    </row>
    <row r="238" spans="1:10" ht="26.25" x14ac:dyDescent="0.25">
      <c r="A238" s="1" t="s">
        <v>25</v>
      </c>
      <c r="B238" s="2" t="s">
        <v>259</v>
      </c>
      <c r="C238" s="5" t="s">
        <v>1172</v>
      </c>
      <c r="D238" s="5" t="s">
        <v>450</v>
      </c>
      <c r="E238" s="6">
        <v>281085</v>
      </c>
      <c r="F238" s="3">
        <v>189108</v>
      </c>
      <c r="G238" s="57">
        <v>-0.32722130316452319</v>
      </c>
      <c r="H238" s="19"/>
      <c r="I238" s="19"/>
      <c r="J238" s="5" t="s">
        <v>4373</v>
      </c>
    </row>
    <row r="239" spans="1:10" ht="39" x14ac:dyDescent="0.25">
      <c r="A239" s="1" t="s">
        <v>6</v>
      </c>
      <c r="B239" s="2" t="s">
        <v>329</v>
      </c>
      <c r="C239" s="5"/>
      <c r="D239" s="7" t="s">
        <v>892</v>
      </c>
      <c r="E239" s="6">
        <v>134531</v>
      </c>
      <c r="F239" s="6">
        <v>188905</v>
      </c>
      <c r="G239" s="57">
        <v>0.40417450253101517</v>
      </c>
      <c r="H239" s="19"/>
      <c r="I239" s="19"/>
      <c r="J239" s="5" t="s">
        <v>4420</v>
      </c>
    </row>
    <row r="240" spans="1:10" ht="26.25" x14ac:dyDescent="0.25">
      <c r="A240" s="1" t="s">
        <v>8</v>
      </c>
      <c r="B240" s="2" t="s">
        <v>115</v>
      </c>
      <c r="C240" s="1" t="s">
        <v>2157</v>
      </c>
      <c r="D240" s="5" t="s">
        <v>450</v>
      </c>
      <c r="E240" s="3">
        <v>128712</v>
      </c>
      <c r="F240" s="3">
        <v>188798</v>
      </c>
      <c r="G240" s="57">
        <v>0.46682516004723723</v>
      </c>
      <c r="H240" s="19"/>
      <c r="I240" s="19"/>
      <c r="J240" s="5" t="s">
        <v>4271</v>
      </c>
    </row>
    <row r="241" spans="1:10" ht="39" x14ac:dyDescent="0.25">
      <c r="A241" s="1" t="s">
        <v>39</v>
      </c>
      <c r="B241" s="2" t="s">
        <v>384</v>
      </c>
      <c r="C241" s="5"/>
      <c r="D241" s="5" t="s">
        <v>700</v>
      </c>
      <c r="E241" s="3">
        <v>66781</v>
      </c>
      <c r="F241" s="3">
        <v>188037</v>
      </c>
      <c r="G241" s="57">
        <v>1.8157260298587923</v>
      </c>
      <c r="H241" s="19"/>
      <c r="I241" s="19"/>
      <c r="J241" s="5" t="s">
        <v>2497</v>
      </c>
    </row>
    <row r="242" spans="1:10" ht="39" x14ac:dyDescent="0.25">
      <c r="A242" s="1" t="s">
        <v>4</v>
      </c>
      <c r="B242" s="2" t="s">
        <v>303</v>
      </c>
      <c r="C242" s="7" t="s">
        <v>974</v>
      </c>
      <c r="D242" s="7" t="s">
        <v>975</v>
      </c>
      <c r="E242" s="6">
        <v>131952</v>
      </c>
      <c r="F242" s="6">
        <v>187683</v>
      </c>
      <c r="G242" s="57">
        <v>0.42235813022917423</v>
      </c>
      <c r="H242" s="19"/>
      <c r="I242" s="19"/>
      <c r="J242" s="5" t="s">
        <v>4402</v>
      </c>
    </row>
    <row r="243" spans="1:10" ht="26.25" x14ac:dyDescent="0.25">
      <c r="A243" s="13" t="s">
        <v>111</v>
      </c>
      <c r="B243" s="12" t="s">
        <v>110</v>
      </c>
      <c r="C243" s="13" t="s">
        <v>2166</v>
      </c>
      <c r="D243" s="7" t="s">
        <v>450</v>
      </c>
      <c r="E243" s="6">
        <v>188060</v>
      </c>
      <c r="F243" s="6">
        <v>187573</v>
      </c>
      <c r="G243" s="57">
        <v>-2.5895990641284696E-3</v>
      </c>
      <c r="H243" s="21"/>
      <c r="I243" s="21"/>
      <c r="J243" s="7" t="s">
        <v>4617</v>
      </c>
    </row>
    <row r="244" spans="1:10" x14ac:dyDescent="0.25">
      <c r="A244" s="1" t="s">
        <v>4</v>
      </c>
      <c r="B244" s="2" t="s">
        <v>210</v>
      </c>
      <c r="C244" s="5"/>
      <c r="D244" s="5" t="s">
        <v>464</v>
      </c>
      <c r="E244" s="3" t="s">
        <v>465</v>
      </c>
      <c r="F244" s="3">
        <v>187500</v>
      </c>
      <c r="G244" s="57" t="s">
        <v>465</v>
      </c>
      <c r="H244" s="4"/>
      <c r="I244" s="4"/>
      <c r="J244" s="1"/>
    </row>
    <row r="245" spans="1:10" x14ac:dyDescent="0.25">
      <c r="A245" s="1" t="s">
        <v>4</v>
      </c>
      <c r="B245" s="2" t="s">
        <v>210</v>
      </c>
      <c r="C245" s="5"/>
      <c r="D245" s="5" t="s">
        <v>464</v>
      </c>
      <c r="E245" s="3" t="s">
        <v>465</v>
      </c>
      <c r="F245" s="3">
        <v>187500</v>
      </c>
      <c r="G245" s="57" t="s">
        <v>465</v>
      </c>
      <c r="H245" s="19"/>
      <c r="I245" s="19"/>
      <c r="J245" s="5"/>
    </row>
    <row r="246" spans="1:10" x14ac:dyDescent="0.25">
      <c r="A246" s="1" t="s">
        <v>25</v>
      </c>
      <c r="B246" s="2" t="s">
        <v>243</v>
      </c>
      <c r="C246" s="5"/>
      <c r="D246" s="7" t="s">
        <v>464</v>
      </c>
      <c r="E246" s="6" t="s">
        <v>465</v>
      </c>
      <c r="F246" s="6">
        <v>187500</v>
      </c>
      <c r="G246" s="57" t="s">
        <v>465</v>
      </c>
      <c r="H246" s="21"/>
      <c r="I246" s="21"/>
      <c r="J246" s="7"/>
    </row>
    <row r="247" spans="1:10" x14ac:dyDescent="0.25">
      <c r="A247" s="1" t="s">
        <v>25</v>
      </c>
      <c r="B247" s="2" t="s">
        <v>243</v>
      </c>
      <c r="C247" s="5"/>
      <c r="D247" s="7" t="s">
        <v>464</v>
      </c>
      <c r="E247" s="6" t="s">
        <v>465</v>
      </c>
      <c r="F247" s="6">
        <v>187500</v>
      </c>
      <c r="G247" s="57" t="s">
        <v>465</v>
      </c>
      <c r="H247" s="21"/>
      <c r="I247" s="21"/>
      <c r="J247" s="7" t="s">
        <v>539</v>
      </c>
    </row>
    <row r="248" spans="1:10" x14ac:dyDescent="0.25">
      <c r="A248" s="1" t="s">
        <v>111</v>
      </c>
      <c r="B248" s="2" t="s">
        <v>282</v>
      </c>
      <c r="C248" s="5"/>
      <c r="D248" s="5" t="s">
        <v>464</v>
      </c>
      <c r="E248" s="3" t="s">
        <v>465</v>
      </c>
      <c r="F248" s="3">
        <v>187500</v>
      </c>
      <c r="G248" s="57" t="s">
        <v>465</v>
      </c>
      <c r="H248" s="19"/>
      <c r="I248" s="19"/>
      <c r="J248" s="5" t="s">
        <v>539</v>
      </c>
    </row>
    <row r="249" spans="1:10" x14ac:dyDescent="0.25">
      <c r="A249" s="1" t="s">
        <v>39</v>
      </c>
      <c r="B249" s="2" t="s">
        <v>409</v>
      </c>
      <c r="C249" s="5"/>
      <c r="D249" s="5" t="s">
        <v>587</v>
      </c>
      <c r="E249" s="3" t="s">
        <v>465</v>
      </c>
      <c r="F249" s="3">
        <v>187500</v>
      </c>
      <c r="G249" s="57" t="s">
        <v>465</v>
      </c>
      <c r="H249" s="19"/>
      <c r="I249" s="19"/>
      <c r="J249" s="5" t="s">
        <v>540</v>
      </c>
    </row>
    <row r="250" spans="1:10" x14ac:dyDescent="0.25">
      <c r="A250" s="1" t="s">
        <v>28</v>
      </c>
      <c r="B250" s="2" t="s">
        <v>317</v>
      </c>
      <c r="C250" s="5" t="s">
        <v>924</v>
      </c>
      <c r="D250" s="5" t="s">
        <v>450</v>
      </c>
      <c r="E250" s="6">
        <v>81088.59</v>
      </c>
      <c r="F250" s="6">
        <v>187359.96</v>
      </c>
      <c r="G250" s="57">
        <v>1.3105588591440547</v>
      </c>
      <c r="H250" s="21"/>
      <c r="I250" s="21"/>
      <c r="J250" s="7" t="s">
        <v>2797</v>
      </c>
    </row>
    <row r="251" spans="1:10" ht="39" x14ac:dyDescent="0.25">
      <c r="A251" s="1" t="s">
        <v>20</v>
      </c>
      <c r="B251" s="2" t="s">
        <v>212</v>
      </c>
      <c r="C251" s="5"/>
      <c r="D251" s="5" t="s">
        <v>1336</v>
      </c>
      <c r="E251" s="9">
        <v>80472</v>
      </c>
      <c r="F251" s="9">
        <v>187319</v>
      </c>
      <c r="G251" s="57">
        <v>1.3277537528581369</v>
      </c>
      <c r="H251" s="19"/>
      <c r="I251" s="19"/>
      <c r="J251" s="5" t="s">
        <v>3347</v>
      </c>
    </row>
    <row r="252" spans="1:10" ht="26.25" x14ac:dyDescent="0.25">
      <c r="A252" s="1" t="s">
        <v>4</v>
      </c>
      <c r="B252" s="2" t="s">
        <v>49</v>
      </c>
      <c r="C252" s="1" t="s">
        <v>1811</v>
      </c>
      <c r="D252" s="5" t="s">
        <v>450</v>
      </c>
      <c r="E252" s="3">
        <v>182600</v>
      </c>
      <c r="F252" s="3">
        <v>187200</v>
      </c>
      <c r="G252" s="57">
        <v>2.5191675794085433E-2</v>
      </c>
      <c r="H252" s="19"/>
      <c r="I252" s="19"/>
      <c r="J252" s="5" t="s">
        <v>1812</v>
      </c>
    </row>
    <row r="253" spans="1:10" ht="39" x14ac:dyDescent="0.25">
      <c r="A253" s="1" t="s">
        <v>25</v>
      </c>
      <c r="B253" s="2" t="s">
        <v>178</v>
      </c>
      <c r="C253" s="5" t="s">
        <v>1503</v>
      </c>
      <c r="D253" s="5" t="s">
        <v>1504</v>
      </c>
      <c r="E253" s="9" t="s">
        <v>465</v>
      </c>
      <c r="F253" s="9">
        <v>187111</v>
      </c>
      <c r="G253" s="57" t="s">
        <v>465</v>
      </c>
      <c r="H253" s="19"/>
      <c r="I253" s="19"/>
      <c r="J253" s="5" t="s">
        <v>3570</v>
      </c>
    </row>
    <row r="254" spans="1:10" ht="26.25" x14ac:dyDescent="0.25">
      <c r="A254" s="1" t="s">
        <v>20</v>
      </c>
      <c r="B254" s="2" t="s">
        <v>195</v>
      </c>
      <c r="C254" s="5"/>
      <c r="D254" s="5" t="s">
        <v>450</v>
      </c>
      <c r="E254" s="3">
        <v>184000</v>
      </c>
      <c r="F254" s="3">
        <v>187000</v>
      </c>
      <c r="G254" s="57">
        <v>1.6304347826086956E-2</v>
      </c>
      <c r="H254" s="19"/>
      <c r="I254" s="19"/>
      <c r="J254" s="5" t="s">
        <v>3465</v>
      </c>
    </row>
    <row r="255" spans="1:10" ht="39" x14ac:dyDescent="0.25">
      <c r="A255" s="1" t="s">
        <v>8</v>
      </c>
      <c r="B255" s="2" t="s">
        <v>281</v>
      </c>
      <c r="C255" s="5" t="s">
        <v>1071</v>
      </c>
      <c r="D255" s="5" t="s">
        <v>4593</v>
      </c>
      <c r="E255" s="10">
        <v>160000</v>
      </c>
      <c r="F255" s="3">
        <v>187000</v>
      </c>
      <c r="G255" s="57">
        <v>0.16875000000000001</v>
      </c>
      <c r="H255" s="19"/>
      <c r="I255" s="19"/>
      <c r="J255" s="5" t="s">
        <v>4383</v>
      </c>
    </row>
    <row r="256" spans="1:10" ht="39" x14ac:dyDescent="0.25">
      <c r="A256" s="1" t="s">
        <v>1</v>
      </c>
      <c r="B256" s="2" t="s">
        <v>125</v>
      </c>
      <c r="C256" s="1" t="s">
        <v>2130</v>
      </c>
      <c r="D256" s="5" t="s">
        <v>2131</v>
      </c>
      <c r="E256" s="3">
        <v>117620</v>
      </c>
      <c r="F256" s="3">
        <v>186653</v>
      </c>
      <c r="G256" s="57">
        <v>0.58691549056282943</v>
      </c>
      <c r="H256" s="19"/>
      <c r="I256" s="19"/>
      <c r="J256" s="5" t="s">
        <v>4290</v>
      </c>
    </row>
    <row r="257" spans="1:10" ht="26.25" x14ac:dyDescent="0.25">
      <c r="A257" s="1" t="s">
        <v>1</v>
      </c>
      <c r="B257" s="2" t="s">
        <v>348</v>
      </c>
      <c r="C257" s="5" t="s">
        <v>842</v>
      </c>
      <c r="D257" s="5" t="s">
        <v>450</v>
      </c>
      <c r="E257" s="36">
        <v>191485</v>
      </c>
      <c r="F257" s="3">
        <v>186653</v>
      </c>
      <c r="G257" s="57">
        <v>-2.5234352560252762E-2</v>
      </c>
      <c r="H257" s="19"/>
      <c r="I257" s="19"/>
      <c r="J257" s="5" t="s">
        <v>2682</v>
      </c>
    </row>
    <row r="258" spans="1:10" ht="26.25" x14ac:dyDescent="0.25">
      <c r="A258" s="1" t="s">
        <v>4</v>
      </c>
      <c r="B258" s="2" t="s">
        <v>239</v>
      </c>
      <c r="C258" s="5"/>
      <c r="D258" s="5" t="s">
        <v>450</v>
      </c>
      <c r="E258" s="3">
        <v>185146</v>
      </c>
      <c r="F258" s="3">
        <v>186587</v>
      </c>
      <c r="G258" s="57">
        <v>7.7830468927225002E-3</v>
      </c>
      <c r="H258" s="19"/>
      <c r="I258" s="19"/>
      <c r="J258" s="5" t="s">
        <v>3172</v>
      </c>
    </row>
    <row r="259" spans="1:10" ht="26.25" x14ac:dyDescent="0.25">
      <c r="A259" s="1" t="s">
        <v>6</v>
      </c>
      <c r="B259" s="2" t="s">
        <v>362</v>
      </c>
      <c r="C259" s="5" t="s">
        <v>786</v>
      </c>
      <c r="D259" s="5" t="s">
        <v>450</v>
      </c>
      <c r="E259" s="3">
        <v>186000</v>
      </c>
      <c r="F259" s="3">
        <v>186000</v>
      </c>
      <c r="G259" s="57">
        <v>0</v>
      </c>
      <c r="H259" s="19"/>
      <c r="I259" s="19"/>
      <c r="J259" s="5" t="s">
        <v>2612</v>
      </c>
    </row>
    <row r="260" spans="1:10" ht="39" x14ac:dyDescent="0.25">
      <c r="A260" s="1" t="s">
        <v>39</v>
      </c>
      <c r="B260" s="2" t="s">
        <v>286</v>
      </c>
      <c r="C260" s="5"/>
      <c r="D260" s="5" t="s">
        <v>1045</v>
      </c>
      <c r="E260" s="3">
        <v>67606</v>
      </c>
      <c r="F260" s="3">
        <v>185221</v>
      </c>
      <c r="G260" s="57">
        <v>1.7397124515575542</v>
      </c>
      <c r="H260" s="19"/>
      <c r="I260" s="19"/>
      <c r="J260" s="5" t="s">
        <v>4393</v>
      </c>
    </row>
    <row r="261" spans="1:10" ht="39" x14ac:dyDescent="0.25">
      <c r="A261" s="1" t="s">
        <v>25</v>
      </c>
      <c r="B261" s="2" t="s">
        <v>26</v>
      </c>
      <c r="C261" s="1"/>
      <c r="D261" s="5" t="s">
        <v>1704</v>
      </c>
      <c r="E261" s="6">
        <v>106185</v>
      </c>
      <c r="F261" s="3">
        <v>185108</v>
      </c>
      <c r="G261" s="57">
        <v>0.74325940575410843</v>
      </c>
      <c r="H261" s="19"/>
      <c r="I261" s="19"/>
      <c r="J261" s="5" t="s">
        <v>4096</v>
      </c>
    </row>
    <row r="262" spans="1:10" ht="26.25" x14ac:dyDescent="0.25">
      <c r="A262" s="1" t="s">
        <v>4</v>
      </c>
      <c r="B262" s="2" t="s">
        <v>336</v>
      </c>
      <c r="C262" s="5" t="s">
        <v>875</v>
      </c>
      <c r="D262" s="5" t="s">
        <v>450</v>
      </c>
      <c r="E262" s="3">
        <v>185890</v>
      </c>
      <c r="F262" s="3">
        <v>185030</v>
      </c>
      <c r="G262" s="57">
        <v>-4.6263919522298138E-3</v>
      </c>
      <c r="H262" s="19"/>
      <c r="I262" s="19"/>
      <c r="J262" s="5" t="s">
        <v>2731</v>
      </c>
    </row>
    <row r="263" spans="1:10" ht="26.25" x14ac:dyDescent="0.25">
      <c r="A263" s="1" t="s">
        <v>8</v>
      </c>
      <c r="B263" s="2" t="s">
        <v>211</v>
      </c>
      <c r="C263" s="5" t="s">
        <v>1337</v>
      </c>
      <c r="D263" s="5" t="s">
        <v>450</v>
      </c>
      <c r="E263" s="3">
        <v>186000</v>
      </c>
      <c r="F263" s="3">
        <v>185000</v>
      </c>
      <c r="G263" s="57">
        <v>-5.3763440860215058E-3</v>
      </c>
      <c r="H263" s="19"/>
      <c r="I263" s="19"/>
      <c r="J263" s="5" t="s">
        <v>3349</v>
      </c>
    </row>
    <row r="264" spans="1:10" ht="26.25" x14ac:dyDescent="0.25">
      <c r="A264" s="1" t="s">
        <v>28</v>
      </c>
      <c r="B264" s="2" t="s">
        <v>221</v>
      </c>
      <c r="C264" s="5" t="s">
        <v>1278</v>
      </c>
      <c r="D264" s="5" t="s">
        <v>1279</v>
      </c>
      <c r="E264" s="9">
        <v>44137</v>
      </c>
      <c r="F264" s="9">
        <v>184686</v>
      </c>
      <c r="G264" s="57">
        <v>3.1843804517751546</v>
      </c>
      <c r="H264" s="19"/>
      <c r="I264" s="19"/>
      <c r="J264" s="5" t="s">
        <v>3273</v>
      </c>
    </row>
    <row r="265" spans="1:10" ht="26.25" x14ac:dyDescent="0.25">
      <c r="A265" s="1" t="s">
        <v>28</v>
      </c>
      <c r="B265" s="2" t="s">
        <v>269</v>
      </c>
      <c r="C265" s="5" t="s">
        <v>1138</v>
      </c>
      <c r="D265" s="5" t="s">
        <v>450</v>
      </c>
      <c r="E265" s="3">
        <v>183194</v>
      </c>
      <c r="F265" s="3">
        <v>184667</v>
      </c>
      <c r="G265" s="57">
        <v>8.0406563533740195E-3</v>
      </c>
      <c r="H265" s="19"/>
      <c r="I265" s="19"/>
      <c r="J265" s="5" t="s">
        <v>3058</v>
      </c>
    </row>
    <row r="266" spans="1:10" ht="26.25" x14ac:dyDescent="0.25">
      <c r="A266" s="1" t="s">
        <v>4</v>
      </c>
      <c r="B266" s="2" t="s">
        <v>210</v>
      </c>
      <c r="C266" s="5" t="s">
        <v>1348</v>
      </c>
      <c r="D266" s="5" t="s">
        <v>1349</v>
      </c>
      <c r="E266" s="9">
        <v>183972</v>
      </c>
      <c r="F266" s="9">
        <v>184650</v>
      </c>
      <c r="G266" s="57">
        <v>3.6853434218250603E-3</v>
      </c>
      <c r="H266" s="19"/>
      <c r="I266" s="19"/>
      <c r="J266" s="5" t="s">
        <v>3364</v>
      </c>
    </row>
    <row r="267" spans="1:10" ht="39" x14ac:dyDescent="0.25">
      <c r="A267" s="1" t="s">
        <v>1</v>
      </c>
      <c r="B267" s="12" t="s">
        <v>420</v>
      </c>
      <c r="C267" s="5" t="s">
        <v>3604</v>
      </c>
      <c r="D267" s="5" t="s">
        <v>3605</v>
      </c>
      <c r="E267" s="9">
        <v>106603</v>
      </c>
      <c r="F267" s="9">
        <v>184335</v>
      </c>
      <c r="G267" s="57">
        <v>0.72917272497021657</v>
      </c>
      <c r="H267" s="19"/>
      <c r="I267" s="19"/>
      <c r="J267" s="5" t="s">
        <v>3633</v>
      </c>
    </row>
    <row r="268" spans="1:10" ht="39" x14ac:dyDescent="0.25">
      <c r="A268" s="1" t="s">
        <v>20</v>
      </c>
      <c r="B268" s="2" t="s">
        <v>154</v>
      </c>
      <c r="C268" s="1" t="s">
        <v>1614</v>
      </c>
      <c r="D268" s="5" t="s">
        <v>1612</v>
      </c>
      <c r="E268" s="3">
        <v>179722</v>
      </c>
      <c r="F268" s="3">
        <v>184223</v>
      </c>
      <c r="G268" s="57">
        <v>2.5044234985143722E-2</v>
      </c>
      <c r="H268" s="19"/>
      <c r="I268" s="19"/>
      <c r="J268" s="5" t="s">
        <v>4004</v>
      </c>
    </row>
    <row r="269" spans="1:10" ht="26.25" x14ac:dyDescent="0.25">
      <c r="A269" s="1" t="s">
        <v>4</v>
      </c>
      <c r="B269" s="2" t="s">
        <v>249</v>
      </c>
      <c r="C269" s="5" t="s">
        <v>1190</v>
      </c>
      <c r="D269" s="7" t="s">
        <v>450</v>
      </c>
      <c r="E269" s="3">
        <v>128725</v>
      </c>
      <c r="F269" s="3">
        <v>184201</v>
      </c>
      <c r="G269" s="57">
        <v>0.43096523596814917</v>
      </c>
      <c r="H269" s="19"/>
      <c r="I269" s="19"/>
      <c r="J269" s="5" t="s">
        <v>3132</v>
      </c>
    </row>
    <row r="270" spans="1:10" ht="39" x14ac:dyDescent="0.25">
      <c r="A270" s="1" t="s">
        <v>34</v>
      </c>
      <c r="B270" s="2" t="s">
        <v>338</v>
      </c>
      <c r="C270" s="5" t="s">
        <v>869</v>
      </c>
      <c r="D270" s="5" t="s">
        <v>450</v>
      </c>
      <c r="E270" s="3">
        <v>31015.88</v>
      </c>
      <c r="F270" s="3">
        <v>184186.16</v>
      </c>
      <c r="G270" s="57">
        <v>4.9384470148839883</v>
      </c>
      <c r="H270" s="19"/>
      <c r="I270" s="19"/>
      <c r="J270" s="5" t="s">
        <v>4448</v>
      </c>
    </row>
    <row r="271" spans="1:10" ht="26.25" x14ac:dyDescent="0.25">
      <c r="A271" s="1" t="s">
        <v>4</v>
      </c>
      <c r="B271" s="2" t="s">
        <v>206</v>
      </c>
      <c r="C271" s="5"/>
      <c r="D271" s="5" t="s">
        <v>450</v>
      </c>
      <c r="E271" s="9">
        <v>183937</v>
      </c>
      <c r="F271" s="9">
        <v>184116</v>
      </c>
      <c r="G271" s="57">
        <v>9.7315928823455853E-4</v>
      </c>
      <c r="H271" s="19"/>
      <c r="I271" s="19"/>
      <c r="J271" s="5" t="s">
        <v>3385</v>
      </c>
    </row>
    <row r="272" spans="1:10" ht="26.25" x14ac:dyDescent="0.25">
      <c r="A272" s="1" t="s">
        <v>25</v>
      </c>
      <c r="B272" s="2" t="s">
        <v>129</v>
      </c>
      <c r="C272" s="1" t="s">
        <v>2094</v>
      </c>
      <c r="D272" s="5" t="s">
        <v>450</v>
      </c>
      <c r="E272" s="3">
        <v>58636</v>
      </c>
      <c r="F272" s="3">
        <v>183854</v>
      </c>
      <c r="G272" s="57">
        <v>2.1355140186915889</v>
      </c>
      <c r="H272" s="19"/>
      <c r="I272" s="19"/>
      <c r="J272" s="5" t="s">
        <v>4295</v>
      </c>
    </row>
    <row r="273" spans="1:10" ht="39" x14ac:dyDescent="0.25">
      <c r="A273" s="1" t="s">
        <v>20</v>
      </c>
      <c r="B273" s="2" t="s">
        <v>154</v>
      </c>
      <c r="C273" s="1" t="s">
        <v>1617</v>
      </c>
      <c r="D273" s="5" t="s">
        <v>501</v>
      </c>
      <c r="E273" s="3" t="s">
        <v>465</v>
      </c>
      <c r="F273" s="3">
        <v>183832</v>
      </c>
      <c r="G273" s="57" t="s">
        <v>465</v>
      </c>
      <c r="H273" s="19"/>
      <c r="I273" s="19"/>
      <c r="J273" s="5" t="s">
        <v>4010</v>
      </c>
    </row>
    <row r="274" spans="1:10" ht="26.25" x14ac:dyDescent="0.25">
      <c r="A274" s="1" t="s">
        <v>25</v>
      </c>
      <c r="B274" s="2" t="s">
        <v>107</v>
      </c>
      <c r="C274" s="1" t="s">
        <v>2192</v>
      </c>
      <c r="D274" s="5" t="s">
        <v>2193</v>
      </c>
      <c r="E274" s="3">
        <v>175315</v>
      </c>
      <c r="F274" s="3">
        <v>183757</v>
      </c>
      <c r="G274" s="57">
        <v>4.8153324016769812E-2</v>
      </c>
      <c r="H274" s="19"/>
      <c r="I274" s="19"/>
      <c r="J274" s="5" t="s">
        <v>3864</v>
      </c>
    </row>
    <row r="275" spans="1:10" ht="26.25" x14ac:dyDescent="0.25">
      <c r="A275" s="1" t="s">
        <v>4</v>
      </c>
      <c r="B275" s="2" t="s">
        <v>377</v>
      </c>
      <c r="C275" s="5" t="s">
        <v>728</v>
      </c>
      <c r="D275" s="5" t="s">
        <v>729</v>
      </c>
      <c r="E275" s="3">
        <v>216305</v>
      </c>
      <c r="F275" s="3">
        <v>183547</v>
      </c>
      <c r="G275" s="57">
        <v>-0.15144356348674326</v>
      </c>
      <c r="H275" s="19"/>
      <c r="I275" s="19"/>
      <c r="J275" s="5" t="s">
        <v>4474</v>
      </c>
    </row>
    <row r="276" spans="1:10" ht="26.25" x14ac:dyDescent="0.25">
      <c r="A276" s="1" t="s">
        <v>4</v>
      </c>
      <c r="B276" s="2" t="s">
        <v>144</v>
      </c>
      <c r="C276" s="1" t="s">
        <v>1642</v>
      </c>
      <c r="D276" s="5" t="s">
        <v>854</v>
      </c>
      <c r="E276" s="3">
        <v>197046</v>
      </c>
      <c r="F276" s="3">
        <v>183386</v>
      </c>
      <c r="G276" s="57">
        <v>-6.93239142129249E-2</v>
      </c>
      <c r="H276" s="19"/>
      <c r="I276" s="19"/>
      <c r="J276" s="5" t="s">
        <v>3986</v>
      </c>
    </row>
    <row r="277" spans="1:10" ht="39" x14ac:dyDescent="0.25">
      <c r="A277" s="1" t="s">
        <v>20</v>
      </c>
      <c r="B277" s="2" t="s">
        <v>389</v>
      </c>
      <c r="C277" s="5"/>
      <c r="D277" s="5" t="s">
        <v>1874</v>
      </c>
      <c r="E277" s="3">
        <v>145161</v>
      </c>
      <c r="F277" s="3">
        <v>183254</v>
      </c>
      <c r="G277" s="57">
        <v>0.26241896928238301</v>
      </c>
      <c r="H277" s="19"/>
      <c r="I277" s="19"/>
      <c r="J277" s="5" t="s">
        <v>4487</v>
      </c>
    </row>
    <row r="278" spans="1:10" x14ac:dyDescent="0.25">
      <c r="A278" s="1" t="s">
        <v>25</v>
      </c>
      <c r="B278" s="12" t="s">
        <v>197</v>
      </c>
      <c r="C278" s="5" t="s">
        <v>1400</v>
      </c>
      <c r="D278" s="5" t="s">
        <v>450</v>
      </c>
      <c r="E278" s="9">
        <v>215206</v>
      </c>
      <c r="F278" s="9">
        <v>183250</v>
      </c>
      <c r="G278" s="57">
        <v>-0.14849028372814885</v>
      </c>
      <c r="H278" s="19"/>
      <c r="I278" s="19"/>
      <c r="J278" s="5" t="s">
        <v>3433</v>
      </c>
    </row>
    <row r="279" spans="1:10" ht="26.25" x14ac:dyDescent="0.25">
      <c r="A279" s="1" t="s">
        <v>20</v>
      </c>
      <c r="B279" s="2" t="s">
        <v>154</v>
      </c>
      <c r="C279" s="1" t="s">
        <v>1616</v>
      </c>
      <c r="D279" s="5" t="s">
        <v>4008</v>
      </c>
      <c r="E279" s="3" t="s">
        <v>465</v>
      </c>
      <c r="F279" s="3">
        <v>183197</v>
      </c>
      <c r="G279" s="57" t="s">
        <v>465</v>
      </c>
      <c r="H279" s="19"/>
      <c r="I279" s="19"/>
      <c r="J279" s="5" t="s">
        <v>4009</v>
      </c>
    </row>
    <row r="280" spans="1:10" ht="26.25" x14ac:dyDescent="0.25">
      <c r="A280" s="1" t="s">
        <v>20</v>
      </c>
      <c r="B280" s="2" t="s">
        <v>154</v>
      </c>
      <c r="C280" s="1" t="s">
        <v>1613</v>
      </c>
      <c r="D280" s="5" t="s">
        <v>4637</v>
      </c>
      <c r="E280" s="3">
        <v>198875</v>
      </c>
      <c r="F280" s="3">
        <v>183162</v>
      </c>
      <c r="G280" s="57">
        <v>-7.9009428032683848E-2</v>
      </c>
      <c r="H280" s="19"/>
      <c r="I280" s="19"/>
      <c r="J280" s="5" t="s">
        <v>4007</v>
      </c>
    </row>
    <row r="281" spans="1:10" ht="77.25" x14ac:dyDescent="0.25">
      <c r="A281" s="1" t="s">
        <v>6</v>
      </c>
      <c r="B281" s="2" t="s">
        <v>41</v>
      </c>
      <c r="C281" s="1" t="s">
        <v>1771</v>
      </c>
      <c r="D281" s="5" t="s">
        <v>4147</v>
      </c>
      <c r="E281" s="6">
        <v>183000</v>
      </c>
      <c r="F281" s="6">
        <v>183000</v>
      </c>
      <c r="G281" s="57">
        <v>0</v>
      </c>
      <c r="H281" s="19"/>
      <c r="I281" s="19"/>
      <c r="J281" s="5" t="s">
        <v>4149</v>
      </c>
    </row>
    <row r="282" spans="1:10" x14ac:dyDescent="0.25">
      <c r="A282" s="1" t="s">
        <v>34</v>
      </c>
      <c r="B282" s="2" t="s">
        <v>91</v>
      </c>
      <c r="C282" s="1"/>
      <c r="D282" s="5" t="s">
        <v>450</v>
      </c>
      <c r="E282" s="3">
        <v>100687</v>
      </c>
      <c r="F282" s="3">
        <v>182960</v>
      </c>
      <c r="G282" s="57">
        <v>0.8171164102615035</v>
      </c>
      <c r="H282" s="19"/>
      <c r="I282" s="19"/>
      <c r="J282" s="5" t="s">
        <v>2072</v>
      </c>
    </row>
    <row r="283" spans="1:10" ht="39" x14ac:dyDescent="0.25">
      <c r="A283" s="1" t="s">
        <v>6</v>
      </c>
      <c r="B283" s="12" t="s">
        <v>231</v>
      </c>
      <c r="C283" s="5" t="s">
        <v>1243</v>
      </c>
      <c r="D283" s="5" t="s">
        <v>450</v>
      </c>
      <c r="E283" s="9">
        <v>278714</v>
      </c>
      <c r="F283" s="9">
        <v>182727</v>
      </c>
      <c r="G283" s="57">
        <v>-0.34439245965398224</v>
      </c>
      <c r="H283" s="19"/>
      <c r="I283" s="19"/>
      <c r="J283" s="5" t="s">
        <v>3216</v>
      </c>
    </row>
    <row r="284" spans="1:10" x14ac:dyDescent="0.25">
      <c r="A284" s="1" t="s">
        <v>25</v>
      </c>
      <c r="B284" s="2" t="s">
        <v>175</v>
      </c>
      <c r="C284" s="5" t="s">
        <v>1511</v>
      </c>
      <c r="D284" s="5" t="s">
        <v>1512</v>
      </c>
      <c r="E284" s="9">
        <v>171825</v>
      </c>
      <c r="F284" s="9">
        <v>182687.51</v>
      </c>
      <c r="G284" s="57">
        <v>6.3218449003346486E-2</v>
      </c>
      <c r="H284" s="19"/>
      <c r="I284" s="19"/>
      <c r="J284" s="5" t="s">
        <v>3577</v>
      </c>
    </row>
    <row r="285" spans="1:10" x14ac:dyDescent="0.25">
      <c r="A285" s="1" t="s">
        <v>25</v>
      </c>
      <c r="B285" s="2" t="s">
        <v>93</v>
      </c>
      <c r="C285" s="1"/>
      <c r="D285" s="5" t="s">
        <v>464</v>
      </c>
      <c r="E285" s="3" t="s">
        <v>465</v>
      </c>
      <c r="F285" s="3">
        <v>182500</v>
      </c>
      <c r="G285" s="57" t="s">
        <v>465</v>
      </c>
      <c r="H285" s="19"/>
      <c r="I285" s="19"/>
      <c r="J285" s="5"/>
    </row>
    <row r="286" spans="1:10" x14ac:dyDescent="0.25">
      <c r="A286" s="1" t="s">
        <v>20</v>
      </c>
      <c r="B286" s="2" t="s">
        <v>154</v>
      </c>
      <c r="C286" s="1"/>
      <c r="D286" s="5" t="s">
        <v>464</v>
      </c>
      <c r="E286" s="3" t="s">
        <v>465</v>
      </c>
      <c r="F286" s="3">
        <v>182500</v>
      </c>
      <c r="G286" s="57" t="s">
        <v>465</v>
      </c>
      <c r="H286" s="19"/>
      <c r="I286" s="19"/>
      <c r="J286" s="5"/>
    </row>
    <row r="287" spans="1:10" x14ac:dyDescent="0.25">
      <c r="A287" s="1" t="s">
        <v>25</v>
      </c>
      <c r="B287" s="2" t="s">
        <v>398</v>
      </c>
      <c r="C287" s="5"/>
      <c r="D287" s="5" t="s">
        <v>464</v>
      </c>
      <c r="E287" s="3" t="s">
        <v>465</v>
      </c>
      <c r="F287" s="3">
        <v>182500</v>
      </c>
      <c r="G287" s="57" t="s">
        <v>465</v>
      </c>
      <c r="H287" s="19"/>
      <c r="I287" s="19"/>
      <c r="J287" s="5" t="s">
        <v>1241</v>
      </c>
    </row>
    <row r="288" spans="1:10" x14ac:dyDescent="0.25">
      <c r="A288" s="1" t="s">
        <v>25</v>
      </c>
      <c r="B288" s="2" t="s">
        <v>405</v>
      </c>
      <c r="C288" s="5"/>
      <c r="D288" s="5" t="s">
        <v>464</v>
      </c>
      <c r="E288" s="3" t="s">
        <v>465</v>
      </c>
      <c r="F288" s="3">
        <v>182500</v>
      </c>
      <c r="G288" s="57" t="s">
        <v>465</v>
      </c>
      <c r="H288" s="19"/>
      <c r="I288" s="19"/>
      <c r="J288" s="5"/>
    </row>
    <row r="289" spans="1:10" ht="39" x14ac:dyDescent="0.25">
      <c r="A289" s="1" t="s">
        <v>25</v>
      </c>
      <c r="B289" s="2" t="s">
        <v>181</v>
      </c>
      <c r="C289" s="5" t="s">
        <v>1486</v>
      </c>
      <c r="D289" s="5" t="s">
        <v>1487</v>
      </c>
      <c r="E289" s="9" t="s">
        <v>465</v>
      </c>
      <c r="F289" s="9">
        <v>182400</v>
      </c>
      <c r="G289" s="57" t="s">
        <v>465</v>
      </c>
      <c r="H289" s="19"/>
      <c r="I289" s="19"/>
      <c r="J289" s="5" t="s">
        <v>3548</v>
      </c>
    </row>
    <row r="290" spans="1:10" ht="51.75" x14ac:dyDescent="0.25">
      <c r="A290" s="1" t="s">
        <v>1</v>
      </c>
      <c r="B290" s="12" t="s">
        <v>308</v>
      </c>
      <c r="C290" s="5" t="s">
        <v>952</v>
      </c>
      <c r="D290" s="5" t="s">
        <v>452</v>
      </c>
      <c r="E290" s="6">
        <v>110134</v>
      </c>
      <c r="F290" s="3">
        <v>182396</v>
      </c>
      <c r="G290" s="57">
        <v>0.65612798954001494</v>
      </c>
      <c r="H290" s="19"/>
      <c r="I290" s="19"/>
      <c r="J290" s="5" t="s">
        <v>4407</v>
      </c>
    </row>
    <row r="291" spans="1:10" x14ac:dyDescent="0.25">
      <c r="A291" s="1" t="s">
        <v>25</v>
      </c>
      <c r="B291" s="12" t="s">
        <v>70</v>
      </c>
      <c r="C291" s="13" t="s">
        <v>3783</v>
      </c>
      <c r="D291" s="7" t="s">
        <v>1913</v>
      </c>
      <c r="E291" s="21">
        <v>183229</v>
      </c>
      <c r="F291" s="21">
        <v>182388</v>
      </c>
      <c r="G291" s="57">
        <v>-4.5898847889799107E-3</v>
      </c>
      <c r="H291" s="21"/>
      <c r="I291" s="21"/>
      <c r="J291" s="7" t="s">
        <v>1914</v>
      </c>
    </row>
    <row r="292" spans="1:10" ht="39" x14ac:dyDescent="0.25">
      <c r="A292" s="1" t="s">
        <v>8</v>
      </c>
      <c r="B292" s="2" t="s">
        <v>342</v>
      </c>
      <c r="C292" s="5" t="s">
        <v>859</v>
      </c>
      <c r="D292" s="5" t="s">
        <v>452</v>
      </c>
      <c r="E292" s="3">
        <v>104624</v>
      </c>
      <c r="F292" s="3">
        <v>182334</v>
      </c>
      <c r="G292" s="57">
        <v>0.742755008411072</v>
      </c>
      <c r="H292" s="19"/>
      <c r="I292" s="19"/>
      <c r="J292" s="5" t="s">
        <v>2706</v>
      </c>
    </row>
    <row r="293" spans="1:10" ht="39" x14ac:dyDescent="0.25">
      <c r="A293" s="1" t="s">
        <v>111</v>
      </c>
      <c r="B293" s="2" t="s">
        <v>305</v>
      </c>
      <c r="C293" s="5"/>
      <c r="D293" s="5" t="s">
        <v>451</v>
      </c>
      <c r="E293" s="3">
        <v>115596</v>
      </c>
      <c r="F293" s="3">
        <v>182055</v>
      </c>
      <c r="G293" s="57">
        <v>0.57492473788020348</v>
      </c>
      <c r="H293" s="19"/>
      <c r="I293" s="19"/>
      <c r="J293" s="5" t="s">
        <v>4403</v>
      </c>
    </row>
    <row r="294" spans="1:10" ht="39" x14ac:dyDescent="0.25">
      <c r="A294" s="1" t="s">
        <v>25</v>
      </c>
      <c r="B294" s="2" t="s">
        <v>26</v>
      </c>
      <c r="C294" s="1"/>
      <c r="D294" s="5" t="s">
        <v>1705</v>
      </c>
      <c r="E294" s="6" t="s">
        <v>465</v>
      </c>
      <c r="F294" s="3">
        <v>181310</v>
      </c>
      <c r="G294" s="57" t="s">
        <v>465</v>
      </c>
      <c r="H294" s="19"/>
      <c r="I294" s="19"/>
      <c r="J294" s="5" t="s">
        <v>4097</v>
      </c>
    </row>
    <row r="295" spans="1:10" ht="26.25" x14ac:dyDescent="0.25">
      <c r="A295" s="1" t="s">
        <v>4</v>
      </c>
      <c r="B295" s="2" t="s">
        <v>432</v>
      </c>
      <c r="C295" s="5" t="s">
        <v>489</v>
      </c>
      <c r="D295" s="5" t="s">
        <v>450</v>
      </c>
      <c r="E295" s="3">
        <v>181101</v>
      </c>
      <c r="F295" s="3">
        <v>181281</v>
      </c>
      <c r="G295" s="57">
        <v>9.9392051948912481E-4</v>
      </c>
      <c r="H295" s="19"/>
      <c r="I295" s="19"/>
      <c r="J295" s="5" t="s">
        <v>2286</v>
      </c>
    </row>
    <row r="296" spans="1:10" ht="26.25" x14ac:dyDescent="0.25">
      <c r="A296" s="1" t="s">
        <v>25</v>
      </c>
      <c r="B296" s="2" t="s">
        <v>358</v>
      </c>
      <c r="C296" s="5" t="s">
        <v>799</v>
      </c>
      <c r="D296" s="5" t="s">
        <v>800</v>
      </c>
      <c r="E296" s="9">
        <v>174855</v>
      </c>
      <c r="F296" s="9">
        <v>181277</v>
      </c>
      <c r="G296" s="57">
        <v>3.6727574275828546E-2</v>
      </c>
      <c r="H296" s="19"/>
      <c r="I296" s="19"/>
      <c r="J296" s="5" t="s">
        <v>2631</v>
      </c>
    </row>
    <row r="297" spans="1:10" ht="26.25" x14ac:dyDescent="0.25">
      <c r="A297" s="1" t="s">
        <v>4</v>
      </c>
      <c r="B297" s="2" t="s">
        <v>206</v>
      </c>
      <c r="C297" s="5"/>
      <c r="D297" s="5" t="s">
        <v>1379</v>
      </c>
      <c r="E297" s="9">
        <v>185405</v>
      </c>
      <c r="F297" s="9">
        <v>181121</v>
      </c>
      <c r="G297" s="57">
        <v>-2.3106172972681426E-2</v>
      </c>
      <c r="H297" s="19"/>
      <c r="I297" s="19"/>
      <c r="J297" s="5" t="s">
        <v>3389</v>
      </c>
    </row>
    <row r="298" spans="1:10" ht="51.75" x14ac:dyDescent="0.25">
      <c r="A298" s="1" t="s">
        <v>20</v>
      </c>
      <c r="B298" s="2" t="s">
        <v>194</v>
      </c>
      <c r="C298" s="5" t="s">
        <v>1429</v>
      </c>
      <c r="D298" s="5" t="s">
        <v>1430</v>
      </c>
      <c r="E298" s="9">
        <v>123165</v>
      </c>
      <c r="F298" s="9">
        <v>181086</v>
      </c>
      <c r="G298" s="57">
        <v>0.47027158689562781</v>
      </c>
      <c r="H298" s="19"/>
      <c r="I298" s="19"/>
      <c r="J298" s="5" t="s">
        <v>3473</v>
      </c>
    </row>
    <row r="299" spans="1:10" ht="39" x14ac:dyDescent="0.25">
      <c r="A299" s="1" t="s">
        <v>39</v>
      </c>
      <c r="B299" s="2" t="s">
        <v>124</v>
      </c>
      <c r="C299" s="1" t="s">
        <v>2134</v>
      </c>
      <c r="D299" s="5" t="s">
        <v>450</v>
      </c>
      <c r="E299" s="3">
        <v>181000</v>
      </c>
      <c r="F299" s="3">
        <v>181000</v>
      </c>
      <c r="G299" s="57">
        <v>0</v>
      </c>
      <c r="H299" s="19"/>
      <c r="I299" s="19"/>
      <c r="J299" s="5" t="s">
        <v>4287</v>
      </c>
    </row>
    <row r="300" spans="1:10" ht="64.5" x14ac:dyDescent="0.25">
      <c r="A300" s="1" t="s">
        <v>39</v>
      </c>
      <c r="B300" s="2" t="s">
        <v>388</v>
      </c>
      <c r="C300" s="5" t="s">
        <v>693</v>
      </c>
      <c r="D300" s="5" t="s">
        <v>450</v>
      </c>
      <c r="E300" s="3">
        <v>163635</v>
      </c>
      <c r="F300" s="3">
        <v>180862</v>
      </c>
      <c r="G300" s="57">
        <v>0.10527698841934793</v>
      </c>
      <c r="H300" s="19"/>
      <c r="I300" s="19"/>
      <c r="J300" s="5" t="s">
        <v>4483</v>
      </c>
    </row>
    <row r="301" spans="1:10" ht="26.25" x14ac:dyDescent="0.25">
      <c r="A301" s="1" t="s">
        <v>25</v>
      </c>
      <c r="B301" s="2" t="s">
        <v>181</v>
      </c>
      <c r="C301" s="5" t="s">
        <v>1481</v>
      </c>
      <c r="D301" s="5" t="s">
        <v>855</v>
      </c>
      <c r="E301" s="9">
        <v>198298</v>
      </c>
      <c r="F301" s="9">
        <v>180777</v>
      </c>
      <c r="G301" s="57">
        <v>-8.8356917366791396E-2</v>
      </c>
      <c r="H301" s="19"/>
      <c r="I301" s="19"/>
      <c r="J301" s="5" t="s">
        <v>3543</v>
      </c>
    </row>
    <row r="302" spans="1:10" ht="26.25" x14ac:dyDescent="0.25">
      <c r="A302" s="13" t="s">
        <v>4</v>
      </c>
      <c r="B302" s="12" t="s">
        <v>63</v>
      </c>
      <c r="C302" s="13"/>
      <c r="D302" s="7" t="s">
        <v>3769</v>
      </c>
      <c r="E302" s="6">
        <v>180460</v>
      </c>
      <c r="F302" s="6">
        <v>180712</v>
      </c>
      <c r="G302" s="57">
        <v>1.3964313421256788E-3</v>
      </c>
      <c r="H302" s="21"/>
      <c r="I302" s="21"/>
      <c r="J302" s="7" t="s">
        <v>3770</v>
      </c>
    </row>
    <row r="303" spans="1:10" ht="64.5" x14ac:dyDescent="0.25">
      <c r="A303" s="1" t="s">
        <v>39</v>
      </c>
      <c r="B303" s="2" t="s">
        <v>433</v>
      </c>
      <c r="C303" s="5" t="s">
        <v>480</v>
      </c>
      <c r="D303" s="5" t="s">
        <v>450</v>
      </c>
      <c r="E303" s="3">
        <v>8122</v>
      </c>
      <c r="F303" s="3">
        <v>180615</v>
      </c>
      <c r="G303" s="57">
        <v>21.23774932282689</v>
      </c>
      <c r="H303" s="19"/>
      <c r="I303" s="19"/>
      <c r="J303" s="5" t="s">
        <v>2277</v>
      </c>
    </row>
    <row r="304" spans="1:10" ht="39" x14ac:dyDescent="0.25">
      <c r="A304" s="1" t="s">
        <v>4</v>
      </c>
      <c r="B304" s="2" t="s">
        <v>136</v>
      </c>
      <c r="C304" s="1"/>
      <c r="D304" s="5" t="s">
        <v>3961</v>
      </c>
      <c r="E304" s="3">
        <v>91438</v>
      </c>
      <c r="F304" s="3">
        <v>180404</v>
      </c>
      <c r="G304" s="57">
        <v>0.97296528795467963</v>
      </c>
      <c r="H304" s="19"/>
      <c r="I304" s="19"/>
      <c r="J304" s="5" t="s">
        <v>4306</v>
      </c>
    </row>
    <row r="305" spans="1:10" x14ac:dyDescent="0.25">
      <c r="A305" s="1" t="s">
        <v>20</v>
      </c>
      <c r="B305" s="2" t="s">
        <v>77</v>
      </c>
      <c r="C305" s="1" t="s">
        <v>1972</v>
      </c>
      <c r="D305" s="5" t="s">
        <v>450</v>
      </c>
      <c r="E305" s="3">
        <v>186293</v>
      </c>
      <c r="F305" s="3">
        <v>180200</v>
      </c>
      <c r="G305" s="57">
        <v>-3.2706542918950254E-2</v>
      </c>
      <c r="H305" s="19"/>
      <c r="I305" s="19"/>
      <c r="J305" s="5" t="s">
        <v>1973</v>
      </c>
    </row>
    <row r="306" spans="1:10" x14ac:dyDescent="0.25">
      <c r="A306" s="1" t="s">
        <v>25</v>
      </c>
      <c r="B306" s="2" t="s">
        <v>70</v>
      </c>
      <c r="C306" s="1" t="s">
        <v>3785</v>
      </c>
      <c r="D306" s="5" t="s">
        <v>507</v>
      </c>
      <c r="E306" s="19">
        <v>180153</v>
      </c>
      <c r="F306" s="19">
        <v>179030</v>
      </c>
      <c r="G306" s="57">
        <v>-6.2335903371023519E-3</v>
      </c>
      <c r="H306" s="19"/>
      <c r="I306" s="19"/>
      <c r="J306" s="5" t="s">
        <v>1917</v>
      </c>
    </row>
    <row r="307" spans="1:10" x14ac:dyDescent="0.25">
      <c r="A307" s="1" t="s">
        <v>25</v>
      </c>
      <c r="B307" s="2" t="s">
        <v>70</v>
      </c>
      <c r="C307" s="1" t="s">
        <v>3784</v>
      </c>
      <c r="D307" s="5" t="s">
        <v>1915</v>
      </c>
      <c r="E307" s="19">
        <v>179116</v>
      </c>
      <c r="F307" s="19">
        <v>178974</v>
      </c>
      <c r="G307" s="57">
        <v>-7.9278233100337208E-4</v>
      </c>
      <c r="H307" s="19"/>
      <c r="I307" s="19"/>
      <c r="J307" s="5" t="s">
        <v>1916</v>
      </c>
    </row>
    <row r="308" spans="1:10" ht="26.25" x14ac:dyDescent="0.25">
      <c r="A308" s="13" t="s">
        <v>4</v>
      </c>
      <c r="B308" s="12" t="s">
        <v>63</v>
      </c>
      <c r="C308" s="13"/>
      <c r="D308" s="7" t="s">
        <v>3772</v>
      </c>
      <c r="E308" s="6" t="s">
        <v>465</v>
      </c>
      <c r="F308" s="6">
        <v>178937</v>
      </c>
      <c r="G308" s="57" t="s">
        <v>465</v>
      </c>
      <c r="H308" s="21"/>
      <c r="I308" s="21"/>
      <c r="J308" s="7" t="s">
        <v>3773</v>
      </c>
    </row>
    <row r="309" spans="1:10" x14ac:dyDescent="0.25">
      <c r="A309" s="1" t="s">
        <v>8</v>
      </c>
      <c r="B309" s="2" t="s">
        <v>116</v>
      </c>
      <c r="C309" s="1" t="s">
        <v>2150</v>
      </c>
      <c r="D309" s="5" t="s">
        <v>450</v>
      </c>
      <c r="E309" s="3">
        <v>179644</v>
      </c>
      <c r="F309" s="3">
        <v>178927</v>
      </c>
      <c r="G309" s="57">
        <v>-3.9912270935850902E-3</v>
      </c>
      <c r="H309" s="19"/>
      <c r="I309" s="19"/>
      <c r="J309" s="5" t="s">
        <v>3898</v>
      </c>
    </row>
    <row r="310" spans="1:10" ht="39" x14ac:dyDescent="0.25">
      <c r="A310" s="1" t="s">
        <v>6</v>
      </c>
      <c r="B310" s="2" t="s">
        <v>407</v>
      </c>
      <c r="C310" s="5"/>
      <c r="D310" s="5" t="s">
        <v>616</v>
      </c>
      <c r="E310" s="3">
        <v>106000</v>
      </c>
      <c r="F310" s="3">
        <v>178741</v>
      </c>
      <c r="G310" s="57">
        <v>0.68623584905660373</v>
      </c>
      <c r="H310" s="19"/>
      <c r="I310" s="19"/>
      <c r="J310" s="5" t="s">
        <v>4534</v>
      </c>
    </row>
    <row r="311" spans="1:10" ht="26.25" x14ac:dyDescent="0.25">
      <c r="A311" s="1" t="s">
        <v>4</v>
      </c>
      <c r="B311" s="2" t="s">
        <v>380</v>
      </c>
      <c r="C311" s="5"/>
      <c r="D311" s="5" t="s">
        <v>450</v>
      </c>
      <c r="E311" s="3">
        <v>127757</v>
      </c>
      <c r="F311" s="3">
        <v>178200</v>
      </c>
      <c r="G311" s="57">
        <v>0.39483550803478479</v>
      </c>
      <c r="H311" s="19"/>
      <c r="I311" s="19"/>
      <c r="J311" s="5" t="s">
        <v>2516</v>
      </c>
    </row>
    <row r="312" spans="1:10" x14ac:dyDescent="0.25">
      <c r="A312" s="1" t="s">
        <v>25</v>
      </c>
      <c r="B312" s="2" t="s">
        <v>358</v>
      </c>
      <c r="C312" s="5" t="s">
        <v>801</v>
      </c>
      <c r="D312" s="5" t="s">
        <v>802</v>
      </c>
      <c r="E312" s="9">
        <v>184281</v>
      </c>
      <c r="F312" s="9">
        <v>177924</v>
      </c>
      <c r="G312" s="57">
        <v>-3.4496231298940208E-2</v>
      </c>
      <c r="H312" s="19"/>
      <c r="I312" s="19"/>
      <c r="J312" s="5" t="s">
        <v>2632</v>
      </c>
    </row>
    <row r="313" spans="1:10" x14ac:dyDescent="0.25">
      <c r="A313" s="1" t="s">
        <v>1</v>
      </c>
      <c r="B313" s="2" t="s">
        <v>272</v>
      </c>
      <c r="C313" s="5" t="s">
        <v>1118</v>
      </c>
      <c r="D313" s="7" t="s">
        <v>450</v>
      </c>
      <c r="E313" s="6">
        <v>178232</v>
      </c>
      <c r="F313" s="6">
        <v>177830</v>
      </c>
      <c r="G313" s="57">
        <v>-2.2554872301270255E-3</v>
      </c>
      <c r="H313" s="21"/>
      <c r="I313" s="21"/>
      <c r="J313" s="7" t="s">
        <v>3048</v>
      </c>
    </row>
    <row r="314" spans="1:10" x14ac:dyDescent="0.25">
      <c r="A314" s="1" t="s">
        <v>25</v>
      </c>
      <c r="B314" s="2" t="s">
        <v>175</v>
      </c>
      <c r="C314" s="5" t="s">
        <v>1513</v>
      </c>
      <c r="D314" s="5" t="s">
        <v>562</v>
      </c>
      <c r="E314" s="9">
        <v>177750</v>
      </c>
      <c r="F314" s="9">
        <v>177750</v>
      </c>
      <c r="G314" s="57">
        <v>0</v>
      </c>
      <c r="H314" s="19"/>
      <c r="I314" s="19"/>
      <c r="J314" s="5" t="s">
        <v>3578</v>
      </c>
    </row>
    <row r="315" spans="1:10" x14ac:dyDescent="0.25">
      <c r="A315" s="1" t="s">
        <v>25</v>
      </c>
      <c r="B315" s="2" t="s">
        <v>200</v>
      </c>
      <c r="C315" s="5"/>
      <c r="D315" s="5" t="s">
        <v>855</v>
      </c>
      <c r="E315" s="9">
        <v>172579</v>
      </c>
      <c r="F315" s="9">
        <v>177684</v>
      </c>
      <c r="G315" s="57">
        <v>2.9580655815597493E-2</v>
      </c>
      <c r="H315" s="19"/>
      <c r="I315" s="19"/>
      <c r="J315" s="5" t="s">
        <v>3416</v>
      </c>
    </row>
    <row r="316" spans="1:10" x14ac:dyDescent="0.25">
      <c r="A316" s="1" t="s">
        <v>20</v>
      </c>
      <c r="B316" s="2" t="s">
        <v>263</v>
      </c>
      <c r="C316" s="5"/>
      <c r="D316" s="7" t="s">
        <v>464</v>
      </c>
      <c r="E316" s="6" t="s">
        <v>465</v>
      </c>
      <c r="F316" s="6">
        <v>177500</v>
      </c>
      <c r="G316" s="57" t="s">
        <v>465</v>
      </c>
      <c r="H316" s="21"/>
      <c r="I316" s="21"/>
      <c r="J316" s="5"/>
    </row>
    <row r="317" spans="1:10" x14ac:dyDescent="0.25">
      <c r="A317" s="1" t="s">
        <v>1</v>
      </c>
      <c r="B317" s="12" t="s">
        <v>308</v>
      </c>
      <c r="C317" s="5"/>
      <c r="D317" s="5" t="s">
        <v>464</v>
      </c>
      <c r="E317" s="3" t="s">
        <v>465</v>
      </c>
      <c r="F317" s="3">
        <v>177500</v>
      </c>
      <c r="G317" s="57" t="s">
        <v>465</v>
      </c>
      <c r="H317" s="19"/>
      <c r="I317" s="19"/>
      <c r="J317" s="5" t="s">
        <v>539</v>
      </c>
    </row>
    <row r="318" spans="1:10" ht="39" x14ac:dyDescent="0.25">
      <c r="A318" s="1" t="s">
        <v>20</v>
      </c>
      <c r="B318" s="2" t="s">
        <v>154</v>
      </c>
      <c r="C318" s="1" t="s">
        <v>1618</v>
      </c>
      <c r="D318" s="5" t="s">
        <v>1619</v>
      </c>
      <c r="E318" s="3" t="s">
        <v>465</v>
      </c>
      <c r="F318" s="3">
        <v>177476</v>
      </c>
      <c r="G318" s="57" t="s">
        <v>465</v>
      </c>
      <c r="H318" s="19"/>
      <c r="I318" s="19"/>
      <c r="J318" s="5" t="s">
        <v>4011</v>
      </c>
    </row>
    <row r="319" spans="1:10" ht="39" x14ac:dyDescent="0.25">
      <c r="A319" s="1" t="s">
        <v>6</v>
      </c>
      <c r="B319" s="2" t="s">
        <v>237</v>
      </c>
      <c r="C319" s="5" t="s">
        <v>1226</v>
      </c>
      <c r="D319" s="14" t="s">
        <v>1227</v>
      </c>
      <c r="E319" s="10">
        <v>177382</v>
      </c>
      <c r="F319" s="10">
        <v>177398</v>
      </c>
      <c r="G319" s="57">
        <v>9.0200809552265729E-5</v>
      </c>
      <c r="H319" s="19"/>
      <c r="I319" s="19"/>
      <c r="J319" s="5" t="s">
        <v>3187</v>
      </c>
    </row>
    <row r="320" spans="1:10" x14ac:dyDescent="0.25">
      <c r="A320" s="1" t="s">
        <v>4</v>
      </c>
      <c r="B320" s="2" t="s">
        <v>299</v>
      </c>
      <c r="C320" s="5"/>
      <c r="D320" s="5" t="s">
        <v>450</v>
      </c>
      <c r="E320" s="3">
        <v>176578</v>
      </c>
      <c r="F320" s="3">
        <v>177322</v>
      </c>
      <c r="G320" s="57">
        <v>4.2134354223062895E-3</v>
      </c>
      <c r="H320" s="19"/>
      <c r="I320" s="19"/>
      <c r="J320" s="5" t="s">
        <v>2857</v>
      </c>
    </row>
    <row r="321" spans="1:10" ht="26.25" x14ac:dyDescent="0.25">
      <c r="A321" s="1" t="s">
        <v>8</v>
      </c>
      <c r="B321" s="2" t="s">
        <v>280</v>
      </c>
      <c r="C321" s="5"/>
      <c r="D321" s="5" t="s">
        <v>450</v>
      </c>
      <c r="E321" s="3">
        <v>172000</v>
      </c>
      <c r="F321" s="3">
        <v>177000</v>
      </c>
      <c r="G321" s="57">
        <v>2.9069767441860465E-2</v>
      </c>
      <c r="H321" s="19"/>
      <c r="I321" s="19"/>
      <c r="J321" s="5" t="s">
        <v>2993</v>
      </c>
    </row>
    <row r="322" spans="1:10" ht="26.25" x14ac:dyDescent="0.25">
      <c r="A322" s="1" t="s">
        <v>25</v>
      </c>
      <c r="B322" s="2" t="s">
        <v>217</v>
      </c>
      <c r="C322" s="5" t="s">
        <v>1301</v>
      </c>
      <c r="D322" s="5" t="s">
        <v>1302</v>
      </c>
      <c r="E322" s="3">
        <v>176592</v>
      </c>
      <c r="F322" s="3">
        <v>176592</v>
      </c>
      <c r="G322" s="57">
        <v>0</v>
      </c>
      <c r="H322" s="19"/>
      <c r="I322" s="19"/>
      <c r="J322" s="5" t="s">
        <v>3295</v>
      </c>
    </row>
    <row r="323" spans="1:10" ht="26.25" x14ac:dyDescent="0.25">
      <c r="A323" s="1" t="s">
        <v>25</v>
      </c>
      <c r="B323" s="2" t="s">
        <v>217</v>
      </c>
      <c r="C323" s="5" t="s">
        <v>1306</v>
      </c>
      <c r="D323" s="5" t="s">
        <v>1307</v>
      </c>
      <c r="E323" s="3">
        <v>176592</v>
      </c>
      <c r="F323" s="3">
        <v>176592</v>
      </c>
      <c r="G323" s="57">
        <v>0</v>
      </c>
      <c r="H323" s="19"/>
      <c r="I323" s="19"/>
      <c r="J323" s="5" t="s">
        <v>3295</v>
      </c>
    </row>
    <row r="324" spans="1:10" x14ac:dyDescent="0.25">
      <c r="A324" s="1" t="s">
        <v>1</v>
      </c>
      <c r="B324" s="2" t="s">
        <v>272</v>
      </c>
      <c r="C324" s="5" t="s">
        <v>1119</v>
      </c>
      <c r="D324" s="7" t="s">
        <v>451</v>
      </c>
      <c r="E324" s="6">
        <v>110882</v>
      </c>
      <c r="F324" s="6">
        <v>176513</v>
      </c>
      <c r="G324" s="57">
        <v>0.5918994967623239</v>
      </c>
      <c r="H324" s="21"/>
      <c r="I324" s="21"/>
      <c r="J324" s="7" t="s">
        <v>3049</v>
      </c>
    </row>
    <row r="325" spans="1:10" ht="26.25" x14ac:dyDescent="0.25">
      <c r="A325" s="13" t="s">
        <v>4</v>
      </c>
      <c r="B325" s="12" t="s">
        <v>63</v>
      </c>
      <c r="C325" s="13"/>
      <c r="D325" s="7" t="s">
        <v>3767</v>
      </c>
      <c r="E325" s="6">
        <v>176174</v>
      </c>
      <c r="F325" s="6">
        <v>176253</v>
      </c>
      <c r="G325" s="57">
        <v>4.4842031173725975E-4</v>
      </c>
      <c r="H325" s="21"/>
      <c r="I325" s="21"/>
      <c r="J325" s="7" t="s">
        <v>3768</v>
      </c>
    </row>
    <row r="326" spans="1:10" ht="26.25" x14ac:dyDescent="0.25">
      <c r="A326" s="1" t="s">
        <v>1</v>
      </c>
      <c r="B326" s="2" t="s">
        <v>125</v>
      </c>
      <c r="C326" s="1" t="s">
        <v>2118</v>
      </c>
      <c r="D326" s="5" t="s">
        <v>2119</v>
      </c>
      <c r="E326" s="3">
        <v>108624</v>
      </c>
      <c r="F326" s="3">
        <v>176134</v>
      </c>
      <c r="G326" s="57">
        <v>0.62150169391662979</v>
      </c>
      <c r="H326" s="19"/>
      <c r="I326" s="19"/>
      <c r="J326" s="5" t="s">
        <v>3930</v>
      </c>
    </row>
    <row r="327" spans="1:10" x14ac:dyDescent="0.25">
      <c r="A327" s="1" t="s">
        <v>20</v>
      </c>
      <c r="B327" s="2" t="s">
        <v>79</v>
      </c>
      <c r="C327" s="1" t="s">
        <v>1986</v>
      </c>
      <c r="D327" s="5" t="s">
        <v>1966</v>
      </c>
      <c r="E327" s="3">
        <v>176011</v>
      </c>
      <c r="F327" s="3">
        <v>176080</v>
      </c>
      <c r="G327" s="57">
        <v>3.9202095323587731E-4</v>
      </c>
      <c r="H327" s="19"/>
      <c r="I327" s="19"/>
      <c r="J327" s="5" t="s">
        <v>1987</v>
      </c>
    </row>
    <row r="328" spans="1:10" ht="26.25" x14ac:dyDescent="0.25">
      <c r="A328" s="1" t="s">
        <v>8</v>
      </c>
      <c r="B328" s="2" t="s">
        <v>223</v>
      </c>
      <c r="C328" s="5"/>
      <c r="D328" s="5" t="s">
        <v>854</v>
      </c>
      <c r="E328" s="3">
        <v>176000</v>
      </c>
      <c r="F328" s="3">
        <v>176000</v>
      </c>
      <c r="G328" s="57">
        <v>0</v>
      </c>
      <c r="H328" s="19"/>
      <c r="I328" s="19"/>
      <c r="J328" s="5" t="s">
        <v>3249</v>
      </c>
    </row>
    <row r="329" spans="1:10" ht="26.25" x14ac:dyDescent="0.25">
      <c r="A329" s="1" t="s">
        <v>20</v>
      </c>
      <c r="B329" s="2" t="s">
        <v>374</v>
      </c>
      <c r="C329" s="5" t="s">
        <v>754</v>
      </c>
      <c r="D329" s="5" t="s">
        <v>755</v>
      </c>
      <c r="E329" s="3">
        <v>114739</v>
      </c>
      <c r="F329" s="3">
        <v>175666</v>
      </c>
      <c r="G329" s="57">
        <v>0.53100515082055799</v>
      </c>
      <c r="H329" s="19"/>
      <c r="I329" s="19"/>
      <c r="J329" s="5" t="s">
        <v>2545</v>
      </c>
    </row>
    <row r="330" spans="1:10" ht="26.25" x14ac:dyDescent="0.25">
      <c r="A330" s="13" t="s">
        <v>4</v>
      </c>
      <c r="B330" s="12" t="s">
        <v>63</v>
      </c>
      <c r="C330" s="13"/>
      <c r="D330" s="7" t="s">
        <v>1823</v>
      </c>
      <c r="E330" s="6">
        <v>176290</v>
      </c>
      <c r="F330" s="6">
        <v>175647</v>
      </c>
      <c r="G330" s="57">
        <v>-3.6473991718191617E-3</v>
      </c>
      <c r="H330" s="21"/>
      <c r="I330" s="21"/>
      <c r="J330" s="7" t="s">
        <v>3771</v>
      </c>
    </row>
    <row r="331" spans="1:10" ht="26.25" x14ac:dyDescent="0.25">
      <c r="A331" s="1" t="s">
        <v>20</v>
      </c>
      <c r="B331" s="2" t="s">
        <v>263</v>
      </c>
      <c r="C331" s="5" t="s">
        <v>1151</v>
      </c>
      <c r="D331" s="5" t="s">
        <v>562</v>
      </c>
      <c r="E331" s="3">
        <v>175400</v>
      </c>
      <c r="F331" s="3">
        <v>175600</v>
      </c>
      <c r="G331" s="57">
        <v>1.1402508551881414E-3</v>
      </c>
      <c r="H331" s="19"/>
      <c r="I331" s="19"/>
      <c r="J331" s="5" t="s">
        <v>3072</v>
      </c>
    </row>
    <row r="332" spans="1:10" ht="26.25" x14ac:dyDescent="0.25">
      <c r="A332" s="1" t="s">
        <v>4</v>
      </c>
      <c r="B332" s="2" t="s">
        <v>56</v>
      </c>
      <c r="C332" s="1"/>
      <c r="D332" s="5" t="s">
        <v>1850</v>
      </c>
      <c r="E332" s="3">
        <v>58500</v>
      </c>
      <c r="F332" s="3">
        <v>175500</v>
      </c>
      <c r="G332" s="57">
        <v>2</v>
      </c>
      <c r="H332" s="19"/>
      <c r="I332" s="19"/>
      <c r="J332" s="5" t="s">
        <v>1851</v>
      </c>
    </row>
    <row r="333" spans="1:10" ht="39" x14ac:dyDescent="0.25">
      <c r="A333" s="1" t="s">
        <v>111</v>
      </c>
      <c r="B333" s="2" t="s">
        <v>355</v>
      </c>
      <c r="C333" s="5" t="s">
        <v>830</v>
      </c>
      <c r="D333" s="5" t="s">
        <v>450</v>
      </c>
      <c r="E333" s="3">
        <v>34764</v>
      </c>
      <c r="F333" s="3">
        <v>175457</v>
      </c>
      <c r="G333" s="57">
        <v>4.0470889425842822</v>
      </c>
      <c r="H333" s="19"/>
      <c r="I333" s="19"/>
      <c r="J333" s="5" t="s">
        <v>2876</v>
      </c>
    </row>
    <row r="334" spans="1:10" ht="26.25" x14ac:dyDescent="0.25">
      <c r="A334" s="13" t="s">
        <v>25</v>
      </c>
      <c r="B334" s="12" t="s">
        <v>37</v>
      </c>
      <c r="C334" s="13"/>
      <c r="D334" s="7" t="s">
        <v>1759</v>
      </c>
      <c r="E334" s="36">
        <v>170073</v>
      </c>
      <c r="F334" s="36">
        <v>175280</v>
      </c>
      <c r="G334" s="57">
        <v>3.0616264780417821E-2</v>
      </c>
      <c r="H334" s="21"/>
      <c r="I334" s="21"/>
      <c r="J334" s="7" t="s">
        <v>1760</v>
      </c>
    </row>
    <row r="335" spans="1:10" ht="39" x14ac:dyDescent="0.25">
      <c r="A335" s="1" t="s">
        <v>25</v>
      </c>
      <c r="B335" s="2" t="s">
        <v>406</v>
      </c>
      <c r="C335" s="5"/>
      <c r="D335" s="5" t="s">
        <v>532</v>
      </c>
      <c r="E335" s="9" t="s">
        <v>465</v>
      </c>
      <c r="F335" s="3">
        <v>175234</v>
      </c>
      <c r="G335" s="57" t="s">
        <v>465</v>
      </c>
      <c r="H335" s="19"/>
      <c r="I335" s="19"/>
      <c r="J335" s="5" t="s">
        <v>2407</v>
      </c>
    </row>
    <row r="336" spans="1:10" x14ac:dyDescent="0.25">
      <c r="A336" s="1" t="s">
        <v>25</v>
      </c>
      <c r="B336" s="2" t="s">
        <v>200</v>
      </c>
      <c r="C336" s="5"/>
      <c r="D336" s="5" t="s">
        <v>532</v>
      </c>
      <c r="E336" s="9">
        <v>165880</v>
      </c>
      <c r="F336" s="9">
        <v>175132</v>
      </c>
      <c r="G336" s="57">
        <v>5.5775259223535087E-2</v>
      </c>
      <c r="H336" s="19"/>
      <c r="I336" s="19"/>
      <c r="J336" s="5" t="s">
        <v>3418</v>
      </c>
    </row>
    <row r="337" spans="1:10" ht="26.25" x14ac:dyDescent="0.25">
      <c r="A337" s="1" t="s">
        <v>6</v>
      </c>
      <c r="B337" s="2" t="s">
        <v>313</v>
      </c>
      <c r="C337" s="5" t="s">
        <v>932</v>
      </c>
      <c r="D337" s="5" t="s">
        <v>450</v>
      </c>
      <c r="E337" s="6">
        <v>174000</v>
      </c>
      <c r="F337" s="6">
        <v>175000</v>
      </c>
      <c r="G337" s="57">
        <v>5.7471264367816091E-3</v>
      </c>
      <c r="H337" s="21"/>
      <c r="I337" s="21"/>
      <c r="J337" s="7" t="s">
        <v>2803</v>
      </c>
    </row>
    <row r="338" spans="1:10" ht="26.25" x14ac:dyDescent="0.25">
      <c r="A338" s="1" t="s">
        <v>134</v>
      </c>
      <c r="B338" s="2" t="s">
        <v>396</v>
      </c>
      <c r="C338" s="5" t="s">
        <v>672</v>
      </c>
      <c r="D338" s="5" t="s">
        <v>450</v>
      </c>
      <c r="E338" s="3">
        <v>180000</v>
      </c>
      <c r="F338" s="3">
        <v>175000</v>
      </c>
      <c r="G338" s="57">
        <v>-2.7777777777777776E-2</v>
      </c>
      <c r="H338" s="19"/>
      <c r="I338" s="19"/>
      <c r="J338" s="5" t="s">
        <v>2457</v>
      </c>
    </row>
    <row r="339" spans="1:10" ht="51.75" x14ac:dyDescent="0.25">
      <c r="A339" s="1" t="s">
        <v>25</v>
      </c>
      <c r="B339" s="2" t="s">
        <v>70</v>
      </c>
      <c r="C339" s="1"/>
      <c r="D339" s="5" t="s">
        <v>4437</v>
      </c>
      <c r="E339" s="19">
        <v>169637</v>
      </c>
      <c r="F339" s="19">
        <v>174644</v>
      </c>
      <c r="G339" s="57">
        <v>2.9515966445999398E-2</v>
      </c>
      <c r="H339" s="19"/>
      <c r="I339" s="19"/>
      <c r="J339" s="5" t="s">
        <v>4438</v>
      </c>
    </row>
    <row r="340" spans="1:10" ht="39" x14ac:dyDescent="0.25">
      <c r="A340" s="1" t="s">
        <v>4</v>
      </c>
      <c r="B340" s="2" t="s">
        <v>292</v>
      </c>
      <c r="C340" s="5"/>
      <c r="D340" s="5" t="s">
        <v>2925</v>
      </c>
      <c r="E340" s="9">
        <v>102320</v>
      </c>
      <c r="F340" s="3">
        <v>174606</v>
      </c>
      <c r="G340" s="57">
        <v>0.70646989835809226</v>
      </c>
      <c r="H340" s="19"/>
      <c r="I340" s="19"/>
      <c r="J340" s="5" t="s">
        <v>2924</v>
      </c>
    </row>
    <row r="341" spans="1:10" ht="26.25" x14ac:dyDescent="0.25">
      <c r="A341" s="1" t="s">
        <v>6</v>
      </c>
      <c r="B341" s="2" t="s">
        <v>329</v>
      </c>
      <c r="C341" s="5" t="s">
        <v>891</v>
      </c>
      <c r="D341" s="5" t="s">
        <v>450</v>
      </c>
      <c r="E341" s="3">
        <v>176465</v>
      </c>
      <c r="F341" s="3">
        <v>174142</v>
      </c>
      <c r="G341" s="57">
        <v>-1.3164083529311761E-2</v>
      </c>
      <c r="H341" s="19"/>
      <c r="I341" s="19"/>
      <c r="J341" s="5" t="s">
        <v>2760</v>
      </c>
    </row>
    <row r="342" spans="1:10" ht="39" x14ac:dyDescent="0.25">
      <c r="A342" s="1" t="s">
        <v>4</v>
      </c>
      <c r="B342" s="2" t="s">
        <v>292</v>
      </c>
      <c r="C342" s="5"/>
      <c r="D342" s="5" t="s">
        <v>2919</v>
      </c>
      <c r="E342" s="9">
        <v>97988</v>
      </c>
      <c r="F342" s="3">
        <v>174018</v>
      </c>
      <c r="G342" s="57">
        <v>0.77591133608196927</v>
      </c>
      <c r="H342" s="19"/>
      <c r="I342" s="19"/>
      <c r="J342" s="5" t="s">
        <v>2918</v>
      </c>
    </row>
    <row r="343" spans="1:10" ht="26.25" x14ac:dyDescent="0.25">
      <c r="A343" s="1" t="s">
        <v>4</v>
      </c>
      <c r="B343" s="2" t="s">
        <v>18</v>
      </c>
      <c r="C343" s="1" t="s">
        <v>3651</v>
      </c>
      <c r="D343" s="5" t="s">
        <v>450</v>
      </c>
      <c r="E343" s="3">
        <v>181000</v>
      </c>
      <c r="F343" s="3">
        <v>174000</v>
      </c>
      <c r="G343" s="57">
        <v>-3.8674033149171269E-2</v>
      </c>
      <c r="H343" s="19"/>
      <c r="I343" s="19"/>
      <c r="J343" s="5" t="s">
        <v>3652</v>
      </c>
    </row>
    <row r="344" spans="1:10" ht="26.25" x14ac:dyDescent="0.25">
      <c r="A344" s="1" t="s">
        <v>6</v>
      </c>
      <c r="B344" s="12" t="s">
        <v>41</v>
      </c>
      <c r="C344" s="13"/>
      <c r="D344" s="7" t="s">
        <v>1777</v>
      </c>
      <c r="E344" s="6">
        <v>126000</v>
      </c>
      <c r="F344" s="6">
        <v>174000</v>
      </c>
      <c r="G344" s="57">
        <v>0.38095238095238093</v>
      </c>
      <c r="H344" s="21"/>
      <c r="I344" s="21"/>
      <c r="J344" s="7" t="s">
        <v>3708</v>
      </c>
    </row>
    <row r="345" spans="1:10" ht="26.25" x14ac:dyDescent="0.25">
      <c r="A345" s="1" t="s">
        <v>6</v>
      </c>
      <c r="B345" s="12" t="s">
        <v>65</v>
      </c>
      <c r="C345" s="13" t="s">
        <v>1882</v>
      </c>
      <c r="D345" s="7" t="s">
        <v>450</v>
      </c>
      <c r="E345" s="6">
        <v>192982</v>
      </c>
      <c r="F345" s="6">
        <v>173735</v>
      </c>
      <c r="G345" s="57">
        <v>-9.9734690281995206E-2</v>
      </c>
      <c r="H345" s="21"/>
      <c r="I345" s="21"/>
      <c r="J345" s="7" t="s">
        <v>4201</v>
      </c>
    </row>
    <row r="346" spans="1:10" ht="26.25" x14ac:dyDescent="0.25">
      <c r="A346" s="1" t="s">
        <v>25</v>
      </c>
      <c r="B346" s="2" t="s">
        <v>26</v>
      </c>
      <c r="C346" s="1"/>
      <c r="D346" s="5" t="s">
        <v>1706</v>
      </c>
      <c r="E346" s="6">
        <v>170535</v>
      </c>
      <c r="F346" s="3">
        <v>173722</v>
      </c>
      <c r="G346" s="57">
        <v>1.8688245814642155E-2</v>
      </c>
      <c r="H346" s="19"/>
      <c r="I346" s="19"/>
      <c r="J346" s="5" t="s">
        <v>3666</v>
      </c>
    </row>
    <row r="347" spans="1:10" ht="39" x14ac:dyDescent="0.25">
      <c r="A347" s="1" t="s">
        <v>6</v>
      </c>
      <c r="B347" s="2" t="s">
        <v>324</v>
      </c>
      <c r="C347" s="5"/>
      <c r="D347" s="5" t="s">
        <v>918</v>
      </c>
      <c r="E347" s="3">
        <v>107198</v>
      </c>
      <c r="F347" s="3">
        <v>173594</v>
      </c>
      <c r="G347" s="57">
        <v>0.61937722718707433</v>
      </c>
      <c r="H347" s="19"/>
      <c r="I347" s="19"/>
      <c r="J347" s="5" t="s">
        <v>4418</v>
      </c>
    </row>
    <row r="348" spans="1:10" ht="26.25" x14ac:dyDescent="0.25">
      <c r="A348" s="1" t="s">
        <v>25</v>
      </c>
      <c r="B348" s="2" t="s">
        <v>184</v>
      </c>
      <c r="C348" s="5"/>
      <c r="D348" s="5" t="s">
        <v>854</v>
      </c>
      <c r="E348" s="9">
        <v>173502</v>
      </c>
      <c r="F348" s="9">
        <v>173505</v>
      </c>
      <c r="G348" s="57">
        <v>1.7290866964069578E-5</v>
      </c>
      <c r="H348" s="19"/>
      <c r="I348" s="19"/>
      <c r="J348" s="5" t="s">
        <v>3524</v>
      </c>
    </row>
    <row r="349" spans="1:10" ht="26.25" x14ac:dyDescent="0.25">
      <c r="A349" s="1" t="s">
        <v>25</v>
      </c>
      <c r="B349" s="2" t="s">
        <v>26</v>
      </c>
      <c r="C349" s="1"/>
      <c r="D349" s="5" t="s">
        <v>790</v>
      </c>
      <c r="E349" s="6" t="s">
        <v>465</v>
      </c>
      <c r="F349" s="3">
        <v>173427</v>
      </c>
      <c r="G349" s="57" t="s">
        <v>465</v>
      </c>
      <c r="H349" s="19"/>
      <c r="I349" s="19"/>
      <c r="J349" s="5" t="s">
        <v>3667</v>
      </c>
    </row>
    <row r="350" spans="1:10" ht="26.25" x14ac:dyDescent="0.25">
      <c r="A350" s="1" t="s">
        <v>44</v>
      </c>
      <c r="B350" s="2" t="s">
        <v>2429</v>
      </c>
      <c r="C350" s="5"/>
      <c r="D350" s="5" t="s">
        <v>450</v>
      </c>
      <c r="E350" s="3">
        <v>175006</v>
      </c>
      <c r="F350" s="3">
        <v>173230</v>
      </c>
      <c r="G350" s="57">
        <v>-1.014822348948036E-2</v>
      </c>
      <c r="H350" s="19"/>
      <c r="I350" s="19"/>
      <c r="J350" s="5" t="s">
        <v>2430</v>
      </c>
    </row>
    <row r="351" spans="1:10" ht="26.25" x14ac:dyDescent="0.25">
      <c r="A351" s="1" t="s">
        <v>6</v>
      </c>
      <c r="B351" s="2" t="s">
        <v>362</v>
      </c>
      <c r="C351" s="5"/>
      <c r="D351" s="5" t="s">
        <v>793</v>
      </c>
      <c r="E351" s="3">
        <v>116000</v>
      </c>
      <c r="F351" s="3">
        <v>173000</v>
      </c>
      <c r="G351" s="57">
        <v>0.49137931034482757</v>
      </c>
      <c r="H351" s="19"/>
      <c r="I351" s="19"/>
      <c r="J351" s="5" t="s">
        <v>2618</v>
      </c>
    </row>
    <row r="352" spans="1:10" ht="39" x14ac:dyDescent="0.25">
      <c r="A352" s="1" t="s">
        <v>20</v>
      </c>
      <c r="B352" s="2" t="s">
        <v>154</v>
      </c>
      <c r="C352" s="1" t="s">
        <v>1620</v>
      </c>
      <c r="D352" s="5" t="s">
        <v>1621</v>
      </c>
      <c r="E352" s="3" t="s">
        <v>465</v>
      </c>
      <c r="F352" s="3">
        <v>172878</v>
      </c>
      <c r="G352" s="57" t="s">
        <v>465</v>
      </c>
      <c r="H352" s="19"/>
      <c r="I352" s="19"/>
      <c r="J352" s="5" t="s">
        <v>4323</v>
      </c>
    </row>
    <row r="353" spans="1:10" ht="26.25" x14ac:dyDescent="0.25">
      <c r="A353" s="1" t="s">
        <v>34</v>
      </c>
      <c r="B353" s="2" t="s">
        <v>119</v>
      </c>
      <c r="C353" s="1"/>
      <c r="D353" s="5" t="s">
        <v>450</v>
      </c>
      <c r="E353" s="3">
        <v>179855</v>
      </c>
      <c r="F353" s="3">
        <v>172720</v>
      </c>
      <c r="G353" s="57">
        <v>-3.9670845959244951E-2</v>
      </c>
      <c r="H353" s="19"/>
      <c r="I353" s="19"/>
      <c r="J353" s="5" t="s">
        <v>3913</v>
      </c>
    </row>
    <row r="354" spans="1:10" ht="26.25" x14ac:dyDescent="0.25">
      <c r="A354" s="1" t="s">
        <v>25</v>
      </c>
      <c r="B354" s="12" t="s">
        <v>24</v>
      </c>
      <c r="C354" s="1"/>
      <c r="D354" s="5" t="s">
        <v>1505</v>
      </c>
      <c r="E354" s="3">
        <v>42775</v>
      </c>
      <c r="F354" s="3">
        <v>172550</v>
      </c>
      <c r="G354" s="57">
        <v>3.0338983050847457</v>
      </c>
      <c r="H354" s="19"/>
      <c r="I354" s="19"/>
      <c r="J354" s="5" t="s">
        <v>3659</v>
      </c>
    </row>
    <row r="355" spans="1:10" ht="26.25" x14ac:dyDescent="0.25">
      <c r="A355" s="1" t="s">
        <v>111</v>
      </c>
      <c r="B355" s="2" t="s">
        <v>166</v>
      </c>
      <c r="C355" s="5"/>
      <c r="D355" s="5" t="s">
        <v>1579</v>
      </c>
      <c r="E355" s="3">
        <v>165387</v>
      </c>
      <c r="F355" s="3">
        <v>172513</v>
      </c>
      <c r="G355" s="57">
        <v>4.3086820608633086E-2</v>
      </c>
      <c r="H355" s="19"/>
      <c r="I355" s="19"/>
      <c r="J355" s="5" t="s">
        <v>4053</v>
      </c>
    </row>
    <row r="356" spans="1:10" x14ac:dyDescent="0.25">
      <c r="A356" s="1" t="s">
        <v>6</v>
      </c>
      <c r="B356" s="2" t="s">
        <v>46</v>
      </c>
      <c r="C356" s="1"/>
      <c r="D356" s="5" t="s">
        <v>464</v>
      </c>
      <c r="E356" s="3" t="s">
        <v>465</v>
      </c>
      <c r="F356" s="3">
        <v>172500</v>
      </c>
      <c r="G356" s="57" t="s">
        <v>465</v>
      </c>
      <c r="H356" s="19"/>
      <c r="I356" s="19"/>
      <c r="J356" s="5"/>
    </row>
    <row r="357" spans="1:10" x14ac:dyDescent="0.25">
      <c r="A357" s="1" t="s">
        <v>6</v>
      </c>
      <c r="B357" s="2" t="s">
        <v>85</v>
      </c>
      <c r="C357" s="1"/>
      <c r="D357" s="5" t="s">
        <v>464</v>
      </c>
      <c r="E357" s="3" t="s">
        <v>465</v>
      </c>
      <c r="F357" s="3">
        <v>172500</v>
      </c>
      <c r="G357" s="57" t="s">
        <v>465</v>
      </c>
      <c r="H357" s="19"/>
      <c r="I357" s="19"/>
      <c r="J357" s="5"/>
    </row>
    <row r="358" spans="1:10" x14ac:dyDescent="0.25">
      <c r="A358" s="1" t="s">
        <v>20</v>
      </c>
      <c r="B358" s="2" t="s">
        <v>154</v>
      </c>
      <c r="C358" s="1"/>
      <c r="D358" s="5" t="s">
        <v>464</v>
      </c>
      <c r="E358" s="3" t="s">
        <v>465</v>
      </c>
      <c r="F358" s="3">
        <v>172500</v>
      </c>
      <c r="G358" s="57" t="s">
        <v>465</v>
      </c>
      <c r="H358" s="19"/>
      <c r="I358" s="19"/>
      <c r="J358" s="5"/>
    </row>
    <row r="359" spans="1:10" x14ac:dyDescent="0.25">
      <c r="A359" s="1" t="s">
        <v>4</v>
      </c>
      <c r="B359" s="2" t="s">
        <v>210</v>
      </c>
      <c r="C359" s="5"/>
      <c r="D359" s="5" t="s">
        <v>464</v>
      </c>
      <c r="E359" s="3" t="s">
        <v>465</v>
      </c>
      <c r="F359" s="3">
        <v>172500</v>
      </c>
      <c r="G359" s="57" t="s">
        <v>465</v>
      </c>
      <c r="H359" s="4"/>
      <c r="I359" s="4"/>
      <c r="J359" s="1"/>
    </row>
    <row r="360" spans="1:10" x14ac:dyDescent="0.25">
      <c r="A360" s="1" t="s">
        <v>4</v>
      </c>
      <c r="B360" s="2" t="s">
        <v>210</v>
      </c>
      <c r="C360" s="5"/>
      <c r="D360" s="5" t="s">
        <v>464</v>
      </c>
      <c r="E360" s="3" t="s">
        <v>465</v>
      </c>
      <c r="F360" s="3">
        <v>172500</v>
      </c>
      <c r="G360" s="57" t="s">
        <v>465</v>
      </c>
      <c r="H360" s="4"/>
      <c r="I360" s="4"/>
      <c r="J360" s="1"/>
    </row>
    <row r="361" spans="1:10" x14ac:dyDescent="0.25">
      <c r="A361" s="1" t="s">
        <v>6</v>
      </c>
      <c r="B361" s="2" t="s">
        <v>216</v>
      </c>
      <c r="C361" s="5"/>
      <c r="D361" s="5" t="s">
        <v>464</v>
      </c>
      <c r="E361" s="3" t="s">
        <v>465</v>
      </c>
      <c r="F361" s="3">
        <v>172500</v>
      </c>
      <c r="G361" s="57" t="s">
        <v>465</v>
      </c>
      <c r="H361" s="19"/>
      <c r="I361" s="19"/>
      <c r="J361" s="5"/>
    </row>
    <row r="362" spans="1:10" x14ac:dyDescent="0.25">
      <c r="A362" s="1" t="s">
        <v>8</v>
      </c>
      <c r="B362" s="2" t="s">
        <v>223</v>
      </c>
      <c r="C362" s="5"/>
      <c r="D362" s="5" t="s">
        <v>464</v>
      </c>
      <c r="E362" s="3" t="s">
        <v>465</v>
      </c>
      <c r="F362" s="3">
        <v>172500</v>
      </c>
      <c r="G362" s="57" t="s">
        <v>465</v>
      </c>
      <c r="H362" s="4"/>
      <c r="I362" s="4"/>
      <c r="J362" s="1"/>
    </row>
    <row r="363" spans="1:10" x14ac:dyDescent="0.25">
      <c r="A363" s="1" t="s">
        <v>8</v>
      </c>
      <c r="B363" s="2" t="s">
        <v>229</v>
      </c>
      <c r="C363" s="5"/>
      <c r="D363" s="5" t="s">
        <v>464</v>
      </c>
      <c r="E363" s="3" t="s">
        <v>465</v>
      </c>
      <c r="F363" s="3">
        <v>172500</v>
      </c>
      <c r="G363" s="57" t="s">
        <v>465</v>
      </c>
      <c r="H363" s="19"/>
      <c r="I363" s="19"/>
      <c r="J363" s="5" t="s">
        <v>539</v>
      </c>
    </row>
    <row r="364" spans="1:10" x14ac:dyDescent="0.25">
      <c r="A364" s="1" t="s">
        <v>25</v>
      </c>
      <c r="B364" s="2" t="s">
        <v>405</v>
      </c>
      <c r="C364" s="5"/>
      <c r="D364" s="5" t="s">
        <v>464</v>
      </c>
      <c r="E364" s="3" t="s">
        <v>465</v>
      </c>
      <c r="F364" s="3">
        <v>172500</v>
      </c>
      <c r="G364" s="57" t="s">
        <v>465</v>
      </c>
      <c r="H364" s="19"/>
      <c r="I364" s="19"/>
      <c r="J364" s="5"/>
    </row>
    <row r="365" spans="1:10" x14ac:dyDescent="0.25">
      <c r="A365" s="1" t="s">
        <v>111</v>
      </c>
      <c r="B365" s="2" t="s">
        <v>282</v>
      </c>
      <c r="C365" s="5" t="s">
        <v>1059</v>
      </c>
      <c r="D365" s="5" t="s">
        <v>450</v>
      </c>
      <c r="E365" s="9">
        <v>188458</v>
      </c>
      <c r="F365" s="3">
        <v>172498</v>
      </c>
      <c r="G365" s="57">
        <v>-8.4687304333060945E-2</v>
      </c>
      <c r="H365" s="19"/>
      <c r="I365" s="19"/>
      <c r="J365" s="5" t="s">
        <v>2979</v>
      </c>
    </row>
    <row r="366" spans="1:10" ht="26.25" x14ac:dyDescent="0.25">
      <c r="A366" s="1" t="s">
        <v>25</v>
      </c>
      <c r="B366" s="2" t="s">
        <v>129</v>
      </c>
      <c r="C366" s="1" t="s">
        <v>2099</v>
      </c>
      <c r="D366" s="5" t="s">
        <v>2100</v>
      </c>
      <c r="E366" s="3">
        <v>163865</v>
      </c>
      <c r="F366" s="3">
        <v>172383</v>
      </c>
      <c r="G366" s="57">
        <v>5.1981814298355355E-2</v>
      </c>
      <c r="H366" s="19"/>
      <c r="I366" s="19"/>
      <c r="J366" s="5" t="s">
        <v>4626</v>
      </c>
    </row>
    <row r="367" spans="1:10" ht="39" x14ac:dyDescent="0.25">
      <c r="A367" s="1" t="s">
        <v>1</v>
      </c>
      <c r="B367" s="2" t="s">
        <v>125</v>
      </c>
      <c r="C367" s="1" t="s">
        <v>2126</v>
      </c>
      <c r="D367" s="5" t="s">
        <v>2127</v>
      </c>
      <c r="E367" s="3">
        <v>103146</v>
      </c>
      <c r="F367" s="3">
        <v>172285</v>
      </c>
      <c r="G367" s="57">
        <v>0.67030228995792374</v>
      </c>
      <c r="H367" s="19"/>
      <c r="I367" s="19"/>
      <c r="J367" s="5" t="s">
        <v>4289</v>
      </c>
    </row>
    <row r="368" spans="1:10" ht="26.25" x14ac:dyDescent="0.25">
      <c r="A368" s="1" t="s">
        <v>28</v>
      </c>
      <c r="B368" s="2" t="s">
        <v>221</v>
      </c>
      <c r="C368" s="5" t="s">
        <v>1283</v>
      </c>
      <c r="D368" s="5" t="s">
        <v>1284</v>
      </c>
      <c r="E368" s="9">
        <v>162203</v>
      </c>
      <c r="F368" s="9">
        <v>172243</v>
      </c>
      <c r="G368" s="57">
        <v>6.1897745417778954E-2</v>
      </c>
      <c r="H368" s="19"/>
      <c r="I368" s="19"/>
      <c r="J368" s="5" t="s">
        <v>3270</v>
      </c>
    </row>
    <row r="369" spans="1:10" ht="39" x14ac:dyDescent="0.25">
      <c r="A369" s="1" t="s">
        <v>6</v>
      </c>
      <c r="B369" s="2" t="s">
        <v>426</v>
      </c>
      <c r="C369" s="5" t="s">
        <v>530</v>
      </c>
      <c r="D369" s="5" t="s">
        <v>532</v>
      </c>
      <c r="E369" s="3">
        <v>113360</v>
      </c>
      <c r="F369" s="6">
        <v>172213</v>
      </c>
      <c r="G369" s="57">
        <v>0.51916901905434021</v>
      </c>
      <c r="H369" s="19"/>
      <c r="I369" s="19"/>
      <c r="J369" s="5" t="s">
        <v>2323</v>
      </c>
    </row>
    <row r="370" spans="1:10" ht="26.25" x14ac:dyDescent="0.25">
      <c r="A370" s="1" t="s">
        <v>39</v>
      </c>
      <c r="B370" s="2" t="s">
        <v>337</v>
      </c>
      <c r="C370" s="5"/>
      <c r="D370" s="5" t="s">
        <v>450</v>
      </c>
      <c r="E370" s="3">
        <v>152980</v>
      </c>
      <c r="F370" s="3">
        <v>171958</v>
      </c>
      <c r="G370" s="57">
        <v>0.12405543208262518</v>
      </c>
      <c r="H370" s="19"/>
      <c r="I370" s="19"/>
      <c r="J370" s="5" t="s">
        <v>2726</v>
      </c>
    </row>
    <row r="371" spans="1:10" x14ac:dyDescent="0.25">
      <c r="A371" s="1" t="s">
        <v>25</v>
      </c>
      <c r="B371" s="2" t="s">
        <v>175</v>
      </c>
      <c r="C371" s="5"/>
      <c r="D371" s="5" t="s">
        <v>507</v>
      </c>
      <c r="E371" s="9">
        <v>171825</v>
      </c>
      <c r="F371" s="9">
        <v>171825</v>
      </c>
      <c r="G371" s="57">
        <v>0</v>
      </c>
      <c r="H371" s="19"/>
      <c r="I371" s="19"/>
      <c r="J371" s="5" t="s">
        <v>3579</v>
      </c>
    </row>
    <row r="372" spans="1:10" ht="39" x14ac:dyDescent="0.25">
      <c r="A372" s="1" t="s">
        <v>4</v>
      </c>
      <c r="B372" s="2" t="s">
        <v>429</v>
      </c>
      <c r="C372" s="5" t="s">
        <v>511</v>
      </c>
      <c r="D372" s="5" t="s">
        <v>450</v>
      </c>
      <c r="E372" s="6">
        <v>184727</v>
      </c>
      <c r="F372" s="6">
        <v>171755</v>
      </c>
      <c r="G372" s="57">
        <v>-7.0222544619898547E-2</v>
      </c>
      <c r="H372" s="21"/>
      <c r="I372" s="21"/>
      <c r="J372" s="7" t="s">
        <v>2304</v>
      </c>
    </row>
    <row r="373" spans="1:10" x14ac:dyDescent="0.25">
      <c r="A373" s="1" t="s">
        <v>34</v>
      </c>
      <c r="B373" s="2" t="s">
        <v>275</v>
      </c>
      <c r="C373" s="5"/>
      <c r="D373" s="5" t="s">
        <v>450</v>
      </c>
      <c r="E373" s="3">
        <v>170450</v>
      </c>
      <c r="F373" s="3">
        <v>171753</v>
      </c>
      <c r="G373" s="57">
        <v>7.644470519213846E-3</v>
      </c>
      <c r="H373" s="19"/>
      <c r="I373" s="19"/>
      <c r="J373" s="5" t="s">
        <v>3028</v>
      </c>
    </row>
    <row r="374" spans="1:10" ht="26.25" x14ac:dyDescent="0.25">
      <c r="A374" s="1" t="s">
        <v>25</v>
      </c>
      <c r="B374" s="2" t="s">
        <v>358</v>
      </c>
      <c r="C374" s="5" t="s">
        <v>803</v>
      </c>
      <c r="D374" s="5" t="s">
        <v>2628</v>
      </c>
      <c r="E374" s="9">
        <v>156238</v>
      </c>
      <c r="F374" s="9">
        <v>171728</v>
      </c>
      <c r="G374" s="57">
        <v>9.9143614229572838E-2</v>
      </c>
      <c r="H374" s="19"/>
      <c r="I374" s="19"/>
      <c r="J374" s="5" t="s">
        <v>2633</v>
      </c>
    </row>
    <row r="375" spans="1:10" ht="26.25" x14ac:dyDescent="0.25">
      <c r="A375" s="1" t="s">
        <v>44</v>
      </c>
      <c r="B375" s="2" t="s">
        <v>161</v>
      </c>
      <c r="C375" s="5"/>
      <c r="D375" s="5" t="s">
        <v>450</v>
      </c>
      <c r="E375" s="3">
        <v>167534</v>
      </c>
      <c r="F375" s="3">
        <v>171703</v>
      </c>
      <c r="G375" s="57">
        <v>2.4884501056501963E-2</v>
      </c>
      <c r="H375" s="19"/>
      <c r="I375" s="19"/>
      <c r="J375" s="5" t="s">
        <v>4042</v>
      </c>
    </row>
    <row r="376" spans="1:10" ht="26.25" x14ac:dyDescent="0.25">
      <c r="A376" s="1" t="s">
        <v>20</v>
      </c>
      <c r="B376" s="2" t="s">
        <v>35</v>
      </c>
      <c r="C376" s="1"/>
      <c r="D376" s="5" t="s">
        <v>825</v>
      </c>
      <c r="E376" s="3">
        <v>128591</v>
      </c>
      <c r="F376" s="3">
        <v>171365</v>
      </c>
      <c r="G376" s="57">
        <v>0.33263603207067366</v>
      </c>
      <c r="H376" s="19"/>
      <c r="I376" s="19"/>
      <c r="J376" s="5" t="s">
        <v>1748</v>
      </c>
    </row>
    <row r="377" spans="1:10" ht="39" x14ac:dyDescent="0.25">
      <c r="A377" s="1" t="s">
        <v>20</v>
      </c>
      <c r="B377" s="2" t="s">
        <v>410</v>
      </c>
      <c r="C377" s="5"/>
      <c r="D377" s="5" t="s">
        <v>470</v>
      </c>
      <c r="E377" s="3">
        <v>99281</v>
      </c>
      <c r="F377" s="3">
        <v>171313</v>
      </c>
      <c r="G377" s="57">
        <v>0.72553660821305188</v>
      </c>
      <c r="H377" s="19"/>
      <c r="I377" s="19"/>
      <c r="J377" s="5" t="s">
        <v>4537</v>
      </c>
    </row>
    <row r="378" spans="1:10" ht="39" x14ac:dyDescent="0.25">
      <c r="A378" s="1" t="s">
        <v>20</v>
      </c>
      <c r="B378" s="2" t="s">
        <v>69</v>
      </c>
      <c r="C378" s="1"/>
      <c r="D378" s="5" t="s">
        <v>4436</v>
      </c>
      <c r="E378" s="3">
        <v>136904</v>
      </c>
      <c r="F378" s="3">
        <v>171104</v>
      </c>
      <c r="G378" s="57">
        <v>0.24981008589960849</v>
      </c>
      <c r="H378" s="19"/>
      <c r="I378" s="19"/>
      <c r="J378" s="5" t="s">
        <v>4435</v>
      </c>
    </row>
    <row r="379" spans="1:10" ht="39" x14ac:dyDescent="0.25">
      <c r="A379" s="1" t="s">
        <v>39</v>
      </c>
      <c r="B379" s="2" t="s">
        <v>370</v>
      </c>
      <c r="C379" s="5"/>
      <c r="D379" s="5" t="s">
        <v>761</v>
      </c>
      <c r="E379" s="3" t="s">
        <v>465</v>
      </c>
      <c r="F379" s="3">
        <v>171050</v>
      </c>
      <c r="G379" s="57" t="s">
        <v>465</v>
      </c>
      <c r="H379" s="19"/>
      <c r="I379" s="19"/>
      <c r="J379" s="5" t="s">
        <v>2559</v>
      </c>
    </row>
    <row r="380" spans="1:10" ht="39" x14ac:dyDescent="0.25">
      <c r="A380" s="1" t="s">
        <v>20</v>
      </c>
      <c r="B380" s="2" t="s">
        <v>357</v>
      </c>
      <c r="C380" s="5" t="s">
        <v>807</v>
      </c>
      <c r="D380" s="15" t="s">
        <v>450</v>
      </c>
      <c r="E380" s="9">
        <v>184209</v>
      </c>
      <c r="F380" s="9">
        <v>171012</v>
      </c>
      <c r="G380" s="57">
        <v>-7.164145074344902E-2</v>
      </c>
      <c r="H380" s="19"/>
      <c r="I380" s="19"/>
      <c r="J380" s="5" t="s">
        <v>4688</v>
      </c>
    </row>
    <row r="381" spans="1:10" x14ac:dyDescent="0.25">
      <c r="A381" s="1" t="s">
        <v>44</v>
      </c>
      <c r="B381" s="2" t="s">
        <v>309</v>
      </c>
      <c r="C381" s="5"/>
      <c r="D381" s="5" t="s">
        <v>450</v>
      </c>
      <c r="E381" s="3">
        <v>171000</v>
      </c>
      <c r="F381" s="3">
        <v>171000</v>
      </c>
      <c r="G381" s="57">
        <v>0</v>
      </c>
      <c r="H381" s="19"/>
      <c r="I381" s="19"/>
      <c r="J381" s="5" t="s">
        <v>2817</v>
      </c>
    </row>
    <row r="382" spans="1:10" ht="26.25" x14ac:dyDescent="0.25">
      <c r="A382" s="1" t="s">
        <v>111</v>
      </c>
      <c r="B382" s="2" t="s">
        <v>128</v>
      </c>
      <c r="C382" s="1"/>
      <c r="D382" s="5" t="s">
        <v>2103</v>
      </c>
      <c r="E382" s="3">
        <v>170163</v>
      </c>
      <c r="F382" s="3">
        <v>170706</v>
      </c>
      <c r="G382" s="57">
        <v>3.1910579855785335E-3</v>
      </c>
      <c r="H382" s="19"/>
      <c r="I382" s="19"/>
      <c r="J382" s="5" t="s">
        <v>3943</v>
      </c>
    </row>
    <row r="383" spans="1:10" ht="51.75" x14ac:dyDescent="0.25">
      <c r="A383" s="1" t="s">
        <v>20</v>
      </c>
      <c r="B383" s="2" t="s">
        <v>151</v>
      </c>
      <c r="C383" s="1" t="s">
        <v>1631</v>
      </c>
      <c r="D383" s="5" t="s">
        <v>450</v>
      </c>
      <c r="E383" s="3">
        <v>171461</v>
      </c>
      <c r="F383" s="3">
        <v>170660</v>
      </c>
      <c r="G383" s="57">
        <v>-4.6716162859192466E-3</v>
      </c>
      <c r="H383" s="19"/>
      <c r="I383" s="19"/>
      <c r="J383" s="5" t="s">
        <v>4319</v>
      </c>
    </row>
    <row r="384" spans="1:10" ht="26.25" x14ac:dyDescent="0.25">
      <c r="A384" s="1" t="s">
        <v>25</v>
      </c>
      <c r="B384" s="2" t="s">
        <v>107</v>
      </c>
      <c r="C384" s="1" t="s">
        <v>2196</v>
      </c>
      <c r="D384" s="5" t="s">
        <v>2197</v>
      </c>
      <c r="E384" s="3">
        <v>167569</v>
      </c>
      <c r="F384" s="3">
        <v>170623</v>
      </c>
      <c r="G384" s="57">
        <v>1.8225328073808403E-2</v>
      </c>
      <c r="H384" s="19"/>
      <c r="I384" s="19"/>
      <c r="J384" s="5" t="s">
        <v>4255</v>
      </c>
    </row>
    <row r="385" spans="1:10" ht="26.25" x14ac:dyDescent="0.25">
      <c r="A385" s="1" t="s">
        <v>1</v>
      </c>
      <c r="B385" s="2" t="s">
        <v>2</v>
      </c>
      <c r="C385" s="1" t="s">
        <v>1676</v>
      </c>
      <c r="D385" s="5" t="s">
        <v>450</v>
      </c>
      <c r="E385" s="3">
        <v>159662</v>
      </c>
      <c r="F385" s="3">
        <v>170600</v>
      </c>
      <c r="G385" s="57">
        <v>6.8507221505430219E-2</v>
      </c>
      <c r="H385" s="19"/>
      <c r="I385" s="19"/>
      <c r="J385" s="5" t="s">
        <v>3636</v>
      </c>
    </row>
    <row r="386" spans="1:10" ht="39" x14ac:dyDescent="0.25">
      <c r="A386" s="1" t="s">
        <v>8</v>
      </c>
      <c r="B386" s="2" t="s">
        <v>167</v>
      </c>
      <c r="C386" s="5"/>
      <c r="D386" s="5" t="s">
        <v>450</v>
      </c>
      <c r="E386" s="3">
        <v>116436</v>
      </c>
      <c r="F386" s="3">
        <v>170466</v>
      </c>
      <c r="G386" s="57">
        <v>0.46403174275997117</v>
      </c>
      <c r="H386" s="19"/>
      <c r="I386" s="19"/>
      <c r="J386" s="5" t="s">
        <v>4338</v>
      </c>
    </row>
    <row r="387" spans="1:10" ht="26.25" x14ac:dyDescent="0.25">
      <c r="A387" s="1" t="s">
        <v>25</v>
      </c>
      <c r="B387" s="2" t="s">
        <v>405</v>
      </c>
      <c r="C387" s="5"/>
      <c r="D387" s="5" t="s">
        <v>641</v>
      </c>
      <c r="E387" s="3">
        <v>166508</v>
      </c>
      <c r="F387" s="3">
        <v>170321</v>
      </c>
      <c r="G387" s="57">
        <v>2.2899800610180893E-2</v>
      </c>
      <c r="H387" s="19"/>
      <c r="I387" s="19"/>
      <c r="J387" s="5" t="s">
        <v>2414</v>
      </c>
    </row>
    <row r="388" spans="1:10" ht="26.25" x14ac:dyDescent="0.25">
      <c r="A388" s="1" t="s">
        <v>111</v>
      </c>
      <c r="B388" s="2" t="s">
        <v>128</v>
      </c>
      <c r="C388" s="1"/>
      <c r="D388" s="5" t="s">
        <v>2104</v>
      </c>
      <c r="E388" s="3">
        <v>169260</v>
      </c>
      <c r="F388" s="3">
        <v>170189</v>
      </c>
      <c r="G388" s="57">
        <v>5.4885974240812948E-3</v>
      </c>
      <c r="H388" s="19"/>
      <c r="I388" s="19"/>
      <c r="J388" s="5" t="s">
        <v>3944</v>
      </c>
    </row>
    <row r="389" spans="1:10" ht="26.25" x14ac:dyDescent="0.25">
      <c r="A389" s="1" t="s">
        <v>4</v>
      </c>
      <c r="B389" s="2" t="s">
        <v>303</v>
      </c>
      <c r="C389" s="7" t="s">
        <v>4676</v>
      </c>
      <c r="D389" s="7" t="s">
        <v>450</v>
      </c>
      <c r="E389" s="6">
        <v>165213</v>
      </c>
      <c r="F389" s="6">
        <v>170188</v>
      </c>
      <c r="G389" s="57">
        <v>3.0112642467602427E-2</v>
      </c>
      <c r="H389" s="19"/>
      <c r="I389" s="19"/>
      <c r="J389" s="5" t="s">
        <v>2846</v>
      </c>
    </row>
    <row r="390" spans="1:10" ht="26.25" x14ac:dyDescent="0.25">
      <c r="A390" s="1" t="s">
        <v>25</v>
      </c>
      <c r="B390" s="2" t="s">
        <v>184</v>
      </c>
      <c r="C390" s="5"/>
      <c r="D390" s="5" t="s">
        <v>1464</v>
      </c>
      <c r="E390" s="9">
        <v>177497</v>
      </c>
      <c r="F390" s="9">
        <v>170159</v>
      </c>
      <c r="G390" s="57">
        <v>-4.1341543800740295E-2</v>
      </c>
      <c r="H390" s="19"/>
      <c r="I390" s="19"/>
      <c r="J390" s="5" t="s">
        <v>3523</v>
      </c>
    </row>
    <row r="391" spans="1:10" ht="39" x14ac:dyDescent="0.25">
      <c r="A391" s="1" t="s">
        <v>25</v>
      </c>
      <c r="B391" s="2" t="s">
        <v>197</v>
      </c>
      <c r="C391" s="5"/>
      <c r="D391" s="5" t="s">
        <v>1404</v>
      </c>
      <c r="E391" s="9">
        <v>167710</v>
      </c>
      <c r="F391" s="9">
        <v>170111</v>
      </c>
      <c r="G391" s="57">
        <v>1.4316379464551904E-2</v>
      </c>
      <c r="H391" s="19"/>
      <c r="I391" s="19"/>
      <c r="J391" s="5" t="s">
        <v>3440</v>
      </c>
    </row>
    <row r="392" spans="1:10" ht="26.25" x14ac:dyDescent="0.25">
      <c r="A392" s="1" t="s">
        <v>111</v>
      </c>
      <c r="B392" s="2" t="s">
        <v>128</v>
      </c>
      <c r="C392" s="1"/>
      <c r="D392" s="5" t="s">
        <v>2105</v>
      </c>
      <c r="E392" s="3">
        <v>169624</v>
      </c>
      <c r="F392" s="3">
        <v>170030</v>
      </c>
      <c r="G392" s="57">
        <v>2.3935292175635524E-3</v>
      </c>
      <c r="H392" s="19"/>
      <c r="I392" s="19"/>
      <c r="J392" s="5" t="s">
        <v>3945</v>
      </c>
    </row>
    <row r="393" spans="1:10" ht="26.25" x14ac:dyDescent="0.25">
      <c r="A393" s="1" t="s">
        <v>25</v>
      </c>
      <c r="B393" s="2" t="s">
        <v>304</v>
      </c>
      <c r="C393" s="5"/>
      <c r="D393" s="5" t="s">
        <v>967</v>
      </c>
      <c r="E393" s="3">
        <v>172094</v>
      </c>
      <c r="F393" s="3">
        <v>170003</v>
      </c>
      <c r="G393" s="57">
        <v>-1.2150336444036399E-2</v>
      </c>
      <c r="H393" s="19"/>
      <c r="I393" s="19"/>
      <c r="J393" s="5" t="s">
        <v>2841</v>
      </c>
    </row>
    <row r="394" spans="1:10" ht="26.25" x14ac:dyDescent="0.25">
      <c r="A394" s="1" t="s">
        <v>28</v>
      </c>
      <c r="B394" s="2" t="s">
        <v>67</v>
      </c>
      <c r="C394" s="1"/>
      <c r="D394" s="5" t="s">
        <v>450</v>
      </c>
      <c r="E394" s="3">
        <v>166000</v>
      </c>
      <c r="F394" s="3">
        <v>170000</v>
      </c>
      <c r="G394" s="57">
        <v>2.4096385542168676E-2</v>
      </c>
      <c r="H394" s="19"/>
      <c r="I394" s="19"/>
      <c r="J394" s="5" t="s">
        <v>1892</v>
      </c>
    </row>
    <row r="395" spans="1:10" ht="26.25" x14ac:dyDescent="0.25">
      <c r="A395" s="1" t="s">
        <v>28</v>
      </c>
      <c r="B395" s="12" t="s">
        <v>50</v>
      </c>
      <c r="C395" s="13"/>
      <c r="D395" s="7" t="s">
        <v>4158</v>
      </c>
      <c r="E395" s="6" t="s">
        <v>465</v>
      </c>
      <c r="F395" s="6">
        <v>169997</v>
      </c>
      <c r="G395" s="57" t="s">
        <v>465</v>
      </c>
      <c r="H395" s="21"/>
      <c r="I395" s="21"/>
      <c r="J395" s="7" t="s">
        <v>3750</v>
      </c>
    </row>
    <row r="396" spans="1:10" ht="26.25" x14ac:dyDescent="0.25">
      <c r="A396" s="1" t="s">
        <v>8</v>
      </c>
      <c r="B396" s="2" t="s">
        <v>284</v>
      </c>
      <c r="C396" s="5"/>
      <c r="D396" s="5" t="s">
        <v>1693</v>
      </c>
      <c r="E396" s="3">
        <v>169107</v>
      </c>
      <c r="F396" s="3">
        <v>169969</v>
      </c>
      <c r="G396" s="57">
        <v>5.0973643905929383E-3</v>
      </c>
      <c r="H396" s="19"/>
      <c r="I396" s="19"/>
      <c r="J396" s="5" t="s">
        <v>2965</v>
      </c>
    </row>
    <row r="397" spans="1:10" ht="26.25" x14ac:dyDescent="0.25">
      <c r="A397" s="1" t="s">
        <v>20</v>
      </c>
      <c r="B397" s="2" t="s">
        <v>283</v>
      </c>
      <c r="C397" s="5"/>
      <c r="D397" s="5" t="s">
        <v>1058</v>
      </c>
      <c r="E397" s="3">
        <v>86721</v>
      </c>
      <c r="F397" s="3">
        <v>169849</v>
      </c>
      <c r="G397" s="57">
        <v>0.95856828219231793</v>
      </c>
      <c r="H397" s="19"/>
      <c r="I397" s="19"/>
      <c r="J397" s="5" t="s">
        <v>2977</v>
      </c>
    </row>
    <row r="398" spans="1:10" ht="26.25" x14ac:dyDescent="0.25">
      <c r="A398" s="1" t="s">
        <v>25</v>
      </c>
      <c r="B398" s="2" t="s">
        <v>209</v>
      </c>
      <c r="C398" s="5" t="s">
        <v>1365</v>
      </c>
      <c r="D398" s="5" t="s">
        <v>1366</v>
      </c>
      <c r="E398" s="9">
        <v>166440</v>
      </c>
      <c r="F398" s="9">
        <v>169772</v>
      </c>
      <c r="G398" s="57">
        <v>2.0019226147560683E-2</v>
      </c>
      <c r="H398" s="19"/>
      <c r="I398" s="19"/>
      <c r="J398" s="5" t="s">
        <v>3373</v>
      </c>
    </row>
    <row r="399" spans="1:10" ht="26.25" x14ac:dyDescent="0.25">
      <c r="A399" s="1" t="s">
        <v>25</v>
      </c>
      <c r="B399" s="2" t="s">
        <v>129</v>
      </c>
      <c r="C399" s="1" t="s">
        <v>2097</v>
      </c>
      <c r="D399" s="5" t="s">
        <v>2098</v>
      </c>
      <c r="E399" s="3">
        <v>178369</v>
      </c>
      <c r="F399" s="3">
        <v>169722</v>
      </c>
      <c r="G399" s="57">
        <v>-4.8478154836322458E-2</v>
      </c>
      <c r="H399" s="19"/>
      <c r="I399" s="19"/>
      <c r="J399" s="5" t="s">
        <v>3948</v>
      </c>
    </row>
    <row r="400" spans="1:10" ht="26.25" x14ac:dyDescent="0.25">
      <c r="A400" s="13" t="s">
        <v>1</v>
      </c>
      <c r="B400" s="12" t="s">
        <v>92</v>
      </c>
      <c r="C400" s="1" t="s">
        <v>2247</v>
      </c>
      <c r="D400" s="5" t="s">
        <v>4613</v>
      </c>
      <c r="E400" s="3">
        <v>164693</v>
      </c>
      <c r="F400" s="3">
        <v>169655</v>
      </c>
      <c r="G400" s="57">
        <v>3.0128785072832481E-2</v>
      </c>
      <c r="H400" s="19"/>
      <c r="I400" s="19"/>
      <c r="J400" s="30" t="s">
        <v>3835</v>
      </c>
    </row>
    <row r="401" spans="1:10" x14ac:dyDescent="0.25">
      <c r="A401" s="1" t="s">
        <v>39</v>
      </c>
      <c r="B401" s="2" t="s">
        <v>38</v>
      </c>
      <c r="C401" s="1"/>
      <c r="D401" s="5" t="s">
        <v>3703</v>
      </c>
      <c r="E401" s="3">
        <v>165488</v>
      </c>
      <c r="F401" s="3">
        <v>169530</v>
      </c>
      <c r="G401" s="57">
        <v>2.4424731702600792E-2</v>
      </c>
      <c r="H401" s="19"/>
      <c r="I401" s="19"/>
      <c r="J401" s="5" t="s">
        <v>1766</v>
      </c>
    </row>
    <row r="402" spans="1:10" x14ac:dyDescent="0.25">
      <c r="A402" s="1" t="s">
        <v>25</v>
      </c>
      <c r="B402" s="2" t="s">
        <v>259</v>
      </c>
      <c r="C402" s="5"/>
      <c r="D402" s="5" t="s">
        <v>1174</v>
      </c>
      <c r="E402" s="3">
        <v>121095</v>
      </c>
      <c r="F402" s="3">
        <v>169519</v>
      </c>
      <c r="G402" s="57">
        <v>0.39988438829018541</v>
      </c>
      <c r="H402" s="19"/>
      <c r="I402" s="19"/>
      <c r="J402" s="5" t="s">
        <v>3089</v>
      </c>
    </row>
    <row r="403" spans="1:10" ht="26.25" x14ac:dyDescent="0.25">
      <c r="A403" s="1" t="s">
        <v>44</v>
      </c>
      <c r="B403" s="2" t="s">
        <v>55</v>
      </c>
      <c r="C403" s="1"/>
      <c r="D403" s="5" t="s">
        <v>450</v>
      </c>
      <c r="E403" s="3">
        <v>170310</v>
      </c>
      <c r="F403" s="3">
        <v>169469</v>
      </c>
      <c r="G403" s="57">
        <v>-4.9380541365744816E-3</v>
      </c>
      <c r="H403" s="19"/>
      <c r="I403" s="19"/>
      <c r="J403" s="5" t="s">
        <v>1839</v>
      </c>
    </row>
    <row r="404" spans="1:10" x14ac:dyDescent="0.25">
      <c r="A404" s="1" t="s">
        <v>39</v>
      </c>
      <c r="B404" s="2" t="s">
        <v>38</v>
      </c>
      <c r="C404" s="1"/>
      <c r="D404" s="5" t="s">
        <v>3705</v>
      </c>
      <c r="E404" s="3">
        <v>165445</v>
      </c>
      <c r="F404" s="3">
        <v>169436</v>
      </c>
      <c r="G404" s="57">
        <v>2.4122820272598145E-2</v>
      </c>
      <c r="H404" s="19"/>
      <c r="I404" s="19"/>
      <c r="J404" s="5" t="s">
        <v>1768</v>
      </c>
    </row>
    <row r="405" spans="1:10" ht="26.25" x14ac:dyDescent="0.25">
      <c r="A405" s="1" t="s">
        <v>25</v>
      </c>
      <c r="B405" s="2" t="s">
        <v>209</v>
      </c>
      <c r="C405" s="5" t="s">
        <v>1371</v>
      </c>
      <c r="D405" s="5" t="s">
        <v>1372</v>
      </c>
      <c r="E405" s="9">
        <v>166639</v>
      </c>
      <c r="F405" s="9">
        <v>169398</v>
      </c>
      <c r="G405" s="57">
        <v>1.6556748420237761E-2</v>
      </c>
      <c r="H405" s="19"/>
      <c r="I405" s="19"/>
      <c r="J405" s="5" t="s">
        <v>3376</v>
      </c>
    </row>
    <row r="406" spans="1:10" ht="26.25" x14ac:dyDescent="0.25">
      <c r="A406" s="1" t="s">
        <v>6</v>
      </c>
      <c r="B406" s="2" t="s">
        <v>42</v>
      </c>
      <c r="C406" s="1"/>
      <c r="D406" s="5" t="s">
        <v>450</v>
      </c>
      <c r="E406" s="3">
        <v>168039</v>
      </c>
      <c r="F406" s="3">
        <v>169350</v>
      </c>
      <c r="G406" s="57">
        <v>7.8017603056433332E-3</v>
      </c>
      <c r="H406" s="19"/>
      <c r="I406" s="19"/>
      <c r="J406" s="5" t="s">
        <v>1784</v>
      </c>
    </row>
    <row r="407" spans="1:10" ht="26.25" x14ac:dyDescent="0.25">
      <c r="A407" s="1" t="s">
        <v>25</v>
      </c>
      <c r="B407" s="2" t="s">
        <v>225</v>
      </c>
      <c r="C407" s="5"/>
      <c r="D407" s="5" t="s">
        <v>1257</v>
      </c>
      <c r="E407" s="3">
        <v>168642</v>
      </c>
      <c r="F407" s="3">
        <v>169348</v>
      </c>
      <c r="G407" s="57">
        <v>4.1863829888165466E-3</v>
      </c>
      <c r="H407" s="19"/>
      <c r="I407" s="19"/>
      <c r="J407" s="5" t="s">
        <v>3240</v>
      </c>
    </row>
    <row r="408" spans="1:10" ht="26.25" x14ac:dyDescent="0.25">
      <c r="A408" s="1" t="s">
        <v>25</v>
      </c>
      <c r="B408" s="2" t="s">
        <v>225</v>
      </c>
      <c r="C408" s="5"/>
      <c r="D408" s="5" t="s">
        <v>1256</v>
      </c>
      <c r="E408" s="3">
        <v>168642</v>
      </c>
      <c r="F408" s="3">
        <v>169348</v>
      </c>
      <c r="G408" s="57">
        <v>4.1863829888165466E-3</v>
      </c>
      <c r="H408" s="19"/>
      <c r="I408" s="19"/>
      <c r="J408" s="5" t="s">
        <v>3240</v>
      </c>
    </row>
    <row r="409" spans="1:10" ht="26.25" x14ac:dyDescent="0.25">
      <c r="A409" s="1" t="s">
        <v>25</v>
      </c>
      <c r="B409" s="2" t="s">
        <v>225</v>
      </c>
      <c r="C409" s="5"/>
      <c r="D409" s="5" t="s">
        <v>1258</v>
      </c>
      <c r="E409" s="3">
        <v>165502</v>
      </c>
      <c r="F409" s="3">
        <v>169348</v>
      </c>
      <c r="G409" s="57">
        <v>2.3238389868400381E-2</v>
      </c>
      <c r="H409" s="19"/>
      <c r="I409" s="19"/>
      <c r="J409" s="5" t="s">
        <v>3240</v>
      </c>
    </row>
    <row r="410" spans="1:10" x14ac:dyDescent="0.25">
      <c r="A410" s="1" t="s">
        <v>39</v>
      </c>
      <c r="B410" s="12" t="s">
        <v>38</v>
      </c>
      <c r="C410" s="13"/>
      <c r="D410" s="7" t="s">
        <v>3704</v>
      </c>
      <c r="E410" s="6">
        <v>169597</v>
      </c>
      <c r="F410" s="6">
        <v>168955</v>
      </c>
      <c r="G410" s="57">
        <v>-3.7854443180009079E-3</v>
      </c>
      <c r="H410" s="21"/>
      <c r="I410" s="21"/>
      <c r="J410" s="7" t="s">
        <v>1767</v>
      </c>
    </row>
    <row r="411" spans="1:10" ht="26.25" x14ac:dyDescent="0.25">
      <c r="A411" s="1" t="s">
        <v>25</v>
      </c>
      <c r="B411" s="2" t="s">
        <v>187</v>
      </c>
      <c r="C411" s="5"/>
      <c r="D411" s="5" t="s">
        <v>1457</v>
      </c>
      <c r="E411" s="9">
        <v>167814</v>
      </c>
      <c r="F411" s="9">
        <v>168712</v>
      </c>
      <c r="G411" s="57">
        <v>5.3511625966844245E-3</v>
      </c>
      <c r="H411" s="19"/>
      <c r="I411" s="19"/>
      <c r="J411" s="5" t="s">
        <v>3507</v>
      </c>
    </row>
    <row r="412" spans="1:10" ht="26.25" x14ac:dyDescent="0.25">
      <c r="A412" s="1" t="s">
        <v>25</v>
      </c>
      <c r="B412" s="2" t="s">
        <v>174</v>
      </c>
      <c r="C412" s="5" t="s">
        <v>1520</v>
      </c>
      <c r="D412" s="5" t="s">
        <v>1521</v>
      </c>
      <c r="E412" s="9">
        <v>163701</v>
      </c>
      <c r="F412" s="9">
        <v>168677</v>
      </c>
      <c r="G412" s="57">
        <v>3.0396882120451312E-2</v>
      </c>
      <c r="H412" s="19"/>
      <c r="I412" s="19"/>
      <c r="J412" s="5" t="s">
        <v>3584</v>
      </c>
    </row>
    <row r="413" spans="1:10" ht="26.25" x14ac:dyDescent="0.25">
      <c r="A413" s="1" t="s">
        <v>4</v>
      </c>
      <c r="B413" s="2" t="s">
        <v>291</v>
      </c>
      <c r="C413" s="5"/>
      <c r="D413" s="5" t="s">
        <v>450</v>
      </c>
      <c r="E413" s="3">
        <v>169519</v>
      </c>
      <c r="F413" s="3">
        <v>168280</v>
      </c>
      <c r="G413" s="57">
        <v>-7.308915224842053E-3</v>
      </c>
      <c r="H413" s="19"/>
      <c r="I413" s="19"/>
      <c r="J413" s="5" t="s">
        <v>2940</v>
      </c>
    </row>
    <row r="414" spans="1:10" ht="64.5" x14ac:dyDescent="0.25">
      <c r="A414" s="1" t="s">
        <v>25</v>
      </c>
      <c r="B414" s="2" t="s">
        <v>93</v>
      </c>
      <c r="C414" s="1" t="s">
        <v>2221</v>
      </c>
      <c r="D414" s="5" t="s">
        <v>1358</v>
      </c>
      <c r="E414" s="3">
        <v>158000</v>
      </c>
      <c r="F414" s="3">
        <v>168000</v>
      </c>
      <c r="G414" s="57">
        <v>6.3291139240506333E-2</v>
      </c>
      <c r="H414" s="19"/>
      <c r="I414" s="19"/>
      <c r="J414" s="5" t="s">
        <v>4230</v>
      </c>
    </row>
    <row r="415" spans="1:10" ht="26.25" x14ac:dyDescent="0.25">
      <c r="A415" s="1" t="s">
        <v>4</v>
      </c>
      <c r="B415" s="2" t="s">
        <v>307</v>
      </c>
      <c r="C415" s="5"/>
      <c r="D415" s="5" t="s">
        <v>962</v>
      </c>
      <c r="E415" s="3" t="s">
        <v>465</v>
      </c>
      <c r="F415" s="3">
        <v>168000</v>
      </c>
      <c r="G415" s="57" t="s">
        <v>465</v>
      </c>
      <c r="H415" s="19"/>
      <c r="I415" s="19"/>
      <c r="J415" s="5" t="s">
        <v>2828</v>
      </c>
    </row>
    <row r="416" spans="1:10" ht="26.25" x14ac:dyDescent="0.25">
      <c r="A416" s="1" t="s">
        <v>28</v>
      </c>
      <c r="B416" s="2" t="s">
        <v>403</v>
      </c>
      <c r="C416" s="5"/>
      <c r="D416" s="5" t="s">
        <v>656</v>
      </c>
      <c r="E416" s="3">
        <v>167069</v>
      </c>
      <c r="F416" s="3">
        <v>167916</v>
      </c>
      <c r="G416" s="57">
        <v>5.0697615955084428E-3</v>
      </c>
      <c r="H416" s="19"/>
      <c r="I416" s="19"/>
      <c r="J416" s="5" t="s">
        <v>2427</v>
      </c>
    </row>
    <row r="417" spans="1:10" ht="26.25" x14ac:dyDescent="0.25">
      <c r="A417" s="1" t="s">
        <v>4</v>
      </c>
      <c r="B417" s="2" t="s">
        <v>210</v>
      </c>
      <c r="C417" s="5"/>
      <c r="D417" s="5" t="s">
        <v>507</v>
      </c>
      <c r="E417" s="9">
        <v>167847</v>
      </c>
      <c r="F417" s="9">
        <v>167847</v>
      </c>
      <c r="G417" s="57">
        <v>0</v>
      </c>
      <c r="H417" s="19"/>
      <c r="I417" s="19"/>
      <c r="J417" s="5" t="s">
        <v>3353</v>
      </c>
    </row>
    <row r="418" spans="1:10" ht="39" x14ac:dyDescent="0.25">
      <c r="A418" s="1" t="s">
        <v>34</v>
      </c>
      <c r="B418" s="2" t="s">
        <v>338</v>
      </c>
      <c r="C418" s="5"/>
      <c r="D418" s="5" t="s">
        <v>872</v>
      </c>
      <c r="E418" s="3">
        <v>94618.85</v>
      </c>
      <c r="F418" s="3">
        <v>167682.9</v>
      </c>
      <c r="G418" s="57">
        <v>0.77219338429921713</v>
      </c>
      <c r="H418" s="19"/>
      <c r="I418" s="19"/>
      <c r="J418" s="5" t="s">
        <v>4426</v>
      </c>
    </row>
    <row r="419" spans="1:10" x14ac:dyDescent="0.25">
      <c r="A419" s="1" t="s">
        <v>25</v>
      </c>
      <c r="B419" s="2" t="s">
        <v>192</v>
      </c>
      <c r="C419" s="5"/>
      <c r="D419" s="5" t="s">
        <v>1443</v>
      </c>
      <c r="E419" s="9">
        <v>167620</v>
      </c>
      <c r="F419" s="9">
        <v>167620</v>
      </c>
      <c r="G419" s="57">
        <v>0</v>
      </c>
      <c r="H419" s="19"/>
      <c r="I419" s="19"/>
      <c r="J419" s="5" t="s">
        <v>3491</v>
      </c>
    </row>
    <row r="420" spans="1:10" ht="26.25" x14ac:dyDescent="0.25">
      <c r="A420" s="1" t="s">
        <v>25</v>
      </c>
      <c r="B420" s="12" t="s">
        <v>197</v>
      </c>
      <c r="C420" s="5"/>
      <c r="D420" s="5" t="s">
        <v>1401</v>
      </c>
      <c r="E420" s="9">
        <v>165000</v>
      </c>
      <c r="F420" s="9">
        <v>167561</v>
      </c>
      <c r="G420" s="57">
        <v>1.5521212121212121E-2</v>
      </c>
      <c r="H420" s="19"/>
      <c r="I420" s="19"/>
      <c r="J420" s="5" t="s">
        <v>3434</v>
      </c>
    </row>
    <row r="421" spans="1:10" x14ac:dyDescent="0.25">
      <c r="A421" s="1" t="s">
        <v>39</v>
      </c>
      <c r="B421" s="2" t="s">
        <v>103</v>
      </c>
      <c r="C421" s="1"/>
      <c r="D421" s="5" t="s">
        <v>464</v>
      </c>
      <c r="E421" s="3" t="s">
        <v>465</v>
      </c>
      <c r="F421" s="3">
        <v>167500</v>
      </c>
      <c r="G421" s="57" t="s">
        <v>465</v>
      </c>
      <c r="H421" s="19"/>
      <c r="I421" s="19"/>
      <c r="J421" s="5"/>
    </row>
    <row r="422" spans="1:10" x14ac:dyDescent="0.25">
      <c r="A422" s="1" t="s">
        <v>4</v>
      </c>
      <c r="B422" s="2" t="s">
        <v>144</v>
      </c>
      <c r="C422" s="1"/>
      <c r="D422" s="5" t="s">
        <v>464</v>
      </c>
      <c r="E422" s="3" t="s">
        <v>465</v>
      </c>
      <c r="F422" s="3">
        <v>167500</v>
      </c>
      <c r="G422" s="57" t="s">
        <v>465</v>
      </c>
      <c r="H422" s="19"/>
      <c r="I422" s="19"/>
      <c r="J422" s="5"/>
    </row>
    <row r="423" spans="1:10" x14ac:dyDescent="0.25">
      <c r="A423" s="1" t="s">
        <v>39</v>
      </c>
      <c r="B423" s="2" t="s">
        <v>370</v>
      </c>
      <c r="C423" s="5"/>
      <c r="D423" s="5" t="s">
        <v>464</v>
      </c>
      <c r="E423" s="3" t="s">
        <v>465</v>
      </c>
      <c r="F423" s="3">
        <v>167500</v>
      </c>
      <c r="G423" s="57" t="s">
        <v>465</v>
      </c>
      <c r="H423" s="19"/>
      <c r="I423" s="19"/>
      <c r="J423" s="5" t="s">
        <v>539</v>
      </c>
    </row>
    <row r="424" spans="1:10" x14ac:dyDescent="0.25">
      <c r="A424" s="1" t="s">
        <v>39</v>
      </c>
      <c r="B424" s="2" t="s">
        <v>370</v>
      </c>
      <c r="C424" s="5"/>
      <c r="D424" s="5" t="s">
        <v>464</v>
      </c>
      <c r="E424" s="3" t="s">
        <v>465</v>
      </c>
      <c r="F424" s="3">
        <v>167500</v>
      </c>
      <c r="G424" s="57" t="s">
        <v>465</v>
      </c>
      <c r="H424" s="19"/>
      <c r="I424" s="19"/>
      <c r="J424" s="5" t="s">
        <v>539</v>
      </c>
    </row>
    <row r="425" spans="1:10" x14ac:dyDescent="0.25">
      <c r="A425" s="1" t="s">
        <v>39</v>
      </c>
      <c r="B425" s="2" t="s">
        <v>370</v>
      </c>
      <c r="C425" s="5"/>
      <c r="D425" s="5" t="s">
        <v>464</v>
      </c>
      <c r="E425" s="3" t="s">
        <v>465</v>
      </c>
      <c r="F425" s="3">
        <v>167500</v>
      </c>
      <c r="G425" s="57" t="s">
        <v>465</v>
      </c>
      <c r="H425" s="19"/>
      <c r="I425" s="19"/>
      <c r="J425" s="5"/>
    </row>
    <row r="426" spans="1:10" x14ac:dyDescent="0.25">
      <c r="A426" s="1" t="s">
        <v>6</v>
      </c>
      <c r="B426" s="2" t="s">
        <v>407</v>
      </c>
      <c r="C426" s="5"/>
      <c r="D426" s="5" t="s">
        <v>464</v>
      </c>
      <c r="E426" s="3" t="s">
        <v>465</v>
      </c>
      <c r="F426" s="3">
        <v>167500</v>
      </c>
      <c r="G426" s="57" t="s">
        <v>465</v>
      </c>
      <c r="H426" s="19"/>
      <c r="I426" s="19"/>
      <c r="J426" s="5" t="s">
        <v>651</v>
      </c>
    </row>
    <row r="427" spans="1:10" x14ac:dyDescent="0.25">
      <c r="A427" s="1" t="s">
        <v>6</v>
      </c>
      <c r="B427" s="2" t="s">
        <v>407</v>
      </c>
      <c r="C427" s="5"/>
      <c r="D427" s="5" t="s">
        <v>464</v>
      </c>
      <c r="E427" s="3" t="s">
        <v>465</v>
      </c>
      <c r="F427" s="3">
        <v>167500</v>
      </c>
      <c r="G427" s="57" t="s">
        <v>465</v>
      </c>
      <c r="H427" s="19"/>
      <c r="I427" s="19"/>
      <c r="J427" s="5" t="s">
        <v>651</v>
      </c>
    </row>
    <row r="428" spans="1:10" x14ac:dyDescent="0.25">
      <c r="A428" s="13" t="s">
        <v>111</v>
      </c>
      <c r="B428" s="12" t="s">
        <v>247</v>
      </c>
      <c r="C428" s="7"/>
      <c r="D428" s="7" t="s">
        <v>450</v>
      </c>
      <c r="E428" s="6">
        <v>155644</v>
      </c>
      <c r="F428" s="6">
        <v>167471</v>
      </c>
      <c r="G428" s="57">
        <v>7.5987509958623523E-2</v>
      </c>
      <c r="H428" s="21"/>
      <c r="I428" s="21"/>
      <c r="J428" s="7" t="s">
        <v>3147</v>
      </c>
    </row>
    <row r="429" spans="1:10" ht="26.25" x14ac:dyDescent="0.25">
      <c r="A429" s="1" t="s">
        <v>111</v>
      </c>
      <c r="B429" s="2" t="s">
        <v>305</v>
      </c>
      <c r="C429" s="5"/>
      <c r="D429" s="5" t="s">
        <v>450</v>
      </c>
      <c r="E429" s="3">
        <v>168146</v>
      </c>
      <c r="F429" s="3">
        <v>167329</v>
      </c>
      <c r="G429" s="57">
        <v>-4.8588726463906365E-3</v>
      </c>
      <c r="H429" s="19"/>
      <c r="I429" s="19"/>
      <c r="J429" s="5" t="s">
        <v>2831</v>
      </c>
    </row>
    <row r="430" spans="1:10" ht="26.25" x14ac:dyDescent="0.25">
      <c r="A430" s="1" t="s">
        <v>25</v>
      </c>
      <c r="B430" s="2" t="s">
        <v>379</v>
      </c>
      <c r="C430" s="5" t="s">
        <v>721</v>
      </c>
      <c r="D430" s="5" t="s">
        <v>505</v>
      </c>
      <c r="E430" s="3">
        <v>158680</v>
      </c>
      <c r="F430" s="3">
        <v>167325</v>
      </c>
      <c r="G430" s="57">
        <v>5.4480715906226371E-2</v>
      </c>
      <c r="H430" s="19"/>
      <c r="I430" s="19"/>
      <c r="J430" s="5" t="s">
        <v>4477</v>
      </c>
    </row>
    <row r="431" spans="1:10" ht="26.25" x14ac:dyDescent="0.25">
      <c r="A431" s="1" t="s">
        <v>34</v>
      </c>
      <c r="B431" s="2" t="s">
        <v>101</v>
      </c>
      <c r="C431" s="1"/>
      <c r="D431" s="5" t="s">
        <v>2212</v>
      </c>
      <c r="E431" s="3">
        <v>167160</v>
      </c>
      <c r="F431" s="3">
        <v>167257</v>
      </c>
      <c r="G431" s="57">
        <v>5.8028236420196221E-4</v>
      </c>
      <c r="H431" s="19"/>
      <c r="I431" s="19"/>
      <c r="J431" s="5" t="s">
        <v>3854</v>
      </c>
    </row>
    <row r="432" spans="1:10" ht="26.25" x14ac:dyDescent="0.25">
      <c r="A432" s="1" t="s">
        <v>1</v>
      </c>
      <c r="B432" s="2" t="s">
        <v>126</v>
      </c>
      <c r="C432" s="1" t="s">
        <v>2106</v>
      </c>
      <c r="D432" s="5" t="s">
        <v>450</v>
      </c>
      <c r="E432" s="3">
        <v>140074</v>
      </c>
      <c r="F432" s="3">
        <v>167114</v>
      </c>
      <c r="G432" s="57">
        <v>0.19304082128018046</v>
      </c>
      <c r="H432" s="19"/>
      <c r="I432" s="19"/>
      <c r="J432" s="5" t="s">
        <v>4293</v>
      </c>
    </row>
    <row r="433" spans="1:10" ht="26.25" x14ac:dyDescent="0.25">
      <c r="A433" s="1" t="s">
        <v>8</v>
      </c>
      <c r="B433" s="2" t="s">
        <v>284</v>
      </c>
      <c r="C433" s="5"/>
      <c r="D433" s="5" t="s">
        <v>1054</v>
      </c>
      <c r="E433" s="3">
        <v>168980</v>
      </c>
      <c r="F433" s="3">
        <v>167074</v>
      </c>
      <c r="G433" s="57">
        <v>-1.1279441354006391E-2</v>
      </c>
      <c r="H433" s="19"/>
      <c r="I433" s="19"/>
      <c r="J433" s="5" t="s">
        <v>2964</v>
      </c>
    </row>
    <row r="434" spans="1:10" ht="39" x14ac:dyDescent="0.25">
      <c r="A434" s="1" t="s">
        <v>20</v>
      </c>
      <c r="B434" s="12" t="s">
        <v>30</v>
      </c>
      <c r="C434" s="13"/>
      <c r="D434" s="7" t="s">
        <v>529</v>
      </c>
      <c r="E434" s="6">
        <v>155612</v>
      </c>
      <c r="F434" s="6">
        <v>167035</v>
      </c>
      <c r="G434" s="57">
        <v>7.3406935197799658E-2</v>
      </c>
      <c r="H434" s="21"/>
      <c r="I434" s="21"/>
      <c r="J434" s="7" t="s">
        <v>4119</v>
      </c>
    </row>
    <row r="435" spans="1:10" ht="26.25" x14ac:dyDescent="0.25">
      <c r="A435" s="1" t="s">
        <v>25</v>
      </c>
      <c r="B435" s="2" t="s">
        <v>184</v>
      </c>
      <c r="C435" s="5"/>
      <c r="D435" s="5" t="s">
        <v>1465</v>
      </c>
      <c r="E435" s="9">
        <v>171402</v>
      </c>
      <c r="F435" s="9">
        <v>167035</v>
      </c>
      <c r="G435" s="57">
        <v>-2.5478115774611731E-2</v>
      </c>
      <c r="H435" s="19"/>
      <c r="I435" s="19"/>
      <c r="J435" s="5" t="s">
        <v>3525</v>
      </c>
    </row>
    <row r="436" spans="1:10" ht="26.25" x14ac:dyDescent="0.25">
      <c r="A436" s="1" t="s">
        <v>28</v>
      </c>
      <c r="B436" s="2" t="s">
        <v>332</v>
      </c>
      <c r="C436" s="5"/>
      <c r="D436" s="5" t="s">
        <v>4684</v>
      </c>
      <c r="E436" s="3">
        <v>167172</v>
      </c>
      <c r="F436" s="3">
        <v>167012</v>
      </c>
      <c r="G436" s="57">
        <v>-9.570980786256072E-4</v>
      </c>
      <c r="H436" s="19"/>
      <c r="I436" s="19"/>
      <c r="J436" s="5" t="s">
        <v>2755</v>
      </c>
    </row>
    <row r="437" spans="1:10" ht="26.25" x14ac:dyDescent="0.25">
      <c r="A437" s="1" t="s">
        <v>28</v>
      </c>
      <c r="B437" s="2" t="s">
        <v>27</v>
      </c>
      <c r="C437" s="1"/>
      <c r="D437" s="5" t="s">
        <v>450</v>
      </c>
      <c r="E437" s="3">
        <v>161000</v>
      </c>
      <c r="F437" s="3">
        <v>167000</v>
      </c>
      <c r="G437" s="57">
        <v>3.7267080745341616E-2</v>
      </c>
      <c r="H437" s="19"/>
      <c r="I437" s="19"/>
      <c r="J437" s="7" t="s">
        <v>4111</v>
      </c>
    </row>
    <row r="438" spans="1:10" ht="26.25" x14ac:dyDescent="0.25">
      <c r="A438" s="1" t="s">
        <v>28</v>
      </c>
      <c r="B438" s="2" t="s">
        <v>221</v>
      </c>
      <c r="C438" s="5"/>
      <c r="D438" s="5" t="s">
        <v>1282</v>
      </c>
      <c r="E438" s="9">
        <v>162194</v>
      </c>
      <c r="F438" s="9">
        <v>166865</v>
      </c>
      <c r="G438" s="57">
        <v>2.879884582660271E-2</v>
      </c>
      <c r="H438" s="19"/>
      <c r="I438" s="19"/>
      <c r="J438" s="5" t="s">
        <v>3269</v>
      </c>
    </row>
    <row r="439" spans="1:10" ht="26.25" x14ac:dyDescent="0.25">
      <c r="A439" s="1" t="s">
        <v>25</v>
      </c>
      <c r="B439" s="2" t="s">
        <v>181</v>
      </c>
      <c r="C439" s="5" t="s">
        <v>1483</v>
      </c>
      <c r="D439" s="5" t="s">
        <v>1484</v>
      </c>
      <c r="E439" s="9">
        <v>185153</v>
      </c>
      <c r="F439" s="9">
        <v>166802</v>
      </c>
      <c r="G439" s="57">
        <v>-9.9112625774359586E-2</v>
      </c>
      <c r="H439" s="19"/>
      <c r="I439" s="19"/>
      <c r="J439" s="5" t="s">
        <v>3545</v>
      </c>
    </row>
    <row r="440" spans="1:10" ht="26.25" x14ac:dyDescent="0.25">
      <c r="A440" s="1" t="s">
        <v>25</v>
      </c>
      <c r="B440" s="2" t="s">
        <v>304</v>
      </c>
      <c r="C440" s="5"/>
      <c r="D440" s="5" t="s">
        <v>968</v>
      </c>
      <c r="E440" s="3">
        <v>166524</v>
      </c>
      <c r="F440" s="3">
        <v>166608</v>
      </c>
      <c r="G440" s="57">
        <v>5.0443179361533475E-4</v>
      </c>
      <c r="H440" s="19"/>
      <c r="I440" s="19"/>
      <c r="J440" s="5" t="s">
        <v>2842</v>
      </c>
    </row>
    <row r="441" spans="1:10" x14ac:dyDescent="0.25">
      <c r="A441" s="1" t="s">
        <v>25</v>
      </c>
      <c r="B441" s="2" t="s">
        <v>358</v>
      </c>
      <c r="C441" s="5" t="s">
        <v>804</v>
      </c>
      <c r="D441" s="5" t="s">
        <v>517</v>
      </c>
      <c r="E441" s="9">
        <v>182696</v>
      </c>
      <c r="F441" s="9">
        <v>166367</v>
      </c>
      <c r="G441" s="57">
        <v>-8.9377983097604766E-2</v>
      </c>
      <c r="H441" s="19"/>
      <c r="I441" s="19"/>
      <c r="J441" s="5" t="s">
        <v>2634</v>
      </c>
    </row>
    <row r="442" spans="1:10" ht="26.25" x14ac:dyDescent="0.25">
      <c r="A442" s="1" t="s">
        <v>25</v>
      </c>
      <c r="B442" s="2" t="s">
        <v>225</v>
      </c>
      <c r="C442" s="5"/>
      <c r="D442" s="5" t="s">
        <v>1259</v>
      </c>
      <c r="E442" s="3">
        <v>162361</v>
      </c>
      <c r="F442" s="3">
        <v>166194</v>
      </c>
      <c r="G442" s="57">
        <v>2.3607886130289909E-2</v>
      </c>
      <c r="H442" s="19"/>
      <c r="I442" s="19"/>
      <c r="J442" s="5" t="s">
        <v>3241</v>
      </c>
    </row>
    <row r="443" spans="1:10" x14ac:dyDescent="0.25">
      <c r="A443" s="1" t="s">
        <v>39</v>
      </c>
      <c r="B443" s="2" t="s">
        <v>38</v>
      </c>
      <c r="C443" s="1"/>
      <c r="D443" s="5" t="s">
        <v>3706</v>
      </c>
      <c r="E443" s="3">
        <v>162622</v>
      </c>
      <c r="F443" s="3">
        <v>166176</v>
      </c>
      <c r="G443" s="57">
        <v>2.1854361648485445E-2</v>
      </c>
      <c r="H443" s="19"/>
      <c r="I443" s="19"/>
      <c r="J443" s="5" t="s">
        <v>3707</v>
      </c>
    </row>
    <row r="444" spans="1:10" x14ac:dyDescent="0.25">
      <c r="A444" s="1" t="s">
        <v>25</v>
      </c>
      <c r="B444" s="2" t="s">
        <v>200</v>
      </c>
      <c r="C444" s="5"/>
      <c r="D444" s="5" t="s">
        <v>507</v>
      </c>
      <c r="E444" s="9">
        <v>156630</v>
      </c>
      <c r="F444" s="9">
        <v>165880</v>
      </c>
      <c r="G444" s="57">
        <v>5.9056374896252317E-2</v>
      </c>
      <c r="H444" s="19"/>
      <c r="I444" s="19"/>
      <c r="J444" s="5" t="s">
        <v>3414</v>
      </c>
    </row>
    <row r="445" spans="1:10" x14ac:dyDescent="0.25">
      <c r="A445" s="1" t="s">
        <v>25</v>
      </c>
      <c r="B445" s="2" t="s">
        <v>200</v>
      </c>
      <c r="C445" s="5"/>
      <c r="D445" s="5" t="s">
        <v>562</v>
      </c>
      <c r="E445" s="9">
        <v>154077</v>
      </c>
      <c r="F445" s="9">
        <v>165880</v>
      </c>
      <c r="G445" s="57">
        <v>7.6604554865424432E-2</v>
      </c>
      <c r="H445" s="19"/>
      <c r="I445" s="19"/>
      <c r="J445" s="5" t="s">
        <v>3414</v>
      </c>
    </row>
    <row r="446" spans="1:10" ht="39" x14ac:dyDescent="0.25">
      <c r="A446" s="1" t="s">
        <v>25</v>
      </c>
      <c r="B446" s="2" t="s">
        <v>187</v>
      </c>
      <c r="C446" s="5"/>
      <c r="D446" s="5" t="s">
        <v>1458</v>
      </c>
      <c r="E446" s="9">
        <v>145884</v>
      </c>
      <c r="F446" s="9">
        <v>165790</v>
      </c>
      <c r="G446" s="57">
        <v>0.13645087878040085</v>
      </c>
      <c r="H446" s="19"/>
      <c r="I446" s="19"/>
      <c r="J446" s="5" t="s">
        <v>3508</v>
      </c>
    </row>
    <row r="447" spans="1:10" ht="26.25" x14ac:dyDescent="0.25">
      <c r="A447" s="1" t="s">
        <v>20</v>
      </c>
      <c r="B447" s="2" t="s">
        <v>194</v>
      </c>
      <c r="C447" s="5" t="s">
        <v>1431</v>
      </c>
      <c r="D447" s="5" t="s">
        <v>1432</v>
      </c>
      <c r="E447" s="9">
        <v>166787</v>
      </c>
      <c r="F447" s="9">
        <v>165760</v>
      </c>
      <c r="G447" s="57">
        <v>-6.1575542458345072E-3</v>
      </c>
      <c r="H447" s="19"/>
      <c r="I447" s="19"/>
      <c r="J447" s="5" t="s">
        <v>3474</v>
      </c>
    </row>
    <row r="448" spans="1:10" ht="64.5" x14ac:dyDescent="0.25">
      <c r="A448" s="1" t="s">
        <v>39</v>
      </c>
      <c r="B448" s="2" t="s">
        <v>409</v>
      </c>
      <c r="C448" s="5"/>
      <c r="D448" s="5" t="s">
        <v>604</v>
      </c>
      <c r="E448" s="3" t="s">
        <v>465</v>
      </c>
      <c r="F448" s="3">
        <v>165675</v>
      </c>
      <c r="G448" s="57" t="s">
        <v>465</v>
      </c>
      <c r="H448" s="19"/>
      <c r="I448" s="19"/>
      <c r="J448" s="5" t="s">
        <v>4536</v>
      </c>
    </row>
    <row r="449" spans="1:10" ht="26.25" x14ac:dyDescent="0.25">
      <c r="A449" s="1" t="s">
        <v>25</v>
      </c>
      <c r="B449" s="2" t="s">
        <v>178</v>
      </c>
      <c r="C449" s="5"/>
      <c r="D449" s="5" t="s">
        <v>1506</v>
      </c>
      <c r="E449" s="9">
        <v>165589</v>
      </c>
      <c r="F449" s="9">
        <v>165589</v>
      </c>
      <c r="G449" s="57">
        <v>0</v>
      </c>
      <c r="H449" s="19"/>
      <c r="I449" s="19"/>
      <c r="J449" s="5" t="s">
        <v>3565</v>
      </c>
    </row>
    <row r="450" spans="1:10" ht="51.75" x14ac:dyDescent="0.25">
      <c r="A450" s="1" t="s">
        <v>4</v>
      </c>
      <c r="B450" s="2" t="s">
        <v>144</v>
      </c>
      <c r="C450" s="1"/>
      <c r="D450" s="5" t="s">
        <v>562</v>
      </c>
      <c r="E450" s="3">
        <v>173600</v>
      </c>
      <c r="F450" s="3">
        <v>165564</v>
      </c>
      <c r="G450" s="57">
        <v>-4.6290322580645159E-2</v>
      </c>
      <c r="H450" s="19"/>
      <c r="I450" s="19"/>
      <c r="J450" s="5" t="s">
        <v>4311</v>
      </c>
    </row>
    <row r="451" spans="1:10" ht="39" x14ac:dyDescent="0.25">
      <c r="A451" s="1" t="s">
        <v>4</v>
      </c>
      <c r="B451" s="2" t="s">
        <v>182</v>
      </c>
      <c r="C451" s="5"/>
      <c r="D451" s="5" t="s">
        <v>942</v>
      </c>
      <c r="E451" s="9">
        <v>166124</v>
      </c>
      <c r="F451" s="9">
        <v>165401</v>
      </c>
      <c r="G451" s="57">
        <v>-4.3521706676940119E-3</v>
      </c>
      <c r="H451" s="19"/>
      <c r="I451" s="19"/>
      <c r="J451" s="5" t="s">
        <v>3534</v>
      </c>
    </row>
    <row r="452" spans="1:10" ht="26.25" x14ac:dyDescent="0.25">
      <c r="A452" s="1" t="s">
        <v>4</v>
      </c>
      <c r="B452" s="2" t="s">
        <v>182</v>
      </c>
      <c r="C452" s="5"/>
      <c r="D452" s="5" t="s">
        <v>1473</v>
      </c>
      <c r="E452" s="9">
        <v>165590</v>
      </c>
      <c r="F452" s="9">
        <v>165401</v>
      </c>
      <c r="G452" s="57">
        <v>-1.1413732713328099E-3</v>
      </c>
      <c r="H452" s="19"/>
      <c r="I452" s="19"/>
      <c r="J452" s="5" t="s">
        <v>3536</v>
      </c>
    </row>
    <row r="453" spans="1:10" ht="26.25" x14ac:dyDescent="0.25">
      <c r="A453" s="1" t="s">
        <v>25</v>
      </c>
      <c r="B453" s="2" t="s">
        <v>26</v>
      </c>
      <c r="C453" s="1"/>
      <c r="D453" s="5" t="s">
        <v>457</v>
      </c>
      <c r="E453" s="6" t="s">
        <v>465</v>
      </c>
      <c r="F453" s="3">
        <v>165335</v>
      </c>
      <c r="G453" s="57" t="s">
        <v>465</v>
      </c>
      <c r="H453" s="19"/>
      <c r="I453" s="19"/>
      <c r="J453" s="5" t="s">
        <v>3668</v>
      </c>
    </row>
    <row r="454" spans="1:10" ht="26.25" x14ac:dyDescent="0.25">
      <c r="A454" s="1" t="s">
        <v>25</v>
      </c>
      <c r="B454" s="2" t="s">
        <v>26</v>
      </c>
      <c r="C454" s="1"/>
      <c r="D454" s="5" t="s">
        <v>1271</v>
      </c>
      <c r="E454" s="6">
        <v>164275</v>
      </c>
      <c r="F454" s="3">
        <v>165335</v>
      </c>
      <c r="G454" s="57">
        <v>6.4525947344392029E-3</v>
      </c>
      <c r="H454" s="19"/>
      <c r="I454" s="19"/>
      <c r="J454" s="5" t="s">
        <v>3668</v>
      </c>
    </row>
    <row r="455" spans="1:10" x14ac:dyDescent="0.25">
      <c r="A455" s="1" t="s">
        <v>4</v>
      </c>
      <c r="B455" s="2" t="s">
        <v>377</v>
      </c>
      <c r="C455" s="5" t="s">
        <v>730</v>
      </c>
      <c r="D455" s="5" t="s">
        <v>731</v>
      </c>
      <c r="E455" s="3">
        <v>165140</v>
      </c>
      <c r="F455" s="3">
        <v>165140</v>
      </c>
      <c r="G455" s="57">
        <v>0</v>
      </c>
      <c r="H455" s="19"/>
      <c r="I455" s="19"/>
      <c r="J455" s="5" t="s">
        <v>2530</v>
      </c>
    </row>
    <row r="456" spans="1:10" ht="26.25" x14ac:dyDescent="0.25">
      <c r="A456" s="1" t="s">
        <v>25</v>
      </c>
      <c r="B456" s="2" t="s">
        <v>424</v>
      </c>
      <c r="C456" s="5"/>
      <c r="D456" s="5" t="s">
        <v>549</v>
      </c>
      <c r="E456" s="3">
        <v>168756</v>
      </c>
      <c r="F456" s="3">
        <v>165133</v>
      </c>
      <c r="G456" s="57">
        <v>-2.1468866292161465E-2</v>
      </c>
      <c r="H456" s="19"/>
      <c r="I456" s="19"/>
      <c r="J456" s="5" t="s">
        <v>4712</v>
      </c>
    </row>
    <row r="457" spans="1:10" ht="26.25" x14ac:dyDescent="0.25">
      <c r="A457" s="1" t="s">
        <v>8</v>
      </c>
      <c r="B457" s="2" t="s">
        <v>81</v>
      </c>
      <c r="C457" s="1" t="s">
        <v>3817</v>
      </c>
      <c r="D457" s="5" t="s">
        <v>1995</v>
      </c>
      <c r="E457" s="3">
        <v>83826</v>
      </c>
      <c r="F457" s="3">
        <v>165078</v>
      </c>
      <c r="G457" s="57">
        <v>0.96929353661155249</v>
      </c>
      <c r="H457" s="19"/>
      <c r="I457" s="19"/>
      <c r="J457" s="5" t="s">
        <v>3818</v>
      </c>
    </row>
    <row r="458" spans="1:10" ht="39" x14ac:dyDescent="0.25">
      <c r="A458" s="1" t="s">
        <v>6</v>
      </c>
      <c r="B458" s="12" t="s">
        <v>231</v>
      </c>
      <c r="C458" s="5"/>
      <c r="D458" s="5" t="s">
        <v>451</v>
      </c>
      <c r="E458" s="9">
        <v>176690</v>
      </c>
      <c r="F458" s="9">
        <v>164780</v>
      </c>
      <c r="G458" s="57">
        <v>-6.7406191635067073E-2</v>
      </c>
      <c r="H458" s="19"/>
      <c r="I458" s="19"/>
      <c r="J458" s="5" t="s">
        <v>3222</v>
      </c>
    </row>
    <row r="459" spans="1:10" ht="26.25" x14ac:dyDescent="0.25">
      <c r="A459" s="13" t="s">
        <v>1</v>
      </c>
      <c r="B459" s="12" t="s">
        <v>92</v>
      </c>
      <c r="C459" s="13" t="s">
        <v>2246</v>
      </c>
      <c r="D459" s="7" t="s">
        <v>450</v>
      </c>
      <c r="E459" s="6">
        <v>190291</v>
      </c>
      <c r="F459" s="6">
        <v>164717</v>
      </c>
      <c r="G459" s="57">
        <v>-0.1343941647266555</v>
      </c>
      <c r="H459" s="21"/>
      <c r="I459" s="21"/>
      <c r="J459" s="17" t="s">
        <v>4229</v>
      </c>
    </row>
    <row r="460" spans="1:10" ht="26.25" x14ac:dyDescent="0.25">
      <c r="A460" s="1" t="s">
        <v>25</v>
      </c>
      <c r="B460" s="2" t="s">
        <v>208</v>
      </c>
      <c r="C460" s="5"/>
      <c r="D460" s="5" t="s">
        <v>1061</v>
      </c>
      <c r="E460" s="9">
        <v>166279</v>
      </c>
      <c r="F460" s="9">
        <v>164662</v>
      </c>
      <c r="G460" s="57">
        <v>-9.7246194648753E-3</v>
      </c>
      <c r="H460" s="19"/>
      <c r="I460" s="19"/>
      <c r="J460" s="5" t="s">
        <v>3379</v>
      </c>
    </row>
    <row r="461" spans="1:10" ht="26.25" x14ac:dyDescent="0.25">
      <c r="A461" s="1" t="s">
        <v>25</v>
      </c>
      <c r="B461" s="2" t="s">
        <v>129</v>
      </c>
      <c r="C461" s="1" t="s">
        <v>2095</v>
      </c>
      <c r="D461" s="5" t="s">
        <v>2096</v>
      </c>
      <c r="E461" s="3">
        <v>133418</v>
      </c>
      <c r="F461" s="3">
        <v>164624</v>
      </c>
      <c r="G461" s="57">
        <v>0.23389647573790642</v>
      </c>
      <c r="H461" s="19"/>
      <c r="I461" s="19"/>
      <c r="J461" s="5" t="s">
        <v>3947</v>
      </c>
    </row>
    <row r="462" spans="1:10" ht="26.25" x14ac:dyDescent="0.25">
      <c r="A462" s="1" t="s">
        <v>25</v>
      </c>
      <c r="B462" s="2" t="s">
        <v>187</v>
      </c>
      <c r="C462" s="5"/>
      <c r="D462" s="5" t="s">
        <v>1459</v>
      </c>
      <c r="E462" s="9">
        <v>151756</v>
      </c>
      <c r="F462" s="9">
        <v>164480</v>
      </c>
      <c r="G462" s="57">
        <v>8.3845119797569784E-2</v>
      </c>
      <c r="H462" s="19"/>
      <c r="I462" s="19"/>
      <c r="J462" s="5" t="s">
        <v>3513</v>
      </c>
    </row>
    <row r="463" spans="1:10" x14ac:dyDescent="0.25">
      <c r="A463" s="1" t="s">
        <v>25</v>
      </c>
      <c r="B463" s="2" t="s">
        <v>424</v>
      </c>
      <c r="C463" s="5" t="s">
        <v>545</v>
      </c>
      <c r="D463" s="5" t="s">
        <v>546</v>
      </c>
      <c r="E463" s="3">
        <v>262800</v>
      </c>
      <c r="F463" s="3">
        <v>164426</v>
      </c>
      <c r="G463" s="57">
        <v>-0.37433028919330291</v>
      </c>
      <c r="H463" s="19"/>
      <c r="I463" s="19"/>
      <c r="J463" s="5" t="s">
        <v>2332</v>
      </c>
    </row>
    <row r="464" spans="1:10" ht="77.25" x14ac:dyDescent="0.25">
      <c r="A464" s="1" t="s">
        <v>25</v>
      </c>
      <c r="B464" s="2" t="s">
        <v>405</v>
      </c>
      <c r="C464" s="5"/>
      <c r="D464" s="5" t="s">
        <v>642</v>
      </c>
      <c r="E464" s="3" t="s">
        <v>465</v>
      </c>
      <c r="F464" s="3">
        <v>164371</v>
      </c>
      <c r="G464" s="57" t="s">
        <v>465</v>
      </c>
      <c r="H464" s="19"/>
      <c r="I464" s="19"/>
      <c r="J464" s="5" t="s">
        <v>4711</v>
      </c>
    </row>
    <row r="465" spans="1:10" ht="26.25" x14ac:dyDescent="0.25">
      <c r="A465" s="1" t="s">
        <v>25</v>
      </c>
      <c r="B465" s="2" t="s">
        <v>424</v>
      </c>
      <c r="C465" s="5"/>
      <c r="D465" s="5" t="s">
        <v>550</v>
      </c>
      <c r="E465" s="3">
        <v>167619</v>
      </c>
      <c r="F465" s="3">
        <v>164288</v>
      </c>
      <c r="G465" s="57">
        <v>-1.9872448827400236E-2</v>
      </c>
      <c r="H465" s="19"/>
      <c r="I465" s="19"/>
      <c r="J465" s="5" t="s">
        <v>4713</v>
      </c>
    </row>
    <row r="466" spans="1:10" ht="26.25" x14ac:dyDescent="0.25">
      <c r="A466" s="1" t="s">
        <v>4</v>
      </c>
      <c r="B466" s="2" t="s">
        <v>292</v>
      </c>
      <c r="C466" s="5"/>
      <c r="D466" s="5" t="s">
        <v>1019</v>
      </c>
      <c r="E466" s="9">
        <v>19528</v>
      </c>
      <c r="F466" s="3">
        <v>164038</v>
      </c>
      <c r="G466" s="57">
        <v>7.4001433838590742</v>
      </c>
      <c r="H466" s="19"/>
      <c r="I466" s="19"/>
      <c r="J466" s="5" t="s">
        <v>2913</v>
      </c>
    </row>
    <row r="467" spans="1:10" ht="26.25" x14ac:dyDescent="0.25">
      <c r="A467" s="1" t="s">
        <v>1</v>
      </c>
      <c r="B467" s="12" t="s">
        <v>308</v>
      </c>
      <c r="C467" s="5" t="s">
        <v>950</v>
      </c>
      <c r="D467" s="5" t="s">
        <v>450</v>
      </c>
      <c r="E467" s="6">
        <v>140167</v>
      </c>
      <c r="F467" s="3">
        <v>163840</v>
      </c>
      <c r="G467" s="57">
        <v>0.16889139383735116</v>
      </c>
      <c r="H467" s="19"/>
      <c r="I467" s="19"/>
      <c r="J467" s="5" t="s">
        <v>4406</v>
      </c>
    </row>
    <row r="468" spans="1:10" x14ac:dyDescent="0.25">
      <c r="A468" s="1" t="s">
        <v>25</v>
      </c>
      <c r="B468" s="2" t="s">
        <v>358</v>
      </c>
      <c r="C468" s="5" t="s">
        <v>805</v>
      </c>
      <c r="D468" s="5" t="s">
        <v>806</v>
      </c>
      <c r="E468" s="9">
        <v>159844</v>
      </c>
      <c r="F468" s="9">
        <v>163770</v>
      </c>
      <c r="G468" s="57">
        <v>2.4561447411225946E-2</v>
      </c>
      <c r="H468" s="19"/>
      <c r="I468" s="19"/>
      <c r="J468" s="5" t="s">
        <v>2635</v>
      </c>
    </row>
    <row r="469" spans="1:10" ht="26.25" x14ac:dyDescent="0.25">
      <c r="A469" s="1" t="s">
        <v>28</v>
      </c>
      <c r="B469" s="2" t="s">
        <v>273</v>
      </c>
      <c r="C469" s="5"/>
      <c r="D469" s="5" t="s">
        <v>450</v>
      </c>
      <c r="E469" s="3">
        <v>169801</v>
      </c>
      <c r="F469" s="3">
        <v>163762</v>
      </c>
      <c r="G469" s="57">
        <v>-3.556516157148662E-2</v>
      </c>
      <c r="H469" s="19"/>
      <c r="I469" s="19"/>
      <c r="J469" s="5" t="s">
        <v>3035</v>
      </c>
    </row>
    <row r="470" spans="1:10" ht="26.25" x14ac:dyDescent="0.25">
      <c r="A470" s="1" t="s">
        <v>44</v>
      </c>
      <c r="B470" s="2" t="s">
        <v>43</v>
      </c>
      <c r="C470" s="1"/>
      <c r="D470" s="5" t="s">
        <v>450</v>
      </c>
      <c r="E470" s="3">
        <v>141175</v>
      </c>
      <c r="F470" s="3">
        <v>163624</v>
      </c>
      <c r="G470" s="57">
        <v>0.15901540641048345</v>
      </c>
      <c r="H470" s="19"/>
      <c r="I470" s="19"/>
      <c r="J470" s="5" t="s">
        <v>1789</v>
      </c>
    </row>
    <row r="471" spans="1:10" ht="26.25" x14ac:dyDescent="0.25">
      <c r="A471" s="1" t="s">
        <v>25</v>
      </c>
      <c r="B471" s="2" t="s">
        <v>398</v>
      </c>
      <c r="C471" s="5"/>
      <c r="D471" s="5" t="s">
        <v>2447</v>
      </c>
      <c r="E471" s="3">
        <v>162768</v>
      </c>
      <c r="F471" s="3">
        <v>163356</v>
      </c>
      <c r="G471" s="57">
        <v>3.6125036862282513E-3</v>
      </c>
      <c r="H471" s="19"/>
      <c r="I471" s="19"/>
      <c r="J471" s="5" t="s">
        <v>2450</v>
      </c>
    </row>
    <row r="472" spans="1:10" ht="26.25" x14ac:dyDescent="0.25">
      <c r="A472" s="1" t="s">
        <v>39</v>
      </c>
      <c r="B472" s="2" t="s">
        <v>433</v>
      </c>
      <c r="C472" s="5"/>
      <c r="D472" s="5" t="s">
        <v>483</v>
      </c>
      <c r="E472" s="3">
        <v>162764</v>
      </c>
      <c r="F472" s="3">
        <v>163096</v>
      </c>
      <c r="G472" s="57">
        <v>2.0397630925757539E-3</v>
      </c>
      <c r="H472" s="19"/>
      <c r="I472" s="19"/>
      <c r="J472" s="5" t="s">
        <v>2280</v>
      </c>
    </row>
    <row r="473" spans="1:10" ht="51.75" x14ac:dyDescent="0.25">
      <c r="A473" s="1" t="s">
        <v>34</v>
      </c>
      <c r="B473" s="2" t="s">
        <v>101</v>
      </c>
      <c r="C473" s="1"/>
      <c r="D473" s="5" t="s">
        <v>2214</v>
      </c>
      <c r="E473" s="3">
        <v>155220</v>
      </c>
      <c r="F473" s="3">
        <v>162967</v>
      </c>
      <c r="G473" s="57">
        <v>4.9909805437443631E-2</v>
      </c>
      <c r="H473" s="19"/>
      <c r="I473" s="19"/>
      <c r="J473" s="5" t="s">
        <v>4615</v>
      </c>
    </row>
    <row r="474" spans="1:10" ht="51.75" x14ac:dyDescent="0.25">
      <c r="A474" s="1" t="s">
        <v>28</v>
      </c>
      <c r="B474" s="2" t="s">
        <v>213</v>
      </c>
      <c r="C474" s="5"/>
      <c r="D474" s="5" t="s">
        <v>1326</v>
      </c>
      <c r="E474" s="9">
        <v>185045</v>
      </c>
      <c r="F474" s="9">
        <v>162837</v>
      </c>
      <c r="G474" s="57">
        <v>-0.12001405063633171</v>
      </c>
      <c r="H474" s="19"/>
      <c r="I474" s="19"/>
      <c r="J474" s="5" t="s">
        <v>4661</v>
      </c>
    </row>
    <row r="475" spans="1:10" x14ac:dyDescent="0.25">
      <c r="A475" s="1" t="s">
        <v>20</v>
      </c>
      <c r="B475" s="2" t="s">
        <v>296</v>
      </c>
      <c r="C475" s="5"/>
      <c r="D475" s="5" t="s">
        <v>1001</v>
      </c>
      <c r="E475" s="3">
        <v>160991</v>
      </c>
      <c r="F475" s="3">
        <v>162650</v>
      </c>
      <c r="G475" s="57">
        <v>1.0304923877732295E-2</v>
      </c>
      <c r="H475" s="19"/>
      <c r="I475" s="19"/>
      <c r="J475" s="5" t="s">
        <v>2875</v>
      </c>
    </row>
    <row r="476" spans="1:10" x14ac:dyDescent="0.25">
      <c r="A476" s="1" t="s">
        <v>8</v>
      </c>
      <c r="B476" s="2" t="s">
        <v>115</v>
      </c>
      <c r="C476" s="1"/>
      <c r="D476" s="5" t="s">
        <v>464</v>
      </c>
      <c r="E476" s="3" t="s">
        <v>465</v>
      </c>
      <c r="F476" s="3">
        <v>162500</v>
      </c>
      <c r="G476" s="57" t="s">
        <v>465</v>
      </c>
      <c r="H476" s="19"/>
      <c r="I476" s="19"/>
      <c r="J476" s="1"/>
    </row>
    <row r="477" spans="1:10" x14ac:dyDescent="0.25">
      <c r="A477" s="1" t="s">
        <v>28</v>
      </c>
      <c r="B477" s="2" t="s">
        <v>120</v>
      </c>
      <c r="C477" s="1"/>
      <c r="D477" s="5" t="s">
        <v>464</v>
      </c>
      <c r="E477" s="3" t="s">
        <v>465</v>
      </c>
      <c r="F477" s="3">
        <v>162500</v>
      </c>
      <c r="G477" s="57" t="s">
        <v>465</v>
      </c>
      <c r="H477" s="19"/>
      <c r="I477" s="19"/>
      <c r="J477" s="5"/>
    </row>
    <row r="478" spans="1:10" x14ac:dyDescent="0.25">
      <c r="A478" s="1" t="s">
        <v>25</v>
      </c>
      <c r="B478" s="2" t="s">
        <v>178</v>
      </c>
      <c r="C478" s="5"/>
      <c r="D478" s="5" t="s">
        <v>464</v>
      </c>
      <c r="E478" s="3" t="s">
        <v>465</v>
      </c>
      <c r="F478" s="3">
        <v>162500</v>
      </c>
      <c r="G478" s="57" t="s">
        <v>465</v>
      </c>
      <c r="H478" s="19"/>
      <c r="I478" s="19"/>
      <c r="J478" s="5"/>
    </row>
    <row r="479" spans="1:10" x14ac:dyDescent="0.25">
      <c r="A479" s="1" t="s">
        <v>4</v>
      </c>
      <c r="B479" s="2" t="s">
        <v>210</v>
      </c>
      <c r="C479" s="5"/>
      <c r="D479" s="5" t="s">
        <v>464</v>
      </c>
      <c r="E479" s="3" t="s">
        <v>465</v>
      </c>
      <c r="F479" s="3">
        <v>162500</v>
      </c>
      <c r="G479" s="57" t="s">
        <v>465</v>
      </c>
      <c r="H479" s="4"/>
      <c r="I479" s="4"/>
      <c r="J479" s="1"/>
    </row>
    <row r="480" spans="1:10" x14ac:dyDescent="0.25">
      <c r="A480" s="1" t="s">
        <v>6</v>
      </c>
      <c r="B480" s="2" t="s">
        <v>216</v>
      </c>
      <c r="C480" s="5"/>
      <c r="D480" s="5" t="s">
        <v>464</v>
      </c>
      <c r="E480" s="3" t="s">
        <v>465</v>
      </c>
      <c r="F480" s="3">
        <v>162500</v>
      </c>
      <c r="G480" s="57" t="s">
        <v>465</v>
      </c>
      <c r="H480" s="19"/>
      <c r="I480" s="19"/>
      <c r="J480" s="5"/>
    </row>
    <row r="481" spans="1:10" x14ac:dyDescent="0.25">
      <c r="A481" s="1" t="s">
        <v>111</v>
      </c>
      <c r="B481" s="2" t="s">
        <v>282</v>
      </c>
      <c r="C481" s="5"/>
      <c r="D481" s="5" t="s">
        <v>464</v>
      </c>
      <c r="E481" s="3" t="s">
        <v>465</v>
      </c>
      <c r="F481" s="3">
        <v>162500</v>
      </c>
      <c r="G481" s="57" t="s">
        <v>465</v>
      </c>
      <c r="H481" s="19"/>
      <c r="I481" s="19"/>
      <c r="J481" s="5" t="s">
        <v>539</v>
      </c>
    </row>
    <row r="482" spans="1:10" x14ac:dyDescent="0.25">
      <c r="A482" s="1" t="s">
        <v>8</v>
      </c>
      <c r="B482" s="2" t="s">
        <v>285</v>
      </c>
      <c r="C482" s="5"/>
      <c r="D482" s="5" t="s">
        <v>464</v>
      </c>
      <c r="E482" s="3" t="s">
        <v>465</v>
      </c>
      <c r="F482" s="3">
        <v>162500</v>
      </c>
      <c r="G482" s="57" t="s">
        <v>465</v>
      </c>
      <c r="H482" s="19"/>
      <c r="I482" s="19"/>
      <c r="J482" s="5"/>
    </row>
    <row r="483" spans="1:10" x14ac:dyDescent="0.25">
      <c r="A483" s="1" t="s">
        <v>6</v>
      </c>
      <c r="B483" s="2" t="s">
        <v>288</v>
      </c>
      <c r="C483" s="5"/>
      <c r="D483" s="5" t="s">
        <v>464</v>
      </c>
      <c r="E483" s="3" t="s">
        <v>465</v>
      </c>
      <c r="F483" s="3">
        <v>162500</v>
      </c>
      <c r="G483" s="57" t="s">
        <v>465</v>
      </c>
      <c r="H483" s="4"/>
      <c r="I483" s="4"/>
      <c r="J483" s="1"/>
    </row>
    <row r="484" spans="1:10" x14ac:dyDescent="0.25">
      <c r="A484" s="1" t="s">
        <v>39</v>
      </c>
      <c r="B484" s="2" t="s">
        <v>325</v>
      </c>
      <c r="C484" s="5"/>
      <c r="D484" s="5" t="s">
        <v>464</v>
      </c>
      <c r="E484" s="3"/>
      <c r="F484" s="3">
        <v>162500</v>
      </c>
      <c r="G484" s="57" t="s">
        <v>465</v>
      </c>
      <c r="H484" s="19"/>
      <c r="I484" s="19"/>
      <c r="J484" s="5" t="s">
        <v>1241</v>
      </c>
    </row>
    <row r="485" spans="1:10" x14ac:dyDescent="0.25">
      <c r="A485" s="1" t="s">
        <v>28</v>
      </c>
      <c r="B485" s="2" t="s">
        <v>332</v>
      </c>
      <c r="C485" s="5"/>
      <c r="D485" s="5" t="s">
        <v>464</v>
      </c>
      <c r="E485" s="3" t="s">
        <v>465</v>
      </c>
      <c r="F485" s="3">
        <v>162500</v>
      </c>
      <c r="G485" s="57" t="s">
        <v>465</v>
      </c>
      <c r="H485" s="19"/>
      <c r="I485" s="19"/>
      <c r="J485" s="5"/>
    </row>
    <row r="486" spans="1:10" ht="26.25" x14ac:dyDescent="0.25">
      <c r="A486" s="1" t="s">
        <v>4</v>
      </c>
      <c r="B486" s="2" t="s">
        <v>438</v>
      </c>
      <c r="C486" s="5" t="s">
        <v>469</v>
      </c>
      <c r="D486" s="5" t="s">
        <v>450</v>
      </c>
      <c r="E486" s="3">
        <v>174204</v>
      </c>
      <c r="F486" s="3">
        <v>162458</v>
      </c>
      <c r="G486" s="57">
        <v>-6.7426695139032405E-2</v>
      </c>
      <c r="H486" s="19"/>
      <c r="I486" s="19"/>
      <c r="J486" s="5" t="s">
        <v>2260</v>
      </c>
    </row>
    <row r="487" spans="1:10" ht="51.75" x14ac:dyDescent="0.25">
      <c r="A487" s="1" t="s">
        <v>4</v>
      </c>
      <c r="B487" s="2" t="s">
        <v>292</v>
      </c>
      <c r="C487" s="5"/>
      <c r="D487" s="5" t="s">
        <v>2926</v>
      </c>
      <c r="E487" s="9">
        <v>95833</v>
      </c>
      <c r="F487" s="3">
        <v>162316</v>
      </c>
      <c r="G487" s="57">
        <v>0.69373806517587888</v>
      </c>
      <c r="H487" s="19"/>
      <c r="I487" s="19"/>
      <c r="J487" s="5" t="s">
        <v>2927</v>
      </c>
    </row>
    <row r="488" spans="1:10" ht="26.25" x14ac:dyDescent="0.25">
      <c r="A488" s="1" t="s">
        <v>34</v>
      </c>
      <c r="B488" s="2" t="s">
        <v>382</v>
      </c>
      <c r="C488" s="5"/>
      <c r="D488" s="5" t="s">
        <v>2505</v>
      </c>
      <c r="E488" s="6">
        <v>161945</v>
      </c>
      <c r="F488" s="3">
        <v>161930</v>
      </c>
      <c r="G488" s="57">
        <v>-9.2624039025595106E-5</v>
      </c>
      <c r="H488" s="19"/>
      <c r="I488" s="19"/>
      <c r="J488" s="5" t="s">
        <v>4700</v>
      </c>
    </row>
    <row r="489" spans="1:10" ht="26.25" x14ac:dyDescent="0.25">
      <c r="A489" s="1" t="s">
        <v>8</v>
      </c>
      <c r="B489" s="2" t="s">
        <v>198</v>
      </c>
      <c r="C489" s="5" t="s">
        <v>1399</v>
      </c>
      <c r="D489" s="5" t="s">
        <v>450</v>
      </c>
      <c r="E489" s="3">
        <v>161851</v>
      </c>
      <c r="F489" s="3">
        <v>161851</v>
      </c>
      <c r="G489" s="57">
        <v>0</v>
      </c>
      <c r="H489" s="19"/>
      <c r="I489" s="19"/>
      <c r="J489" s="5" t="s">
        <v>3429</v>
      </c>
    </row>
    <row r="490" spans="1:10" ht="26.25" x14ac:dyDescent="0.25">
      <c r="A490" s="1" t="s">
        <v>8</v>
      </c>
      <c r="B490" s="2" t="s">
        <v>81</v>
      </c>
      <c r="C490" s="1"/>
      <c r="D490" s="5" t="s">
        <v>1996</v>
      </c>
      <c r="E490" s="3">
        <v>82166</v>
      </c>
      <c r="F490" s="3">
        <v>161796</v>
      </c>
      <c r="G490" s="57">
        <v>0.9691356522162452</v>
      </c>
      <c r="H490" s="19"/>
      <c r="I490" s="19"/>
      <c r="J490" s="5" t="s">
        <v>3819</v>
      </c>
    </row>
    <row r="491" spans="1:10" ht="51.75" x14ac:dyDescent="0.25">
      <c r="A491" s="1" t="s">
        <v>44</v>
      </c>
      <c r="B491" s="2" t="s">
        <v>114</v>
      </c>
      <c r="C491" s="1"/>
      <c r="D491" s="5" t="s">
        <v>589</v>
      </c>
      <c r="E491" s="3">
        <v>104092</v>
      </c>
      <c r="F491" s="3">
        <v>161746</v>
      </c>
      <c r="G491" s="57">
        <v>0.55387541789955042</v>
      </c>
      <c r="H491" s="19"/>
      <c r="I491" s="19"/>
      <c r="J491" s="5" t="s">
        <v>4269</v>
      </c>
    </row>
    <row r="492" spans="1:10" ht="39" x14ac:dyDescent="0.25">
      <c r="A492" s="1" t="s">
        <v>39</v>
      </c>
      <c r="B492" s="2" t="s">
        <v>372</v>
      </c>
      <c r="C492" s="5"/>
      <c r="D492" s="5" t="s">
        <v>759</v>
      </c>
      <c r="E492" s="3">
        <v>96638</v>
      </c>
      <c r="F492" s="3">
        <v>161672</v>
      </c>
      <c r="G492" s="57">
        <v>0.6729650861979759</v>
      </c>
      <c r="H492" s="19"/>
      <c r="I492" s="19"/>
      <c r="J492" s="5" t="s">
        <v>2551</v>
      </c>
    </row>
    <row r="493" spans="1:10" ht="26.25" x14ac:dyDescent="0.25">
      <c r="A493" s="1" t="s">
        <v>25</v>
      </c>
      <c r="B493" s="2" t="s">
        <v>304</v>
      </c>
      <c r="C493" s="5"/>
      <c r="D493" s="5" t="s">
        <v>562</v>
      </c>
      <c r="E493" s="3">
        <v>159050</v>
      </c>
      <c r="F493" s="3">
        <v>161513</v>
      </c>
      <c r="G493" s="57">
        <v>1.5485696321911348E-2</v>
      </c>
      <c r="H493" s="19"/>
      <c r="I493" s="19"/>
      <c r="J493" s="5" t="s">
        <v>2843</v>
      </c>
    </row>
    <row r="494" spans="1:10" ht="39" x14ac:dyDescent="0.25">
      <c r="A494" s="1" t="s">
        <v>25</v>
      </c>
      <c r="B494" s="12" t="s">
        <v>26</v>
      </c>
      <c r="C494" s="13"/>
      <c r="D494" s="7" t="s">
        <v>452</v>
      </c>
      <c r="E494" s="6" t="s">
        <v>465</v>
      </c>
      <c r="F494" s="6">
        <v>161491</v>
      </c>
      <c r="G494" s="57" t="s">
        <v>465</v>
      </c>
      <c r="H494" s="21"/>
      <c r="I494" s="21"/>
      <c r="J494" s="7" t="s">
        <v>4101</v>
      </c>
    </row>
    <row r="495" spans="1:10" ht="26.25" x14ac:dyDescent="0.25">
      <c r="A495" s="1" t="s">
        <v>25</v>
      </c>
      <c r="B495" s="2" t="s">
        <v>424</v>
      </c>
      <c r="C495" s="5"/>
      <c r="D495" s="5" t="s">
        <v>515</v>
      </c>
      <c r="E495" s="3">
        <v>167157</v>
      </c>
      <c r="F495" s="3">
        <v>161479</v>
      </c>
      <c r="G495" s="57">
        <v>-3.3968065949975174E-2</v>
      </c>
      <c r="H495" s="19"/>
      <c r="I495" s="19"/>
      <c r="J495" s="5" t="s">
        <v>2331</v>
      </c>
    </row>
    <row r="496" spans="1:10" ht="26.25" x14ac:dyDescent="0.25">
      <c r="A496" s="1" t="s">
        <v>25</v>
      </c>
      <c r="B496" s="2" t="s">
        <v>398</v>
      </c>
      <c r="C496" s="5"/>
      <c r="D496" s="5" t="s">
        <v>666</v>
      </c>
      <c r="E496" s="3">
        <v>156544</v>
      </c>
      <c r="F496" s="3">
        <v>161363</v>
      </c>
      <c r="G496" s="57">
        <v>3.0783677432542927E-2</v>
      </c>
      <c r="H496" s="19"/>
      <c r="I496" s="19"/>
      <c r="J496" s="5" t="s">
        <v>2451</v>
      </c>
    </row>
    <row r="497" spans="1:10" x14ac:dyDescent="0.25">
      <c r="A497" s="1" t="s">
        <v>25</v>
      </c>
      <c r="B497" s="2" t="s">
        <v>53</v>
      </c>
      <c r="C497" s="1"/>
      <c r="D497" s="5" t="s">
        <v>977</v>
      </c>
      <c r="E497" s="3">
        <v>161303</v>
      </c>
      <c r="F497" s="3">
        <v>161303</v>
      </c>
      <c r="G497" s="57">
        <v>0</v>
      </c>
      <c r="H497" s="19"/>
      <c r="I497" s="19"/>
      <c r="J497" s="5" t="s">
        <v>1835</v>
      </c>
    </row>
    <row r="498" spans="1:10" ht="26.25" x14ac:dyDescent="0.25">
      <c r="A498" s="1" t="s">
        <v>25</v>
      </c>
      <c r="B498" s="2" t="s">
        <v>53</v>
      </c>
      <c r="C498" s="1"/>
      <c r="D498" s="5" t="s">
        <v>4175</v>
      </c>
      <c r="E498" s="3">
        <v>161303</v>
      </c>
      <c r="F498" s="3">
        <v>161303</v>
      </c>
      <c r="G498" s="57">
        <v>0</v>
      </c>
      <c r="H498" s="19"/>
      <c r="I498" s="19"/>
      <c r="J498" s="5" t="s">
        <v>1835</v>
      </c>
    </row>
    <row r="499" spans="1:10" ht="26.25" x14ac:dyDescent="0.25">
      <c r="A499" s="1" t="s">
        <v>25</v>
      </c>
      <c r="B499" s="2" t="s">
        <v>259</v>
      </c>
      <c r="C499" s="5"/>
      <c r="D499" s="5" t="s">
        <v>1173</v>
      </c>
      <c r="E499" s="3" t="s">
        <v>465</v>
      </c>
      <c r="F499" s="3">
        <v>161221</v>
      </c>
      <c r="G499" s="57" t="s">
        <v>465</v>
      </c>
      <c r="H499" s="19"/>
      <c r="I499" s="19"/>
      <c r="J499" s="5" t="s">
        <v>4374</v>
      </c>
    </row>
    <row r="500" spans="1:10" ht="26.25" x14ac:dyDescent="0.25">
      <c r="A500" s="1" t="s">
        <v>25</v>
      </c>
      <c r="B500" s="2" t="s">
        <v>187</v>
      </c>
      <c r="C500" s="5"/>
      <c r="D500" s="5" t="s">
        <v>1460</v>
      </c>
      <c r="E500" s="9">
        <v>158262</v>
      </c>
      <c r="F500" s="9">
        <v>161086</v>
      </c>
      <c r="G500" s="57">
        <v>1.7843828588037559E-2</v>
      </c>
      <c r="H500" s="19"/>
      <c r="I500" s="19"/>
      <c r="J500" s="5" t="s">
        <v>3509</v>
      </c>
    </row>
    <row r="501" spans="1:10" ht="26.25" x14ac:dyDescent="0.25">
      <c r="A501" s="1" t="s">
        <v>4</v>
      </c>
      <c r="B501" s="2" t="s">
        <v>249</v>
      </c>
      <c r="C501" s="5"/>
      <c r="D501" s="5" t="s">
        <v>1187</v>
      </c>
      <c r="E501" s="3">
        <v>149017</v>
      </c>
      <c r="F501" s="3">
        <v>161017</v>
      </c>
      <c r="G501" s="57">
        <v>8.0527725024661614E-2</v>
      </c>
      <c r="H501" s="19"/>
      <c r="I501" s="19"/>
      <c r="J501" s="5" t="s">
        <v>3123</v>
      </c>
    </row>
    <row r="502" spans="1:10" x14ac:dyDescent="0.25">
      <c r="A502" s="1" t="s">
        <v>4</v>
      </c>
      <c r="B502" s="2" t="s">
        <v>72</v>
      </c>
      <c r="C502" s="1"/>
      <c r="D502" s="5" t="s">
        <v>450</v>
      </c>
      <c r="E502" s="3">
        <v>146000</v>
      </c>
      <c r="F502" s="3">
        <v>161000</v>
      </c>
      <c r="G502" s="57">
        <v>0.10273972602739725</v>
      </c>
      <c r="H502" s="19"/>
      <c r="I502" s="19"/>
      <c r="J502" s="5" t="s">
        <v>1943</v>
      </c>
    </row>
    <row r="503" spans="1:10" ht="26.25" x14ac:dyDescent="0.25">
      <c r="A503" s="1" t="s">
        <v>8</v>
      </c>
      <c r="B503" s="2" t="s">
        <v>281</v>
      </c>
      <c r="C503" s="5" t="s">
        <v>1072</v>
      </c>
      <c r="D503" s="5" t="s">
        <v>1073</v>
      </c>
      <c r="E503" s="10">
        <v>160000</v>
      </c>
      <c r="F503" s="3">
        <v>161000</v>
      </c>
      <c r="G503" s="57">
        <v>6.2500000000000003E-3</v>
      </c>
      <c r="H503" s="19"/>
      <c r="I503" s="19"/>
      <c r="J503" s="5" t="s">
        <v>2986</v>
      </c>
    </row>
    <row r="504" spans="1:10" ht="26.25" x14ac:dyDescent="0.25">
      <c r="A504" s="1" t="s">
        <v>8</v>
      </c>
      <c r="B504" s="2" t="s">
        <v>281</v>
      </c>
      <c r="C504" s="5" t="s">
        <v>1074</v>
      </c>
      <c r="D504" s="5" t="s">
        <v>1075</v>
      </c>
      <c r="E504" s="10">
        <v>159000</v>
      </c>
      <c r="F504" s="3">
        <v>161000</v>
      </c>
      <c r="G504" s="57">
        <v>1.2578616352201259E-2</v>
      </c>
      <c r="H504" s="19"/>
      <c r="I504" s="19"/>
      <c r="J504" s="5" t="s">
        <v>2986</v>
      </c>
    </row>
    <row r="505" spans="1:10" x14ac:dyDescent="0.25">
      <c r="A505" s="1" t="s">
        <v>20</v>
      </c>
      <c r="B505" s="2" t="s">
        <v>79</v>
      </c>
      <c r="C505" s="1" t="s">
        <v>1981</v>
      </c>
      <c r="D505" s="5" t="s">
        <v>1982</v>
      </c>
      <c r="E505" s="3">
        <v>153477</v>
      </c>
      <c r="F505" s="3">
        <v>160967</v>
      </c>
      <c r="G505" s="57">
        <v>4.8802100640486845E-2</v>
      </c>
      <c r="H505" s="19"/>
      <c r="I505" s="19"/>
      <c r="J505" s="5" t="s">
        <v>1983</v>
      </c>
    </row>
    <row r="506" spans="1:10" ht="39" x14ac:dyDescent="0.25">
      <c r="A506" s="1" t="s">
        <v>6</v>
      </c>
      <c r="B506" s="2" t="s">
        <v>218</v>
      </c>
      <c r="C506" s="5"/>
      <c r="D506" s="5" t="s">
        <v>1295</v>
      </c>
      <c r="E506" s="9">
        <v>158582</v>
      </c>
      <c r="F506" s="9">
        <v>160962</v>
      </c>
      <c r="G506" s="57">
        <v>1.5008008475110668E-2</v>
      </c>
      <c r="H506" s="19"/>
      <c r="I506" s="19"/>
      <c r="J506" s="5" t="s">
        <v>3287</v>
      </c>
    </row>
    <row r="507" spans="1:10" ht="26.25" x14ac:dyDescent="0.25">
      <c r="A507" s="1" t="s">
        <v>4</v>
      </c>
      <c r="B507" s="2" t="s">
        <v>182</v>
      </c>
      <c r="C507" s="5"/>
      <c r="D507" s="5" t="s">
        <v>658</v>
      </c>
      <c r="E507" s="9">
        <v>161668</v>
      </c>
      <c r="F507" s="9">
        <v>160727</v>
      </c>
      <c r="G507" s="57">
        <v>-5.8205705519954474E-3</v>
      </c>
      <c r="H507" s="19"/>
      <c r="I507" s="19"/>
      <c r="J507" s="5" t="s">
        <v>3537</v>
      </c>
    </row>
    <row r="508" spans="1:10" ht="51.75" x14ac:dyDescent="0.25">
      <c r="A508" s="1" t="s">
        <v>39</v>
      </c>
      <c r="B508" s="2" t="s">
        <v>370</v>
      </c>
      <c r="C508" s="5" t="s">
        <v>766</v>
      </c>
      <c r="D508" s="5" t="s">
        <v>765</v>
      </c>
      <c r="E508" s="3">
        <v>177967</v>
      </c>
      <c r="F508" s="3">
        <v>160725</v>
      </c>
      <c r="G508" s="57">
        <v>-9.6883130018486571E-2</v>
      </c>
      <c r="H508" s="19"/>
      <c r="I508" s="19"/>
      <c r="J508" s="5" t="s">
        <v>4470</v>
      </c>
    </row>
    <row r="509" spans="1:10" ht="39" x14ac:dyDescent="0.25">
      <c r="A509" s="1" t="s">
        <v>4</v>
      </c>
      <c r="B509" s="2" t="s">
        <v>429</v>
      </c>
      <c r="C509" s="5" t="s">
        <v>512</v>
      </c>
      <c r="D509" s="5" t="s">
        <v>513</v>
      </c>
      <c r="E509" s="3">
        <v>163293</v>
      </c>
      <c r="F509" s="3">
        <v>160704</v>
      </c>
      <c r="G509" s="57">
        <v>-1.585493560654774E-2</v>
      </c>
      <c r="H509" s="19"/>
      <c r="I509" s="19"/>
      <c r="J509" s="5" t="s">
        <v>2305</v>
      </c>
    </row>
    <row r="510" spans="1:10" ht="26.25" x14ac:dyDescent="0.25">
      <c r="A510" s="1" t="s">
        <v>44</v>
      </c>
      <c r="B510" s="2" t="s">
        <v>114</v>
      </c>
      <c r="C510" s="1"/>
      <c r="D510" s="5" t="s">
        <v>450</v>
      </c>
      <c r="E510" s="3">
        <v>140742</v>
      </c>
      <c r="F510" s="3">
        <v>160414</v>
      </c>
      <c r="G510" s="57">
        <v>0.13977348623722841</v>
      </c>
      <c r="H510" s="19"/>
      <c r="I510" s="19"/>
      <c r="J510" s="5" t="s">
        <v>4262</v>
      </c>
    </row>
    <row r="511" spans="1:10" ht="51.75" x14ac:dyDescent="0.25">
      <c r="A511" s="1" t="s">
        <v>34</v>
      </c>
      <c r="B511" s="12" t="s">
        <v>57</v>
      </c>
      <c r="C511" s="13"/>
      <c r="D511" s="7" t="s">
        <v>4186</v>
      </c>
      <c r="E511" s="6" t="s">
        <v>465</v>
      </c>
      <c r="F511" s="6">
        <v>160235</v>
      </c>
      <c r="G511" s="57" t="s">
        <v>465</v>
      </c>
      <c r="H511" s="21"/>
      <c r="I511" s="21"/>
      <c r="J511" s="7" t="s">
        <v>4185</v>
      </c>
    </row>
    <row r="512" spans="1:10" ht="26.25" x14ac:dyDescent="0.25">
      <c r="A512" s="1" t="s">
        <v>34</v>
      </c>
      <c r="B512" s="2" t="s">
        <v>382</v>
      </c>
      <c r="C512" s="5"/>
      <c r="D512" s="5" t="s">
        <v>710</v>
      </c>
      <c r="E512" s="6">
        <v>159406</v>
      </c>
      <c r="F512" s="3">
        <v>160180</v>
      </c>
      <c r="G512" s="57">
        <v>4.8555261407977118E-3</v>
      </c>
      <c r="H512" s="19"/>
      <c r="I512" s="19"/>
      <c r="J512" s="5" t="s">
        <v>4698</v>
      </c>
    </row>
    <row r="513" spans="1:10" x14ac:dyDescent="0.25">
      <c r="A513" s="1" t="s">
        <v>25</v>
      </c>
      <c r="B513" s="2" t="s">
        <v>259</v>
      </c>
      <c r="C513" s="5" t="s">
        <v>1168</v>
      </c>
      <c r="D513" s="5" t="s">
        <v>1169</v>
      </c>
      <c r="E513" s="6">
        <v>176725</v>
      </c>
      <c r="F513" s="3">
        <v>160002</v>
      </c>
      <c r="G513" s="57">
        <v>-9.4627245720752581E-2</v>
      </c>
      <c r="H513" s="19"/>
      <c r="I513" s="19"/>
      <c r="J513" s="5" t="s">
        <v>3087</v>
      </c>
    </row>
    <row r="514" spans="1:10" ht="26.25" x14ac:dyDescent="0.25">
      <c r="A514" s="1" t="s">
        <v>6</v>
      </c>
      <c r="B514" s="12" t="s">
        <v>41</v>
      </c>
      <c r="C514" s="13"/>
      <c r="D514" s="7" t="s">
        <v>1778</v>
      </c>
      <c r="E514" s="6">
        <v>126000</v>
      </c>
      <c r="F514" s="6">
        <v>160000</v>
      </c>
      <c r="G514" s="57">
        <v>0.26984126984126983</v>
      </c>
      <c r="H514" s="21"/>
      <c r="I514" s="21"/>
      <c r="J514" s="7" t="s">
        <v>3709</v>
      </c>
    </row>
    <row r="515" spans="1:10" ht="26.25" x14ac:dyDescent="0.25">
      <c r="A515" s="1" t="s">
        <v>34</v>
      </c>
      <c r="B515" s="2" t="s">
        <v>121</v>
      </c>
      <c r="C515" s="1" t="s">
        <v>2145</v>
      </c>
      <c r="D515" s="5" t="s">
        <v>2146</v>
      </c>
      <c r="E515" s="3">
        <v>157000</v>
      </c>
      <c r="F515" s="3">
        <v>160000</v>
      </c>
      <c r="G515" s="57">
        <v>1.9108280254777069E-2</v>
      </c>
      <c r="H515" s="19"/>
      <c r="I515" s="19"/>
      <c r="J515" s="5" t="s">
        <v>3923</v>
      </c>
    </row>
    <row r="516" spans="1:10" ht="26.25" x14ac:dyDescent="0.25">
      <c r="A516" s="1" t="s">
        <v>8</v>
      </c>
      <c r="B516" s="2" t="s">
        <v>281</v>
      </c>
      <c r="C516" s="5" t="s">
        <v>1076</v>
      </c>
      <c r="D516" s="5" t="s">
        <v>1077</v>
      </c>
      <c r="E516" s="10">
        <v>159000</v>
      </c>
      <c r="F516" s="3">
        <v>160000</v>
      </c>
      <c r="G516" s="57">
        <v>6.2893081761006293E-3</v>
      </c>
      <c r="H516" s="19"/>
      <c r="I516" s="19"/>
      <c r="J516" s="5" t="s">
        <v>2987</v>
      </c>
    </row>
    <row r="517" spans="1:10" ht="26.25" x14ac:dyDescent="0.25">
      <c r="A517" s="1" t="s">
        <v>6</v>
      </c>
      <c r="B517" s="2" t="s">
        <v>288</v>
      </c>
      <c r="C517" s="5"/>
      <c r="D517" s="5" t="s">
        <v>1039</v>
      </c>
      <c r="E517" s="3">
        <v>156000</v>
      </c>
      <c r="F517" s="3">
        <v>160000</v>
      </c>
      <c r="G517" s="57">
        <v>2.564102564102564E-2</v>
      </c>
      <c r="H517" s="19"/>
      <c r="I517" s="19"/>
      <c r="J517" s="5" t="s">
        <v>2950</v>
      </c>
    </row>
    <row r="518" spans="1:10" x14ac:dyDescent="0.25">
      <c r="A518" s="1" t="s">
        <v>4</v>
      </c>
      <c r="B518" s="2" t="s">
        <v>336</v>
      </c>
      <c r="C518" s="5"/>
      <c r="D518" s="5" t="s">
        <v>464</v>
      </c>
      <c r="E518" s="3" t="s">
        <v>465</v>
      </c>
      <c r="F518" s="3">
        <v>160000</v>
      </c>
      <c r="G518" s="57" t="s">
        <v>465</v>
      </c>
      <c r="H518" s="19"/>
      <c r="I518" s="19"/>
      <c r="J518" s="5"/>
    </row>
    <row r="519" spans="1:10" ht="26.25" x14ac:dyDescent="0.25">
      <c r="A519" s="1" t="s">
        <v>8</v>
      </c>
      <c r="B519" s="2" t="s">
        <v>222</v>
      </c>
      <c r="C519" s="5"/>
      <c r="D519" s="5" t="s">
        <v>1275</v>
      </c>
      <c r="E519" s="3">
        <v>161022</v>
      </c>
      <c r="F519" s="3">
        <v>159977</v>
      </c>
      <c r="G519" s="57">
        <v>-6.4897964253331844E-3</v>
      </c>
      <c r="H519" s="19"/>
      <c r="I519" s="19"/>
      <c r="J519" s="5" t="s">
        <v>3263</v>
      </c>
    </row>
    <row r="520" spans="1:10" ht="26.25" x14ac:dyDescent="0.25">
      <c r="A520" s="1" t="s">
        <v>6</v>
      </c>
      <c r="B520" s="2" t="s">
        <v>294</v>
      </c>
      <c r="C520" s="5"/>
      <c r="D520" s="5" t="s">
        <v>450</v>
      </c>
      <c r="E520" s="3">
        <v>158169</v>
      </c>
      <c r="F520" s="3">
        <v>159960</v>
      </c>
      <c r="G520" s="57">
        <v>1.1323331373404397E-2</v>
      </c>
      <c r="H520" s="19"/>
      <c r="I520" s="19"/>
      <c r="J520" s="5" t="s">
        <v>2898</v>
      </c>
    </row>
    <row r="521" spans="1:10" ht="39" x14ac:dyDescent="0.25">
      <c r="A521" s="1" t="s">
        <v>8</v>
      </c>
      <c r="B521" s="2" t="s">
        <v>285</v>
      </c>
      <c r="C521" s="5"/>
      <c r="D521" s="5" t="s">
        <v>1051</v>
      </c>
      <c r="E521" s="3">
        <v>141773</v>
      </c>
      <c r="F521" s="3">
        <v>159798</v>
      </c>
      <c r="G521" s="57">
        <v>0.12713986443116815</v>
      </c>
      <c r="H521" s="19"/>
      <c r="I521" s="19"/>
      <c r="J521" s="5" t="s">
        <v>4391</v>
      </c>
    </row>
    <row r="522" spans="1:10" ht="51.75" x14ac:dyDescent="0.25">
      <c r="A522" s="1" t="s">
        <v>28</v>
      </c>
      <c r="B522" s="2" t="s">
        <v>332</v>
      </c>
      <c r="C522" s="5"/>
      <c r="D522" s="5" t="s">
        <v>455</v>
      </c>
      <c r="E522" s="3">
        <v>153928</v>
      </c>
      <c r="F522" s="3">
        <v>159734</v>
      </c>
      <c r="G522" s="57">
        <v>3.7718933527363441E-2</v>
      </c>
      <c r="H522" s="19"/>
      <c r="I522" s="19"/>
      <c r="J522" s="5" t="s">
        <v>2751</v>
      </c>
    </row>
    <row r="523" spans="1:10" x14ac:dyDescent="0.25">
      <c r="A523" s="1" t="s">
        <v>25</v>
      </c>
      <c r="B523" s="2" t="s">
        <v>59</v>
      </c>
      <c r="C523" s="1"/>
      <c r="D523" s="5" t="s">
        <v>1864</v>
      </c>
      <c r="E523" s="3">
        <v>155570</v>
      </c>
      <c r="F523" s="3">
        <v>159361</v>
      </c>
      <c r="G523" s="57">
        <v>2.4368451500932056E-2</v>
      </c>
      <c r="H523" s="19"/>
      <c r="I523" s="19"/>
      <c r="J523" s="5" t="s">
        <v>1865</v>
      </c>
    </row>
    <row r="524" spans="1:10" x14ac:dyDescent="0.25">
      <c r="A524" s="1" t="s">
        <v>44</v>
      </c>
      <c r="B524" s="2" t="s">
        <v>73</v>
      </c>
      <c r="C524" s="1"/>
      <c r="D524" s="5" t="s">
        <v>1944</v>
      </c>
      <c r="E524" s="3" t="s">
        <v>465</v>
      </c>
      <c r="F524" s="3">
        <v>159263</v>
      </c>
      <c r="G524" s="57" t="s">
        <v>465</v>
      </c>
      <c r="H524" s="19"/>
      <c r="I524" s="19"/>
      <c r="J524" s="5" t="s">
        <v>1945</v>
      </c>
    </row>
    <row r="525" spans="1:10" x14ac:dyDescent="0.25">
      <c r="A525" s="1" t="s">
        <v>25</v>
      </c>
      <c r="B525" s="2" t="s">
        <v>200</v>
      </c>
      <c r="C525" s="5"/>
      <c r="D525" s="5" t="s">
        <v>452</v>
      </c>
      <c r="E525" s="9">
        <v>147378</v>
      </c>
      <c r="F525" s="9">
        <v>159182</v>
      </c>
      <c r="G525" s="57">
        <v>8.0093365359823046E-2</v>
      </c>
      <c r="H525" s="19"/>
      <c r="I525" s="19"/>
      <c r="J525" s="5" t="s">
        <v>3415</v>
      </c>
    </row>
    <row r="526" spans="1:10" ht="26.25" x14ac:dyDescent="0.25">
      <c r="A526" s="1" t="s">
        <v>111</v>
      </c>
      <c r="B526" s="2" t="s">
        <v>276</v>
      </c>
      <c r="C526" s="5"/>
      <c r="D526" s="5" t="s">
        <v>1093</v>
      </c>
      <c r="E526" s="9">
        <v>155172</v>
      </c>
      <c r="F526" s="3">
        <v>159105</v>
      </c>
      <c r="G526" s="57">
        <v>2.5346067589513573E-2</v>
      </c>
      <c r="H526" s="19"/>
      <c r="I526" s="19"/>
      <c r="J526" s="5" t="s">
        <v>3015</v>
      </c>
    </row>
    <row r="527" spans="1:10" ht="26.25" x14ac:dyDescent="0.25">
      <c r="A527" s="1" t="s">
        <v>6</v>
      </c>
      <c r="B527" s="2" t="s">
        <v>65</v>
      </c>
      <c r="C527" s="1"/>
      <c r="D527" s="5" t="s">
        <v>455</v>
      </c>
      <c r="E527" s="3">
        <v>141870</v>
      </c>
      <c r="F527" s="3">
        <v>159040</v>
      </c>
      <c r="G527" s="57">
        <v>0.12102629167547754</v>
      </c>
      <c r="H527" s="19"/>
      <c r="I527" s="19"/>
      <c r="J527" s="5" t="s">
        <v>3778</v>
      </c>
    </row>
    <row r="528" spans="1:10" ht="26.25" x14ac:dyDescent="0.25">
      <c r="A528" s="1" t="s">
        <v>39</v>
      </c>
      <c r="B528" s="2" t="s">
        <v>433</v>
      </c>
      <c r="C528" s="5"/>
      <c r="D528" s="5" t="s">
        <v>484</v>
      </c>
      <c r="E528" s="3">
        <v>133166</v>
      </c>
      <c r="F528" s="3">
        <v>159040</v>
      </c>
      <c r="G528" s="57">
        <v>0.19429884505053843</v>
      </c>
      <c r="H528" s="19"/>
      <c r="I528" s="19"/>
      <c r="J528" s="5" t="s">
        <v>2281</v>
      </c>
    </row>
    <row r="529" spans="1:10" ht="26.25" x14ac:dyDescent="0.25">
      <c r="A529" s="1" t="s">
        <v>6</v>
      </c>
      <c r="B529" s="2" t="s">
        <v>368</v>
      </c>
      <c r="C529" s="5"/>
      <c r="D529" s="5" t="s">
        <v>773</v>
      </c>
      <c r="E529" s="3">
        <v>155000</v>
      </c>
      <c r="F529" s="3">
        <v>159000</v>
      </c>
      <c r="G529" s="57">
        <v>2.5806451612903226E-2</v>
      </c>
      <c r="H529" s="19"/>
      <c r="I529" s="19"/>
      <c r="J529" s="5" t="s">
        <v>2570</v>
      </c>
    </row>
    <row r="530" spans="1:10" x14ac:dyDescent="0.25">
      <c r="A530" s="1" t="s">
        <v>44</v>
      </c>
      <c r="B530" s="2" t="s">
        <v>73</v>
      </c>
      <c r="C530" s="1"/>
      <c r="D530" s="5" t="s">
        <v>1946</v>
      </c>
      <c r="E530" s="3">
        <v>158990</v>
      </c>
      <c r="F530" s="3">
        <v>158965</v>
      </c>
      <c r="G530" s="57">
        <v>-1.5724259387382854E-4</v>
      </c>
      <c r="H530" s="19"/>
      <c r="I530" s="19"/>
      <c r="J530" s="5" t="s">
        <v>1947</v>
      </c>
    </row>
    <row r="531" spans="1:10" ht="26.25" x14ac:dyDescent="0.25">
      <c r="A531" s="1" t="s">
        <v>4</v>
      </c>
      <c r="B531" s="2" t="s">
        <v>423</v>
      </c>
      <c r="C531" s="5" t="s">
        <v>557</v>
      </c>
      <c r="D531" s="5" t="s">
        <v>558</v>
      </c>
      <c r="E531" s="6">
        <v>140333</v>
      </c>
      <c r="F531" s="3">
        <v>158808</v>
      </c>
      <c r="G531" s="57">
        <v>0.1316511440644752</v>
      </c>
      <c r="H531" s="19"/>
      <c r="I531" s="19"/>
      <c r="J531" s="5" t="s">
        <v>2338</v>
      </c>
    </row>
    <row r="532" spans="1:10" ht="26.25" x14ac:dyDescent="0.25">
      <c r="A532" s="1" t="s">
        <v>20</v>
      </c>
      <c r="B532" s="2" t="s">
        <v>263</v>
      </c>
      <c r="C532" s="5" t="s">
        <v>1154</v>
      </c>
      <c r="D532" s="5" t="s">
        <v>549</v>
      </c>
      <c r="E532" s="3">
        <v>157900</v>
      </c>
      <c r="F532" s="3">
        <v>158800</v>
      </c>
      <c r="G532" s="57">
        <v>5.699810006333122E-3</v>
      </c>
      <c r="H532" s="19"/>
      <c r="I532" s="19"/>
      <c r="J532" s="5" t="s">
        <v>3074</v>
      </c>
    </row>
    <row r="533" spans="1:10" ht="26.25" x14ac:dyDescent="0.25">
      <c r="A533" s="1" t="s">
        <v>25</v>
      </c>
      <c r="B533" s="2" t="s">
        <v>424</v>
      </c>
      <c r="C533" s="5"/>
      <c r="D533" s="5" t="s">
        <v>547</v>
      </c>
      <c r="E533" s="3">
        <v>148328</v>
      </c>
      <c r="F533" s="3">
        <v>158733</v>
      </c>
      <c r="G533" s="57">
        <v>7.0148589612210779E-2</v>
      </c>
      <c r="H533" s="19"/>
      <c r="I533" s="19"/>
      <c r="J533" s="5" t="s">
        <v>2329</v>
      </c>
    </row>
    <row r="534" spans="1:10" ht="26.25" x14ac:dyDescent="0.25">
      <c r="A534" s="1" t="s">
        <v>4</v>
      </c>
      <c r="B534" s="2" t="s">
        <v>415</v>
      </c>
      <c r="C534" s="5"/>
      <c r="D534" s="5" t="s">
        <v>450</v>
      </c>
      <c r="E534" s="3">
        <v>158431</v>
      </c>
      <c r="F534" s="3">
        <v>158697</v>
      </c>
      <c r="G534" s="57">
        <v>1.6789643440993239E-3</v>
      </c>
      <c r="H534" s="19"/>
      <c r="I534" s="19"/>
      <c r="J534" s="5" t="s">
        <v>2358</v>
      </c>
    </row>
    <row r="535" spans="1:10" ht="26.25" x14ac:dyDescent="0.25">
      <c r="A535" s="1" t="s">
        <v>25</v>
      </c>
      <c r="B535" s="2" t="s">
        <v>311</v>
      </c>
      <c r="C535" s="5" t="s">
        <v>943</v>
      </c>
      <c r="D535" s="5" t="s">
        <v>4677</v>
      </c>
      <c r="E535" s="3">
        <v>152324</v>
      </c>
      <c r="F535" s="3">
        <v>158596</v>
      </c>
      <c r="G535" s="57">
        <v>4.1175389301751526E-2</v>
      </c>
      <c r="H535" s="19"/>
      <c r="I535" s="19"/>
      <c r="J535" s="5" t="s">
        <v>2813</v>
      </c>
    </row>
    <row r="536" spans="1:10" ht="26.25" x14ac:dyDescent="0.25">
      <c r="A536" s="1" t="s">
        <v>39</v>
      </c>
      <c r="B536" s="2" t="s">
        <v>335</v>
      </c>
      <c r="C536" s="5"/>
      <c r="D536" s="5" t="s">
        <v>2600</v>
      </c>
      <c r="E536" s="3">
        <v>151450</v>
      </c>
      <c r="F536" s="3">
        <v>158470</v>
      </c>
      <c r="G536" s="57">
        <v>4.63519313304721E-2</v>
      </c>
      <c r="H536" s="19"/>
      <c r="I536" s="19"/>
      <c r="J536" s="5" t="s">
        <v>2740</v>
      </c>
    </row>
    <row r="537" spans="1:10" ht="26.25" x14ac:dyDescent="0.25">
      <c r="A537" s="1" t="s">
        <v>25</v>
      </c>
      <c r="B537" s="2" t="s">
        <v>150</v>
      </c>
      <c r="C537" s="1"/>
      <c r="D537" s="5" t="s">
        <v>1635</v>
      </c>
      <c r="E537" s="3">
        <v>155171.29</v>
      </c>
      <c r="F537" s="3">
        <v>158425.04999999999</v>
      </c>
      <c r="G537" s="57">
        <v>2.0968827416463318E-2</v>
      </c>
      <c r="H537" s="19"/>
      <c r="I537" s="19"/>
      <c r="J537" s="5" t="s">
        <v>3999</v>
      </c>
    </row>
    <row r="538" spans="1:10" ht="26.25" x14ac:dyDescent="0.25">
      <c r="A538" s="1" t="s">
        <v>20</v>
      </c>
      <c r="B538" s="2" t="s">
        <v>375</v>
      </c>
      <c r="C538" s="5"/>
      <c r="D538" s="5" t="s">
        <v>450</v>
      </c>
      <c r="E538" s="3">
        <v>157518</v>
      </c>
      <c r="F538" s="3">
        <v>158395</v>
      </c>
      <c r="G538" s="57">
        <v>5.5676176690917867E-3</v>
      </c>
      <c r="H538" s="19"/>
      <c r="I538" s="19"/>
      <c r="J538" s="5" t="s">
        <v>2547</v>
      </c>
    </row>
    <row r="539" spans="1:10" ht="26.25" x14ac:dyDescent="0.25">
      <c r="A539" s="1" t="s">
        <v>8</v>
      </c>
      <c r="B539" s="2" t="s">
        <v>285</v>
      </c>
      <c r="C539" s="5"/>
      <c r="D539" s="5" t="s">
        <v>1048</v>
      </c>
      <c r="E539" s="3">
        <v>157701</v>
      </c>
      <c r="F539" s="3">
        <v>158394</v>
      </c>
      <c r="G539" s="57">
        <v>4.3943919188844712E-3</v>
      </c>
      <c r="H539" s="19"/>
      <c r="I539" s="19"/>
      <c r="J539" s="5" t="s">
        <v>2960</v>
      </c>
    </row>
    <row r="540" spans="1:10" ht="51.75" x14ac:dyDescent="0.25">
      <c r="A540" s="1" t="s">
        <v>34</v>
      </c>
      <c r="B540" s="2" t="s">
        <v>387</v>
      </c>
      <c r="C540" s="5"/>
      <c r="D540" s="5" t="s">
        <v>4482</v>
      </c>
      <c r="E540" s="3">
        <v>133427</v>
      </c>
      <c r="F540" s="3">
        <v>158380</v>
      </c>
      <c r="G540" s="57">
        <v>0.18701612117487465</v>
      </c>
      <c r="H540" s="19"/>
      <c r="I540" s="19"/>
      <c r="J540" s="5" t="s">
        <v>4704</v>
      </c>
    </row>
    <row r="541" spans="1:10" ht="39" x14ac:dyDescent="0.25">
      <c r="A541" s="1" t="s">
        <v>20</v>
      </c>
      <c r="B541" s="2" t="s">
        <v>131</v>
      </c>
      <c r="C541" s="1"/>
      <c r="D541" s="5" t="s">
        <v>450</v>
      </c>
      <c r="E541" s="3">
        <v>153539</v>
      </c>
      <c r="F541" s="3">
        <v>158365</v>
      </c>
      <c r="G541" s="57">
        <v>3.1431753495854475E-2</v>
      </c>
      <c r="H541" s="19"/>
      <c r="I541" s="19"/>
      <c r="J541" s="5" t="s">
        <v>3952</v>
      </c>
    </row>
    <row r="542" spans="1:10" x14ac:dyDescent="0.25">
      <c r="A542" s="1" t="s">
        <v>20</v>
      </c>
      <c r="B542" s="2" t="s">
        <v>283</v>
      </c>
      <c r="C542" s="5"/>
      <c r="D542" s="5" t="s">
        <v>783</v>
      </c>
      <c r="E542" s="3">
        <v>156626</v>
      </c>
      <c r="F542" s="3">
        <v>158360</v>
      </c>
      <c r="G542" s="57">
        <v>1.1070958844636268E-2</v>
      </c>
      <c r="H542" s="19"/>
      <c r="I542" s="19"/>
      <c r="J542" s="5" t="s">
        <v>2973</v>
      </c>
    </row>
    <row r="543" spans="1:10" x14ac:dyDescent="0.25">
      <c r="A543" s="1" t="s">
        <v>20</v>
      </c>
      <c r="B543" s="2" t="s">
        <v>79</v>
      </c>
      <c r="C543" s="1" t="s">
        <v>1976</v>
      </c>
      <c r="D543" s="5" t="s">
        <v>683</v>
      </c>
      <c r="E543" s="3">
        <v>152306</v>
      </c>
      <c r="F543" s="3">
        <v>158358</v>
      </c>
      <c r="G543" s="57">
        <v>3.9735795044187359E-2</v>
      </c>
      <c r="H543" s="19"/>
      <c r="I543" s="19"/>
      <c r="J543" s="5" t="s">
        <v>1977</v>
      </c>
    </row>
    <row r="544" spans="1:10" ht="39" x14ac:dyDescent="0.25">
      <c r="A544" s="1" t="s">
        <v>6</v>
      </c>
      <c r="B544" s="2" t="s">
        <v>218</v>
      </c>
      <c r="C544" s="5"/>
      <c r="D544" s="5" t="s">
        <v>1296</v>
      </c>
      <c r="E544" s="9">
        <v>157265</v>
      </c>
      <c r="F544" s="9">
        <v>158324</v>
      </c>
      <c r="G544" s="57">
        <v>6.7338568657997651E-3</v>
      </c>
      <c r="H544" s="19"/>
      <c r="I544" s="19"/>
      <c r="J544" s="5" t="s">
        <v>3288</v>
      </c>
    </row>
    <row r="545" spans="1:10" ht="26.25" x14ac:dyDescent="0.25">
      <c r="A545" s="1" t="s">
        <v>25</v>
      </c>
      <c r="B545" s="2" t="s">
        <v>379</v>
      </c>
      <c r="C545" s="5"/>
      <c r="D545" s="5" t="s">
        <v>722</v>
      </c>
      <c r="E545" s="3">
        <v>158318</v>
      </c>
      <c r="F545" s="3">
        <v>158223</v>
      </c>
      <c r="G545" s="57">
        <v>-6.0005811089073886E-4</v>
      </c>
      <c r="H545" s="19"/>
      <c r="I545" s="19"/>
      <c r="J545" s="5" t="s">
        <v>2518</v>
      </c>
    </row>
    <row r="546" spans="1:10" ht="26.25" x14ac:dyDescent="0.25">
      <c r="A546" s="1" t="s">
        <v>34</v>
      </c>
      <c r="B546" s="2" t="s">
        <v>119</v>
      </c>
      <c r="C546" s="1"/>
      <c r="D546" s="5" t="s">
        <v>455</v>
      </c>
      <c r="E546" s="3">
        <v>152843</v>
      </c>
      <c r="F546" s="3">
        <v>158217</v>
      </c>
      <c r="G546" s="57">
        <v>3.5160262491576326E-2</v>
      </c>
      <c r="H546" s="19"/>
      <c r="I546" s="19"/>
      <c r="J546" s="5" t="s">
        <v>3914</v>
      </c>
    </row>
    <row r="547" spans="1:10" ht="26.25" x14ac:dyDescent="0.25">
      <c r="A547" s="1" t="s">
        <v>4</v>
      </c>
      <c r="B547" s="2" t="s">
        <v>331</v>
      </c>
      <c r="C547" s="5"/>
      <c r="D547" s="5" t="s">
        <v>450</v>
      </c>
      <c r="E547" s="3">
        <v>160390</v>
      </c>
      <c r="F547" s="3">
        <v>158156</v>
      </c>
      <c r="G547" s="57">
        <v>-1.3928549161419041E-2</v>
      </c>
      <c r="H547" s="19"/>
      <c r="I547" s="19"/>
      <c r="J547" s="5" t="s">
        <v>2756</v>
      </c>
    </row>
    <row r="548" spans="1:10" ht="26.25" x14ac:dyDescent="0.25">
      <c r="A548" s="1" t="s">
        <v>4</v>
      </c>
      <c r="B548" s="2" t="s">
        <v>377</v>
      </c>
      <c r="C548" s="5" t="s">
        <v>734</v>
      </c>
      <c r="D548" s="5" t="s">
        <v>735</v>
      </c>
      <c r="E548" s="3">
        <v>138620</v>
      </c>
      <c r="F548" s="3">
        <v>158128</v>
      </c>
      <c r="G548" s="57">
        <v>0.14073005338335018</v>
      </c>
      <c r="H548" s="19"/>
      <c r="I548" s="19"/>
      <c r="J548" s="5" t="s">
        <v>2883</v>
      </c>
    </row>
    <row r="549" spans="1:10" ht="26.25" x14ac:dyDescent="0.25">
      <c r="A549" s="1" t="s">
        <v>4</v>
      </c>
      <c r="B549" s="2" t="s">
        <v>239</v>
      </c>
      <c r="C549" s="5"/>
      <c r="D549" s="5" t="s">
        <v>562</v>
      </c>
      <c r="E549" s="3">
        <v>153005</v>
      </c>
      <c r="F549" s="3">
        <v>158097</v>
      </c>
      <c r="G549" s="57">
        <v>3.3279958171301589E-2</v>
      </c>
      <c r="H549" s="19"/>
      <c r="I549" s="19"/>
      <c r="J549" s="5" t="s">
        <v>3173</v>
      </c>
    </row>
    <row r="550" spans="1:10" ht="39" x14ac:dyDescent="0.25">
      <c r="A550" s="1" t="s">
        <v>6</v>
      </c>
      <c r="B550" s="2" t="s">
        <v>218</v>
      </c>
      <c r="C550" s="5"/>
      <c r="D550" s="5" t="s">
        <v>1297</v>
      </c>
      <c r="E550" s="9">
        <v>154387</v>
      </c>
      <c r="F550" s="9">
        <v>158043</v>
      </c>
      <c r="G550" s="57">
        <v>2.3680750322242157E-2</v>
      </c>
      <c r="H550" s="19"/>
      <c r="I550" s="19"/>
      <c r="J550" s="5" t="s">
        <v>3289</v>
      </c>
    </row>
    <row r="551" spans="1:10" ht="26.25" x14ac:dyDescent="0.25">
      <c r="A551" s="1" t="s">
        <v>39</v>
      </c>
      <c r="B551" s="2" t="s">
        <v>409</v>
      </c>
      <c r="C551" s="5"/>
      <c r="D551" s="5" t="s">
        <v>601</v>
      </c>
      <c r="E551" s="3">
        <v>156859</v>
      </c>
      <c r="F551" s="3">
        <v>158037</v>
      </c>
      <c r="G551" s="57">
        <v>7.5099292995620274E-3</v>
      </c>
      <c r="H551" s="19"/>
      <c r="I551" s="19"/>
      <c r="J551" s="5" t="s">
        <v>2380</v>
      </c>
    </row>
    <row r="552" spans="1:10" ht="51.75" x14ac:dyDescent="0.25">
      <c r="A552" s="1" t="s">
        <v>28</v>
      </c>
      <c r="B552" s="2" t="s">
        <v>120</v>
      </c>
      <c r="C552" s="1" t="s">
        <v>2148</v>
      </c>
      <c r="D552" s="5" t="s">
        <v>450</v>
      </c>
      <c r="E552" s="3" t="s">
        <v>465</v>
      </c>
      <c r="F552" s="3">
        <v>158016</v>
      </c>
      <c r="G552" s="57" t="s">
        <v>465</v>
      </c>
      <c r="H552" s="19"/>
      <c r="I552" s="19"/>
      <c r="J552" s="5" t="s">
        <v>4280</v>
      </c>
    </row>
    <row r="553" spans="1:10" x14ac:dyDescent="0.25">
      <c r="A553" s="1" t="s">
        <v>6</v>
      </c>
      <c r="B553" s="2" t="s">
        <v>90</v>
      </c>
      <c r="C553" s="1"/>
      <c r="D553" s="5" t="s">
        <v>1874</v>
      </c>
      <c r="E553" s="3">
        <v>157144</v>
      </c>
      <c r="F553" s="3">
        <v>158004</v>
      </c>
      <c r="G553" s="57">
        <v>5.472687471363845E-3</v>
      </c>
      <c r="H553" s="19"/>
      <c r="I553" s="19"/>
      <c r="J553" s="5" t="s">
        <v>2066</v>
      </c>
    </row>
    <row r="554" spans="1:10" ht="26.25" x14ac:dyDescent="0.25">
      <c r="A554" s="1" t="s">
        <v>8</v>
      </c>
      <c r="B554" s="2" t="s">
        <v>223</v>
      </c>
      <c r="C554" s="5"/>
      <c r="D554" s="5" t="s">
        <v>1267</v>
      </c>
      <c r="E554" s="3">
        <v>157000</v>
      </c>
      <c r="F554" s="3">
        <v>158000</v>
      </c>
      <c r="G554" s="57">
        <v>6.369426751592357E-3</v>
      </c>
      <c r="H554" s="19"/>
      <c r="I554" s="19"/>
      <c r="J554" s="5" t="s">
        <v>3251</v>
      </c>
    </row>
    <row r="555" spans="1:10" ht="26.25" x14ac:dyDescent="0.25">
      <c r="A555" s="1" t="s">
        <v>1</v>
      </c>
      <c r="B555" s="2" t="s">
        <v>168</v>
      </c>
      <c r="C555" s="5" t="s">
        <v>1557</v>
      </c>
      <c r="D555" s="5" t="s">
        <v>1558</v>
      </c>
      <c r="E555" s="3">
        <v>156046</v>
      </c>
      <c r="F555" s="3">
        <v>157993</v>
      </c>
      <c r="G555" s="57">
        <v>1.2477090088819963E-2</v>
      </c>
      <c r="H555" s="19"/>
      <c r="I555" s="19"/>
      <c r="J555" s="5" t="s">
        <v>4057</v>
      </c>
    </row>
    <row r="556" spans="1:10" ht="26.25" x14ac:dyDescent="0.25">
      <c r="A556" s="1" t="s">
        <v>4</v>
      </c>
      <c r="B556" s="2" t="s">
        <v>210</v>
      </c>
      <c r="C556" s="5"/>
      <c r="D556" s="5" t="s">
        <v>1351</v>
      </c>
      <c r="E556" s="9">
        <v>172570</v>
      </c>
      <c r="F556" s="9">
        <v>157900</v>
      </c>
      <c r="G556" s="57">
        <v>-8.5008981862432637E-2</v>
      </c>
      <c r="H556" s="19"/>
      <c r="I556" s="19"/>
      <c r="J556" s="5" t="s">
        <v>3354</v>
      </c>
    </row>
    <row r="557" spans="1:10" ht="51.75" x14ac:dyDescent="0.25">
      <c r="A557" s="1" t="s">
        <v>6</v>
      </c>
      <c r="B557" s="2" t="s">
        <v>218</v>
      </c>
      <c r="C557" s="5"/>
      <c r="D557" s="5" t="s">
        <v>1299</v>
      </c>
      <c r="E557" s="9">
        <v>153817</v>
      </c>
      <c r="F557" s="9">
        <v>157881</v>
      </c>
      <c r="G557" s="57">
        <v>2.6421006780784958E-2</v>
      </c>
      <c r="H557" s="19"/>
      <c r="I557" s="19"/>
      <c r="J557" s="5" t="s">
        <v>3292</v>
      </c>
    </row>
    <row r="558" spans="1:10" ht="26.25" x14ac:dyDescent="0.25">
      <c r="A558" s="1" t="s">
        <v>4</v>
      </c>
      <c r="B558" s="2" t="s">
        <v>149</v>
      </c>
      <c r="C558" s="1"/>
      <c r="D558" s="5" t="s">
        <v>3995</v>
      </c>
      <c r="E558" s="3">
        <v>162893.44</v>
      </c>
      <c r="F558" s="3">
        <v>157877.17000000001</v>
      </c>
      <c r="G558" s="57">
        <v>-3.07947944373941E-2</v>
      </c>
      <c r="H558" s="19"/>
      <c r="I558" s="19"/>
      <c r="J558" s="5" t="s">
        <v>3996</v>
      </c>
    </row>
    <row r="559" spans="1:10" ht="51.75" x14ac:dyDescent="0.25">
      <c r="A559" s="1" t="s">
        <v>20</v>
      </c>
      <c r="B559" s="2" t="s">
        <v>314</v>
      </c>
      <c r="C559" s="5"/>
      <c r="D559" s="5" t="s">
        <v>455</v>
      </c>
      <c r="E559" s="3">
        <v>104087</v>
      </c>
      <c r="F559" s="3">
        <v>157856</v>
      </c>
      <c r="G559" s="57">
        <v>0.51657747845552282</v>
      </c>
      <c r="H559" s="19"/>
      <c r="I559" s="19"/>
      <c r="J559" s="5" t="s">
        <v>4681</v>
      </c>
    </row>
    <row r="560" spans="1:10" ht="26.25" x14ac:dyDescent="0.25">
      <c r="A560" s="1" t="s">
        <v>25</v>
      </c>
      <c r="B560" s="2" t="s">
        <v>379</v>
      </c>
      <c r="C560" s="5"/>
      <c r="D560" s="5" t="s">
        <v>723</v>
      </c>
      <c r="E560" s="3">
        <v>144716</v>
      </c>
      <c r="F560" s="3">
        <v>157622</v>
      </c>
      <c r="G560" s="57">
        <v>8.9181569418723572E-2</v>
      </c>
      <c r="H560" s="19"/>
      <c r="I560" s="19"/>
      <c r="J560" s="5" t="s">
        <v>2521</v>
      </c>
    </row>
    <row r="561" spans="1:10" ht="39" x14ac:dyDescent="0.25">
      <c r="A561" s="1" t="s">
        <v>25</v>
      </c>
      <c r="B561" s="2" t="s">
        <v>178</v>
      </c>
      <c r="C561" s="5"/>
      <c r="D561" s="5" t="s">
        <v>3562</v>
      </c>
      <c r="E561" s="9">
        <v>147017</v>
      </c>
      <c r="F561" s="9">
        <v>157580</v>
      </c>
      <c r="G561" s="57">
        <v>7.1848833808335094E-2</v>
      </c>
      <c r="H561" s="19"/>
      <c r="I561" s="19"/>
      <c r="J561" s="5" t="s">
        <v>3561</v>
      </c>
    </row>
    <row r="562" spans="1:10" x14ac:dyDescent="0.25">
      <c r="A562" s="1" t="s">
        <v>4</v>
      </c>
      <c r="B562" s="2" t="s">
        <v>15</v>
      </c>
      <c r="C562" s="1"/>
      <c r="D562" s="5" t="s">
        <v>464</v>
      </c>
      <c r="E562" s="3" t="s">
        <v>465</v>
      </c>
      <c r="F562" s="3">
        <v>157500</v>
      </c>
      <c r="G562" s="57" t="s">
        <v>465</v>
      </c>
      <c r="H562" s="19"/>
      <c r="I562" s="19"/>
      <c r="J562" s="5" t="s">
        <v>1241</v>
      </c>
    </row>
    <row r="563" spans="1:10" x14ac:dyDescent="0.25">
      <c r="A563" s="1" t="s">
        <v>34</v>
      </c>
      <c r="B563" s="2" t="s">
        <v>57</v>
      </c>
      <c r="C563" s="1"/>
      <c r="D563" s="5" t="s">
        <v>464</v>
      </c>
      <c r="E563" s="3" t="s">
        <v>465</v>
      </c>
      <c r="F563" s="3">
        <v>157500</v>
      </c>
      <c r="G563" s="57" t="s">
        <v>465</v>
      </c>
      <c r="H563" s="19"/>
      <c r="I563" s="19"/>
      <c r="J563" s="5"/>
    </row>
    <row r="564" spans="1:10" x14ac:dyDescent="0.25">
      <c r="A564" s="1" t="s">
        <v>111</v>
      </c>
      <c r="B564" s="2" t="s">
        <v>128</v>
      </c>
      <c r="C564" s="1"/>
      <c r="D564" s="5" t="s">
        <v>464</v>
      </c>
      <c r="E564" s="3" t="s">
        <v>465</v>
      </c>
      <c r="F564" s="3">
        <v>157500</v>
      </c>
      <c r="G564" s="57" t="s">
        <v>465</v>
      </c>
      <c r="H564" s="19"/>
      <c r="I564" s="19"/>
      <c r="J564" s="1"/>
    </row>
    <row r="565" spans="1:10" x14ac:dyDescent="0.25">
      <c r="A565" s="1" t="s">
        <v>28</v>
      </c>
      <c r="B565" s="2" t="s">
        <v>221</v>
      </c>
      <c r="C565" s="5"/>
      <c r="D565" s="5" t="s">
        <v>464</v>
      </c>
      <c r="E565" s="3" t="s">
        <v>465</v>
      </c>
      <c r="F565" s="3">
        <v>157500</v>
      </c>
      <c r="G565" s="57" t="s">
        <v>465</v>
      </c>
      <c r="H565" s="19"/>
      <c r="I565" s="19"/>
      <c r="J565" s="5"/>
    </row>
    <row r="566" spans="1:10" x14ac:dyDescent="0.25">
      <c r="A566" s="1" t="s">
        <v>8</v>
      </c>
      <c r="B566" s="2" t="s">
        <v>285</v>
      </c>
      <c r="C566" s="5"/>
      <c r="D566" s="5" t="s">
        <v>464</v>
      </c>
      <c r="E566" s="3" t="s">
        <v>465</v>
      </c>
      <c r="F566" s="3">
        <v>157500</v>
      </c>
      <c r="G566" s="57" t="s">
        <v>465</v>
      </c>
      <c r="H566" s="19"/>
      <c r="I566" s="19"/>
      <c r="J566" s="5"/>
    </row>
    <row r="567" spans="1:10" x14ac:dyDescent="0.25">
      <c r="A567" s="1" t="s">
        <v>20</v>
      </c>
      <c r="B567" s="2" t="s">
        <v>296</v>
      </c>
      <c r="C567" s="5"/>
      <c r="D567" s="5" t="s">
        <v>464</v>
      </c>
      <c r="E567" s="3" t="s">
        <v>465</v>
      </c>
      <c r="F567" s="3">
        <v>157500</v>
      </c>
      <c r="G567" s="57" t="s">
        <v>465</v>
      </c>
      <c r="H567" s="19"/>
      <c r="I567" s="19"/>
      <c r="J567" s="5"/>
    </row>
    <row r="568" spans="1:10" x14ac:dyDescent="0.25">
      <c r="A568" s="1" t="s">
        <v>39</v>
      </c>
      <c r="B568" s="2" t="s">
        <v>325</v>
      </c>
      <c r="C568" s="5"/>
      <c r="D568" s="5" t="s">
        <v>464</v>
      </c>
      <c r="E568" s="3"/>
      <c r="F568" s="3">
        <v>157500</v>
      </c>
      <c r="G568" s="57" t="s">
        <v>465</v>
      </c>
      <c r="H568" s="19"/>
      <c r="I568" s="19"/>
      <c r="J568" s="5" t="s">
        <v>1241</v>
      </c>
    </row>
    <row r="569" spans="1:10" x14ac:dyDescent="0.25">
      <c r="A569" s="1" t="s">
        <v>39</v>
      </c>
      <c r="B569" s="2" t="s">
        <v>325</v>
      </c>
      <c r="C569" s="5"/>
      <c r="D569" s="5" t="s">
        <v>464</v>
      </c>
      <c r="E569" s="3"/>
      <c r="F569" s="3">
        <v>157500</v>
      </c>
      <c r="G569" s="57" t="s">
        <v>465</v>
      </c>
      <c r="H569" s="19"/>
      <c r="I569" s="19"/>
      <c r="J569" s="5" t="s">
        <v>1241</v>
      </c>
    </row>
    <row r="570" spans="1:10" x14ac:dyDescent="0.25">
      <c r="A570" s="1" t="s">
        <v>34</v>
      </c>
      <c r="B570" s="2" t="s">
        <v>343</v>
      </c>
      <c r="C570" s="5"/>
      <c r="D570" s="5" t="s">
        <v>464</v>
      </c>
      <c r="E570" s="3" t="s">
        <v>465</v>
      </c>
      <c r="F570" s="3">
        <v>157500</v>
      </c>
      <c r="G570" s="57" t="s">
        <v>465</v>
      </c>
      <c r="H570" s="19"/>
      <c r="I570" s="19"/>
      <c r="J570" s="5"/>
    </row>
    <row r="571" spans="1:10" x14ac:dyDescent="0.25">
      <c r="A571" s="1" t="s">
        <v>39</v>
      </c>
      <c r="B571" s="2" t="s">
        <v>370</v>
      </c>
      <c r="C571" s="5"/>
      <c r="D571" s="5" t="s">
        <v>464</v>
      </c>
      <c r="E571" s="3" t="s">
        <v>465</v>
      </c>
      <c r="F571" s="3">
        <v>157500</v>
      </c>
      <c r="G571" s="57" t="s">
        <v>465</v>
      </c>
      <c r="H571" s="19"/>
      <c r="I571" s="19"/>
      <c r="J571" s="5" t="s">
        <v>539</v>
      </c>
    </row>
    <row r="572" spans="1:10" x14ac:dyDescent="0.25">
      <c r="A572" s="1" t="s">
        <v>25</v>
      </c>
      <c r="B572" s="2" t="s">
        <v>398</v>
      </c>
      <c r="C572" s="5"/>
      <c r="D572" s="5" t="s">
        <v>464</v>
      </c>
      <c r="E572" s="3" t="s">
        <v>465</v>
      </c>
      <c r="F572" s="3">
        <v>157500</v>
      </c>
      <c r="G572" s="57" t="s">
        <v>465</v>
      </c>
      <c r="H572" s="19"/>
      <c r="I572" s="19"/>
      <c r="J572" s="5" t="s">
        <v>1241</v>
      </c>
    </row>
    <row r="573" spans="1:10" x14ac:dyDescent="0.25">
      <c r="A573" s="1" t="s">
        <v>39</v>
      </c>
      <c r="B573" s="2" t="s">
        <v>433</v>
      </c>
      <c r="C573" s="5"/>
      <c r="D573" s="5" t="s">
        <v>464</v>
      </c>
      <c r="E573" s="3" t="s">
        <v>465</v>
      </c>
      <c r="F573" s="3">
        <v>157500</v>
      </c>
      <c r="G573" s="57" t="s">
        <v>465</v>
      </c>
      <c r="H573" s="19"/>
      <c r="I573" s="19"/>
      <c r="J573" s="5" t="s">
        <v>539</v>
      </c>
    </row>
    <row r="574" spans="1:10" ht="51.75" x14ac:dyDescent="0.25">
      <c r="A574" s="1" t="s">
        <v>8</v>
      </c>
      <c r="B574" s="2" t="s">
        <v>345</v>
      </c>
      <c r="C574" s="5"/>
      <c r="D574" s="5" t="s">
        <v>468</v>
      </c>
      <c r="E574" s="3">
        <v>99241</v>
      </c>
      <c r="F574" s="3">
        <v>157495</v>
      </c>
      <c r="G574" s="57">
        <v>0.58699529428361263</v>
      </c>
      <c r="H574" s="19"/>
      <c r="I574" s="19"/>
      <c r="J574" s="5" t="s">
        <v>4459</v>
      </c>
    </row>
    <row r="575" spans="1:10" ht="26.25" x14ac:dyDescent="0.25">
      <c r="A575" s="1" t="s">
        <v>8</v>
      </c>
      <c r="B575" s="2" t="s">
        <v>138</v>
      </c>
      <c r="C575" s="1" t="s">
        <v>1660</v>
      </c>
      <c r="D575" s="5" t="s">
        <v>450</v>
      </c>
      <c r="E575" s="3">
        <v>159838</v>
      </c>
      <c r="F575" s="3">
        <v>157371</v>
      </c>
      <c r="G575" s="57">
        <v>-1.5434377307023361E-2</v>
      </c>
      <c r="H575" s="19"/>
      <c r="I575" s="19"/>
      <c r="J575" s="5" t="s">
        <v>3965</v>
      </c>
    </row>
    <row r="576" spans="1:10" ht="26.25" x14ac:dyDescent="0.25">
      <c r="A576" s="1" t="s">
        <v>25</v>
      </c>
      <c r="B576" s="2" t="s">
        <v>24</v>
      </c>
      <c r="C576" s="1"/>
      <c r="D576" s="5" t="s">
        <v>1693</v>
      </c>
      <c r="E576" s="3">
        <v>149529</v>
      </c>
      <c r="F576" s="3">
        <v>157321</v>
      </c>
      <c r="G576" s="57">
        <v>5.2110292986644734E-2</v>
      </c>
      <c r="H576" s="19"/>
      <c r="I576" s="19"/>
      <c r="J576" s="5" t="s">
        <v>3657</v>
      </c>
    </row>
    <row r="577" spans="1:10" ht="26.25" x14ac:dyDescent="0.25">
      <c r="A577" s="1" t="s">
        <v>28</v>
      </c>
      <c r="B577" s="12" t="s">
        <v>50</v>
      </c>
      <c r="C577" s="13"/>
      <c r="D577" s="7" t="s">
        <v>3749</v>
      </c>
      <c r="E577" s="6" t="s">
        <v>465</v>
      </c>
      <c r="F577" s="6">
        <v>157294</v>
      </c>
      <c r="G577" s="57" t="s">
        <v>465</v>
      </c>
      <c r="H577" s="21"/>
      <c r="I577" s="21"/>
      <c r="J577" s="7" t="s">
        <v>1824</v>
      </c>
    </row>
    <row r="578" spans="1:10" ht="26.25" x14ac:dyDescent="0.25">
      <c r="A578" s="1" t="s">
        <v>25</v>
      </c>
      <c r="B578" s="2" t="s">
        <v>311</v>
      </c>
      <c r="C578" s="5" t="s">
        <v>937</v>
      </c>
      <c r="D578" s="5" t="s">
        <v>938</v>
      </c>
      <c r="E578" s="3">
        <v>153374</v>
      </c>
      <c r="F578" s="3">
        <v>157048</v>
      </c>
      <c r="G578" s="57">
        <v>2.3954516410864945E-2</v>
      </c>
      <c r="H578" s="19"/>
      <c r="I578" s="19"/>
      <c r="J578" s="5" t="s">
        <v>2810</v>
      </c>
    </row>
    <row r="579" spans="1:10" ht="51.75" x14ac:dyDescent="0.25">
      <c r="A579" s="1" t="s">
        <v>25</v>
      </c>
      <c r="B579" s="2" t="s">
        <v>93</v>
      </c>
      <c r="C579" s="1" t="s">
        <v>2224</v>
      </c>
      <c r="D579" s="5" t="s">
        <v>2225</v>
      </c>
      <c r="E579" s="3">
        <v>222000</v>
      </c>
      <c r="F579" s="3">
        <v>157000</v>
      </c>
      <c r="G579" s="57">
        <v>-0.2927927927927928</v>
      </c>
      <c r="H579" s="19"/>
      <c r="I579" s="19"/>
      <c r="J579" s="5" t="s">
        <v>4232</v>
      </c>
    </row>
    <row r="580" spans="1:10" ht="26.25" x14ac:dyDescent="0.25">
      <c r="A580" s="1" t="s">
        <v>8</v>
      </c>
      <c r="B580" s="2" t="s">
        <v>223</v>
      </c>
      <c r="C580" s="5" t="s">
        <v>1270</v>
      </c>
      <c r="D580" s="5" t="s">
        <v>1266</v>
      </c>
      <c r="E580" s="3">
        <v>198000</v>
      </c>
      <c r="F580" s="3">
        <v>157000</v>
      </c>
      <c r="G580" s="57">
        <v>-0.20707070707070707</v>
      </c>
      <c r="H580" s="19"/>
      <c r="I580" s="19"/>
      <c r="J580" s="5" t="s">
        <v>3250</v>
      </c>
    </row>
    <row r="581" spans="1:10" ht="26.25" x14ac:dyDescent="0.25">
      <c r="A581" s="1" t="s">
        <v>44</v>
      </c>
      <c r="B581" s="2" t="s">
        <v>300</v>
      </c>
      <c r="C581" s="5"/>
      <c r="D581" s="5" t="s">
        <v>450</v>
      </c>
      <c r="E581" s="3">
        <v>153000</v>
      </c>
      <c r="F581" s="3">
        <v>157000</v>
      </c>
      <c r="G581" s="57">
        <v>2.6143790849673203E-2</v>
      </c>
      <c r="H581" s="19"/>
      <c r="I581" s="19"/>
      <c r="J581" s="5" t="s">
        <v>2853</v>
      </c>
    </row>
    <row r="582" spans="1:10" ht="26.25" x14ac:dyDescent="0.25">
      <c r="A582" s="1" t="s">
        <v>8</v>
      </c>
      <c r="B582" s="2" t="s">
        <v>229</v>
      </c>
      <c r="C582" s="5"/>
      <c r="D582" s="5" t="s">
        <v>1249</v>
      </c>
      <c r="E582" s="3">
        <v>150975</v>
      </c>
      <c r="F582" s="3">
        <v>156938</v>
      </c>
      <c r="G582" s="57">
        <v>3.949660539824474E-2</v>
      </c>
      <c r="H582" s="19"/>
      <c r="I582" s="19"/>
      <c r="J582" s="5" t="s">
        <v>3228</v>
      </c>
    </row>
    <row r="583" spans="1:10" ht="26.25" x14ac:dyDescent="0.25">
      <c r="A583" s="1" t="s">
        <v>20</v>
      </c>
      <c r="B583" s="2" t="s">
        <v>35</v>
      </c>
      <c r="C583" s="1"/>
      <c r="D583" s="5" t="s">
        <v>4602</v>
      </c>
      <c r="E583" s="3">
        <v>139854</v>
      </c>
      <c r="F583" s="3">
        <v>156813</v>
      </c>
      <c r="G583" s="57">
        <v>0.12126217340941267</v>
      </c>
      <c r="H583" s="19"/>
      <c r="I583" s="19"/>
      <c r="J583" s="5" t="s">
        <v>1745</v>
      </c>
    </row>
    <row r="584" spans="1:10" ht="26.25" x14ac:dyDescent="0.25">
      <c r="A584" s="1" t="s">
        <v>20</v>
      </c>
      <c r="B584" s="2" t="s">
        <v>35</v>
      </c>
      <c r="C584" s="1"/>
      <c r="D584" s="5" t="s">
        <v>1746</v>
      </c>
      <c r="E584" s="3">
        <v>138849</v>
      </c>
      <c r="F584" s="3">
        <v>156800</v>
      </c>
      <c r="G584" s="57">
        <v>0.12928433045970802</v>
      </c>
      <c r="H584" s="19"/>
      <c r="I584" s="19"/>
      <c r="J584" s="5" t="s">
        <v>1747</v>
      </c>
    </row>
    <row r="585" spans="1:10" ht="26.25" x14ac:dyDescent="0.25">
      <c r="A585" s="1" t="s">
        <v>25</v>
      </c>
      <c r="B585" s="2" t="s">
        <v>398</v>
      </c>
      <c r="C585" s="5"/>
      <c r="D585" s="5" t="s">
        <v>668</v>
      </c>
      <c r="E585" s="3">
        <v>157356</v>
      </c>
      <c r="F585" s="3">
        <v>156722</v>
      </c>
      <c r="G585" s="57">
        <v>-4.0290805561910576E-3</v>
      </c>
      <c r="H585" s="19"/>
      <c r="I585" s="19"/>
      <c r="J585" s="5" t="s">
        <v>2453</v>
      </c>
    </row>
    <row r="586" spans="1:10" ht="64.5" x14ac:dyDescent="0.25">
      <c r="A586" s="1" t="s">
        <v>25</v>
      </c>
      <c r="B586" s="2" t="s">
        <v>150</v>
      </c>
      <c r="C586" s="1"/>
      <c r="D586" s="5" t="s">
        <v>1634</v>
      </c>
      <c r="E586" s="3">
        <v>155716.07999999999</v>
      </c>
      <c r="F586" s="3">
        <v>156644.81</v>
      </c>
      <c r="G586" s="57">
        <v>5.9642523752204048E-3</v>
      </c>
      <c r="H586" s="19"/>
      <c r="I586" s="19"/>
      <c r="J586" s="5" t="s">
        <v>4315</v>
      </c>
    </row>
    <row r="587" spans="1:10" ht="26.25" x14ac:dyDescent="0.25">
      <c r="A587" s="1" t="s">
        <v>25</v>
      </c>
      <c r="B587" s="2" t="s">
        <v>187</v>
      </c>
      <c r="C587" s="5"/>
      <c r="D587" s="5" t="s">
        <v>2720</v>
      </c>
      <c r="E587" s="9">
        <v>165569</v>
      </c>
      <c r="F587" s="9">
        <v>156637</v>
      </c>
      <c r="G587" s="57">
        <v>-5.3947296897366055E-2</v>
      </c>
      <c r="H587" s="19"/>
      <c r="I587" s="19"/>
      <c r="J587" s="5" t="s">
        <v>3510</v>
      </c>
    </row>
    <row r="588" spans="1:10" x14ac:dyDescent="0.25">
      <c r="A588" s="1" t="s">
        <v>25</v>
      </c>
      <c r="B588" s="2" t="s">
        <v>200</v>
      </c>
      <c r="C588" s="5"/>
      <c r="D588" s="5" t="s">
        <v>942</v>
      </c>
      <c r="E588" s="9">
        <v>147378</v>
      </c>
      <c r="F588" s="9">
        <v>156630</v>
      </c>
      <c r="G588" s="57">
        <v>6.277734804380572E-2</v>
      </c>
      <c r="H588" s="19"/>
      <c r="I588" s="19"/>
      <c r="J588" s="5" t="s">
        <v>3417</v>
      </c>
    </row>
    <row r="589" spans="1:10" ht="51.75" x14ac:dyDescent="0.25">
      <c r="A589" s="1" t="s">
        <v>34</v>
      </c>
      <c r="B589" s="2" t="s">
        <v>101</v>
      </c>
      <c r="C589" s="1"/>
      <c r="D589" s="5" t="s">
        <v>2211</v>
      </c>
      <c r="E589" s="3">
        <v>143280</v>
      </c>
      <c r="F589" s="3">
        <v>156618</v>
      </c>
      <c r="G589" s="57">
        <v>9.3090452261306536E-2</v>
      </c>
      <c r="H589" s="19"/>
      <c r="I589" s="19"/>
      <c r="J589" s="5" t="s">
        <v>4614</v>
      </c>
    </row>
    <row r="590" spans="1:10" ht="39" x14ac:dyDescent="0.25">
      <c r="A590" s="1" t="s">
        <v>4</v>
      </c>
      <c r="B590" s="2" t="s">
        <v>206</v>
      </c>
      <c r="C590" s="5"/>
      <c r="D590" s="5" t="s">
        <v>1377</v>
      </c>
      <c r="E590" s="9">
        <v>33932</v>
      </c>
      <c r="F590" s="9">
        <v>156564</v>
      </c>
      <c r="G590" s="57">
        <v>3.614051632677119</v>
      </c>
      <c r="H590" s="19"/>
      <c r="I590" s="19"/>
      <c r="J590" s="5" t="s">
        <v>3386</v>
      </c>
    </row>
    <row r="591" spans="1:10" ht="39" x14ac:dyDescent="0.25">
      <c r="A591" s="1" t="s">
        <v>8</v>
      </c>
      <c r="B591" s="2" t="s">
        <v>345</v>
      </c>
      <c r="C591" s="5"/>
      <c r="D591" s="5" t="s">
        <v>852</v>
      </c>
      <c r="E591" s="3">
        <v>71200</v>
      </c>
      <c r="F591" s="3">
        <v>156355</v>
      </c>
      <c r="G591" s="57">
        <v>1.1959971910112359</v>
      </c>
      <c r="H591" s="19"/>
      <c r="I591" s="19"/>
      <c r="J591" s="5" t="s">
        <v>2696</v>
      </c>
    </row>
    <row r="592" spans="1:10" ht="26.25" x14ac:dyDescent="0.25">
      <c r="A592" s="1" t="s">
        <v>25</v>
      </c>
      <c r="B592" s="2" t="s">
        <v>24</v>
      </c>
      <c r="C592" s="1"/>
      <c r="D592" s="5" t="s">
        <v>1692</v>
      </c>
      <c r="E592" s="3">
        <v>155863</v>
      </c>
      <c r="F592" s="3">
        <v>156286</v>
      </c>
      <c r="G592" s="57">
        <v>2.7139218416173177E-3</v>
      </c>
      <c r="H592" s="19"/>
      <c r="I592" s="19"/>
      <c r="J592" s="5" t="s">
        <v>3656</v>
      </c>
    </row>
    <row r="593" spans="1:10" ht="39" x14ac:dyDescent="0.25">
      <c r="A593" s="1" t="s">
        <v>25</v>
      </c>
      <c r="B593" s="2" t="s">
        <v>406</v>
      </c>
      <c r="C593" s="5"/>
      <c r="D593" s="5" t="s">
        <v>629</v>
      </c>
      <c r="E593" s="9">
        <v>153912</v>
      </c>
      <c r="F593" s="3">
        <v>156049</v>
      </c>
      <c r="G593" s="57">
        <v>1.3884557409428764E-2</v>
      </c>
      <c r="H593" s="19"/>
      <c r="I593" s="19"/>
      <c r="J593" s="5" t="s">
        <v>2408</v>
      </c>
    </row>
    <row r="594" spans="1:10" ht="26.25" x14ac:dyDescent="0.25">
      <c r="A594" s="1" t="s">
        <v>8</v>
      </c>
      <c r="B594" s="2" t="s">
        <v>223</v>
      </c>
      <c r="C594" s="5"/>
      <c r="D594" s="5" t="s">
        <v>1268</v>
      </c>
      <c r="E594" s="3">
        <v>157000</v>
      </c>
      <c r="F594" s="3">
        <v>156000</v>
      </c>
      <c r="G594" s="57">
        <v>-6.369426751592357E-3</v>
      </c>
      <c r="H594" s="19"/>
      <c r="I594" s="19"/>
      <c r="J594" s="5" t="s">
        <v>3252</v>
      </c>
    </row>
    <row r="595" spans="1:10" ht="26.25" x14ac:dyDescent="0.25">
      <c r="A595" s="1" t="s">
        <v>28</v>
      </c>
      <c r="B595" s="2" t="s">
        <v>441</v>
      </c>
      <c r="C595" s="5"/>
      <c r="D595" s="5" t="s">
        <v>450</v>
      </c>
      <c r="E595" s="3">
        <v>75000</v>
      </c>
      <c r="F595" s="3">
        <v>156000</v>
      </c>
      <c r="G595" s="57">
        <v>1.08</v>
      </c>
      <c r="H595" s="19"/>
      <c r="I595" s="19"/>
      <c r="J595" s="5" t="s">
        <v>4585</v>
      </c>
    </row>
    <row r="596" spans="1:10" ht="26.25" x14ac:dyDescent="0.25">
      <c r="A596" s="1" t="s">
        <v>1</v>
      </c>
      <c r="B596" s="2" t="s">
        <v>168</v>
      </c>
      <c r="C596" s="5" t="s">
        <v>1562</v>
      </c>
      <c r="D596" s="5" t="s">
        <v>1563</v>
      </c>
      <c r="E596" s="3">
        <v>154782</v>
      </c>
      <c r="F596" s="3">
        <v>155993</v>
      </c>
      <c r="G596" s="57">
        <v>7.8239071726686569E-3</v>
      </c>
      <c r="H596" s="19"/>
      <c r="I596" s="19"/>
      <c r="J596" s="5" t="s">
        <v>4059</v>
      </c>
    </row>
    <row r="597" spans="1:10" ht="26.25" x14ac:dyDescent="0.25">
      <c r="A597" s="1" t="s">
        <v>20</v>
      </c>
      <c r="B597" s="2" t="s">
        <v>137</v>
      </c>
      <c r="C597" s="1"/>
      <c r="D597" s="5" t="s">
        <v>450</v>
      </c>
      <c r="E597" s="3">
        <v>194278</v>
      </c>
      <c r="F597" s="3">
        <v>155936</v>
      </c>
      <c r="G597" s="57">
        <v>-0.19735636562039963</v>
      </c>
      <c r="H597" s="19"/>
      <c r="I597" s="19"/>
      <c r="J597" s="5" t="s">
        <v>3962</v>
      </c>
    </row>
    <row r="598" spans="1:10" ht="26.25" x14ac:dyDescent="0.25">
      <c r="A598" s="13" t="s">
        <v>1</v>
      </c>
      <c r="B598" s="12" t="s">
        <v>156</v>
      </c>
      <c r="C598" s="13" t="s">
        <v>1601</v>
      </c>
      <c r="D598" s="7" t="s">
        <v>450</v>
      </c>
      <c r="E598" s="6">
        <v>157369</v>
      </c>
      <c r="F598" s="6">
        <v>155912</v>
      </c>
      <c r="G598" s="57">
        <v>-9.2584943667431332E-3</v>
      </c>
      <c r="H598" s="21"/>
      <c r="I598" s="21"/>
      <c r="J598" s="7" t="s">
        <v>4023</v>
      </c>
    </row>
    <row r="599" spans="1:10" ht="26.25" x14ac:dyDescent="0.25">
      <c r="A599" s="1" t="s">
        <v>1</v>
      </c>
      <c r="B599" s="2" t="s">
        <v>125</v>
      </c>
      <c r="C599" s="1" t="s">
        <v>2115</v>
      </c>
      <c r="D599" s="5" t="s">
        <v>450</v>
      </c>
      <c r="E599" s="3">
        <v>105252</v>
      </c>
      <c r="F599" s="3">
        <v>155859</v>
      </c>
      <c r="G599" s="57">
        <v>0.48081746665146508</v>
      </c>
      <c r="H599" s="19"/>
      <c r="I599" s="19"/>
      <c r="J599" s="5" t="s">
        <v>4623</v>
      </c>
    </row>
    <row r="600" spans="1:10" ht="26.25" x14ac:dyDescent="0.25">
      <c r="A600" s="1" t="s">
        <v>20</v>
      </c>
      <c r="B600" s="2" t="s">
        <v>194</v>
      </c>
      <c r="C600" s="5" t="s">
        <v>1433</v>
      </c>
      <c r="D600" s="5" t="s">
        <v>1434</v>
      </c>
      <c r="E600" s="9">
        <v>155499</v>
      </c>
      <c r="F600" s="9">
        <v>155720</v>
      </c>
      <c r="G600" s="57">
        <v>1.4212310047009948E-3</v>
      </c>
      <c r="H600" s="19"/>
      <c r="I600" s="19"/>
      <c r="J600" s="5" t="s">
        <v>3475</v>
      </c>
    </row>
    <row r="601" spans="1:10" ht="39" x14ac:dyDescent="0.25">
      <c r="A601" s="1" t="s">
        <v>111</v>
      </c>
      <c r="B601" s="2" t="s">
        <v>369</v>
      </c>
      <c r="C601" s="5"/>
      <c r="D601" s="5" t="s">
        <v>767</v>
      </c>
      <c r="E601" s="3">
        <v>153859</v>
      </c>
      <c r="F601" s="3">
        <v>155533</v>
      </c>
      <c r="G601" s="57">
        <v>1.0880091512358718E-2</v>
      </c>
      <c r="H601" s="19"/>
      <c r="I601" s="19"/>
      <c r="J601" s="5" t="s">
        <v>2564</v>
      </c>
    </row>
    <row r="602" spans="1:10" ht="26.25" x14ac:dyDescent="0.25">
      <c r="A602" s="13" t="s">
        <v>34</v>
      </c>
      <c r="B602" s="12" t="s">
        <v>33</v>
      </c>
      <c r="C602" s="13"/>
      <c r="D602" s="7" t="s">
        <v>1737</v>
      </c>
      <c r="E602" s="6">
        <v>155102</v>
      </c>
      <c r="F602" s="6">
        <v>155526</v>
      </c>
      <c r="G602" s="57">
        <v>2.733684929917087E-3</v>
      </c>
      <c r="H602" s="21"/>
      <c r="I602" s="21"/>
      <c r="J602" s="7" t="s">
        <v>4601</v>
      </c>
    </row>
    <row r="603" spans="1:10" ht="26.25" x14ac:dyDescent="0.25">
      <c r="A603" s="1" t="s">
        <v>4</v>
      </c>
      <c r="B603" s="2" t="s">
        <v>249</v>
      </c>
      <c r="C603" s="5"/>
      <c r="D603" s="5" t="s">
        <v>3133</v>
      </c>
      <c r="E603" s="3">
        <v>110684</v>
      </c>
      <c r="F603" s="3">
        <v>155473</v>
      </c>
      <c r="G603" s="57">
        <v>0.40465649958440242</v>
      </c>
      <c r="H603" s="19"/>
      <c r="I603" s="19"/>
      <c r="J603" s="5" t="s">
        <v>3131</v>
      </c>
    </row>
    <row r="604" spans="1:10" ht="51.75" x14ac:dyDescent="0.25">
      <c r="A604" s="1" t="s">
        <v>28</v>
      </c>
      <c r="B604" s="2" t="s">
        <v>215</v>
      </c>
      <c r="C604" s="5"/>
      <c r="D604" s="5" t="s">
        <v>4358</v>
      </c>
      <c r="E604" s="3">
        <v>107570</v>
      </c>
      <c r="F604" s="3">
        <v>155468</v>
      </c>
      <c r="G604" s="57">
        <v>0.44527284558891883</v>
      </c>
      <c r="H604" s="19"/>
      <c r="I604" s="19"/>
      <c r="J604" s="5" t="s">
        <v>3314</v>
      </c>
    </row>
    <row r="605" spans="1:10" ht="39" x14ac:dyDescent="0.25">
      <c r="A605" s="1" t="s">
        <v>20</v>
      </c>
      <c r="B605" s="12" t="s">
        <v>30</v>
      </c>
      <c r="C605" s="13"/>
      <c r="D605" s="7" t="s">
        <v>529</v>
      </c>
      <c r="E605" s="6">
        <v>156581</v>
      </c>
      <c r="F605" s="6">
        <v>155462</v>
      </c>
      <c r="G605" s="57">
        <v>-7.1464609371507401E-3</v>
      </c>
      <c r="H605" s="21"/>
      <c r="I605" s="21"/>
      <c r="J605" s="7" t="s">
        <v>4118</v>
      </c>
    </row>
    <row r="606" spans="1:10" ht="26.25" x14ac:dyDescent="0.25">
      <c r="A606" s="1" t="s">
        <v>25</v>
      </c>
      <c r="B606" s="2" t="s">
        <v>187</v>
      </c>
      <c r="C606" s="5"/>
      <c r="D606" s="5" t="s">
        <v>1461</v>
      </c>
      <c r="E606" s="9">
        <v>158178</v>
      </c>
      <c r="F606" s="9">
        <v>155373</v>
      </c>
      <c r="G606" s="57">
        <v>-1.773318666312635E-2</v>
      </c>
      <c r="H606" s="19"/>
      <c r="I606" s="19"/>
      <c r="J606" s="5" t="s">
        <v>3511</v>
      </c>
    </row>
    <row r="607" spans="1:10" ht="26.25" x14ac:dyDescent="0.25">
      <c r="A607" s="1" t="s">
        <v>25</v>
      </c>
      <c r="B607" s="2" t="s">
        <v>24</v>
      </c>
      <c r="C607" s="1"/>
      <c r="D607" s="5" t="s">
        <v>1694</v>
      </c>
      <c r="E607" s="3">
        <v>157388</v>
      </c>
      <c r="F607" s="3">
        <v>155313</v>
      </c>
      <c r="G607" s="57">
        <v>-1.3183978448166316E-2</v>
      </c>
      <c r="H607" s="19"/>
      <c r="I607" s="19"/>
      <c r="J607" s="5" t="s">
        <v>3658</v>
      </c>
    </row>
    <row r="608" spans="1:10" ht="26.25" x14ac:dyDescent="0.25">
      <c r="A608" s="1" t="s">
        <v>20</v>
      </c>
      <c r="B608" s="2" t="s">
        <v>185</v>
      </c>
      <c r="C608" s="5"/>
      <c r="D608" s="5" t="s">
        <v>450</v>
      </c>
      <c r="E608" s="9">
        <v>138992</v>
      </c>
      <c r="F608" s="9">
        <v>155306</v>
      </c>
      <c r="G608" s="57">
        <v>0.11737366179348452</v>
      </c>
      <c r="H608" s="19"/>
      <c r="I608" s="19"/>
      <c r="J608" s="5" t="s">
        <v>3521</v>
      </c>
    </row>
    <row r="609" spans="1:10" ht="26.25" x14ac:dyDescent="0.25">
      <c r="A609" s="1" t="s">
        <v>6</v>
      </c>
      <c r="B609" s="2" t="s">
        <v>108</v>
      </c>
      <c r="C609" s="1" t="s">
        <v>2173</v>
      </c>
      <c r="D609" s="5" t="s">
        <v>666</v>
      </c>
      <c r="E609" s="6">
        <v>150566</v>
      </c>
      <c r="F609" s="3">
        <v>155173</v>
      </c>
      <c r="G609" s="57">
        <v>3.0597877342826402E-2</v>
      </c>
      <c r="H609" s="19"/>
      <c r="I609" s="19"/>
      <c r="J609" s="5" t="s">
        <v>3866</v>
      </c>
    </row>
    <row r="610" spans="1:10" x14ac:dyDescent="0.25">
      <c r="A610" s="1" t="s">
        <v>25</v>
      </c>
      <c r="B610" s="2" t="s">
        <v>243</v>
      </c>
      <c r="C610" s="5" t="s">
        <v>1203</v>
      </c>
      <c r="D610" s="5" t="s">
        <v>1204</v>
      </c>
      <c r="E610" s="3">
        <v>155489</v>
      </c>
      <c r="F610" s="3">
        <v>155149</v>
      </c>
      <c r="G610" s="57">
        <v>-2.1866498594755898E-3</v>
      </c>
      <c r="H610" s="19"/>
      <c r="I610" s="19"/>
      <c r="J610" s="5" t="s">
        <v>3158</v>
      </c>
    </row>
    <row r="611" spans="1:10" ht="26.25" x14ac:dyDescent="0.25">
      <c r="A611" s="1" t="s">
        <v>28</v>
      </c>
      <c r="B611" s="2" t="s">
        <v>215</v>
      </c>
      <c r="C611" s="5"/>
      <c r="D611" s="5" t="s">
        <v>1315</v>
      </c>
      <c r="E611" s="3">
        <v>156587</v>
      </c>
      <c r="F611" s="3">
        <v>155084</v>
      </c>
      <c r="G611" s="57">
        <v>-9.5984979596007332E-3</v>
      </c>
      <c r="H611" s="19"/>
      <c r="I611" s="19"/>
      <c r="J611" s="5" t="s">
        <v>3307</v>
      </c>
    </row>
    <row r="612" spans="1:10" ht="26.25" x14ac:dyDescent="0.25">
      <c r="A612" s="1" t="s">
        <v>25</v>
      </c>
      <c r="B612" s="2" t="s">
        <v>214</v>
      </c>
      <c r="C612" s="5"/>
      <c r="D612" s="15" t="s">
        <v>1321</v>
      </c>
      <c r="E612" s="9">
        <v>87000</v>
      </c>
      <c r="F612" s="9">
        <v>155000</v>
      </c>
      <c r="G612" s="57">
        <v>0.7816091954022989</v>
      </c>
      <c r="H612" s="19"/>
      <c r="I612" s="19"/>
      <c r="J612" s="5" t="s">
        <v>3318</v>
      </c>
    </row>
    <row r="613" spans="1:10" ht="26.25" x14ac:dyDescent="0.25">
      <c r="A613" s="13" t="s">
        <v>4</v>
      </c>
      <c r="B613" s="2" t="s">
        <v>250</v>
      </c>
      <c r="C613" s="5"/>
      <c r="D613" s="5" t="s">
        <v>520</v>
      </c>
      <c r="E613" s="3">
        <v>74158</v>
      </c>
      <c r="F613" s="3">
        <v>154903</v>
      </c>
      <c r="G613" s="57">
        <v>1.0888238625637152</v>
      </c>
      <c r="H613" s="19"/>
      <c r="I613" s="19"/>
      <c r="J613" s="5" t="s">
        <v>3120</v>
      </c>
    </row>
    <row r="614" spans="1:10" ht="26.25" x14ac:dyDescent="0.25">
      <c r="A614" s="1" t="s">
        <v>4</v>
      </c>
      <c r="B614" s="12" t="s">
        <v>56</v>
      </c>
      <c r="C614" s="13"/>
      <c r="D614" s="7" t="s">
        <v>1852</v>
      </c>
      <c r="E614" s="6">
        <v>110500</v>
      </c>
      <c r="F614" s="6">
        <v>154800</v>
      </c>
      <c r="G614" s="57">
        <v>0.40090497737556563</v>
      </c>
      <c r="H614" s="21"/>
      <c r="I614" s="21"/>
      <c r="J614" s="7" t="s">
        <v>3760</v>
      </c>
    </row>
    <row r="615" spans="1:10" ht="26.25" x14ac:dyDescent="0.25">
      <c r="A615" s="1" t="s">
        <v>34</v>
      </c>
      <c r="B615" s="2" t="s">
        <v>170</v>
      </c>
      <c r="C615" s="5"/>
      <c r="D615" s="5" t="s">
        <v>1549</v>
      </c>
      <c r="E615" s="3">
        <v>145310</v>
      </c>
      <c r="F615" s="3">
        <v>154715</v>
      </c>
      <c r="G615" s="57">
        <v>6.4723694171082508E-2</v>
      </c>
      <c r="H615" s="19"/>
      <c r="I615" s="19"/>
      <c r="J615" s="5" t="s">
        <v>4068</v>
      </c>
    </row>
    <row r="616" spans="1:10" ht="26.25" x14ac:dyDescent="0.25">
      <c r="A616" s="1" t="s">
        <v>20</v>
      </c>
      <c r="B616" s="2" t="s">
        <v>263</v>
      </c>
      <c r="C616" s="5" t="s">
        <v>1155</v>
      </c>
      <c r="D616" s="5" t="s">
        <v>1156</v>
      </c>
      <c r="E616" s="3">
        <v>149800</v>
      </c>
      <c r="F616" s="3">
        <v>154600</v>
      </c>
      <c r="G616" s="57">
        <v>3.2042723631508681E-2</v>
      </c>
      <c r="H616" s="19"/>
      <c r="I616" s="19"/>
      <c r="J616" s="5" t="s">
        <v>3075</v>
      </c>
    </row>
    <row r="617" spans="1:10" ht="26.25" x14ac:dyDescent="0.25">
      <c r="A617" s="1" t="s">
        <v>44</v>
      </c>
      <c r="B617" s="2" t="s">
        <v>254</v>
      </c>
      <c r="C617" s="5" t="s">
        <v>1182</v>
      </c>
      <c r="D617" s="5" t="s">
        <v>450</v>
      </c>
      <c r="E617" s="3">
        <v>75601</v>
      </c>
      <c r="F617" s="3">
        <v>154525</v>
      </c>
      <c r="G617" s="57">
        <v>1.0439544450470233</v>
      </c>
      <c r="H617" s="19"/>
      <c r="I617" s="19"/>
      <c r="J617" s="5" t="s">
        <v>3109</v>
      </c>
    </row>
    <row r="618" spans="1:10" ht="26.25" x14ac:dyDescent="0.25">
      <c r="A618" s="1" t="s">
        <v>25</v>
      </c>
      <c r="B618" s="12" t="s">
        <v>59</v>
      </c>
      <c r="C618" s="13"/>
      <c r="D618" s="7" t="s">
        <v>1797</v>
      </c>
      <c r="E618" s="6">
        <v>153934</v>
      </c>
      <c r="F618" s="6">
        <v>154455</v>
      </c>
      <c r="G618" s="57">
        <v>3.3845674120077437E-3</v>
      </c>
      <c r="H618" s="21"/>
      <c r="I618" s="21"/>
      <c r="J618" s="7" t="s">
        <v>3764</v>
      </c>
    </row>
    <row r="619" spans="1:10" ht="26.25" x14ac:dyDescent="0.25">
      <c r="A619" s="1" t="s">
        <v>20</v>
      </c>
      <c r="B619" s="2" t="s">
        <v>212</v>
      </c>
      <c r="C619" s="5"/>
      <c r="D619" s="5" t="s">
        <v>1140</v>
      </c>
      <c r="E619" s="9">
        <v>78528</v>
      </c>
      <c r="F619" s="9">
        <v>154377</v>
      </c>
      <c r="G619" s="57">
        <v>0.96588477995110023</v>
      </c>
      <c r="H619" s="19"/>
      <c r="I619" s="19"/>
      <c r="J619" s="5" t="s">
        <v>3348</v>
      </c>
    </row>
    <row r="620" spans="1:10" ht="39" x14ac:dyDescent="0.25">
      <c r="A620" s="1" t="s">
        <v>1</v>
      </c>
      <c r="B620" s="12" t="s">
        <v>420</v>
      </c>
      <c r="C620" s="5" t="s">
        <v>578</v>
      </c>
      <c r="D620" s="5" t="s">
        <v>3601</v>
      </c>
      <c r="E620" s="9">
        <v>130586</v>
      </c>
      <c r="F620" s="9">
        <v>154284</v>
      </c>
      <c r="G620" s="57">
        <v>0.18147427748763267</v>
      </c>
      <c r="H620" s="19"/>
      <c r="I620" s="19"/>
      <c r="J620" s="5" t="s">
        <v>3602</v>
      </c>
    </row>
    <row r="621" spans="1:10" x14ac:dyDescent="0.25">
      <c r="A621" s="1" t="s">
        <v>25</v>
      </c>
      <c r="B621" s="2" t="s">
        <v>59</v>
      </c>
      <c r="C621" s="1"/>
      <c r="D621" s="5" t="s">
        <v>1872</v>
      </c>
      <c r="E621" s="3">
        <v>154201</v>
      </c>
      <c r="F621" s="3">
        <v>154138</v>
      </c>
      <c r="G621" s="57">
        <v>-4.085576617531663E-4</v>
      </c>
      <c r="H621" s="19"/>
      <c r="I621" s="19"/>
      <c r="J621" s="5" t="s">
        <v>1873</v>
      </c>
    </row>
    <row r="622" spans="1:10" ht="26.25" x14ac:dyDescent="0.25">
      <c r="A622" s="1" t="s">
        <v>25</v>
      </c>
      <c r="B622" s="2" t="s">
        <v>174</v>
      </c>
      <c r="C622" s="5" t="s">
        <v>1522</v>
      </c>
      <c r="D622" s="5" t="s">
        <v>886</v>
      </c>
      <c r="E622" s="9">
        <v>154479</v>
      </c>
      <c r="F622" s="9">
        <v>154029</v>
      </c>
      <c r="G622" s="57">
        <v>-2.9130173033227818E-3</v>
      </c>
      <c r="H622" s="19"/>
      <c r="I622" s="19"/>
      <c r="J622" s="5" t="s">
        <v>3585</v>
      </c>
    </row>
    <row r="623" spans="1:10" ht="26.25" x14ac:dyDescent="0.25">
      <c r="A623" s="1" t="s">
        <v>25</v>
      </c>
      <c r="B623" s="2" t="s">
        <v>93</v>
      </c>
      <c r="C623" s="1"/>
      <c r="D623" s="5" t="s">
        <v>2230</v>
      </c>
      <c r="E623" s="3">
        <v>153000</v>
      </c>
      <c r="F623" s="3">
        <v>154000</v>
      </c>
      <c r="G623" s="57">
        <v>6.5359477124183009E-3</v>
      </c>
      <c r="H623" s="19"/>
      <c r="I623" s="19"/>
      <c r="J623" s="5" t="s">
        <v>3841</v>
      </c>
    </row>
    <row r="624" spans="1:10" ht="26.25" x14ac:dyDescent="0.25">
      <c r="A624" s="1" t="s">
        <v>25</v>
      </c>
      <c r="B624" s="2" t="s">
        <v>208</v>
      </c>
      <c r="C624" s="5"/>
      <c r="D624" s="5" t="s">
        <v>1376</v>
      </c>
      <c r="E624" s="9">
        <v>148615</v>
      </c>
      <c r="F624" s="9">
        <v>153931</v>
      </c>
      <c r="G624" s="57">
        <v>3.5770278908589311E-2</v>
      </c>
      <c r="H624" s="19"/>
      <c r="I624" s="19"/>
      <c r="J624" s="5" t="s">
        <v>3381</v>
      </c>
    </row>
    <row r="625" spans="1:10" ht="26.25" x14ac:dyDescent="0.25">
      <c r="A625" s="1" t="s">
        <v>28</v>
      </c>
      <c r="B625" s="2" t="s">
        <v>279</v>
      </c>
      <c r="C625" s="5"/>
      <c r="D625" s="5" t="s">
        <v>1089</v>
      </c>
      <c r="E625" s="3">
        <v>153977</v>
      </c>
      <c r="F625" s="3">
        <v>153903</v>
      </c>
      <c r="G625" s="57">
        <v>-4.8059125713580602E-4</v>
      </c>
      <c r="H625" s="19"/>
      <c r="I625" s="19"/>
      <c r="J625" s="5" t="s">
        <v>3005</v>
      </c>
    </row>
    <row r="626" spans="1:10" x14ac:dyDescent="0.25">
      <c r="A626" s="1" t="s">
        <v>25</v>
      </c>
      <c r="B626" s="2" t="s">
        <v>243</v>
      </c>
      <c r="C626" s="5" t="s">
        <v>1202</v>
      </c>
      <c r="D626" s="5" t="s">
        <v>452</v>
      </c>
      <c r="E626" s="3">
        <v>157560</v>
      </c>
      <c r="F626" s="3">
        <v>153900</v>
      </c>
      <c r="G626" s="57">
        <v>-2.3229246001523228E-2</v>
      </c>
      <c r="H626" s="19"/>
      <c r="I626" s="19"/>
      <c r="J626" s="5" t="s">
        <v>3157</v>
      </c>
    </row>
    <row r="627" spans="1:10" ht="26.25" x14ac:dyDescent="0.25">
      <c r="A627" s="1" t="s">
        <v>25</v>
      </c>
      <c r="B627" s="2" t="s">
        <v>304</v>
      </c>
      <c r="C627" s="5"/>
      <c r="D627" s="5" t="s">
        <v>524</v>
      </c>
      <c r="E627" s="3">
        <v>156873</v>
      </c>
      <c r="F627" s="3">
        <v>153817</v>
      </c>
      <c r="G627" s="57">
        <v>-1.9480726447508496E-2</v>
      </c>
      <c r="H627" s="19"/>
      <c r="I627" s="19"/>
      <c r="J627" s="7" t="s">
        <v>2845</v>
      </c>
    </row>
    <row r="628" spans="1:10" ht="26.25" x14ac:dyDescent="0.25">
      <c r="A628" s="1" t="s">
        <v>25</v>
      </c>
      <c r="B628" s="2" t="s">
        <v>304</v>
      </c>
      <c r="C628" s="5"/>
      <c r="D628" s="5" t="s">
        <v>970</v>
      </c>
      <c r="E628" s="3">
        <v>152457</v>
      </c>
      <c r="F628" s="3">
        <v>153817</v>
      </c>
      <c r="G628" s="57">
        <v>8.9205480889693479E-3</v>
      </c>
      <c r="H628" s="19"/>
      <c r="I628" s="19"/>
      <c r="J628" s="5" t="s">
        <v>2845</v>
      </c>
    </row>
    <row r="629" spans="1:10" ht="39" x14ac:dyDescent="0.25">
      <c r="A629" s="1" t="s">
        <v>4</v>
      </c>
      <c r="B629" s="2" t="s">
        <v>385</v>
      </c>
      <c r="C629" s="5" t="s">
        <v>697</v>
      </c>
      <c r="D629" s="5" t="s">
        <v>450</v>
      </c>
      <c r="E629" s="3">
        <v>152837</v>
      </c>
      <c r="F629" s="3">
        <v>153775</v>
      </c>
      <c r="G629" s="57">
        <v>6.1372573395185722E-3</v>
      </c>
      <c r="H629" s="19"/>
      <c r="I629" s="19"/>
      <c r="J629" s="5" t="s">
        <v>2492</v>
      </c>
    </row>
    <row r="630" spans="1:10" ht="26.25" x14ac:dyDescent="0.25">
      <c r="A630" s="1" t="s">
        <v>4</v>
      </c>
      <c r="B630" s="2" t="s">
        <v>239</v>
      </c>
      <c r="C630" s="5"/>
      <c r="D630" s="5" t="s">
        <v>1214</v>
      </c>
      <c r="E630" s="3">
        <v>147219</v>
      </c>
      <c r="F630" s="3">
        <v>153708</v>
      </c>
      <c r="G630" s="57">
        <v>4.4077191123428359E-2</v>
      </c>
      <c r="H630" s="19"/>
      <c r="I630" s="19"/>
      <c r="J630" s="5" t="s">
        <v>3174</v>
      </c>
    </row>
    <row r="631" spans="1:10" ht="26.25" x14ac:dyDescent="0.25">
      <c r="A631" s="1" t="s">
        <v>4</v>
      </c>
      <c r="B631" s="12" t="s">
        <v>412</v>
      </c>
      <c r="C631" s="5"/>
      <c r="D631" s="5" t="s">
        <v>450</v>
      </c>
      <c r="E631" s="3">
        <v>154386</v>
      </c>
      <c r="F631" s="3">
        <v>153673</v>
      </c>
      <c r="G631" s="57">
        <v>-4.6182944049330899E-3</v>
      </c>
      <c r="H631" s="19"/>
      <c r="I631" s="19"/>
      <c r="J631" s="5" t="s">
        <v>2374</v>
      </c>
    </row>
    <row r="632" spans="1:10" ht="26.25" x14ac:dyDescent="0.25">
      <c r="A632" s="1" t="s">
        <v>6</v>
      </c>
      <c r="B632" s="2" t="s">
        <v>383</v>
      </c>
      <c r="C632" s="5"/>
      <c r="D632" s="5" t="s">
        <v>702</v>
      </c>
      <c r="E632" s="3">
        <v>150316</v>
      </c>
      <c r="F632" s="3">
        <v>153668</v>
      </c>
      <c r="G632" s="57">
        <v>2.229968865589824E-2</v>
      </c>
      <c r="H632" s="19"/>
      <c r="I632" s="19"/>
      <c r="J632" s="5" t="s">
        <v>2499</v>
      </c>
    </row>
    <row r="633" spans="1:10" ht="26.25" x14ac:dyDescent="0.25">
      <c r="A633" s="1" t="s">
        <v>20</v>
      </c>
      <c r="B633" s="2" t="s">
        <v>109</v>
      </c>
      <c r="C633" s="1"/>
      <c r="D633" s="5" t="s">
        <v>450</v>
      </c>
      <c r="E633" s="3">
        <v>151152</v>
      </c>
      <c r="F633" s="3">
        <v>153528</v>
      </c>
      <c r="G633" s="57">
        <v>1.571927596062242E-2</v>
      </c>
      <c r="H633" s="19"/>
      <c r="I633" s="19"/>
      <c r="J633" s="5" t="s">
        <v>3876</v>
      </c>
    </row>
    <row r="634" spans="1:10" ht="39" x14ac:dyDescent="0.25">
      <c r="A634" s="1" t="s">
        <v>4</v>
      </c>
      <c r="B634" s="2" t="s">
        <v>356</v>
      </c>
      <c r="C634" s="5" t="s">
        <v>824</v>
      </c>
      <c r="D634" s="5" t="s">
        <v>825</v>
      </c>
      <c r="E634" s="3">
        <v>149481</v>
      </c>
      <c r="F634" s="3">
        <v>153471</v>
      </c>
      <c r="G634" s="57">
        <v>2.6692355550203706E-2</v>
      </c>
      <c r="H634" s="19"/>
      <c r="I634" s="19"/>
      <c r="J634" s="5" t="s">
        <v>2650</v>
      </c>
    </row>
    <row r="635" spans="1:10" x14ac:dyDescent="0.25">
      <c r="A635" s="1" t="s">
        <v>6</v>
      </c>
      <c r="B635" s="2" t="s">
        <v>46</v>
      </c>
      <c r="C635" s="1"/>
      <c r="D635" s="5" t="s">
        <v>854</v>
      </c>
      <c r="E635" s="3">
        <v>151039</v>
      </c>
      <c r="F635" s="3">
        <v>153435</v>
      </c>
      <c r="G635" s="57">
        <v>1.5863452485781818E-2</v>
      </c>
      <c r="H635" s="19"/>
      <c r="I635" s="19"/>
      <c r="J635" s="5" t="s">
        <v>1794</v>
      </c>
    </row>
    <row r="636" spans="1:10" ht="26.25" x14ac:dyDescent="0.25">
      <c r="A636" s="1" t="s">
        <v>25</v>
      </c>
      <c r="B636" s="2" t="s">
        <v>243</v>
      </c>
      <c r="C636" s="5" t="s">
        <v>1207</v>
      </c>
      <c r="D636" s="5" t="s">
        <v>1208</v>
      </c>
      <c r="E636" s="3">
        <v>107202</v>
      </c>
      <c r="F636" s="3">
        <v>153393</v>
      </c>
      <c r="G636" s="57">
        <v>0.43087815525829742</v>
      </c>
      <c r="H636" s="19"/>
      <c r="I636" s="19"/>
      <c r="J636" s="5" t="s">
        <v>3160</v>
      </c>
    </row>
    <row r="637" spans="1:10" ht="39" x14ac:dyDescent="0.25">
      <c r="A637" s="1" t="s">
        <v>25</v>
      </c>
      <c r="B637" s="2" t="s">
        <v>209</v>
      </c>
      <c r="C637" s="5" t="s">
        <v>1363</v>
      </c>
      <c r="D637" s="5" t="s">
        <v>1364</v>
      </c>
      <c r="E637" s="9">
        <v>149738</v>
      </c>
      <c r="F637" s="9">
        <v>153383</v>
      </c>
      <c r="G637" s="57">
        <v>2.4342518265236614E-2</v>
      </c>
      <c r="H637" s="19"/>
      <c r="I637" s="19"/>
      <c r="J637" s="5" t="s">
        <v>3372</v>
      </c>
    </row>
    <row r="638" spans="1:10" ht="26.25" x14ac:dyDescent="0.25">
      <c r="A638" s="1" t="s">
        <v>6</v>
      </c>
      <c r="B638" s="2" t="s">
        <v>426</v>
      </c>
      <c r="C638" s="5" t="s">
        <v>533</v>
      </c>
      <c r="D638" s="5" t="s">
        <v>529</v>
      </c>
      <c r="E638" s="3">
        <v>148048</v>
      </c>
      <c r="F638" s="3">
        <v>153326</v>
      </c>
      <c r="G638" s="57">
        <v>3.5650599805468496E-2</v>
      </c>
      <c r="H638" s="19"/>
      <c r="I638" s="19"/>
      <c r="J638" s="5" t="s">
        <v>2324</v>
      </c>
    </row>
    <row r="639" spans="1:10" ht="26.25" x14ac:dyDescent="0.25">
      <c r="A639" s="1" t="s">
        <v>4</v>
      </c>
      <c r="B639" s="2" t="s">
        <v>144</v>
      </c>
      <c r="C639" s="1"/>
      <c r="D639" s="5" t="s">
        <v>1643</v>
      </c>
      <c r="E639" s="3">
        <v>145378</v>
      </c>
      <c r="F639" s="3">
        <v>153306</v>
      </c>
      <c r="G639" s="57">
        <v>5.4533698358761297E-2</v>
      </c>
      <c r="H639" s="19"/>
      <c r="I639" s="19"/>
      <c r="J639" s="5" t="s">
        <v>3988</v>
      </c>
    </row>
    <row r="640" spans="1:10" ht="26.25" x14ac:dyDescent="0.25">
      <c r="A640" s="1" t="s">
        <v>28</v>
      </c>
      <c r="B640" s="2" t="s">
        <v>120</v>
      </c>
      <c r="C640" s="1"/>
      <c r="D640" s="5" t="s">
        <v>764</v>
      </c>
      <c r="E640" s="3">
        <v>25484</v>
      </c>
      <c r="F640" s="3">
        <v>153163</v>
      </c>
      <c r="G640" s="57">
        <v>5.010163239679799</v>
      </c>
      <c r="H640" s="19"/>
      <c r="I640" s="19"/>
      <c r="J640" s="5" t="s">
        <v>3916</v>
      </c>
    </row>
    <row r="641" spans="1:10" ht="26.25" x14ac:dyDescent="0.25">
      <c r="A641" s="1" t="s">
        <v>4</v>
      </c>
      <c r="B641" s="2" t="s">
        <v>172</v>
      </c>
      <c r="C641" s="5"/>
      <c r="D641" s="5" t="s">
        <v>450</v>
      </c>
      <c r="E641" s="9">
        <v>147962</v>
      </c>
      <c r="F641" s="9">
        <v>153140</v>
      </c>
      <c r="G641" s="57">
        <v>3.4995471810329679E-2</v>
      </c>
      <c r="H641" s="19"/>
      <c r="I641" s="19"/>
      <c r="J641" s="5" t="s">
        <v>3594</v>
      </c>
    </row>
    <row r="642" spans="1:10" ht="26.25" x14ac:dyDescent="0.25">
      <c r="A642" s="1" t="s">
        <v>111</v>
      </c>
      <c r="B642" s="2" t="s">
        <v>128</v>
      </c>
      <c r="C642" s="1"/>
      <c r="D642" s="5" t="s">
        <v>2102</v>
      </c>
      <c r="E642" s="3">
        <v>149129</v>
      </c>
      <c r="F642" s="3">
        <v>153081</v>
      </c>
      <c r="G642" s="57">
        <v>2.6500546506715662E-2</v>
      </c>
      <c r="H642" s="19"/>
      <c r="I642" s="19"/>
      <c r="J642" s="5" t="s">
        <v>3942</v>
      </c>
    </row>
    <row r="643" spans="1:10" ht="26.25" x14ac:dyDescent="0.25">
      <c r="A643" s="1" t="s">
        <v>28</v>
      </c>
      <c r="B643" s="2" t="s">
        <v>142</v>
      </c>
      <c r="C643" s="1"/>
      <c r="D643" s="5" t="s">
        <v>1647</v>
      </c>
      <c r="E643" s="3">
        <v>152000</v>
      </c>
      <c r="F643" s="3">
        <v>153000</v>
      </c>
      <c r="G643" s="57">
        <v>6.5789473684210523E-3</v>
      </c>
      <c r="H643" s="19"/>
      <c r="I643" s="19"/>
      <c r="J643" s="5" t="s">
        <v>3980</v>
      </c>
    </row>
    <row r="644" spans="1:10" ht="26.25" x14ac:dyDescent="0.25">
      <c r="A644" s="1" t="s">
        <v>25</v>
      </c>
      <c r="B644" s="2" t="s">
        <v>214</v>
      </c>
      <c r="C644" s="5"/>
      <c r="D644" s="15" t="s">
        <v>942</v>
      </c>
      <c r="E644" s="9">
        <v>150000</v>
      </c>
      <c r="F644" s="9">
        <v>153000</v>
      </c>
      <c r="G644" s="57">
        <v>0.02</v>
      </c>
      <c r="H644" s="19"/>
      <c r="I644" s="19"/>
      <c r="J644" s="5" t="s">
        <v>3317</v>
      </c>
    </row>
    <row r="645" spans="1:10" ht="26.25" x14ac:dyDescent="0.25">
      <c r="A645" s="1" t="s">
        <v>25</v>
      </c>
      <c r="B645" s="2" t="s">
        <v>214</v>
      </c>
      <c r="C645" s="5"/>
      <c r="D645" s="15" t="s">
        <v>1322</v>
      </c>
      <c r="E645" s="9">
        <v>150000</v>
      </c>
      <c r="F645" s="9">
        <v>153000</v>
      </c>
      <c r="G645" s="57">
        <v>0.02</v>
      </c>
      <c r="H645" s="19"/>
      <c r="I645" s="19"/>
      <c r="J645" s="5" t="s">
        <v>3317</v>
      </c>
    </row>
    <row r="646" spans="1:10" ht="26.25" x14ac:dyDescent="0.25">
      <c r="A646" s="1" t="s">
        <v>6</v>
      </c>
      <c r="B646" s="2" t="s">
        <v>288</v>
      </c>
      <c r="C646" s="5"/>
      <c r="D646" s="5" t="s">
        <v>1040</v>
      </c>
      <c r="E646" s="3">
        <v>155000</v>
      </c>
      <c r="F646" s="3">
        <v>153000</v>
      </c>
      <c r="G646" s="57">
        <v>-1.2903225806451613E-2</v>
      </c>
      <c r="H646" s="19"/>
      <c r="I646" s="19"/>
      <c r="J646" s="5" t="s">
        <v>2951</v>
      </c>
    </row>
    <row r="647" spans="1:10" ht="26.25" x14ac:dyDescent="0.25">
      <c r="A647" s="1" t="s">
        <v>28</v>
      </c>
      <c r="B647" s="2" t="s">
        <v>269</v>
      </c>
      <c r="C647" s="5"/>
      <c r="D647" s="5" t="s">
        <v>455</v>
      </c>
      <c r="E647" s="3">
        <v>151936</v>
      </c>
      <c r="F647" s="3">
        <v>152970</v>
      </c>
      <c r="G647" s="57">
        <v>6.8054970513900586E-3</v>
      </c>
      <c r="H647" s="19"/>
      <c r="I647" s="19"/>
      <c r="J647" s="5" t="s">
        <v>3059</v>
      </c>
    </row>
    <row r="648" spans="1:10" ht="26.25" x14ac:dyDescent="0.25">
      <c r="A648" s="1" t="s">
        <v>4</v>
      </c>
      <c r="B648" s="2" t="s">
        <v>292</v>
      </c>
      <c r="C648" s="5"/>
      <c r="D648" s="5" t="s">
        <v>1018</v>
      </c>
      <c r="E648" s="9">
        <v>152935</v>
      </c>
      <c r="F648" s="3">
        <v>152935</v>
      </c>
      <c r="G648" s="57">
        <v>0</v>
      </c>
      <c r="H648" s="19"/>
      <c r="I648" s="19"/>
      <c r="J648" s="5" t="s">
        <v>2912</v>
      </c>
    </row>
    <row r="649" spans="1:10" ht="26.25" x14ac:dyDescent="0.25">
      <c r="A649" s="1" t="s">
        <v>4</v>
      </c>
      <c r="B649" s="2" t="s">
        <v>292</v>
      </c>
      <c r="C649" s="5"/>
      <c r="D649" s="5" t="s">
        <v>1020</v>
      </c>
      <c r="E649" s="9">
        <v>152935</v>
      </c>
      <c r="F649" s="3">
        <v>152935</v>
      </c>
      <c r="G649" s="57">
        <v>0</v>
      </c>
      <c r="H649" s="19"/>
      <c r="I649" s="19"/>
      <c r="J649" s="5" t="s">
        <v>2912</v>
      </c>
    </row>
    <row r="650" spans="1:10" ht="26.25" x14ac:dyDescent="0.25">
      <c r="A650" s="1" t="s">
        <v>6</v>
      </c>
      <c r="B650" s="12" t="s">
        <v>86</v>
      </c>
      <c r="C650" s="13"/>
      <c r="D650" s="7" t="s">
        <v>4611</v>
      </c>
      <c r="E650" s="6">
        <v>152436</v>
      </c>
      <c r="F650" s="6">
        <v>152585</v>
      </c>
      <c r="G650" s="57">
        <v>9.77459392794353E-4</v>
      </c>
      <c r="H650" s="21"/>
      <c r="I650" s="21"/>
      <c r="J650" s="7" t="s">
        <v>3827</v>
      </c>
    </row>
    <row r="651" spans="1:10" ht="39" x14ac:dyDescent="0.25">
      <c r="A651" s="13" t="s">
        <v>25</v>
      </c>
      <c r="B651" s="12" t="s">
        <v>37</v>
      </c>
      <c r="C651" s="13"/>
      <c r="D651" s="7" t="s">
        <v>1761</v>
      </c>
      <c r="E651" s="36">
        <v>140629</v>
      </c>
      <c r="F651" s="36">
        <v>152561</v>
      </c>
      <c r="G651" s="57">
        <v>8.4847364341636505E-2</v>
      </c>
      <c r="H651" s="21"/>
      <c r="I651" s="21"/>
      <c r="J651" s="7" t="s">
        <v>3700</v>
      </c>
    </row>
    <row r="652" spans="1:10" x14ac:dyDescent="0.25">
      <c r="A652" s="1" t="s">
        <v>8</v>
      </c>
      <c r="B652" s="2" t="s">
        <v>115</v>
      </c>
      <c r="C652" s="1"/>
      <c r="D652" s="5" t="s">
        <v>464</v>
      </c>
      <c r="E652" s="3" t="s">
        <v>465</v>
      </c>
      <c r="F652" s="3">
        <v>152500</v>
      </c>
      <c r="G652" s="57" t="s">
        <v>465</v>
      </c>
      <c r="H652" s="19"/>
      <c r="I652" s="19"/>
      <c r="J652" s="1"/>
    </row>
    <row r="653" spans="1:10" x14ac:dyDescent="0.25">
      <c r="A653" s="1" t="s">
        <v>4</v>
      </c>
      <c r="B653" s="2" t="s">
        <v>144</v>
      </c>
      <c r="C653" s="1"/>
      <c r="D653" s="5" t="s">
        <v>464</v>
      </c>
      <c r="E653" s="3" t="s">
        <v>465</v>
      </c>
      <c r="F653" s="3">
        <v>152500</v>
      </c>
      <c r="G653" s="57" t="s">
        <v>465</v>
      </c>
      <c r="H653" s="19"/>
      <c r="I653" s="19"/>
      <c r="J653" s="5"/>
    </row>
    <row r="654" spans="1:10" x14ac:dyDescent="0.25">
      <c r="A654" s="1" t="s">
        <v>20</v>
      </c>
      <c r="B654" s="2" t="s">
        <v>154</v>
      </c>
      <c r="C654" s="1"/>
      <c r="D654" s="5" t="s">
        <v>464</v>
      </c>
      <c r="E654" s="3" t="s">
        <v>465</v>
      </c>
      <c r="F654" s="3">
        <v>152500</v>
      </c>
      <c r="G654" s="57" t="s">
        <v>465</v>
      </c>
      <c r="H654" s="19"/>
      <c r="I654" s="19"/>
      <c r="J654" s="1"/>
    </row>
    <row r="655" spans="1:10" x14ac:dyDescent="0.25">
      <c r="A655" s="1" t="s">
        <v>25</v>
      </c>
      <c r="B655" s="2" t="s">
        <v>178</v>
      </c>
      <c r="C655" s="5"/>
      <c r="D655" s="5" t="s">
        <v>464</v>
      </c>
      <c r="E655" s="3" t="s">
        <v>465</v>
      </c>
      <c r="F655" s="3">
        <v>152500</v>
      </c>
      <c r="G655" s="57" t="s">
        <v>465</v>
      </c>
      <c r="H655" s="19"/>
      <c r="I655" s="19"/>
      <c r="J655" s="5"/>
    </row>
    <row r="656" spans="1:10" x14ac:dyDescent="0.25">
      <c r="A656" s="1" t="s">
        <v>4</v>
      </c>
      <c r="B656" s="2" t="s">
        <v>210</v>
      </c>
      <c r="C656" s="5"/>
      <c r="D656" s="5" t="s">
        <v>464</v>
      </c>
      <c r="E656" s="3" t="s">
        <v>465</v>
      </c>
      <c r="F656" s="3">
        <v>152500</v>
      </c>
      <c r="G656" s="57" t="s">
        <v>465</v>
      </c>
      <c r="H656" s="4"/>
      <c r="I656" s="4"/>
      <c r="J656" s="1"/>
    </row>
    <row r="657" spans="1:10" x14ac:dyDescent="0.25">
      <c r="A657" s="1" t="s">
        <v>8</v>
      </c>
      <c r="B657" s="2" t="s">
        <v>285</v>
      </c>
      <c r="C657" s="5"/>
      <c r="D657" s="5" t="s">
        <v>464</v>
      </c>
      <c r="E657" s="3" t="s">
        <v>465</v>
      </c>
      <c r="F657" s="3">
        <v>152500</v>
      </c>
      <c r="G657" s="57" t="s">
        <v>465</v>
      </c>
      <c r="H657" s="19"/>
      <c r="I657" s="19"/>
      <c r="J657" s="5"/>
    </row>
    <row r="658" spans="1:10" x14ac:dyDescent="0.25">
      <c r="A658" s="1" t="s">
        <v>8</v>
      </c>
      <c r="B658" s="2" t="s">
        <v>285</v>
      </c>
      <c r="C658" s="5"/>
      <c r="D658" s="5" t="s">
        <v>464</v>
      </c>
      <c r="E658" s="3" t="s">
        <v>465</v>
      </c>
      <c r="F658" s="3">
        <v>152500</v>
      </c>
      <c r="G658" s="57" t="s">
        <v>465</v>
      </c>
      <c r="H658" s="19"/>
      <c r="I658" s="19"/>
      <c r="J658" s="5"/>
    </row>
    <row r="659" spans="1:10" x14ac:dyDescent="0.25">
      <c r="A659" s="1" t="s">
        <v>44</v>
      </c>
      <c r="B659" s="2" t="s">
        <v>309</v>
      </c>
      <c r="C659" s="5"/>
      <c r="D659" s="5" t="s">
        <v>464</v>
      </c>
      <c r="E659" s="3" t="s">
        <v>465</v>
      </c>
      <c r="F659" s="3">
        <v>152500</v>
      </c>
      <c r="G659" s="57" t="s">
        <v>465</v>
      </c>
      <c r="H659" s="19"/>
      <c r="I659" s="19"/>
      <c r="J659" s="5" t="s">
        <v>539</v>
      </c>
    </row>
    <row r="660" spans="1:10" x14ac:dyDescent="0.25">
      <c r="A660" s="1" t="s">
        <v>39</v>
      </c>
      <c r="B660" s="2" t="s">
        <v>325</v>
      </c>
      <c r="C660" s="5"/>
      <c r="D660" s="5" t="s">
        <v>464</v>
      </c>
      <c r="E660" s="3"/>
      <c r="F660" s="3">
        <v>152500</v>
      </c>
      <c r="G660" s="57" t="s">
        <v>465</v>
      </c>
      <c r="H660" s="19"/>
      <c r="I660" s="19"/>
      <c r="J660" s="5" t="s">
        <v>1241</v>
      </c>
    </row>
    <row r="661" spans="1:10" x14ac:dyDescent="0.25">
      <c r="A661" s="1" t="s">
        <v>39</v>
      </c>
      <c r="B661" s="2" t="s">
        <v>335</v>
      </c>
      <c r="C661" s="5"/>
      <c r="D661" s="7" t="s">
        <v>464</v>
      </c>
      <c r="E661" s="6" t="s">
        <v>465</v>
      </c>
      <c r="F661" s="6">
        <v>152500</v>
      </c>
      <c r="G661" s="57" t="s">
        <v>465</v>
      </c>
      <c r="H661" s="21"/>
      <c r="I661" s="21"/>
      <c r="J661" s="5" t="s">
        <v>2742</v>
      </c>
    </row>
    <row r="662" spans="1:10" x14ac:dyDescent="0.25">
      <c r="A662" s="1" t="s">
        <v>39</v>
      </c>
      <c r="B662" s="2" t="s">
        <v>364</v>
      </c>
      <c r="C662" s="5"/>
      <c r="D662" s="5" t="s">
        <v>464</v>
      </c>
      <c r="E662" s="3" t="s">
        <v>465</v>
      </c>
      <c r="F662" s="3">
        <v>152500</v>
      </c>
      <c r="G662" s="57" t="s">
        <v>465</v>
      </c>
      <c r="H662" s="19"/>
      <c r="I662" s="19"/>
      <c r="J662" s="5" t="s">
        <v>539</v>
      </c>
    </row>
    <row r="663" spans="1:10" x14ac:dyDescent="0.25">
      <c r="A663" s="1" t="s">
        <v>39</v>
      </c>
      <c r="B663" s="2" t="s">
        <v>370</v>
      </c>
      <c r="C663" s="5"/>
      <c r="D663" s="5" t="s">
        <v>464</v>
      </c>
      <c r="E663" s="3" t="s">
        <v>465</v>
      </c>
      <c r="F663" s="3">
        <v>152500</v>
      </c>
      <c r="G663" s="57" t="s">
        <v>465</v>
      </c>
      <c r="H663" s="19"/>
      <c r="I663" s="19"/>
      <c r="J663" s="5" t="s">
        <v>539</v>
      </c>
    </row>
    <row r="664" spans="1:10" x14ac:dyDescent="0.25">
      <c r="A664" s="1" t="s">
        <v>39</v>
      </c>
      <c r="B664" s="2" t="s">
        <v>409</v>
      </c>
      <c r="C664" s="5"/>
      <c r="D664" s="5" t="s">
        <v>587</v>
      </c>
      <c r="E664" s="3" t="s">
        <v>465</v>
      </c>
      <c r="F664" s="3">
        <v>152500</v>
      </c>
      <c r="G664" s="57" t="s">
        <v>465</v>
      </c>
      <c r="H664" s="19"/>
      <c r="I664" s="19"/>
      <c r="J664" s="5" t="s">
        <v>540</v>
      </c>
    </row>
    <row r="665" spans="1:10" ht="39" x14ac:dyDescent="0.25">
      <c r="A665" s="1" t="s">
        <v>28</v>
      </c>
      <c r="B665" s="2" t="s">
        <v>332</v>
      </c>
      <c r="C665" s="5"/>
      <c r="D665" s="5" t="s">
        <v>888</v>
      </c>
      <c r="E665" s="3">
        <v>93299</v>
      </c>
      <c r="F665" s="3">
        <v>152476</v>
      </c>
      <c r="G665" s="57">
        <v>0.63427260742344505</v>
      </c>
      <c r="H665" s="19"/>
      <c r="I665" s="19"/>
      <c r="J665" s="5" t="s">
        <v>2754</v>
      </c>
    </row>
    <row r="666" spans="1:10" ht="39" x14ac:dyDescent="0.25">
      <c r="A666" s="1" t="s">
        <v>39</v>
      </c>
      <c r="B666" s="2" t="s">
        <v>439</v>
      </c>
      <c r="C666" s="5"/>
      <c r="D666" s="5" t="s">
        <v>455</v>
      </c>
      <c r="E666" s="3">
        <v>100974</v>
      </c>
      <c r="F666" s="3">
        <v>152473</v>
      </c>
      <c r="G666" s="57">
        <v>0.51002238199932659</v>
      </c>
      <c r="H666" s="19"/>
      <c r="I666" s="19"/>
      <c r="J666" s="5" t="s">
        <v>4588</v>
      </c>
    </row>
    <row r="667" spans="1:10" ht="26.25" x14ac:dyDescent="0.25">
      <c r="A667" s="1" t="s">
        <v>25</v>
      </c>
      <c r="B667" s="2" t="s">
        <v>26</v>
      </c>
      <c r="C667" s="1"/>
      <c r="D667" s="5" t="s">
        <v>1707</v>
      </c>
      <c r="E667" s="3" t="s">
        <v>465</v>
      </c>
      <c r="F667" s="3">
        <v>152273</v>
      </c>
      <c r="G667" s="57" t="s">
        <v>465</v>
      </c>
      <c r="H667" s="19"/>
      <c r="I667" s="19"/>
      <c r="J667" s="5" t="s">
        <v>3669</v>
      </c>
    </row>
    <row r="668" spans="1:10" ht="39" x14ac:dyDescent="0.25">
      <c r="A668" s="1" t="s">
        <v>4</v>
      </c>
      <c r="B668" s="2" t="s">
        <v>292</v>
      </c>
      <c r="C668" s="5"/>
      <c r="D668" s="5" t="s">
        <v>2931</v>
      </c>
      <c r="E668" s="9">
        <v>89260</v>
      </c>
      <c r="F668" s="3">
        <v>152246</v>
      </c>
      <c r="G668" s="57">
        <v>0.70564642617073714</v>
      </c>
      <c r="H668" s="19"/>
      <c r="I668" s="19"/>
      <c r="J668" s="5" t="s">
        <v>2932</v>
      </c>
    </row>
    <row r="669" spans="1:10" ht="77.25" x14ac:dyDescent="0.25">
      <c r="A669" s="1" t="s">
        <v>25</v>
      </c>
      <c r="B669" s="2" t="s">
        <v>93</v>
      </c>
      <c r="C669" s="1"/>
      <c r="D669" s="5" t="s">
        <v>2228</v>
      </c>
      <c r="E669" s="3">
        <v>149000</v>
      </c>
      <c r="F669" s="3">
        <v>152000</v>
      </c>
      <c r="G669" s="57">
        <v>2.0134228187919462E-2</v>
      </c>
      <c r="H669" s="19"/>
      <c r="I669" s="19"/>
      <c r="J669" s="5" t="s">
        <v>4233</v>
      </c>
    </row>
    <row r="670" spans="1:10" ht="26.25" x14ac:dyDescent="0.25">
      <c r="A670" s="1" t="s">
        <v>34</v>
      </c>
      <c r="B670" s="2" t="s">
        <v>121</v>
      </c>
      <c r="C670" s="1" t="s">
        <v>2143</v>
      </c>
      <c r="D670" s="5" t="s">
        <v>2144</v>
      </c>
      <c r="E670" s="3">
        <v>149000</v>
      </c>
      <c r="F670" s="3">
        <v>152000</v>
      </c>
      <c r="G670" s="57">
        <v>2.0134228187919462E-2</v>
      </c>
      <c r="H670" s="19"/>
      <c r="I670" s="19"/>
      <c r="J670" s="5" t="s">
        <v>3922</v>
      </c>
    </row>
    <row r="671" spans="1:10" ht="26.25" x14ac:dyDescent="0.25">
      <c r="A671" s="1" t="s">
        <v>6</v>
      </c>
      <c r="B671" s="2" t="s">
        <v>368</v>
      </c>
      <c r="C671" s="5"/>
      <c r="D671" s="5" t="s">
        <v>468</v>
      </c>
      <c r="E671" s="3" t="s">
        <v>465</v>
      </c>
      <c r="F671" s="3">
        <v>152000</v>
      </c>
      <c r="G671" s="57" t="s">
        <v>465</v>
      </c>
      <c r="H671" s="19"/>
      <c r="I671" s="19"/>
      <c r="J671" s="5" t="s">
        <v>2571</v>
      </c>
    </row>
    <row r="672" spans="1:10" ht="26.25" x14ac:dyDescent="0.25">
      <c r="A672" s="1" t="s">
        <v>111</v>
      </c>
      <c r="B672" s="2" t="s">
        <v>355</v>
      </c>
      <c r="C672" s="5"/>
      <c r="D672" s="5" t="s">
        <v>833</v>
      </c>
      <c r="E672" s="3">
        <v>121199</v>
      </c>
      <c r="F672" s="3">
        <v>151931</v>
      </c>
      <c r="G672" s="57">
        <v>0.25356644856805749</v>
      </c>
      <c r="H672" s="19"/>
      <c r="I672" s="19"/>
      <c r="J672" s="5" t="s">
        <v>2657</v>
      </c>
    </row>
    <row r="673" spans="1:10" ht="39" x14ac:dyDescent="0.25">
      <c r="A673" s="1" t="s">
        <v>6</v>
      </c>
      <c r="B673" s="2" t="s">
        <v>440</v>
      </c>
      <c r="C673" s="5" t="s">
        <v>467</v>
      </c>
      <c r="D673" s="5" t="s">
        <v>450</v>
      </c>
      <c r="E673" s="6">
        <v>45256</v>
      </c>
      <c r="F673" s="3">
        <v>151798</v>
      </c>
      <c r="G673" s="57">
        <v>2.354207176948913</v>
      </c>
      <c r="H673" s="19"/>
      <c r="I673" s="19"/>
      <c r="J673" s="5" t="s">
        <v>4590</v>
      </c>
    </row>
    <row r="674" spans="1:10" ht="26.25" x14ac:dyDescent="0.25">
      <c r="A674" s="1" t="s">
        <v>1</v>
      </c>
      <c r="B674" s="2" t="s">
        <v>339</v>
      </c>
      <c r="C674" s="5" t="s">
        <v>864</v>
      </c>
      <c r="D674" s="5" t="s">
        <v>450</v>
      </c>
      <c r="E674" s="3">
        <v>149932</v>
      </c>
      <c r="F674" s="3">
        <v>151789</v>
      </c>
      <c r="G674" s="57">
        <v>1.2385614812048128E-2</v>
      </c>
      <c r="H674" s="19"/>
      <c r="I674" s="19"/>
      <c r="J674" s="5" t="s">
        <v>2715</v>
      </c>
    </row>
    <row r="675" spans="1:10" ht="26.25" x14ac:dyDescent="0.25">
      <c r="A675" s="1" t="s">
        <v>39</v>
      </c>
      <c r="B675" s="2" t="s">
        <v>193</v>
      </c>
      <c r="C675" s="5"/>
      <c r="D675" s="5" t="s">
        <v>455</v>
      </c>
      <c r="E675" s="9" t="s">
        <v>465</v>
      </c>
      <c r="F675" s="9">
        <v>151736</v>
      </c>
      <c r="G675" s="57" t="s">
        <v>465</v>
      </c>
      <c r="H675" s="19"/>
      <c r="I675" s="19"/>
      <c r="J675" s="5" t="s">
        <v>3485</v>
      </c>
    </row>
    <row r="676" spans="1:10" ht="26.25" x14ac:dyDescent="0.25">
      <c r="A676" s="1" t="s">
        <v>4</v>
      </c>
      <c r="B676" s="2" t="s">
        <v>423</v>
      </c>
      <c r="C676" s="5" t="s">
        <v>555</v>
      </c>
      <c r="D676" s="5" t="s">
        <v>556</v>
      </c>
      <c r="E676" s="6">
        <v>125165</v>
      </c>
      <c r="F676" s="3">
        <v>151591</v>
      </c>
      <c r="G676" s="57">
        <v>0.21112930931170854</v>
      </c>
      <c r="H676" s="19"/>
      <c r="I676" s="19"/>
      <c r="J676" s="5" t="s">
        <v>2337</v>
      </c>
    </row>
    <row r="677" spans="1:10" ht="26.25" x14ac:dyDescent="0.25">
      <c r="A677" s="1" t="s">
        <v>34</v>
      </c>
      <c r="B677" s="2" t="s">
        <v>427</v>
      </c>
      <c r="C677" s="5"/>
      <c r="D677" s="5" t="s">
        <v>463</v>
      </c>
      <c r="E677" s="3">
        <v>146494</v>
      </c>
      <c r="F677" s="3">
        <v>151530</v>
      </c>
      <c r="G677" s="57">
        <v>3.4376834546124758E-2</v>
      </c>
      <c r="H677" s="19"/>
      <c r="I677" s="19"/>
      <c r="J677" s="5" t="s">
        <v>2318</v>
      </c>
    </row>
    <row r="678" spans="1:10" ht="51.75" x14ac:dyDescent="0.25">
      <c r="A678" s="1" t="s">
        <v>4</v>
      </c>
      <c r="B678" s="30" t="s">
        <v>4508</v>
      </c>
      <c r="C678" s="5"/>
      <c r="D678" s="5" t="s">
        <v>659</v>
      </c>
      <c r="E678" s="3">
        <v>150805</v>
      </c>
      <c r="F678" s="3">
        <v>151507</v>
      </c>
      <c r="G678" s="57">
        <v>4.6550180696926496E-3</v>
      </c>
      <c r="H678" s="19"/>
      <c r="I678" s="19"/>
      <c r="J678" s="5" t="s">
        <v>4509</v>
      </c>
    </row>
    <row r="679" spans="1:10" ht="39" x14ac:dyDescent="0.25">
      <c r="A679" s="1" t="s">
        <v>39</v>
      </c>
      <c r="B679" s="2" t="s">
        <v>143</v>
      </c>
      <c r="C679" s="1"/>
      <c r="D679" s="5" t="s">
        <v>450</v>
      </c>
      <c r="E679" s="3">
        <v>128535</v>
      </c>
      <c r="F679" s="3">
        <v>151439</v>
      </c>
      <c r="G679" s="57">
        <v>0.17819271015676663</v>
      </c>
      <c r="H679" s="19"/>
      <c r="I679" s="19"/>
      <c r="J679" s="5" t="s">
        <v>3983</v>
      </c>
    </row>
    <row r="680" spans="1:10" ht="39" x14ac:dyDescent="0.25">
      <c r="A680" s="1" t="s">
        <v>6</v>
      </c>
      <c r="B680" s="2" t="s">
        <v>218</v>
      </c>
      <c r="C680" s="5"/>
      <c r="D680" s="5" t="s">
        <v>1298</v>
      </c>
      <c r="E680" s="9">
        <v>146607</v>
      </c>
      <c r="F680" s="9">
        <v>151432</v>
      </c>
      <c r="G680" s="57">
        <v>3.2911116113146031E-2</v>
      </c>
      <c r="H680" s="19"/>
      <c r="I680" s="19"/>
      <c r="J680" s="5" t="s">
        <v>3290</v>
      </c>
    </row>
    <row r="681" spans="1:10" x14ac:dyDescent="0.25">
      <c r="A681" s="1" t="s">
        <v>6</v>
      </c>
      <c r="B681" s="2" t="s">
        <v>86</v>
      </c>
      <c r="C681" s="1"/>
      <c r="D681" s="5" t="s">
        <v>463</v>
      </c>
      <c r="E681" s="6">
        <v>151258</v>
      </c>
      <c r="F681" s="3">
        <v>151363</v>
      </c>
      <c r="G681" s="57">
        <v>6.9417815917174625E-4</v>
      </c>
      <c r="H681" s="19"/>
      <c r="I681" s="19"/>
      <c r="J681" s="5" t="s">
        <v>2034</v>
      </c>
    </row>
    <row r="682" spans="1:10" ht="26.25" x14ac:dyDescent="0.25">
      <c r="A682" s="1" t="s">
        <v>25</v>
      </c>
      <c r="B682" s="2" t="s">
        <v>208</v>
      </c>
      <c r="C682" s="5"/>
      <c r="D682" s="5" t="s">
        <v>1374</v>
      </c>
      <c r="E682" s="9">
        <v>151290</v>
      </c>
      <c r="F682" s="9">
        <v>151290</v>
      </c>
      <c r="G682" s="57">
        <v>0</v>
      </c>
      <c r="H682" s="19"/>
      <c r="I682" s="19"/>
      <c r="J682" s="5" t="s">
        <v>3378</v>
      </c>
    </row>
    <row r="683" spans="1:10" ht="26.25" x14ac:dyDescent="0.25">
      <c r="A683" s="1" t="s">
        <v>34</v>
      </c>
      <c r="B683" s="2" t="s">
        <v>297</v>
      </c>
      <c r="C683" s="5"/>
      <c r="D683" s="5" t="s">
        <v>994</v>
      </c>
      <c r="E683" s="3">
        <v>151169</v>
      </c>
      <c r="F683" s="3">
        <v>151273</v>
      </c>
      <c r="G683" s="57">
        <v>6.8797174023774719E-4</v>
      </c>
      <c r="H683" s="19"/>
      <c r="I683" s="19"/>
      <c r="J683" s="5" t="s">
        <v>2868</v>
      </c>
    </row>
    <row r="684" spans="1:10" ht="26.25" x14ac:dyDescent="0.25">
      <c r="A684" s="1" t="s">
        <v>28</v>
      </c>
      <c r="B684" s="2" t="s">
        <v>50</v>
      </c>
      <c r="C684" s="1"/>
      <c r="D684" s="5" t="s">
        <v>1826</v>
      </c>
      <c r="E684" s="6">
        <v>140040</v>
      </c>
      <c r="F684" s="3">
        <v>151235</v>
      </c>
      <c r="G684" s="57">
        <v>7.9941445301342479E-2</v>
      </c>
      <c r="H684" s="19"/>
      <c r="I684" s="19"/>
      <c r="J684" s="5" t="s">
        <v>1827</v>
      </c>
    </row>
    <row r="685" spans="1:10" ht="26.25" x14ac:dyDescent="0.25">
      <c r="A685" s="1" t="s">
        <v>1</v>
      </c>
      <c r="B685" s="2" t="s">
        <v>348</v>
      </c>
      <c r="C685" s="5" t="s">
        <v>843</v>
      </c>
      <c r="D685" s="5" t="s">
        <v>844</v>
      </c>
      <c r="E685" s="36">
        <v>150651</v>
      </c>
      <c r="F685" s="3">
        <v>151152</v>
      </c>
      <c r="G685" s="57">
        <v>3.3255670390505208E-3</v>
      </c>
      <c r="H685" s="19"/>
      <c r="I685" s="19"/>
      <c r="J685" s="5" t="s">
        <v>2683</v>
      </c>
    </row>
    <row r="686" spans="1:10" ht="26.25" x14ac:dyDescent="0.25">
      <c r="A686" s="1" t="s">
        <v>6</v>
      </c>
      <c r="B686" s="2" t="s">
        <v>288</v>
      </c>
      <c r="C686" s="5"/>
      <c r="D686" s="5" t="s">
        <v>451</v>
      </c>
      <c r="E686" s="3">
        <v>147000</v>
      </c>
      <c r="F686" s="3">
        <v>151000</v>
      </c>
      <c r="G686" s="57">
        <v>2.7210884353741496E-2</v>
      </c>
      <c r="H686" s="19"/>
      <c r="I686" s="19"/>
      <c r="J686" s="5" t="s">
        <v>2952</v>
      </c>
    </row>
    <row r="687" spans="1:10" ht="39" x14ac:dyDescent="0.25">
      <c r="A687" s="1" t="s">
        <v>1</v>
      </c>
      <c r="B687" s="2" t="s">
        <v>196</v>
      </c>
      <c r="C687" s="5" t="s">
        <v>1418</v>
      </c>
      <c r="D687" s="5" t="s">
        <v>1419</v>
      </c>
      <c r="E687" s="6">
        <v>115995</v>
      </c>
      <c r="F687" s="9">
        <v>150979</v>
      </c>
      <c r="G687" s="57">
        <v>0.30159920686236474</v>
      </c>
      <c r="H687" s="19"/>
      <c r="I687" s="19"/>
      <c r="J687" s="5" t="s">
        <v>3459</v>
      </c>
    </row>
    <row r="688" spans="1:10" ht="26.25" x14ac:dyDescent="0.25">
      <c r="A688" s="1" t="s">
        <v>20</v>
      </c>
      <c r="B688" s="2" t="s">
        <v>366</v>
      </c>
      <c r="C688" s="5"/>
      <c r="D688" s="5" t="s">
        <v>450</v>
      </c>
      <c r="E688" s="3">
        <v>142417</v>
      </c>
      <c r="F688" s="3">
        <v>150897</v>
      </c>
      <c r="G688" s="57">
        <v>5.9543453379863359E-2</v>
      </c>
      <c r="H688" s="19"/>
      <c r="I688" s="19"/>
      <c r="J688" s="5" t="s">
        <v>2587</v>
      </c>
    </row>
    <row r="689" spans="1:10" ht="26.25" x14ac:dyDescent="0.25">
      <c r="A689" s="1" t="s">
        <v>8</v>
      </c>
      <c r="B689" s="2" t="s">
        <v>229</v>
      </c>
      <c r="C689" s="5"/>
      <c r="D689" s="5" t="s">
        <v>1251</v>
      </c>
      <c r="E689" s="3">
        <v>150954</v>
      </c>
      <c r="F689" s="3">
        <v>150895</v>
      </c>
      <c r="G689" s="57">
        <v>-3.9084754296010704E-4</v>
      </c>
      <c r="H689" s="19"/>
      <c r="I689" s="19"/>
      <c r="J689" s="5" t="s">
        <v>3232</v>
      </c>
    </row>
    <row r="690" spans="1:10" ht="39" x14ac:dyDescent="0.25">
      <c r="A690" s="1" t="s">
        <v>4</v>
      </c>
      <c r="B690" s="2" t="s">
        <v>423</v>
      </c>
      <c r="C690" s="5"/>
      <c r="D690" s="5" t="s">
        <v>571</v>
      </c>
      <c r="E690" s="6">
        <v>93823</v>
      </c>
      <c r="F690" s="3">
        <v>150894</v>
      </c>
      <c r="G690" s="57">
        <v>0.60828368310542191</v>
      </c>
      <c r="H690" s="19"/>
      <c r="I690" s="19"/>
      <c r="J690" s="5" t="s">
        <v>4562</v>
      </c>
    </row>
    <row r="691" spans="1:10" ht="26.25" x14ac:dyDescent="0.25">
      <c r="A691" s="1" t="s">
        <v>8</v>
      </c>
      <c r="B691" s="2" t="s">
        <v>229</v>
      </c>
      <c r="C691" s="5"/>
      <c r="D691" s="5" t="s">
        <v>1252</v>
      </c>
      <c r="E691" s="3">
        <v>130378</v>
      </c>
      <c r="F691" s="3">
        <v>150802</v>
      </c>
      <c r="G691" s="57">
        <v>0.15665219592262497</v>
      </c>
      <c r="H691" s="19"/>
      <c r="I691" s="19"/>
      <c r="J691" s="5" t="s">
        <v>3231</v>
      </c>
    </row>
    <row r="692" spans="1:10" ht="26.25" x14ac:dyDescent="0.25">
      <c r="A692" s="1" t="s">
        <v>28</v>
      </c>
      <c r="B692" s="2" t="s">
        <v>332</v>
      </c>
      <c r="C692" s="5"/>
      <c r="D692" s="5" t="s">
        <v>886</v>
      </c>
      <c r="E692" s="3">
        <v>150733</v>
      </c>
      <c r="F692" s="3">
        <v>150733</v>
      </c>
      <c r="G692" s="57">
        <v>0</v>
      </c>
      <c r="H692" s="19"/>
      <c r="I692" s="19"/>
      <c r="J692" s="5" t="s">
        <v>2752</v>
      </c>
    </row>
    <row r="693" spans="1:10" ht="39" x14ac:dyDescent="0.25">
      <c r="A693" s="1" t="s">
        <v>4</v>
      </c>
      <c r="B693" s="2" t="s">
        <v>176</v>
      </c>
      <c r="C693" s="5"/>
      <c r="D693" s="5" t="s">
        <v>450</v>
      </c>
      <c r="E693" s="9">
        <v>150345</v>
      </c>
      <c r="F693" s="9">
        <v>150646</v>
      </c>
      <c r="G693" s="57">
        <v>2.0020619242409124E-3</v>
      </c>
      <c r="H693" s="19"/>
      <c r="I693" s="19"/>
      <c r="J693" s="5" t="s">
        <v>4644</v>
      </c>
    </row>
    <row r="694" spans="1:10" ht="26.25" x14ac:dyDescent="0.25">
      <c r="A694" s="1" t="s">
        <v>6</v>
      </c>
      <c r="B694" s="2" t="s">
        <v>108</v>
      </c>
      <c r="C694" s="1" t="s">
        <v>2174</v>
      </c>
      <c r="D694" s="5" t="s">
        <v>2175</v>
      </c>
      <c r="E694" s="6">
        <v>155359</v>
      </c>
      <c r="F694" s="3">
        <v>150641</v>
      </c>
      <c r="G694" s="57">
        <v>-3.0368372607959628E-2</v>
      </c>
      <c r="H694" s="19"/>
      <c r="I694" s="19"/>
      <c r="J694" s="5" t="s">
        <v>3867</v>
      </c>
    </row>
    <row r="695" spans="1:10" ht="26.25" x14ac:dyDescent="0.25">
      <c r="A695" s="1" t="s">
        <v>6</v>
      </c>
      <c r="B695" s="2" t="s">
        <v>108</v>
      </c>
      <c r="C695" s="1" t="s">
        <v>2176</v>
      </c>
      <c r="D695" s="5" t="s">
        <v>2177</v>
      </c>
      <c r="E695" s="6">
        <v>147221</v>
      </c>
      <c r="F695" s="3">
        <v>150545</v>
      </c>
      <c r="G695" s="57">
        <v>2.2578300650043133E-2</v>
      </c>
      <c r="H695" s="19"/>
      <c r="I695" s="19"/>
      <c r="J695" s="5" t="s">
        <v>3868</v>
      </c>
    </row>
    <row r="696" spans="1:10" x14ac:dyDescent="0.25">
      <c r="A696" s="1" t="s">
        <v>6</v>
      </c>
      <c r="B696" s="2" t="s">
        <v>46</v>
      </c>
      <c r="C696" s="1"/>
      <c r="D696" s="5" t="s">
        <v>562</v>
      </c>
      <c r="E696" s="3">
        <v>148101</v>
      </c>
      <c r="F696" s="3">
        <v>150540</v>
      </c>
      <c r="G696" s="57">
        <v>1.6468491097291715E-2</v>
      </c>
      <c r="H696" s="19"/>
      <c r="I696" s="19"/>
      <c r="J696" s="5" t="s">
        <v>1795</v>
      </c>
    </row>
    <row r="697" spans="1:10" x14ac:dyDescent="0.25">
      <c r="A697" s="1" t="s">
        <v>6</v>
      </c>
      <c r="B697" s="2" t="s">
        <v>46</v>
      </c>
      <c r="C697" s="1"/>
      <c r="D697" s="5" t="s">
        <v>1796</v>
      </c>
      <c r="E697" s="3">
        <v>122873</v>
      </c>
      <c r="F697" s="3">
        <v>150540</v>
      </c>
      <c r="G697" s="57">
        <v>0.22516744931758809</v>
      </c>
      <c r="H697" s="19"/>
      <c r="I697" s="19"/>
      <c r="J697" s="5" t="s">
        <v>1795</v>
      </c>
    </row>
    <row r="698" spans="1:10" x14ac:dyDescent="0.25">
      <c r="A698" s="1" t="s">
        <v>6</v>
      </c>
      <c r="B698" s="2" t="s">
        <v>46</v>
      </c>
      <c r="C698" s="1"/>
      <c r="D698" s="5" t="s">
        <v>1797</v>
      </c>
      <c r="E698" s="3">
        <v>148502</v>
      </c>
      <c r="F698" s="3">
        <v>150540</v>
      </c>
      <c r="G698" s="57">
        <v>1.372372089264791E-2</v>
      </c>
      <c r="H698" s="19"/>
      <c r="I698" s="19"/>
      <c r="J698" s="5" t="s">
        <v>1795</v>
      </c>
    </row>
    <row r="699" spans="1:10" ht="26.25" x14ac:dyDescent="0.25">
      <c r="A699" s="1" t="s">
        <v>8</v>
      </c>
      <c r="B699" s="2" t="s">
        <v>229</v>
      </c>
      <c r="C699" s="5"/>
      <c r="D699" s="5" t="s">
        <v>1250</v>
      </c>
      <c r="E699" s="3">
        <v>150567</v>
      </c>
      <c r="F699" s="3">
        <v>150535</v>
      </c>
      <c r="G699" s="57">
        <v>-2.1252997004655736E-4</v>
      </c>
      <c r="H699" s="19"/>
      <c r="I699" s="19"/>
      <c r="J699" s="5" t="s">
        <v>3229</v>
      </c>
    </row>
    <row r="700" spans="1:10" ht="26.25" x14ac:dyDescent="0.25">
      <c r="A700" s="1" t="s">
        <v>34</v>
      </c>
      <c r="B700" s="2" t="s">
        <v>57</v>
      </c>
      <c r="C700" s="1"/>
      <c r="D700" s="5" t="s">
        <v>3762</v>
      </c>
      <c r="E700" s="3">
        <v>144017</v>
      </c>
      <c r="F700" s="3">
        <v>150409</v>
      </c>
      <c r="G700" s="57">
        <v>4.4383649152530603E-2</v>
      </c>
      <c r="H700" s="19"/>
      <c r="I700" s="19"/>
      <c r="J700" s="5" t="s">
        <v>1858</v>
      </c>
    </row>
    <row r="701" spans="1:10" ht="39" x14ac:dyDescent="0.25">
      <c r="A701" s="1" t="s">
        <v>111</v>
      </c>
      <c r="B701" s="2" t="s">
        <v>369</v>
      </c>
      <c r="C701" s="5"/>
      <c r="D701" s="5" t="s">
        <v>768</v>
      </c>
      <c r="E701" s="3">
        <v>148774</v>
      </c>
      <c r="F701" s="3">
        <v>150331</v>
      </c>
      <c r="G701" s="57">
        <v>1.0465538333310927E-2</v>
      </c>
      <c r="H701" s="19"/>
      <c r="I701" s="19"/>
      <c r="J701" s="5" t="s">
        <v>2565</v>
      </c>
    </row>
    <row r="702" spans="1:10" ht="39" x14ac:dyDescent="0.25">
      <c r="A702" s="1" t="s">
        <v>1</v>
      </c>
      <c r="B702" s="2" t="s">
        <v>264</v>
      </c>
      <c r="C702" s="5" t="s">
        <v>1145</v>
      </c>
      <c r="D702" s="5" t="s">
        <v>450</v>
      </c>
      <c r="E702" s="3">
        <v>124404</v>
      </c>
      <c r="F702" s="3">
        <v>150323</v>
      </c>
      <c r="G702" s="57">
        <v>0.20834539082344619</v>
      </c>
      <c r="H702" s="19"/>
      <c r="I702" s="19"/>
      <c r="J702" s="5" t="s">
        <v>3068</v>
      </c>
    </row>
    <row r="703" spans="1:10" ht="26.25" x14ac:dyDescent="0.25">
      <c r="A703" s="1" t="s">
        <v>6</v>
      </c>
      <c r="B703" s="2" t="s">
        <v>216</v>
      </c>
      <c r="C703" s="5"/>
      <c r="D703" s="5" t="s">
        <v>1310</v>
      </c>
      <c r="E703" s="3">
        <v>152607</v>
      </c>
      <c r="F703" s="3">
        <v>150321</v>
      </c>
      <c r="G703" s="57">
        <v>-1.4979653620082958E-2</v>
      </c>
      <c r="H703" s="19"/>
      <c r="I703" s="19"/>
      <c r="J703" s="5" t="s">
        <v>3299</v>
      </c>
    </row>
    <row r="704" spans="1:10" x14ac:dyDescent="0.25">
      <c r="A704" s="1" t="s">
        <v>25</v>
      </c>
      <c r="B704" s="2" t="s">
        <v>192</v>
      </c>
      <c r="C704" s="5"/>
      <c r="D704" s="5" t="s">
        <v>1444</v>
      </c>
      <c r="E704" s="9">
        <v>161824</v>
      </c>
      <c r="F704" s="9">
        <v>150280</v>
      </c>
      <c r="G704" s="57">
        <v>-7.1336760925449869E-2</v>
      </c>
      <c r="H704" s="19"/>
      <c r="I704" s="19"/>
      <c r="J704" s="5" t="s">
        <v>3492</v>
      </c>
    </row>
    <row r="705" spans="1:10" ht="26.25" x14ac:dyDescent="0.25">
      <c r="A705" s="1" t="s">
        <v>25</v>
      </c>
      <c r="B705" s="2" t="s">
        <v>192</v>
      </c>
      <c r="C705" s="5"/>
      <c r="D705" s="5" t="s">
        <v>1445</v>
      </c>
      <c r="E705" s="9">
        <v>85472</v>
      </c>
      <c r="F705" s="9">
        <v>150280</v>
      </c>
      <c r="G705" s="57">
        <v>0.7582366154998128</v>
      </c>
      <c r="H705" s="19"/>
      <c r="I705" s="19"/>
      <c r="J705" s="5" t="s">
        <v>4351</v>
      </c>
    </row>
    <row r="706" spans="1:10" ht="26.25" x14ac:dyDescent="0.25">
      <c r="A706" s="1" t="s">
        <v>25</v>
      </c>
      <c r="B706" s="2" t="s">
        <v>311</v>
      </c>
      <c r="C706" s="5" t="s">
        <v>939</v>
      </c>
      <c r="D706" s="5" t="s">
        <v>940</v>
      </c>
      <c r="E706" s="3">
        <v>147372</v>
      </c>
      <c r="F706" s="3">
        <v>150243</v>
      </c>
      <c r="G706" s="57">
        <v>1.948131259669408E-2</v>
      </c>
      <c r="H706" s="19"/>
      <c r="I706" s="19"/>
      <c r="J706" s="5" t="s">
        <v>2811</v>
      </c>
    </row>
    <row r="707" spans="1:10" ht="26.25" x14ac:dyDescent="0.25">
      <c r="A707" s="1" t="s">
        <v>34</v>
      </c>
      <c r="B707" s="2" t="s">
        <v>427</v>
      </c>
      <c r="C707" s="5"/>
      <c r="D707" s="5" t="s">
        <v>524</v>
      </c>
      <c r="E707" s="3">
        <v>150410</v>
      </c>
      <c r="F707" s="3">
        <v>150225</v>
      </c>
      <c r="G707" s="57">
        <v>-1.2299714114753009E-3</v>
      </c>
      <c r="H707" s="19"/>
      <c r="I707" s="19"/>
      <c r="J707" s="5" t="s">
        <v>2317</v>
      </c>
    </row>
    <row r="708" spans="1:10" ht="26.25" x14ac:dyDescent="0.25">
      <c r="A708" s="1" t="s">
        <v>4</v>
      </c>
      <c r="B708" s="2" t="s">
        <v>15</v>
      </c>
      <c r="C708" s="1"/>
      <c r="D708" s="5" t="s">
        <v>1690</v>
      </c>
      <c r="E708" s="3">
        <v>105610</v>
      </c>
      <c r="F708" s="3">
        <v>150151</v>
      </c>
      <c r="G708" s="57">
        <v>0.42174983429599472</v>
      </c>
      <c r="H708" s="19"/>
      <c r="I708" s="19"/>
      <c r="J708" s="5" t="s">
        <v>4599</v>
      </c>
    </row>
    <row r="709" spans="1:10" x14ac:dyDescent="0.25">
      <c r="A709" s="1" t="s">
        <v>34</v>
      </c>
      <c r="B709" s="2" t="s">
        <v>382</v>
      </c>
      <c r="C709" s="5"/>
      <c r="D709" s="5" t="s">
        <v>711</v>
      </c>
      <c r="E709" s="6">
        <v>150149</v>
      </c>
      <c r="F709" s="3">
        <v>150149</v>
      </c>
      <c r="G709" s="57">
        <v>0</v>
      </c>
      <c r="H709" s="19"/>
      <c r="I709" s="19"/>
      <c r="J709" s="5" t="s">
        <v>4699</v>
      </c>
    </row>
    <row r="710" spans="1:10" ht="26.25" x14ac:dyDescent="0.25">
      <c r="A710" s="1" t="s">
        <v>34</v>
      </c>
      <c r="B710" s="2" t="s">
        <v>427</v>
      </c>
      <c r="C710" s="5"/>
      <c r="D710" s="5" t="s">
        <v>525</v>
      </c>
      <c r="E710" s="3">
        <v>145969</v>
      </c>
      <c r="F710" s="3">
        <v>150139</v>
      </c>
      <c r="G710" s="57">
        <v>2.8567709582171558E-2</v>
      </c>
      <c r="H710" s="19"/>
      <c r="I710" s="19"/>
      <c r="J710" s="5" t="s">
        <v>2319</v>
      </c>
    </row>
    <row r="711" spans="1:10" ht="51.75" x14ac:dyDescent="0.25">
      <c r="A711" s="1" t="s">
        <v>1</v>
      </c>
      <c r="B711" s="2" t="s">
        <v>327</v>
      </c>
      <c r="C711" s="5" t="s">
        <v>909</v>
      </c>
      <c r="D711" s="5" t="s">
        <v>4441</v>
      </c>
      <c r="E711" s="3">
        <v>94309</v>
      </c>
      <c r="F711" s="3">
        <v>150113</v>
      </c>
      <c r="G711" s="57">
        <v>0.59171447051712989</v>
      </c>
      <c r="H711" s="19"/>
      <c r="I711" s="19"/>
      <c r="J711" s="5" t="s">
        <v>4442</v>
      </c>
    </row>
    <row r="712" spans="1:10" ht="26.25" x14ac:dyDescent="0.25">
      <c r="A712" s="1" t="s">
        <v>34</v>
      </c>
      <c r="B712" s="2" t="s">
        <v>119</v>
      </c>
      <c r="C712" s="1"/>
      <c r="D712" s="5" t="s">
        <v>2149</v>
      </c>
      <c r="E712" s="3">
        <v>100041</v>
      </c>
      <c r="F712" s="3">
        <v>150061</v>
      </c>
      <c r="G712" s="57">
        <v>0.49999500204915986</v>
      </c>
      <c r="H712" s="19"/>
      <c r="I712" s="19"/>
      <c r="J712" s="5" t="s">
        <v>4279</v>
      </c>
    </row>
    <row r="713" spans="1:10" x14ac:dyDescent="0.25">
      <c r="A713" s="13" t="s">
        <v>34</v>
      </c>
      <c r="B713" s="2" t="s">
        <v>48</v>
      </c>
      <c r="C713" s="1"/>
      <c r="D713" s="5" t="s">
        <v>1800</v>
      </c>
      <c r="E713" s="6">
        <v>58149</v>
      </c>
      <c r="F713" s="3">
        <v>149995</v>
      </c>
      <c r="G713" s="57">
        <v>1.5794940583672978</v>
      </c>
      <c r="H713" s="19"/>
      <c r="I713" s="19"/>
      <c r="J713" s="5" t="s">
        <v>1801</v>
      </c>
    </row>
    <row r="714" spans="1:10" ht="26.25" x14ac:dyDescent="0.25">
      <c r="A714" s="1" t="s">
        <v>111</v>
      </c>
      <c r="B714" s="2" t="s">
        <v>257</v>
      </c>
      <c r="C714" s="5"/>
      <c r="D714" s="5" t="s">
        <v>1178</v>
      </c>
      <c r="E714" s="3">
        <v>150589</v>
      </c>
      <c r="F714" s="3">
        <v>149847</v>
      </c>
      <c r="G714" s="57">
        <v>-4.9273187284595817E-3</v>
      </c>
      <c r="H714" s="19"/>
      <c r="I714" s="19"/>
      <c r="J714" s="5" t="s">
        <v>3095</v>
      </c>
    </row>
    <row r="715" spans="1:10" ht="26.25" x14ac:dyDescent="0.25">
      <c r="A715" s="13" t="s">
        <v>34</v>
      </c>
      <c r="B715" s="12" t="s">
        <v>48</v>
      </c>
      <c r="C715" s="13"/>
      <c r="D715" s="7" t="s">
        <v>450</v>
      </c>
      <c r="E715" s="6">
        <v>149343</v>
      </c>
      <c r="F715" s="6">
        <v>149749</v>
      </c>
      <c r="G715" s="57">
        <v>2.7185740208781127E-3</v>
      </c>
      <c r="H715" s="21"/>
      <c r="I715" s="21"/>
      <c r="J715" s="7" t="s">
        <v>3731</v>
      </c>
    </row>
    <row r="716" spans="1:10" ht="51.75" x14ac:dyDescent="0.25">
      <c r="A716" s="1" t="s">
        <v>6</v>
      </c>
      <c r="B716" s="2" t="s">
        <v>108</v>
      </c>
      <c r="C716" s="1" t="s">
        <v>2178</v>
      </c>
      <c r="D716" s="5" t="s">
        <v>2179</v>
      </c>
      <c r="E716" s="6">
        <v>139495</v>
      </c>
      <c r="F716" s="3">
        <v>149747</v>
      </c>
      <c r="G716" s="57">
        <v>7.3493673608373056E-2</v>
      </c>
      <c r="H716" s="19"/>
      <c r="I716" s="19"/>
      <c r="J716" s="5" t="s">
        <v>4260</v>
      </c>
    </row>
    <row r="717" spans="1:10" ht="39" x14ac:dyDescent="0.25">
      <c r="A717" s="1" t="s">
        <v>25</v>
      </c>
      <c r="B717" s="2" t="s">
        <v>150</v>
      </c>
      <c r="C717" s="1"/>
      <c r="D717" s="5" t="s">
        <v>1636</v>
      </c>
      <c r="E717" s="3">
        <v>143449.41</v>
      </c>
      <c r="F717" s="3">
        <v>149710.93</v>
      </c>
      <c r="G717" s="57">
        <v>4.3649674125533104E-2</v>
      </c>
      <c r="H717" s="19"/>
      <c r="I717" s="19"/>
      <c r="J717" s="5" t="s">
        <v>4316</v>
      </c>
    </row>
    <row r="718" spans="1:10" ht="26.25" x14ac:dyDescent="0.25">
      <c r="A718" s="1" t="s">
        <v>6</v>
      </c>
      <c r="B718" s="2" t="s">
        <v>310</v>
      </c>
      <c r="C718" s="5"/>
      <c r="D718" s="5" t="s">
        <v>944</v>
      </c>
      <c r="E718" s="3">
        <v>82817</v>
      </c>
      <c r="F718" s="3">
        <v>149622</v>
      </c>
      <c r="G718" s="57">
        <v>0.80665805329823592</v>
      </c>
      <c r="H718" s="19"/>
      <c r="I718" s="19"/>
      <c r="J718" s="5" t="s">
        <v>2816</v>
      </c>
    </row>
    <row r="719" spans="1:10" ht="26.25" x14ac:dyDescent="0.25">
      <c r="A719" s="1" t="s">
        <v>4</v>
      </c>
      <c r="B719" s="2" t="s">
        <v>15</v>
      </c>
      <c r="C719" s="1"/>
      <c r="D719" s="5" t="s">
        <v>450</v>
      </c>
      <c r="E719" s="3">
        <v>146683</v>
      </c>
      <c r="F719" s="3">
        <v>149580</v>
      </c>
      <c r="G719" s="57">
        <v>1.9750073287293005E-2</v>
      </c>
      <c r="H719" s="19"/>
      <c r="I719" s="19"/>
      <c r="J719" s="5" t="s">
        <v>3647</v>
      </c>
    </row>
    <row r="720" spans="1:10" ht="26.25" x14ac:dyDescent="0.25">
      <c r="A720" s="1" t="s">
        <v>25</v>
      </c>
      <c r="B720" s="2" t="s">
        <v>311</v>
      </c>
      <c r="C720" s="5" t="s">
        <v>941</v>
      </c>
      <c r="D720" s="5" t="s">
        <v>942</v>
      </c>
      <c r="E720" s="3">
        <v>131616</v>
      </c>
      <c r="F720" s="3">
        <v>149499</v>
      </c>
      <c r="G720" s="57">
        <v>0.13587253829321663</v>
      </c>
      <c r="H720" s="19"/>
      <c r="I720" s="19"/>
      <c r="J720" s="5" t="s">
        <v>2812</v>
      </c>
    </row>
    <row r="721" spans="1:10" ht="26.25" x14ac:dyDescent="0.25">
      <c r="A721" s="1" t="s">
        <v>6</v>
      </c>
      <c r="B721" s="2" t="s">
        <v>202</v>
      </c>
      <c r="C721" s="5"/>
      <c r="D721" s="5" t="s">
        <v>3409</v>
      </c>
      <c r="E721" s="3">
        <v>147672</v>
      </c>
      <c r="F721" s="3">
        <v>149485</v>
      </c>
      <c r="G721" s="57">
        <v>1.2277208949563898E-2</v>
      </c>
      <c r="H721" s="19"/>
      <c r="I721" s="19"/>
      <c r="J721" s="5" t="s">
        <v>3407</v>
      </c>
    </row>
    <row r="722" spans="1:10" ht="26.25" x14ac:dyDescent="0.25">
      <c r="A722" s="1" t="s">
        <v>20</v>
      </c>
      <c r="B722" s="2" t="s">
        <v>374</v>
      </c>
      <c r="C722" s="5" t="s">
        <v>750</v>
      </c>
      <c r="D722" s="5" t="s">
        <v>751</v>
      </c>
      <c r="E722" s="3">
        <v>148519</v>
      </c>
      <c r="F722" s="3">
        <v>149464</v>
      </c>
      <c r="G722" s="57">
        <v>6.3628222651647267E-3</v>
      </c>
      <c r="H722" s="19"/>
      <c r="I722" s="19"/>
      <c r="J722" s="5" t="s">
        <v>2543</v>
      </c>
    </row>
    <row r="723" spans="1:10" ht="26.25" x14ac:dyDescent="0.25">
      <c r="A723" s="1" t="s">
        <v>8</v>
      </c>
      <c r="B723" s="2" t="s">
        <v>228</v>
      </c>
      <c r="C723" s="5"/>
      <c r="D723" s="5" t="s">
        <v>450</v>
      </c>
      <c r="E723" s="3">
        <v>146153</v>
      </c>
      <c r="F723" s="3">
        <v>149445</v>
      </c>
      <c r="G723" s="57">
        <v>2.2524340930394859E-2</v>
      </c>
      <c r="H723" s="19"/>
      <c r="I723" s="19"/>
      <c r="J723" s="5" t="s">
        <v>3234</v>
      </c>
    </row>
    <row r="724" spans="1:10" ht="26.25" x14ac:dyDescent="0.25">
      <c r="A724" s="1" t="s">
        <v>28</v>
      </c>
      <c r="B724" s="2" t="s">
        <v>180</v>
      </c>
      <c r="C724" s="5"/>
      <c r="D724" s="5" t="s">
        <v>450</v>
      </c>
      <c r="E724" s="3">
        <v>151299</v>
      </c>
      <c r="F724" s="3">
        <v>149428</v>
      </c>
      <c r="G724" s="57">
        <v>-1.2366241680381232E-2</v>
      </c>
      <c r="H724" s="19"/>
      <c r="I724" s="19"/>
      <c r="J724" s="5" t="s">
        <v>3550</v>
      </c>
    </row>
    <row r="725" spans="1:10" ht="77.25" x14ac:dyDescent="0.25">
      <c r="A725" s="1" t="s">
        <v>25</v>
      </c>
      <c r="B725" s="2" t="s">
        <v>181</v>
      </c>
      <c r="C725" s="5" t="s">
        <v>1485</v>
      </c>
      <c r="D725" s="5" t="s">
        <v>3547</v>
      </c>
      <c r="E725" s="9">
        <v>142586</v>
      </c>
      <c r="F725" s="9">
        <v>149420</v>
      </c>
      <c r="G725" s="57">
        <v>4.7928969183510306E-2</v>
      </c>
      <c r="H725" s="19"/>
      <c r="I725" s="19"/>
      <c r="J725" s="5" t="s">
        <v>3546</v>
      </c>
    </row>
    <row r="726" spans="1:10" ht="26.25" x14ac:dyDescent="0.25">
      <c r="A726" s="1" t="s">
        <v>25</v>
      </c>
      <c r="B726" s="2" t="s">
        <v>208</v>
      </c>
      <c r="C726" s="5"/>
      <c r="D726" s="5" t="s">
        <v>1064</v>
      </c>
      <c r="E726" s="9">
        <v>145970</v>
      </c>
      <c r="F726" s="9">
        <v>149298</v>
      </c>
      <c r="G726" s="57">
        <v>2.2799205316160854E-2</v>
      </c>
      <c r="H726" s="19"/>
      <c r="I726" s="19"/>
      <c r="J726" s="5" t="s">
        <v>3382</v>
      </c>
    </row>
    <row r="727" spans="1:10" ht="26.25" x14ac:dyDescent="0.25">
      <c r="A727" s="1" t="s">
        <v>34</v>
      </c>
      <c r="B727" s="2" t="s">
        <v>119</v>
      </c>
      <c r="C727" s="1"/>
      <c r="D727" s="5" t="s">
        <v>608</v>
      </c>
      <c r="E727" s="3">
        <v>149678</v>
      </c>
      <c r="F727" s="3">
        <v>149155</v>
      </c>
      <c r="G727" s="57">
        <v>-3.4941674795227087E-3</v>
      </c>
      <c r="H727" s="19"/>
      <c r="I727" s="19"/>
      <c r="J727" s="5" t="s">
        <v>3915</v>
      </c>
    </row>
    <row r="728" spans="1:10" ht="26.25" x14ac:dyDescent="0.25">
      <c r="A728" s="1" t="s">
        <v>44</v>
      </c>
      <c r="B728" s="2" t="s">
        <v>73</v>
      </c>
      <c r="C728" s="1"/>
      <c r="D728" s="5" t="s">
        <v>1954</v>
      </c>
      <c r="E728" s="3">
        <v>113041</v>
      </c>
      <c r="F728" s="3">
        <v>149117</v>
      </c>
      <c r="G728" s="57">
        <v>0.31914084270309001</v>
      </c>
      <c r="H728" s="19"/>
      <c r="I728" s="19"/>
      <c r="J728" s="5" t="s">
        <v>3796</v>
      </c>
    </row>
    <row r="729" spans="1:10" ht="26.25" x14ac:dyDescent="0.25">
      <c r="A729" s="1" t="s">
        <v>39</v>
      </c>
      <c r="B729" s="2" t="s">
        <v>335</v>
      </c>
      <c r="C729" s="5"/>
      <c r="D729" s="5" t="s">
        <v>883</v>
      </c>
      <c r="E729" s="3" t="s">
        <v>465</v>
      </c>
      <c r="F729" s="3">
        <v>149046</v>
      </c>
      <c r="G729" s="57" t="s">
        <v>465</v>
      </c>
      <c r="H729" s="19"/>
      <c r="I729" s="19"/>
      <c r="J729" s="5" t="s">
        <v>4594</v>
      </c>
    </row>
    <row r="730" spans="1:10" x14ac:dyDescent="0.25">
      <c r="A730" s="1" t="s">
        <v>6</v>
      </c>
      <c r="B730" s="2" t="s">
        <v>85</v>
      </c>
      <c r="C730" s="1"/>
      <c r="D730" s="5" t="s">
        <v>2014</v>
      </c>
      <c r="E730" s="6">
        <v>148287</v>
      </c>
      <c r="F730" s="3">
        <v>149034</v>
      </c>
      <c r="G730" s="57">
        <v>5.0375285763418235E-3</v>
      </c>
      <c r="H730" s="19"/>
      <c r="I730" s="19"/>
      <c r="J730" s="5" t="s">
        <v>2015</v>
      </c>
    </row>
    <row r="731" spans="1:10" ht="26.25" x14ac:dyDescent="0.25">
      <c r="A731" s="1" t="s">
        <v>28</v>
      </c>
      <c r="B731" s="2" t="s">
        <v>279</v>
      </c>
      <c r="C731" s="5"/>
      <c r="D731" s="5" t="s">
        <v>1091</v>
      </c>
      <c r="E731" s="3">
        <v>141636</v>
      </c>
      <c r="F731" s="3">
        <v>149033</v>
      </c>
      <c r="G731" s="57">
        <v>5.222542291507809E-2</v>
      </c>
      <c r="H731" s="19"/>
      <c r="I731" s="19"/>
      <c r="J731" s="5" t="s">
        <v>3007</v>
      </c>
    </row>
    <row r="732" spans="1:10" x14ac:dyDescent="0.25">
      <c r="A732" s="1" t="s">
        <v>20</v>
      </c>
      <c r="B732" s="2" t="s">
        <v>51</v>
      </c>
      <c r="C732" s="1"/>
      <c r="D732" s="5" t="s">
        <v>450</v>
      </c>
      <c r="E732" s="3">
        <v>147000</v>
      </c>
      <c r="F732" s="3">
        <v>149000</v>
      </c>
      <c r="G732" s="57">
        <v>1.3605442176870748E-2</v>
      </c>
      <c r="H732" s="19"/>
      <c r="I732" s="19"/>
      <c r="J732" s="5" t="s">
        <v>1830</v>
      </c>
    </row>
    <row r="733" spans="1:10" ht="26.25" x14ac:dyDescent="0.25">
      <c r="A733" s="1" t="s">
        <v>44</v>
      </c>
      <c r="B733" s="2" t="s">
        <v>73</v>
      </c>
      <c r="C733" s="1"/>
      <c r="D733" s="5" t="s">
        <v>1955</v>
      </c>
      <c r="E733" s="3">
        <v>101629</v>
      </c>
      <c r="F733" s="3">
        <v>148978</v>
      </c>
      <c r="G733" s="57">
        <v>0.4659004811618731</v>
      </c>
      <c r="H733" s="19"/>
      <c r="I733" s="19"/>
      <c r="J733" s="5" t="s">
        <v>3797</v>
      </c>
    </row>
    <row r="734" spans="1:10" ht="26.25" x14ac:dyDescent="0.25">
      <c r="A734" s="13" t="s">
        <v>1</v>
      </c>
      <c r="B734" s="12" t="s">
        <v>92</v>
      </c>
      <c r="C734" s="1" t="s">
        <v>2248</v>
      </c>
      <c r="D734" s="5" t="s">
        <v>2077</v>
      </c>
      <c r="E734" s="3">
        <v>144616</v>
      </c>
      <c r="F734" s="3">
        <v>148971</v>
      </c>
      <c r="G734" s="57">
        <v>3.011423355645295E-2</v>
      </c>
      <c r="H734" s="19"/>
      <c r="I734" s="19"/>
      <c r="J734" s="30" t="s">
        <v>3836</v>
      </c>
    </row>
    <row r="735" spans="1:10" ht="26.25" x14ac:dyDescent="0.25">
      <c r="A735" s="13" t="s">
        <v>1</v>
      </c>
      <c r="B735" s="12" t="s">
        <v>92</v>
      </c>
      <c r="C735" s="1" t="s">
        <v>2249</v>
      </c>
      <c r="D735" s="5" t="s">
        <v>2078</v>
      </c>
      <c r="E735" s="3">
        <v>144616</v>
      </c>
      <c r="F735" s="3">
        <v>148971</v>
      </c>
      <c r="G735" s="57">
        <v>3.011423355645295E-2</v>
      </c>
      <c r="H735" s="19"/>
      <c r="I735" s="19"/>
      <c r="J735" s="30" t="s">
        <v>3836</v>
      </c>
    </row>
    <row r="736" spans="1:10" ht="26.25" x14ac:dyDescent="0.25">
      <c r="A736" s="13" t="s">
        <v>1</v>
      </c>
      <c r="B736" s="12" t="s">
        <v>92</v>
      </c>
      <c r="C736" s="1" t="s">
        <v>2250</v>
      </c>
      <c r="D736" s="5" t="s">
        <v>2079</v>
      </c>
      <c r="E736" s="3">
        <v>145480</v>
      </c>
      <c r="F736" s="3">
        <v>148971</v>
      </c>
      <c r="G736" s="57">
        <v>2.3996425625515534E-2</v>
      </c>
      <c r="H736" s="19"/>
      <c r="I736" s="19"/>
      <c r="J736" s="30" t="s">
        <v>3836</v>
      </c>
    </row>
    <row r="737" spans="1:10" ht="26.25" x14ac:dyDescent="0.25">
      <c r="A737" s="13" t="s">
        <v>1</v>
      </c>
      <c r="B737" s="12" t="s">
        <v>92</v>
      </c>
      <c r="C737" s="1" t="s">
        <v>2251</v>
      </c>
      <c r="D737" s="5" t="s">
        <v>2080</v>
      </c>
      <c r="E737" s="3">
        <v>144616</v>
      </c>
      <c r="F737" s="3">
        <v>148971</v>
      </c>
      <c r="G737" s="57">
        <v>3.011423355645295E-2</v>
      </c>
      <c r="H737" s="19"/>
      <c r="I737" s="19"/>
      <c r="J737" s="30" t="s">
        <v>3836</v>
      </c>
    </row>
    <row r="738" spans="1:10" ht="39" x14ac:dyDescent="0.25">
      <c r="A738" s="1" t="s">
        <v>34</v>
      </c>
      <c r="B738" s="2" t="s">
        <v>170</v>
      </c>
      <c r="C738" s="5"/>
      <c r="D738" s="5" t="s">
        <v>4072</v>
      </c>
      <c r="E738" s="3">
        <v>121825</v>
      </c>
      <c r="F738" s="3">
        <v>148926</v>
      </c>
      <c r="G738" s="57">
        <v>0.2224584444900472</v>
      </c>
      <c r="H738" s="19"/>
      <c r="I738" s="19"/>
      <c r="J738" s="5" t="s">
        <v>4348</v>
      </c>
    </row>
    <row r="739" spans="1:10" ht="39" x14ac:dyDescent="0.25">
      <c r="A739" s="1" t="s">
        <v>4</v>
      </c>
      <c r="B739" s="2" t="s">
        <v>191</v>
      </c>
      <c r="C739" s="5"/>
      <c r="D739" s="5" t="s">
        <v>3494</v>
      </c>
      <c r="E739" s="9">
        <v>131704</v>
      </c>
      <c r="F739" s="9">
        <v>148875</v>
      </c>
      <c r="G739" s="57">
        <v>0.13037569094332746</v>
      </c>
      <c r="H739" s="19"/>
      <c r="I739" s="19"/>
      <c r="J739" s="5" t="s">
        <v>3495</v>
      </c>
    </row>
    <row r="740" spans="1:10" ht="26.25" x14ac:dyDescent="0.25">
      <c r="A740" s="1" t="s">
        <v>39</v>
      </c>
      <c r="B740" s="2" t="s">
        <v>370</v>
      </c>
      <c r="C740" s="5"/>
      <c r="D740" s="5" t="s">
        <v>762</v>
      </c>
      <c r="E740" s="3" t="s">
        <v>465</v>
      </c>
      <c r="F740" s="3">
        <v>148870</v>
      </c>
      <c r="G740" s="57" t="s">
        <v>465</v>
      </c>
      <c r="H740" s="19"/>
      <c r="I740" s="19"/>
      <c r="J740" s="5" t="s">
        <v>2560</v>
      </c>
    </row>
    <row r="741" spans="1:10" ht="26.25" x14ac:dyDescent="0.25">
      <c r="A741" s="1" t="s">
        <v>4</v>
      </c>
      <c r="B741" s="2" t="s">
        <v>255</v>
      </c>
      <c r="C741" s="5"/>
      <c r="D741" s="5" t="s">
        <v>450</v>
      </c>
      <c r="E741" s="3">
        <v>165412</v>
      </c>
      <c r="F741" s="3">
        <v>148734</v>
      </c>
      <c r="G741" s="57">
        <v>-0.10082702585060334</v>
      </c>
      <c r="H741" s="19"/>
      <c r="I741" s="19"/>
      <c r="J741" s="5" t="s">
        <v>3104</v>
      </c>
    </row>
    <row r="742" spans="1:10" x14ac:dyDescent="0.25">
      <c r="A742" s="1" t="s">
        <v>44</v>
      </c>
      <c r="B742" s="2" t="s">
        <v>75</v>
      </c>
      <c r="C742" s="1"/>
      <c r="D742" s="5" t="s">
        <v>4609</v>
      </c>
      <c r="E742" s="3">
        <v>147637</v>
      </c>
      <c r="F742" s="3">
        <v>148710</v>
      </c>
      <c r="G742" s="57">
        <v>7.2678258160217288E-3</v>
      </c>
      <c r="H742" s="19"/>
      <c r="I742" s="19"/>
      <c r="J742" s="5" t="s">
        <v>3811</v>
      </c>
    </row>
    <row r="743" spans="1:10" ht="26.25" x14ac:dyDescent="0.25">
      <c r="A743" s="1" t="s">
        <v>28</v>
      </c>
      <c r="B743" s="2" t="s">
        <v>273</v>
      </c>
      <c r="C743" s="5"/>
      <c r="D743" s="5" t="s">
        <v>1116</v>
      </c>
      <c r="E743" s="3">
        <v>97711</v>
      </c>
      <c r="F743" s="3">
        <v>148684</v>
      </c>
      <c r="G743" s="57">
        <v>0.52167105034233607</v>
      </c>
      <c r="H743" s="19"/>
      <c r="I743" s="19"/>
      <c r="J743" s="5" t="s">
        <v>3046</v>
      </c>
    </row>
    <row r="744" spans="1:10" ht="26.25" x14ac:dyDescent="0.25">
      <c r="A744" s="1" t="s">
        <v>6</v>
      </c>
      <c r="B744" s="2" t="s">
        <v>42</v>
      </c>
      <c r="C744" s="1"/>
      <c r="D744" s="5" t="s">
        <v>1785</v>
      </c>
      <c r="E744" s="3" t="s">
        <v>465</v>
      </c>
      <c r="F744" s="3">
        <v>148654</v>
      </c>
      <c r="G744" s="57" t="s">
        <v>465</v>
      </c>
      <c r="H744" s="19"/>
      <c r="I744" s="19"/>
      <c r="J744" s="5" t="s">
        <v>1786</v>
      </c>
    </row>
    <row r="745" spans="1:10" ht="26.25" x14ac:dyDescent="0.25">
      <c r="A745" s="1" t="s">
        <v>20</v>
      </c>
      <c r="B745" s="2" t="s">
        <v>394</v>
      </c>
      <c r="C745" s="5"/>
      <c r="D745" s="5" t="s">
        <v>456</v>
      </c>
      <c r="E745" s="3">
        <v>63202</v>
      </c>
      <c r="F745" s="3">
        <v>148632</v>
      </c>
      <c r="G745" s="57">
        <v>1.3516977310844593</v>
      </c>
      <c r="H745" s="19"/>
      <c r="I745" s="19"/>
      <c r="J745" s="5" t="s">
        <v>4499</v>
      </c>
    </row>
    <row r="746" spans="1:10" ht="26.25" x14ac:dyDescent="0.25">
      <c r="A746" s="1" t="s">
        <v>20</v>
      </c>
      <c r="B746" s="2" t="s">
        <v>361</v>
      </c>
      <c r="C746" s="5"/>
      <c r="D746" s="5" t="s">
        <v>783</v>
      </c>
      <c r="E746" s="3">
        <v>144437</v>
      </c>
      <c r="F746" s="3">
        <v>148585</v>
      </c>
      <c r="G746" s="57">
        <v>2.8718403179240775E-2</v>
      </c>
      <c r="H746" s="19"/>
      <c r="I746" s="19"/>
      <c r="J746" s="5" t="s">
        <v>2620</v>
      </c>
    </row>
    <row r="747" spans="1:10" ht="26.25" x14ac:dyDescent="0.25">
      <c r="A747" s="1" t="s">
        <v>1</v>
      </c>
      <c r="B747" s="2" t="s">
        <v>295</v>
      </c>
      <c r="C747" s="5" t="s">
        <v>1004</v>
      </c>
      <c r="D747" s="5" t="s">
        <v>450</v>
      </c>
      <c r="E747" s="3">
        <v>151864</v>
      </c>
      <c r="F747" s="3">
        <v>148517</v>
      </c>
      <c r="G747" s="57">
        <v>-2.2039456355686667E-2</v>
      </c>
      <c r="H747" s="19"/>
      <c r="I747" s="19"/>
      <c r="J747" s="5" t="s">
        <v>2891</v>
      </c>
    </row>
    <row r="748" spans="1:10" ht="26.25" x14ac:dyDescent="0.25">
      <c r="A748" s="1" t="s">
        <v>4</v>
      </c>
      <c r="B748" s="2" t="s">
        <v>182</v>
      </c>
      <c r="C748" s="5"/>
      <c r="D748" s="5" t="s">
        <v>949</v>
      </c>
      <c r="E748" s="9">
        <v>149307</v>
      </c>
      <c r="F748" s="9">
        <v>148319</v>
      </c>
      <c r="G748" s="57">
        <v>-6.6172383076480001E-3</v>
      </c>
      <c r="H748" s="19"/>
      <c r="I748" s="19"/>
      <c r="J748" s="5" t="s">
        <v>3539</v>
      </c>
    </row>
    <row r="749" spans="1:10" ht="26.25" x14ac:dyDescent="0.25">
      <c r="A749" s="1" t="s">
        <v>8</v>
      </c>
      <c r="B749" s="2" t="s">
        <v>285</v>
      </c>
      <c r="C749" s="5"/>
      <c r="D749" s="5" t="s">
        <v>1049</v>
      </c>
      <c r="E749" s="3">
        <v>146940</v>
      </c>
      <c r="F749" s="3">
        <v>148314</v>
      </c>
      <c r="G749" s="57">
        <v>9.350755410371581E-3</v>
      </c>
      <c r="H749" s="19"/>
      <c r="I749" s="19"/>
      <c r="J749" s="5" t="s">
        <v>2961</v>
      </c>
    </row>
    <row r="750" spans="1:10" ht="26.25" x14ac:dyDescent="0.25">
      <c r="A750" s="1" t="s">
        <v>1</v>
      </c>
      <c r="B750" s="2" t="s">
        <v>348</v>
      </c>
      <c r="C750" s="5" t="s">
        <v>845</v>
      </c>
      <c r="D750" s="5" t="s">
        <v>529</v>
      </c>
      <c r="E750" s="36">
        <v>147771</v>
      </c>
      <c r="F750" s="3">
        <v>148261</v>
      </c>
      <c r="G750" s="57">
        <v>3.3159415582218431E-3</v>
      </c>
      <c r="H750" s="19"/>
      <c r="I750" s="19"/>
      <c r="J750" s="5" t="s">
        <v>2684</v>
      </c>
    </row>
    <row r="751" spans="1:10" ht="26.25" x14ac:dyDescent="0.25">
      <c r="A751" s="1" t="s">
        <v>4</v>
      </c>
      <c r="B751" s="2" t="s">
        <v>356</v>
      </c>
      <c r="C751" s="5" t="s">
        <v>827</v>
      </c>
      <c r="D751" s="5" t="s">
        <v>4687</v>
      </c>
      <c r="E751" s="3">
        <v>143604</v>
      </c>
      <c r="F751" s="3">
        <v>148239</v>
      </c>
      <c r="G751" s="57">
        <v>3.2276259714214085E-2</v>
      </c>
      <c r="H751" s="19"/>
      <c r="I751" s="19"/>
      <c r="J751" s="5" t="s">
        <v>2652</v>
      </c>
    </row>
    <row r="752" spans="1:10" x14ac:dyDescent="0.25">
      <c r="A752" s="1" t="s">
        <v>25</v>
      </c>
      <c r="B752" s="2" t="s">
        <v>175</v>
      </c>
      <c r="C752" s="5"/>
      <c r="D752" s="5" t="s">
        <v>1514</v>
      </c>
      <c r="E752" s="9">
        <v>148125</v>
      </c>
      <c r="F752" s="9">
        <v>148191.67000000001</v>
      </c>
      <c r="G752" s="57">
        <v>4.5009282700430588E-4</v>
      </c>
      <c r="H752" s="19"/>
      <c r="I752" s="19"/>
      <c r="J752" s="5" t="s">
        <v>3580</v>
      </c>
    </row>
    <row r="753" spans="1:10" x14ac:dyDescent="0.25">
      <c r="A753" s="1" t="s">
        <v>25</v>
      </c>
      <c r="B753" s="2" t="s">
        <v>175</v>
      </c>
      <c r="C753" s="5"/>
      <c r="D753" s="5" t="s">
        <v>1515</v>
      </c>
      <c r="E753" s="9">
        <v>148125</v>
      </c>
      <c r="F753" s="9">
        <v>148125</v>
      </c>
      <c r="G753" s="57">
        <v>0</v>
      </c>
      <c r="H753" s="19"/>
      <c r="I753" s="19"/>
      <c r="J753" s="5" t="s">
        <v>3581</v>
      </c>
    </row>
    <row r="754" spans="1:10" x14ac:dyDescent="0.25">
      <c r="A754" s="1" t="s">
        <v>25</v>
      </c>
      <c r="B754" s="2" t="s">
        <v>175</v>
      </c>
      <c r="C754" s="5"/>
      <c r="D754" s="5" t="s">
        <v>1516</v>
      </c>
      <c r="E754" s="9">
        <v>148094.5</v>
      </c>
      <c r="F754" s="9">
        <v>148125</v>
      </c>
      <c r="G754" s="57">
        <v>2.0594957949147334E-4</v>
      </c>
      <c r="H754" s="19"/>
      <c r="I754" s="19"/>
      <c r="J754" s="5" t="s">
        <v>3581</v>
      </c>
    </row>
    <row r="755" spans="1:10" ht="26.25" x14ac:dyDescent="0.25">
      <c r="A755" s="1" t="s">
        <v>1</v>
      </c>
      <c r="B755" s="2" t="s">
        <v>168</v>
      </c>
      <c r="C755" s="5" t="s">
        <v>1564</v>
      </c>
      <c r="D755" s="5" t="s">
        <v>1565</v>
      </c>
      <c r="E755" s="3">
        <v>141202</v>
      </c>
      <c r="F755" s="3">
        <v>148120</v>
      </c>
      <c r="G755" s="57">
        <v>4.8993640316709393E-2</v>
      </c>
      <c r="H755" s="19"/>
      <c r="I755" s="19"/>
      <c r="J755" s="5" t="s">
        <v>4060</v>
      </c>
    </row>
    <row r="756" spans="1:10" ht="26.25" x14ac:dyDescent="0.25">
      <c r="A756" s="1" t="s">
        <v>25</v>
      </c>
      <c r="B756" s="2" t="s">
        <v>150</v>
      </c>
      <c r="C756" s="1"/>
      <c r="D756" s="5" t="s">
        <v>942</v>
      </c>
      <c r="E756" s="3">
        <v>144365.04</v>
      </c>
      <c r="F756" s="3">
        <v>148026.51</v>
      </c>
      <c r="G756" s="57">
        <v>2.5362580857526178E-2</v>
      </c>
      <c r="H756" s="19"/>
      <c r="I756" s="19"/>
      <c r="J756" s="5" t="s">
        <v>4000</v>
      </c>
    </row>
    <row r="757" spans="1:10" ht="26.25" x14ac:dyDescent="0.25">
      <c r="A757" s="1" t="s">
        <v>8</v>
      </c>
      <c r="B757" s="2" t="s">
        <v>117</v>
      </c>
      <c r="C757" s="1"/>
      <c r="D757" s="5" t="s">
        <v>450</v>
      </c>
      <c r="E757" s="3">
        <v>148000</v>
      </c>
      <c r="F757" s="3">
        <v>148000</v>
      </c>
      <c r="G757" s="57">
        <v>0</v>
      </c>
      <c r="H757" s="19"/>
      <c r="I757" s="19"/>
      <c r="J757" s="5" t="s">
        <v>3911</v>
      </c>
    </row>
    <row r="758" spans="1:10" ht="26.25" x14ac:dyDescent="0.25">
      <c r="A758" s="1" t="s">
        <v>28</v>
      </c>
      <c r="B758" s="2" t="s">
        <v>142</v>
      </c>
      <c r="C758" s="1"/>
      <c r="D758" s="5" t="s">
        <v>1648</v>
      </c>
      <c r="E758" s="3">
        <v>147000</v>
      </c>
      <c r="F758" s="3">
        <v>148000</v>
      </c>
      <c r="G758" s="57">
        <v>6.8027210884353739E-3</v>
      </c>
      <c r="H758" s="19"/>
      <c r="I758" s="19"/>
      <c r="J758" s="5" t="s">
        <v>3981</v>
      </c>
    </row>
    <row r="759" spans="1:10" ht="26.25" x14ac:dyDescent="0.25">
      <c r="A759" s="1" t="s">
        <v>39</v>
      </c>
      <c r="B759" s="2" t="s">
        <v>434</v>
      </c>
      <c r="C759" s="5"/>
      <c r="D759" s="5" t="s">
        <v>478</v>
      </c>
      <c r="E759" s="3">
        <v>91843</v>
      </c>
      <c r="F759" s="3">
        <v>147798</v>
      </c>
      <c r="G759" s="57">
        <v>0.60924621364720233</v>
      </c>
      <c r="H759" s="19"/>
      <c r="I759" s="19"/>
      <c r="J759" s="5" t="s">
        <v>2275</v>
      </c>
    </row>
    <row r="760" spans="1:10" x14ac:dyDescent="0.25">
      <c r="A760" s="1" t="s">
        <v>6</v>
      </c>
      <c r="B760" s="2" t="s">
        <v>237</v>
      </c>
      <c r="C760" s="5"/>
      <c r="D760" s="14" t="s">
        <v>1229</v>
      </c>
      <c r="E760" s="10">
        <v>148111</v>
      </c>
      <c r="F760" s="10">
        <v>147682</v>
      </c>
      <c r="G760" s="57">
        <v>-2.8964762914300761E-3</v>
      </c>
      <c r="H760" s="19"/>
      <c r="I760" s="19"/>
      <c r="J760" s="5" t="s">
        <v>3190</v>
      </c>
    </row>
    <row r="761" spans="1:10" x14ac:dyDescent="0.25">
      <c r="A761" s="1" t="s">
        <v>4</v>
      </c>
      <c r="B761" s="2" t="s">
        <v>249</v>
      </c>
      <c r="C761" s="5"/>
      <c r="D761" s="5" t="s">
        <v>1188</v>
      </c>
      <c r="E761" s="3">
        <v>134809</v>
      </c>
      <c r="F761" s="3">
        <v>147657</v>
      </c>
      <c r="G761" s="57">
        <v>9.5305209592831341E-2</v>
      </c>
      <c r="H761" s="19"/>
      <c r="I761" s="19"/>
      <c r="J761" s="5" t="s">
        <v>3124</v>
      </c>
    </row>
    <row r="762" spans="1:10" ht="39" x14ac:dyDescent="0.25">
      <c r="A762" s="1" t="s">
        <v>39</v>
      </c>
      <c r="B762" s="2" t="s">
        <v>370</v>
      </c>
      <c r="C762" s="5"/>
      <c r="D762" s="5" t="s">
        <v>763</v>
      </c>
      <c r="E762" s="3" t="s">
        <v>465</v>
      </c>
      <c r="F762" s="3">
        <v>147641</v>
      </c>
      <c r="G762" s="57" t="s">
        <v>465</v>
      </c>
      <c r="H762" s="19"/>
      <c r="I762" s="19"/>
      <c r="J762" s="5" t="s">
        <v>2561</v>
      </c>
    </row>
    <row r="763" spans="1:10" ht="26.25" x14ac:dyDescent="0.25">
      <c r="A763" s="1" t="s">
        <v>4</v>
      </c>
      <c r="B763" s="2" t="s">
        <v>377</v>
      </c>
      <c r="C763" s="5" t="s">
        <v>732</v>
      </c>
      <c r="D763" s="5" t="s">
        <v>733</v>
      </c>
      <c r="E763" s="3">
        <v>125330</v>
      </c>
      <c r="F763" s="3">
        <v>147611</v>
      </c>
      <c r="G763" s="57">
        <v>0.17777866432617889</v>
      </c>
      <c r="H763" s="19"/>
      <c r="I763" s="19"/>
      <c r="J763" s="5" t="s">
        <v>2882</v>
      </c>
    </row>
    <row r="764" spans="1:10" ht="39" x14ac:dyDescent="0.25">
      <c r="A764" s="1" t="s">
        <v>111</v>
      </c>
      <c r="B764" s="2" t="s">
        <v>369</v>
      </c>
      <c r="C764" s="5"/>
      <c r="D764" s="5" t="s">
        <v>769</v>
      </c>
      <c r="E764" s="3">
        <v>96569</v>
      </c>
      <c r="F764" s="3">
        <v>147598</v>
      </c>
      <c r="G764" s="57">
        <v>0.52842009340471585</v>
      </c>
      <c r="H764" s="19"/>
      <c r="I764" s="19"/>
      <c r="J764" s="5" t="s">
        <v>2566</v>
      </c>
    </row>
    <row r="765" spans="1:10" ht="26.25" x14ac:dyDescent="0.25">
      <c r="A765" s="1" t="s">
        <v>39</v>
      </c>
      <c r="B765" s="2" t="s">
        <v>409</v>
      </c>
      <c r="C765" s="5"/>
      <c r="D765" s="5" t="s">
        <v>2378</v>
      </c>
      <c r="E765" s="3">
        <v>146566</v>
      </c>
      <c r="F765" s="3">
        <v>147586</v>
      </c>
      <c r="G765" s="57">
        <v>6.9593220801550159E-3</v>
      </c>
      <c r="H765" s="19"/>
      <c r="I765" s="19"/>
      <c r="J765" s="5" t="s">
        <v>2383</v>
      </c>
    </row>
    <row r="766" spans="1:10" ht="26.25" x14ac:dyDescent="0.25">
      <c r="A766" s="1" t="s">
        <v>111</v>
      </c>
      <c r="B766" s="2" t="s">
        <v>166</v>
      </c>
      <c r="C766" s="5"/>
      <c r="D766" s="5" t="s">
        <v>1583</v>
      </c>
      <c r="E766" s="3">
        <v>140469</v>
      </c>
      <c r="F766" s="3">
        <v>147523</v>
      </c>
      <c r="G766" s="57">
        <v>5.0217485708590505E-2</v>
      </c>
      <c r="H766" s="19"/>
      <c r="I766" s="19"/>
      <c r="J766" s="5" t="s">
        <v>4055</v>
      </c>
    </row>
    <row r="767" spans="1:10" x14ac:dyDescent="0.25">
      <c r="A767" s="1" t="s">
        <v>25</v>
      </c>
      <c r="B767" s="2" t="s">
        <v>26</v>
      </c>
      <c r="C767" s="1"/>
      <c r="D767" s="5" t="s">
        <v>464</v>
      </c>
      <c r="E767" s="58" t="s">
        <v>465</v>
      </c>
      <c r="F767" s="3">
        <v>147500</v>
      </c>
      <c r="G767" s="57" t="s">
        <v>465</v>
      </c>
      <c r="H767" s="19"/>
      <c r="I767" s="19"/>
      <c r="J767" s="1"/>
    </row>
    <row r="768" spans="1:10" x14ac:dyDescent="0.25">
      <c r="A768" s="1" t="s">
        <v>25</v>
      </c>
      <c r="B768" s="2" t="s">
        <v>26</v>
      </c>
      <c r="C768" s="1"/>
      <c r="D768" s="5" t="s">
        <v>464</v>
      </c>
      <c r="E768" s="58" t="s">
        <v>465</v>
      </c>
      <c r="F768" s="3">
        <v>147500</v>
      </c>
      <c r="G768" s="57" t="s">
        <v>465</v>
      </c>
      <c r="H768" s="19"/>
      <c r="I768" s="19"/>
      <c r="J768" s="5"/>
    </row>
    <row r="769" spans="1:10" x14ac:dyDescent="0.25">
      <c r="A769" s="1" t="s">
        <v>39</v>
      </c>
      <c r="B769" s="2" t="s">
        <v>38</v>
      </c>
      <c r="C769" s="1"/>
      <c r="D769" s="5" t="s">
        <v>464</v>
      </c>
      <c r="E769" s="3" t="s">
        <v>465</v>
      </c>
      <c r="F769" s="3">
        <v>147500</v>
      </c>
      <c r="G769" s="57" t="s">
        <v>465</v>
      </c>
      <c r="H769" s="19"/>
      <c r="I769" s="19"/>
      <c r="J769" s="5"/>
    </row>
    <row r="770" spans="1:10" x14ac:dyDescent="0.25">
      <c r="A770" s="1" t="s">
        <v>39</v>
      </c>
      <c r="B770" s="2" t="s">
        <v>103</v>
      </c>
      <c r="C770" s="1"/>
      <c r="D770" s="5" t="s">
        <v>464</v>
      </c>
      <c r="E770" s="3" t="s">
        <v>465</v>
      </c>
      <c r="F770" s="3">
        <v>147500</v>
      </c>
      <c r="G770" s="57" t="s">
        <v>465</v>
      </c>
      <c r="H770" s="19"/>
      <c r="I770" s="19"/>
      <c r="J770" s="5"/>
    </row>
    <row r="771" spans="1:10" x14ac:dyDescent="0.25">
      <c r="A771" s="1" t="s">
        <v>25</v>
      </c>
      <c r="B771" s="2" t="s">
        <v>175</v>
      </c>
      <c r="C771" s="5"/>
      <c r="D771" s="5" t="s">
        <v>464</v>
      </c>
      <c r="E771" s="3" t="s">
        <v>465</v>
      </c>
      <c r="F771" s="3">
        <v>147500</v>
      </c>
      <c r="G771" s="57" t="s">
        <v>465</v>
      </c>
      <c r="H771" s="19"/>
      <c r="I771" s="19"/>
      <c r="J771" s="5"/>
    </row>
    <row r="772" spans="1:10" x14ac:dyDescent="0.25">
      <c r="A772" s="1" t="s">
        <v>25</v>
      </c>
      <c r="B772" s="2" t="s">
        <v>178</v>
      </c>
      <c r="C772" s="5"/>
      <c r="D772" s="5" t="s">
        <v>464</v>
      </c>
      <c r="E772" s="3" t="s">
        <v>465</v>
      </c>
      <c r="F772" s="3">
        <v>147500</v>
      </c>
      <c r="G772" s="57" t="s">
        <v>465</v>
      </c>
      <c r="H772" s="19"/>
      <c r="I772" s="19"/>
      <c r="J772" s="5"/>
    </row>
    <row r="773" spans="1:10" x14ac:dyDescent="0.25">
      <c r="A773" s="1" t="s">
        <v>4</v>
      </c>
      <c r="B773" s="2" t="s">
        <v>182</v>
      </c>
      <c r="C773" s="5"/>
      <c r="D773" s="5" t="s">
        <v>464</v>
      </c>
      <c r="E773" s="3" t="s">
        <v>465</v>
      </c>
      <c r="F773" s="3">
        <v>147500</v>
      </c>
      <c r="G773" s="57" t="s">
        <v>465</v>
      </c>
      <c r="H773" s="19"/>
      <c r="I773" s="19"/>
      <c r="J773" s="5" t="s">
        <v>1475</v>
      </c>
    </row>
    <row r="774" spans="1:10" x14ac:dyDescent="0.25">
      <c r="A774" s="1" t="s">
        <v>4</v>
      </c>
      <c r="B774" s="2" t="s">
        <v>182</v>
      </c>
      <c r="C774" s="5"/>
      <c r="D774" s="5" t="s">
        <v>464</v>
      </c>
      <c r="E774" s="3" t="s">
        <v>465</v>
      </c>
      <c r="F774" s="3">
        <v>147500</v>
      </c>
      <c r="G774" s="57" t="s">
        <v>465</v>
      </c>
      <c r="H774" s="19"/>
      <c r="I774" s="19"/>
      <c r="J774" s="5" t="s">
        <v>1475</v>
      </c>
    </row>
    <row r="775" spans="1:10" x14ac:dyDescent="0.25">
      <c r="A775" s="1" t="s">
        <v>25</v>
      </c>
      <c r="B775" s="2" t="s">
        <v>208</v>
      </c>
      <c r="C775" s="5"/>
      <c r="D775" s="5" t="s">
        <v>464</v>
      </c>
      <c r="E775" s="3" t="s">
        <v>465</v>
      </c>
      <c r="F775" s="3">
        <v>147500</v>
      </c>
      <c r="G775" s="57" t="s">
        <v>465</v>
      </c>
      <c r="H775" s="19"/>
      <c r="I775" s="19"/>
      <c r="J775" s="5"/>
    </row>
    <row r="776" spans="1:10" x14ac:dyDescent="0.25">
      <c r="A776" s="1" t="s">
        <v>8</v>
      </c>
      <c r="B776" s="2" t="s">
        <v>229</v>
      </c>
      <c r="C776" s="5"/>
      <c r="D776" s="5" t="s">
        <v>464</v>
      </c>
      <c r="E776" s="3" t="s">
        <v>465</v>
      </c>
      <c r="F776" s="3">
        <v>147500</v>
      </c>
      <c r="G776" s="57" t="s">
        <v>465</v>
      </c>
      <c r="H776" s="19"/>
      <c r="I776" s="19"/>
      <c r="J776" s="5" t="s">
        <v>539</v>
      </c>
    </row>
    <row r="777" spans="1:10" x14ac:dyDescent="0.25">
      <c r="A777" s="1" t="s">
        <v>8</v>
      </c>
      <c r="B777" s="2" t="s">
        <v>229</v>
      </c>
      <c r="C777" s="5"/>
      <c r="D777" s="5" t="s">
        <v>464</v>
      </c>
      <c r="E777" s="3" t="s">
        <v>465</v>
      </c>
      <c r="F777" s="3">
        <v>147500</v>
      </c>
      <c r="G777" s="57" t="s">
        <v>465</v>
      </c>
      <c r="H777" s="19"/>
      <c r="I777" s="19"/>
      <c r="J777" s="5" t="s">
        <v>539</v>
      </c>
    </row>
    <row r="778" spans="1:10" x14ac:dyDescent="0.25">
      <c r="A778" s="1" t="s">
        <v>6</v>
      </c>
      <c r="B778" s="2" t="s">
        <v>237</v>
      </c>
      <c r="C778" s="5"/>
      <c r="D778" s="7" t="s">
        <v>464</v>
      </c>
      <c r="E778" s="6" t="s">
        <v>465</v>
      </c>
      <c r="F778" s="6">
        <v>147500</v>
      </c>
      <c r="G778" s="57" t="s">
        <v>465</v>
      </c>
      <c r="H778" s="21"/>
      <c r="I778" s="21"/>
      <c r="J778" s="7" t="s">
        <v>539</v>
      </c>
    </row>
    <row r="779" spans="1:10" x14ac:dyDescent="0.25">
      <c r="A779" s="1" t="s">
        <v>8</v>
      </c>
      <c r="B779" s="2" t="s">
        <v>284</v>
      </c>
      <c r="C779" s="5"/>
      <c r="D779" s="5" t="s">
        <v>464</v>
      </c>
      <c r="E779" s="3" t="s">
        <v>465</v>
      </c>
      <c r="F779" s="3">
        <v>147500</v>
      </c>
      <c r="G779" s="57" t="s">
        <v>465</v>
      </c>
      <c r="H779" s="19"/>
      <c r="I779" s="19"/>
      <c r="J779" s="1"/>
    </row>
    <row r="780" spans="1:10" x14ac:dyDescent="0.25">
      <c r="A780" s="1" t="s">
        <v>44</v>
      </c>
      <c r="B780" s="2" t="s">
        <v>309</v>
      </c>
      <c r="C780" s="5"/>
      <c r="D780" s="5" t="s">
        <v>464</v>
      </c>
      <c r="E780" s="3" t="s">
        <v>465</v>
      </c>
      <c r="F780" s="3">
        <v>147500</v>
      </c>
      <c r="G780" s="57" t="s">
        <v>465</v>
      </c>
      <c r="H780" s="19"/>
      <c r="I780" s="19"/>
      <c r="J780" s="5" t="s">
        <v>539</v>
      </c>
    </row>
    <row r="781" spans="1:10" x14ac:dyDescent="0.25">
      <c r="A781" s="1" t="s">
        <v>39</v>
      </c>
      <c r="B781" s="2" t="s">
        <v>325</v>
      </c>
      <c r="C781" s="5"/>
      <c r="D781" s="5" t="s">
        <v>464</v>
      </c>
      <c r="E781" s="3"/>
      <c r="F781" s="3">
        <v>147500</v>
      </c>
      <c r="G781" s="57" t="s">
        <v>465</v>
      </c>
      <c r="H781" s="19"/>
      <c r="I781" s="19"/>
      <c r="J781" s="5" t="s">
        <v>1241</v>
      </c>
    </row>
    <row r="782" spans="1:10" x14ac:dyDescent="0.25">
      <c r="A782" s="1" t="s">
        <v>4</v>
      </c>
      <c r="B782" s="2" t="s">
        <v>336</v>
      </c>
      <c r="C782" s="5"/>
      <c r="D782" s="5" t="s">
        <v>464</v>
      </c>
      <c r="E782" s="3" t="s">
        <v>465</v>
      </c>
      <c r="F782" s="3">
        <v>147500</v>
      </c>
      <c r="G782" s="57" t="s">
        <v>465</v>
      </c>
      <c r="H782" s="19"/>
      <c r="I782" s="19"/>
      <c r="J782" s="5"/>
    </row>
    <row r="783" spans="1:10" x14ac:dyDescent="0.25">
      <c r="A783" s="1" t="s">
        <v>39</v>
      </c>
      <c r="B783" s="2" t="s">
        <v>364</v>
      </c>
      <c r="C783" s="5"/>
      <c r="D783" s="5" t="s">
        <v>464</v>
      </c>
      <c r="E783" s="3" t="s">
        <v>465</v>
      </c>
      <c r="F783" s="3">
        <v>147500</v>
      </c>
      <c r="G783" s="57" t="s">
        <v>465</v>
      </c>
      <c r="H783" s="19"/>
      <c r="I783" s="19"/>
      <c r="J783" s="5"/>
    </row>
    <row r="784" spans="1:10" x14ac:dyDescent="0.25">
      <c r="A784" s="1" t="s">
        <v>39</v>
      </c>
      <c r="B784" s="2" t="s">
        <v>370</v>
      </c>
      <c r="C784" s="5"/>
      <c r="D784" s="5" t="s">
        <v>464</v>
      </c>
      <c r="E784" s="3" t="s">
        <v>465</v>
      </c>
      <c r="F784" s="3">
        <v>147500</v>
      </c>
      <c r="G784" s="57" t="s">
        <v>465</v>
      </c>
      <c r="H784" s="19"/>
      <c r="I784" s="19"/>
      <c r="J784" s="5"/>
    </row>
    <row r="785" spans="1:10" x14ac:dyDescent="0.25">
      <c r="A785" s="1" t="s">
        <v>39</v>
      </c>
      <c r="B785" s="2" t="s">
        <v>409</v>
      </c>
      <c r="C785" s="5"/>
      <c r="D785" s="5" t="s">
        <v>587</v>
      </c>
      <c r="E785" s="3" t="s">
        <v>465</v>
      </c>
      <c r="F785" s="3">
        <v>147500</v>
      </c>
      <c r="G785" s="57" t="s">
        <v>465</v>
      </c>
      <c r="H785" s="19"/>
      <c r="I785" s="19"/>
      <c r="J785" s="5" t="s">
        <v>540</v>
      </c>
    </row>
    <row r="786" spans="1:10" x14ac:dyDescent="0.25">
      <c r="A786" s="1" t="s">
        <v>39</v>
      </c>
      <c r="B786" s="2" t="s">
        <v>433</v>
      </c>
      <c r="C786" s="5"/>
      <c r="D786" s="7" t="s">
        <v>464</v>
      </c>
      <c r="E786" s="3" t="s">
        <v>465</v>
      </c>
      <c r="F786" s="3">
        <v>147500</v>
      </c>
      <c r="G786" s="57" t="s">
        <v>465</v>
      </c>
      <c r="H786" s="19"/>
      <c r="I786" s="19"/>
      <c r="J786" s="5" t="s">
        <v>539</v>
      </c>
    </row>
    <row r="787" spans="1:10" x14ac:dyDescent="0.25">
      <c r="A787" s="1" t="s">
        <v>4</v>
      </c>
      <c r="B787" s="2" t="s">
        <v>377</v>
      </c>
      <c r="C787" s="5" t="s">
        <v>736</v>
      </c>
      <c r="D787" s="5" t="s">
        <v>737</v>
      </c>
      <c r="E787" s="3">
        <v>147647</v>
      </c>
      <c r="F787" s="3">
        <v>147447</v>
      </c>
      <c r="G787" s="57">
        <v>-1.3545822129809614E-3</v>
      </c>
      <c r="H787" s="19"/>
      <c r="I787" s="19"/>
      <c r="J787" s="5" t="s">
        <v>2531</v>
      </c>
    </row>
    <row r="788" spans="1:10" ht="26.25" x14ac:dyDescent="0.25">
      <c r="A788" s="1" t="s">
        <v>25</v>
      </c>
      <c r="B788" s="2" t="s">
        <v>379</v>
      </c>
      <c r="C788" s="5"/>
      <c r="D788" s="5" t="s">
        <v>496</v>
      </c>
      <c r="E788" s="3" t="s">
        <v>465</v>
      </c>
      <c r="F788" s="3">
        <v>147331</v>
      </c>
      <c r="G788" s="57" t="s">
        <v>465</v>
      </c>
      <c r="H788" s="19"/>
      <c r="I788" s="19"/>
      <c r="J788" s="5" t="s">
        <v>4478</v>
      </c>
    </row>
    <row r="789" spans="1:10" ht="26.25" x14ac:dyDescent="0.25">
      <c r="A789" s="1" t="s">
        <v>4</v>
      </c>
      <c r="B789" s="2" t="s">
        <v>356</v>
      </c>
      <c r="C789" s="5" t="s">
        <v>828</v>
      </c>
      <c r="D789" s="5" t="s">
        <v>829</v>
      </c>
      <c r="E789" s="3">
        <v>142512</v>
      </c>
      <c r="F789" s="3">
        <v>147324</v>
      </c>
      <c r="G789" s="57">
        <v>3.3765577635567534E-2</v>
      </c>
      <c r="H789" s="19"/>
      <c r="I789" s="19"/>
      <c r="J789" s="5" t="s">
        <v>2653</v>
      </c>
    </row>
    <row r="790" spans="1:10" x14ac:dyDescent="0.25">
      <c r="A790" s="1" t="s">
        <v>39</v>
      </c>
      <c r="B790" s="2" t="s">
        <v>435</v>
      </c>
      <c r="C790" s="5"/>
      <c r="D790" s="5" t="s">
        <v>475</v>
      </c>
      <c r="E790" s="3">
        <v>146421</v>
      </c>
      <c r="F790" s="3">
        <v>147291</v>
      </c>
      <c r="G790" s="57">
        <v>5.9417706476530005E-3</v>
      </c>
      <c r="H790" s="19"/>
      <c r="I790" s="19"/>
      <c r="J790" s="5" t="s">
        <v>2270</v>
      </c>
    </row>
    <row r="791" spans="1:10" ht="26.25" x14ac:dyDescent="0.25">
      <c r="A791" s="1" t="s">
        <v>25</v>
      </c>
      <c r="B791" s="2" t="s">
        <v>178</v>
      </c>
      <c r="C791" s="5"/>
      <c r="D791" s="5" t="s">
        <v>1505</v>
      </c>
      <c r="E791" s="9">
        <v>145555</v>
      </c>
      <c r="F791" s="9">
        <v>147275</v>
      </c>
      <c r="G791" s="57">
        <v>1.1816838995568686E-2</v>
      </c>
      <c r="H791" s="19"/>
      <c r="I791" s="19"/>
      <c r="J791" s="5" t="s">
        <v>3564</v>
      </c>
    </row>
    <row r="792" spans="1:10" ht="26.25" x14ac:dyDescent="0.25">
      <c r="A792" s="1" t="s">
        <v>39</v>
      </c>
      <c r="B792" s="2" t="s">
        <v>335</v>
      </c>
      <c r="C792" s="5"/>
      <c r="D792" s="5" t="s">
        <v>855</v>
      </c>
      <c r="E792" s="3">
        <v>139890</v>
      </c>
      <c r="F792" s="3">
        <v>147265</v>
      </c>
      <c r="G792" s="57">
        <v>5.2719994281220962E-2</v>
      </c>
      <c r="H792" s="19"/>
      <c r="I792" s="19"/>
      <c r="J792" s="5" t="s">
        <v>2741</v>
      </c>
    </row>
    <row r="793" spans="1:10" ht="26.25" x14ac:dyDescent="0.25">
      <c r="A793" s="1" t="s">
        <v>8</v>
      </c>
      <c r="B793" s="2" t="s">
        <v>222</v>
      </c>
      <c r="C793" s="5"/>
      <c r="D793" s="5" t="s">
        <v>4665</v>
      </c>
      <c r="E793" s="3">
        <v>140209</v>
      </c>
      <c r="F793" s="3">
        <v>147261</v>
      </c>
      <c r="G793" s="57">
        <v>5.029634331604961E-2</v>
      </c>
      <c r="H793" s="19"/>
      <c r="I793" s="19"/>
      <c r="J793" s="5" t="s">
        <v>3262</v>
      </c>
    </row>
    <row r="794" spans="1:10" ht="26.25" x14ac:dyDescent="0.25">
      <c r="A794" s="1" t="s">
        <v>28</v>
      </c>
      <c r="B794" s="2" t="s">
        <v>269</v>
      </c>
      <c r="C794" s="5"/>
      <c r="D794" s="5" t="s">
        <v>1139</v>
      </c>
      <c r="E794" s="3">
        <v>125293</v>
      </c>
      <c r="F794" s="3">
        <v>147238</v>
      </c>
      <c r="G794" s="57">
        <v>0.17514944968992682</v>
      </c>
      <c r="H794" s="19"/>
      <c r="I794" s="19"/>
      <c r="J794" s="5" t="s">
        <v>3060</v>
      </c>
    </row>
    <row r="795" spans="1:10" ht="26.25" x14ac:dyDescent="0.25">
      <c r="A795" s="1" t="s">
        <v>20</v>
      </c>
      <c r="B795" s="2" t="s">
        <v>35</v>
      </c>
      <c r="C795" s="1"/>
      <c r="D795" s="5" t="s">
        <v>938</v>
      </c>
      <c r="E795" s="3">
        <v>128734</v>
      </c>
      <c r="F795" s="3">
        <v>147066</v>
      </c>
      <c r="G795" s="57">
        <v>0.14240216259884725</v>
      </c>
      <c r="H795" s="19"/>
      <c r="I795" s="19"/>
      <c r="J795" s="5" t="s">
        <v>1749</v>
      </c>
    </row>
    <row r="796" spans="1:10" ht="26.25" x14ac:dyDescent="0.25">
      <c r="A796" s="1" t="s">
        <v>34</v>
      </c>
      <c r="B796" s="2" t="s">
        <v>298</v>
      </c>
      <c r="C796" s="5"/>
      <c r="D796" s="5" t="s">
        <v>450</v>
      </c>
      <c r="E796" s="3">
        <v>146983</v>
      </c>
      <c r="F796" s="3">
        <v>147020</v>
      </c>
      <c r="G796" s="57">
        <v>2.5172979188069368E-4</v>
      </c>
      <c r="H796" s="19"/>
      <c r="I796" s="19"/>
      <c r="J796" s="5" t="s">
        <v>2862</v>
      </c>
    </row>
    <row r="797" spans="1:10" ht="26.25" x14ac:dyDescent="0.25">
      <c r="A797" s="1" t="s">
        <v>44</v>
      </c>
      <c r="B797" s="2" t="s">
        <v>309</v>
      </c>
      <c r="C797" s="5"/>
      <c r="D797" s="5" t="s">
        <v>945</v>
      </c>
      <c r="E797" s="3">
        <v>147000</v>
      </c>
      <c r="F797" s="3">
        <v>147000</v>
      </c>
      <c r="G797" s="57">
        <v>0</v>
      </c>
      <c r="H797" s="19"/>
      <c r="I797" s="19"/>
      <c r="J797" s="5" t="s">
        <v>2818</v>
      </c>
    </row>
    <row r="798" spans="1:10" ht="26.25" x14ac:dyDescent="0.25">
      <c r="A798" s="1" t="s">
        <v>4</v>
      </c>
      <c r="B798" s="2" t="s">
        <v>390</v>
      </c>
      <c r="C798" s="5"/>
      <c r="D798" s="5" t="s">
        <v>450</v>
      </c>
      <c r="E798" s="3">
        <v>148000</v>
      </c>
      <c r="F798" s="3">
        <v>147000</v>
      </c>
      <c r="G798" s="57">
        <v>-6.7567567567567571E-3</v>
      </c>
      <c r="H798" s="19"/>
      <c r="I798" s="19"/>
      <c r="J798" s="5" t="s">
        <v>2481</v>
      </c>
    </row>
    <row r="799" spans="1:10" ht="26.25" x14ac:dyDescent="0.25">
      <c r="A799" s="1" t="s">
        <v>25</v>
      </c>
      <c r="B799" s="2" t="s">
        <v>405</v>
      </c>
      <c r="C799" s="5"/>
      <c r="D799" s="5" t="s">
        <v>644</v>
      </c>
      <c r="E799" s="3">
        <v>117674</v>
      </c>
      <c r="F799" s="3">
        <v>146994</v>
      </c>
      <c r="G799" s="57">
        <v>0.24916294168635383</v>
      </c>
      <c r="H799" s="19"/>
      <c r="I799" s="19"/>
      <c r="J799" s="5" t="s">
        <v>2415</v>
      </c>
    </row>
    <row r="800" spans="1:10" ht="39" x14ac:dyDescent="0.25">
      <c r="A800" s="1" t="s">
        <v>39</v>
      </c>
      <c r="B800" s="2" t="s">
        <v>337</v>
      </c>
      <c r="C800" s="5"/>
      <c r="D800" s="5" t="s">
        <v>873</v>
      </c>
      <c r="E800" s="3">
        <v>78140</v>
      </c>
      <c r="F800" s="3">
        <v>146883</v>
      </c>
      <c r="G800" s="57">
        <v>0.87974148963399024</v>
      </c>
      <c r="H800" s="19"/>
      <c r="I800" s="19"/>
      <c r="J800" s="5" t="s">
        <v>4446</v>
      </c>
    </row>
    <row r="801" spans="1:10" ht="26.25" x14ac:dyDescent="0.25">
      <c r="A801" s="1" t="s">
        <v>39</v>
      </c>
      <c r="B801" s="2" t="s">
        <v>364</v>
      </c>
      <c r="C801" s="5"/>
      <c r="D801" s="5" t="s">
        <v>562</v>
      </c>
      <c r="E801" s="9" t="s">
        <v>465</v>
      </c>
      <c r="F801" s="9">
        <v>146882</v>
      </c>
      <c r="G801" s="57" t="s">
        <v>465</v>
      </c>
      <c r="H801" s="19"/>
      <c r="I801" s="19"/>
      <c r="J801" s="5" t="s">
        <v>2606</v>
      </c>
    </row>
    <row r="802" spans="1:10" ht="26.25" x14ac:dyDescent="0.25">
      <c r="A802" s="1" t="s">
        <v>39</v>
      </c>
      <c r="B802" s="2" t="s">
        <v>409</v>
      </c>
      <c r="C802" s="5"/>
      <c r="D802" s="5" t="s">
        <v>602</v>
      </c>
      <c r="E802" s="3">
        <v>146632</v>
      </c>
      <c r="F802" s="3">
        <v>146876</v>
      </c>
      <c r="G802" s="57">
        <v>1.6640296797424846E-3</v>
      </c>
      <c r="H802" s="19"/>
      <c r="I802" s="19"/>
      <c r="J802" s="5" t="s">
        <v>2381</v>
      </c>
    </row>
    <row r="803" spans="1:10" ht="115.5" x14ac:dyDescent="0.25">
      <c r="A803" s="1" t="s">
        <v>6</v>
      </c>
      <c r="B803" s="2" t="s">
        <v>329</v>
      </c>
      <c r="C803" s="5"/>
      <c r="D803" s="7" t="s">
        <v>895</v>
      </c>
      <c r="E803" s="6" t="s">
        <v>465</v>
      </c>
      <c r="F803" s="6">
        <v>146784</v>
      </c>
      <c r="G803" s="57" t="s">
        <v>465</v>
      </c>
      <c r="H803" s="19"/>
      <c r="I803" s="19"/>
      <c r="J803" s="5" t="s">
        <v>4443</v>
      </c>
    </row>
    <row r="804" spans="1:10" ht="128.25" x14ac:dyDescent="0.25">
      <c r="A804" s="1" t="s">
        <v>6</v>
      </c>
      <c r="B804" s="2" t="s">
        <v>329</v>
      </c>
      <c r="C804" s="5"/>
      <c r="D804" s="7" t="s">
        <v>896</v>
      </c>
      <c r="E804" s="6" t="s">
        <v>465</v>
      </c>
      <c r="F804" s="6">
        <v>146737</v>
      </c>
      <c r="G804" s="57" t="s">
        <v>465</v>
      </c>
      <c r="H804" s="19"/>
      <c r="I804" s="19"/>
      <c r="J804" s="5" t="s">
        <v>4444</v>
      </c>
    </row>
    <row r="805" spans="1:10" ht="26.25" x14ac:dyDescent="0.25">
      <c r="A805" s="1" t="s">
        <v>25</v>
      </c>
      <c r="B805" s="2" t="s">
        <v>174</v>
      </c>
      <c r="C805" s="5" t="s">
        <v>1523</v>
      </c>
      <c r="D805" s="5" t="s">
        <v>1524</v>
      </c>
      <c r="E805" s="9">
        <v>85573</v>
      </c>
      <c r="F805" s="9">
        <v>146696</v>
      </c>
      <c r="G805" s="57">
        <v>0.71427903661201553</v>
      </c>
      <c r="H805" s="19"/>
      <c r="I805" s="19"/>
      <c r="J805" s="5" t="s">
        <v>3588</v>
      </c>
    </row>
    <row r="806" spans="1:10" ht="26.25" x14ac:dyDescent="0.25">
      <c r="A806" s="1" t="s">
        <v>25</v>
      </c>
      <c r="B806" s="2" t="s">
        <v>174</v>
      </c>
      <c r="C806" s="5" t="s">
        <v>1525</v>
      </c>
      <c r="D806" s="5" t="s">
        <v>1526</v>
      </c>
      <c r="E806" s="9">
        <v>147124</v>
      </c>
      <c r="F806" s="9">
        <v>146696</v>
      </c>
      <c r="G806" s="57">
        <v>-2.9091106821456732E-3</v>
      </c>
      <c r="H806" s="19"/>
      <c r="I806" s="19"/>
      <c r="J806" s="5" t="s">
        <v>3586</v>
      </c>
    </row>
    <row r="807" spans="1:10" ht="26.25" x14ac:dyDescent="0.25">
      <c r="A807" s="1" t="s">
        <v>25</v>
      </c>
      <c r="B807" s="2" t="s">
        <v>174</v>
      </c>
      <c r="C807" s="5" t="s">
        <v>1529</v>
      </c>
      <c r="D807" s="5" t="s">
        <v>1530</v>
      </c>
      <c r="E807" s="9">
        <v>146946</v>
      </c>
      <c r="F807" s="9">
        <v>146696</v>
      </c>
      <c r="G807" s="57">
        <v>-1.7013052413811876E-3</v>
      </c>
      <c r="H807" s="19"/>
      <c r="I807" s="19"/>
      <c r="J807" s="5" t="s">
        <v>3586</v>
      </c>
    </row>
    <row r="808" spans="1:10" ht="26.25" x14ac:dyDescent="0.25">
      <c r="A808" s="1" t="s">
        <v>25</v>
      </c>
      <c r="B808" s="2" t="s">
        <v>174</v>
      </c>
      <c r="C808" s="5" t="s">
        <v>1531</v>
      </c>
      <c r="D808" s="5" t="s">
        <v>1532</v>
      </c>
      <c r="E808" s="9">
        <v>147076</v>
      </c>
      <c r="F808" s="9">
        <v>146696</v>
      </c>
      <c r="G808" s="57">
        <v>-2.5836982240474314E-3</v>
      </c>
      <c r="H808" s="19"/>
      <c r="I808" s="19"/>
      <c r="J808" s="5" t="s">
        <v>3586</v>
      </c>
    </row>
    <row r="809" spans="1:10" ht="26.25" x14ac:dyDescent="0.25">
      <c r="A809" s="1" t="s">
        <v>25</v>
      </c>
      <c r="B809" s="2" t="s">
        <v>174</v>
      </c>
      <c r="C809" s="5" t="s">
        <v>1535</v>
      </c>
      <c r="D809" s="5" t="s">
        <v>1536</v>
      </c>
      <c r="E809" s="9">
        <v>146904</v>
      </c>
      <c r="F809" s="9">
        <v>146696</v>
      </c>
      <c r="G809" s="57">
        <v>-1.415890649675979E-3</v>
      </c>
      <c r="H809" s="19"/>
      <c r="I809" s="19"/>
      <c r="J809" s="5" t="s">
        <v>3586</v>
      </c>
    </row>
    <row r="810" spans="1:10" ht="26.25" x14ac:dyDescent="0.25">
      <c r="A810" s="1" t="s">
        <v>25</v>
      </c>
      <c r="B810" s="2" t="s">
        <v>174</v>
      </c>
      <c r="C810" s="5" t="s">
        <v>1537</v>
      </c>
      <c r="D810" s="5" t="s">
        <v>1538</v>
      </c>
      <c r="E810" s="9">
        <v>123240</v>
      </c>
      <c r="F810" s="9">
        <v>146696</v>
      </c>
      <c r="G810" s="57">
        <v>0.19032781564427134</v>
      </c>
      <c r="H810" s="19"/>
      <c r="I810" s="19"/>
      <c r="J810" s="5" t="s">
        <v>3586</v>
      </c>
    </row>
    <row r="811" spans="1:10" ht="26.25" x14ac:dyDescent="0.25">
      <c r="A811" s="1" t="s">
        <v>28</v>
      </c>
      <c r="B811" s="2" t="s">
        <v>269</v>
      </c>
      <c r="C811" s="5"/>
      <c r="D811" s="5" t="s">
        <v>1140</v>
      </c>
      <c r="E811" s="3">
        <v>131974</v>
      </c>
      <c r="F811" s="3">
        <v>146626</v>
      </c>
      <c r="G811" s="57">
        <v>0.11102186794368588</v>
      </c>
      <c r="H811" s="19"/>
      <c r="I811" s="19"/>
      <c r="J811" s="5" t="s">
        <v>3061</v>
      </c>
    </row>
    <row r="812" spans="1:10" ht="39" x14ac:dyDescent="0.25">
      <c r="A812" s="1" t="s">
        <v>28</v>
      </c>
      <c r="B812" s="2" t="s">
        <v>215</v>
      </c>
      <c r="C812" s="5"/>
      <c r="D812" s="5" t="s">
        <v>1319</v>
      </c>
      <c r="E812" s="3">
        <v>59760</v>
      </c>
      <c r="F812" s="3">
        <v>146605</v>
      </c>
      <c r="G812" s="57">
        <v>1.4532295850066934</v>
      </c>
      <c r="H812" s="19"/>
      <c r="I812" s="19"/>
      <c r="J812" s="5" t="s">
        <v>3310</v>
      </c>
    </row>
    <row r="813" spans="1:10" ht="26.25" x14ac:dyDescent="0.25">
      <c r="A813" s="1" t="s">
        <v>20</v>
      </c>
      <c r="B813" s="2" t="s">
        <v>349</v>
      </c>
      <c r="C813" s="5"/>
      <c r="D813" s="5" t="s">
        <v>450</v>
      </c>
      <c r="E813" s="3">
        <v>133469</v>
      </c>
      <c r="F813" s="3">
        <v>146498</v>
      </c>
      <c r="G813" s="57">
        <v>9.7618173508455142E-2</v>
      </c>
      <c r="H813" s="19"/>
      <c r="I813" s="19"/>
      <c r="J813" s="5" t="s">
        <v>2681</v>
      </c>
    </row>
    <row r="814" spans="1:10" ht="26.25" x14ac:dyDescent="0.25">
      <c r="A814" s="1" t="s">
        <v>28</v>
      </c>
      <c r="B814" s="2" t="s">
        <v>269</v>
      </c>
      <c r="C814" s="5"/>
      <c r="D814" s="5" t="s">
        <v>1141</v>
      </c>
      <c r="E814" s="3">
        <v>146334</v>
      </c>
      <c r="F814" s="3">
        <v>146168</v>
      </c>
      <c r="G814" s="57">
        <v>-1.1343911872838848E-3</v>
      </c>
      <c r="H814" s="19"/>
      <c r="I814" s="19"/>
      <c r="J814" s="5" t="s">
        <v>3062</v>
      </c>
    </row>
    <row r="815" spans="1:10" ht="26.25" x14ac:dyDescent="0.25">
      <c r="A815" s="1" t="s">
        <v>6</v>
      </c>
      <c r="B815" s="2" t="s">
        <v>407</v>
      </c>
      <c r="C815" s="5"/>
      <c r="D815" s="5" t="s">
        <v>606</v>
      </c>
      <c r="E815" s="3">
        <v>36000</v>
      </c>
      <c r="F815" s="3">
        <v>146091</v>
      </c>
      <c r="G815" s="57">
        <v>3.0580833333333333</v>
      </c>
      <c r="H815" s="19"/>
      <c r="I815" s="19"/>
      <c r="J815" s="5" t="s">
        <v>4525</v>
      </c>
    </row>
    <row r="816" spans="1:10" ht="39" x14ac:dyDescent="0.25">
      <c r="A816" s="1" t="s">
        <v>25</v>
      </c>
      <c r="B816" s="2" t="s">
        <v>93</v>
      </c>
      <c r="C816" s="1"/>
      <c r="D816" s="5" t="s">
        <v>3840</v>
      </c>
      <c r="E816" s="3">
        <v>15000</v>
      </c>
      <c r="F816" s="3">
        <v>146000</v>
      </c>
      <c r="G816" s="57">
        <v>8.7333333333333325</v>
      </c>
      <c r="H816" s="19"/>
      <c r="I816" s="19"/>
      <c r="J816" s="5" t="s">
        <v>4235</v>
      </c>
    </row>
    <row r="817" spans="1:10" x14ac:dyDescent="0.25">
      <c r="A817" s="1" t="s">
        <v>8</v>
      </c>
      <c r="B817" s="2" t="s">
        <v>281</v>
      </c>
      <c r="C817" s="5"/>
      <c r="D817" s="5" t="s">
        <v>604</v>
      </c>
      <c r="E817" s="10" t="s">
        <v>465</v>
      </c>
      <c r="F817" s="3">
        <v>146000</v>
      </c>
      <c r="G817" s="57" t="s">
        <v>465</v>
      </c>
      <c r="H817" s="19"/>
      <c r="I817" s="19"/>
      <c r="J817" s="5" t="s">
        <v>2988</v>
      </c>
    </row>
    <row r="818" spans="1:10" x14ac:dyDescent="0.25">
      <c r="A818" s="1" t="s">
        <v>8</v>
      </c>
      <c r="B818" s="2" t="s">
        <v>281</v>
      </c>
      <c r="C818" s="5"/>
      <c r="D818" s="5" t="s">
        <v>1078</v>
      </c>
      <c r="E818" s="10">
        <v>128000</v>
      </c>
      <c r="F818" s="3">
        <v>146000</v>
      </c>
      <c r="G818" s="57">
        <v>0.140625</v>
      </c>
      <c r="H818" s="19"/>
      <c r="I818" s="19"/>
      <c r="J818" s="5" t="s">
        <v>2989</v>
      </c>
    </row>
    <row r="819" spans="1:10" x14ac:dyDescent="0.25">
      <c r="A819" s="1" t="s">
        <v>34</v>
      </c>
      <c r="B819" s="2" t="s">
        <v>343</v>
      </c>
      <c r="C819" s="5"/>
      <c r="D819" s="5" t="s">
        <v>854</v>
      </c>
      <c r="E819" s="3">
        <v>142262</v>
      </c>
      <c r="F819" s="3">
        <v>145987</v>
      </c>
      <c r="G819" s="57">
        <v>2.6184082889316895E-2</v>
      </c>
      <c r="H819" s="19"/>
      <c r="I819" s="19"/>
      <c r="J819" s="5" t="s">
        <v>2700</v>
      </c>
    </row>
    <row r="820" spans="1:10" x14ac:dyDescent="0.25">
      <c r="A820" s="1" t="s">
        <v>34</v>
      </c>
      <c r="B820" s="2" t="s">
        <v>343</v>
      </c>
      <c r="C820" s="5"/>
      <c r="D820" s="5" t="s">
        <v>789</v>
      </c>
      <c r="E820" s="3">
        <v>142334</v>
      </c>
      <c r="F820" s="3">
        <v>145987</v>
      </c>
      <c r="G820" s="57">
        <v>2.5664985175713462E-2</v>
      </c>
      <c r="H820" s="19"/>
      <c r="I820" s="19"/>
      <c r="J820" s="5" t="s">
        <v>2700</v>
      </c>
    </row>
    <row r="821" spans="1:10" ht="51.75" x14ac:dyDescent="0.25">
      <c r="A821" s="1" t="s">
        <v>39</v>
      </c>
      <c r="B821" s="12" t="s">
        <v>365</v>
      </c>
      <c r="C821" s="5"/>
      <c r="D821" s="5" t="s">
        <v>784</v>
      </c>
      <c r="E821" s="3">
        <v>138276</v>
      </c>
      <c r="F821" s="3">
        <v>145927</v>
      </c>
      <c r="G821" s="57">
        <v>5.5331366253001245E-2</v>
      </c>
      <c r="H821" s="19"/>
      <c r="I821" s="19"/>
      <c r="J821" s="5" t="s">
        <v>2591</v>
      </c>
    </row>
    <row r="822" spans="1:10" ht="26.25" x14ac:dyDescent="0.25">
      <c r="A822" s="1" t="s">
        <v>111</v>
      </c>
      <c r="B822" s="2" t="s">
        <v>128</v>
      </c>
      <c r="C822" s="1"/>
      <c r="D822" s="5" t="s">
        <v>451</v>
      </c>
      <c r="E822" s="3">
        <v>145251</v>
      </c>
      <c r="F822" s="3">
        <v>145891</v>
      </c>
      <c r="G822" s="57">
        <v>4.4061658783760525E-3</v>
      </c>
      <c r="H822" s="19"/>
      <c r="I822" s="19"/>
      <c r="J822" s="5" t="s">
        <v>3946</v>
      </c>
    </row>
    <row r="823" spans="1:10" x14ac:dyDescent="0.25">
      <c r="A823" s="1" t="s">
        <v>25</v>
      </c>
      <c r="B823" s="12" t="s">
        <v>197</v>
      </c>
      <c r="C823" s="5"/>
      <c r="D823" s="5" t="s">
        <v>1402</v>
      </c>
      <c r="E823" s="9">
        <v>136904</v>
      </c>
      <c r="F823" s="9">
        <v>145891</v>
      </c>
      <c r="G823" s="57">
        <v>6.564453923917489E-2</v>
      </c>
      <c r="H823" s="19"/>
      <c r="I823" s="19"/>
      <c r="J823" s="5" t="s">
        <v>3447</v>
      </c>
    </row>
    <row r="824" spans="1:10" x14ac:dyDescent="0.25">
      <c r="A824" s="1" t="s">
        <v>8</v>
      </c>
      <c r="B824" s="2" t="s">
        <v>278</v>
      </c>
      <c r="C824" s="5"/>
      <c r="D824" s="5" t="s">
        <v>450</v>
      </c>
      <c r="E824" s="3">
        <v>142374</v>
      </c>
      <c r="F824" s="3">
        <v>145856</v>
      </c>
      <c r="G824" s="57">
        <v>2.4456712602020033E-2</v>
      </c>
      <c r="H824" s="19"/>
      <c r="I824" s="19"/>
      <c r="J824" s="5" t="s">
        <v>3011</v>
      </c>
    </row>
    <row r="825" spans="1:10" ht="51.75" x14ac:dyDescent="0.25">
      <c r="A825" s="1" t="s">
        <v>39</v>
      </c>
      <c r="B825" s="2" t="s">
        <v>370</v>
      </c>
      <c r="C825" s="5"/>
      <c r="D825" s="5" t="s">
        <v>764</v>
      </c>
      <c r="E825" s="3" t="s">
        <v>465</v>
      </c>
      <c r="F825" s="3">
        <v>145791</v>
      </c>
      <c r="G825" s="57" t="s">
        <v>465</v>
      </c>
      <c r="H825" s="19"/>
      <c r="I825" s="19"/>
      <c r="J825" s="5" t="s">
        <v>2880</v>
      </c>
    </row>
    <row r="826" spans="1:10" ht="26.25" x14ac:dyDescent="0.25">
      <c r="A826" s="1" t="s">
        <v>6</v>
      </c>
      <c r="B826" s="2" t="s">
        <v>430</v>
      </c>
      <c r="C826" s="5"/>
      <c r="D826" s="5" t="s">
        <v>505</v>
      </c>
      <c r="E826" s="3" t="s">
        <v>465</v>
      </c>
      <c r="F826" s="3">
        <v>145766</v>
      </c>
      <c r="G826" s="57" t="s">
        <v>465</v>
      </c>
      <c r="H826" s="19"/>
      <c r="I826" s="19"/>
      <c r="J826" s="5" t="s">
        <v>2294</v>
      </c>
    </row>
    <row r="827" spans="1:10" ht="39" x14ac:dyDescent="0.25">
      <c r="A827" s="1" t="s">
        <v>4</v>
      </c>
      <c r="B827" s="2" t="s">
        <v>421</v>
      </c>
      <c r="C827" s="5"/>
      <c r="D827" s="5" t="s">
        <v>450</v>
      </c>
      <c r="E827" s="3">
        <v>142763</v>
      </c>
      <c r="F827" s="3">
        <v>145744</v>
      </c>
      <c r="G827" s="57">
        <v>2.0880760421117518E-2</v>
      </c>
      <c r="H827" s="19"/>
      <c r="I827" s="19"/>
      <c r="J827" s="5" t="s">
        <v>2353</v>
      </c>
    </row>
    <row r="828" spans="1:10" ht="51.75" x14ac:dyDescent="0.25">
      <c r="A828" s="13" t="s">
        <v>1</v>
      </c>
      <c r="B828" s="2" t="s">
        <v>156</v>
      </c>
      <c r="C828" s="1" t="s">
        <v>1607</v>
      </c>
      <c r="D828" s="5" t="s">
        <v>4028</v>
      </c>
      <c r="E828" s="3">
        <v>107274</v>
      </c>
      <c r="F828" s="3">
        <v>145699</v>
      </c>
      <c r="G828" s="57">
        <v>0.35819490277234001</v>
      </c>
      <c r="H828" s="19"/>
      <c r="I828" s="19"/>
      <c r="J828" s="5" t="s">
        <v>4326</v>
      </c>
    </row>
    <row r="829" spans="1:10" ht="26.25" x14ac:dyDescent="0.25">
      <c r="A829" s="1" t="s">
        <v>1</v>
      </c>
      <c r="B829" s="2" t="s">
        <v>130</v>
      </c>
      <c r="C829" s="1" t="s">
        <v>2085</v>
      </c>
      <c r="D829" s="5" t="s">
        <v>450</v>
      </c>
      <c r="E829" s="3">
        <v>145753</v>
      </c>
      <c r="F829" s="3">
        <v>145638</v>
      </c>
      <c r="G829" s="57">
        <v>-7.8900605819434244E-4</v>
      </c>
      <c r="H829" s="19"/>
      <c r="I829" s="19"/>
      <c r="J829" s="5" t="s">
        <v>3949</v>
      </c>
    </row>
    <row r="830" spans="1:10" ht="26.25" x14ac:dyDescent="0.25">
      <c r="A830" s="1" t="s">
        <v>4</v>
      </c>
      <c r="B830" s="2" t="s">
        <v>336</v>
      </c>
      <c r="C830" s="5"/>
      <c r="D830" s="5" t="s">
        <v>876</v>
      </c>
      <c r="E830" s="3">
        <v>149540</v>
      </c>
      <c r="F830" s="3">
        <v>145610</v>
      </c>
      <c r="G830" s="57">
        <v>-2.6280593821051225E-2</v>
      </c>
      <c r="H830" s="19"/>
      <c r="I830" s="19"/>
      <c r="J830" s="5" t="s">
        <v>2732</v>
      </c>
    </row>
    <row r="831" spans="1:10" ht="26.25" x14ac:dyDescent="0.25">
      <c r="A831" s="1" t="s">
        <v>4</v>
      </c>
      <c r="B831" s="2" t="s">
        <v>423</v>
      </c>
      <c r="C831" s="5"/>
      <c r="D831" s="5" t="s">
        <v>559</v>
      </c>
      <c r="E831" s="6">
        <v>145560</v>
      </c>
      <c r="F831" s="3">
        <v>145560</v>
      </c>
      <c r="G831" s="57">
        <v>0</v>
      </c>
      <c r="H831" s="19"/>
      <c r="I831" s="19"/>
      <c r="J831" s="5" t="s">
        <v>2339</v>
      </c>
    </row>
    <row r="832" spans="1:10" ht="39" x14ac:dyDescent="0.25">
      <c r="A832" s="1" t="s">
        <v>34</v>
      </c>
      <c r="B832" s="2" t="s">
        <v>241</v>
      </c>
      <c r="C832" s="5"/>
      <c r="D832" s="5" t="s">
        <v>1212</v>
      </c>
      <c r="E832" s="3">
        <v>90708</v>
      </c>
      <c r="F832" s="3">
        <v>145404</v>
      </c>
      <c r="G832" s="57">
        <v>0.60298981346738989</v>
      </c>
      <c r="H832" s="19"/>
      <c r="I832" s="19"/>
      <c r="J832" s="5" t="s">
        <v>4363</v>
      </c>
    </row>
    <row r="833" spans="1:10" ht="26.25" x14ac:dyDescent="0.25">
      <c r="A833" s="1" t="s">
        <v>1</v>
      </c>
      <c r="B833" s="2" t="s">
        <v>135</v>
      </c>
      <c r="C833" s="1" t="s">
        <v>1662</v>
      </c>
      <c r="D833" s="5" t="s">
        <v>450</v>
      </c>
      <c r="E833" s="3">
        <v>143504</v>
      </c>
      <c r="F833" s="3">
        <v>145386</v>
      </c>
      <c r="G833" s="57">
        <v>1.3114617014159884E-2</v>
      </c>
      <c r="H833" s="19"/>
      <c r="I833" s="19"/>
      <c r="J833" s="5" t="s">
        <v>3957</v>
      </c>
    </row>
    <row r="834" spans="1:10" ht="26.25" x14ac:dyDescent="0.25">
      <c r="A834" s="1" t="s">
        <v>4</v>
      </c>
      <c r="B834" s="2" t="s">
        <v>144</v>
      </c>
      <c r="C834" s="1"/>
      <c r="D834" s="5" t="s">
        <v>1644</v>
      </c>
      <c r="E834" s="3">
        <v>148505</v>
      </c>
      <c r="F834" s="3">
        <v>145386</v>
      </c>
      <c r="G834" s="57">
        <v>-2.1002659843102924E-2</v>
      </c>
      <c r="H834" s="19"/>
      <c r="I834" s="19"/>
      <c r="J834" s="5" t="s">
        <v>3991</v>
      </c>
    </row>
    <row r="835" spans="1:10" ht="26.25" x14ac:dyDescent="0.25">
      <c r="A835" s="1" t="s">
        <v>4</v>
      </c>
      <c r="B835" s="2" t="s">
        <v>336</v>
      </c>
      <c r="C835" s="5"/>
      <c r="D835" s="5" t="s">
        <v>515</v>
      </c>
      <c r="E835" s="3">
        <v>67360</v>
      </c>
      <c r="F835" s="3">
        <v>145380</v>
      </c>
      <c r="G835" s="57">
        <v>1.1582541567695963</v>
      </c>
      <c r="H835" s="19"/>
      <c r="I835" s="19"/>
      <c r="J835" s="5" t="s">
        <v>4425</v>
      </c>
    </row>
    <row r="836" spans="1:10" ht="26.25" x14ac:dyDescent="0.25">
      <c r="A836" s="1" t="s">
        <v>20</v>
      </c>
      <c r="B836" s="2" t="s">
        <v>69</v>
      </c>
      <c r="C836" s="1"/>
      <c r="D836" s="5" t="s">
        <v>1908</v>
      </c>
      <c r="E836" s="3">
        <v>140761</v>
      </c>
      <c r="F836" s="3">
        <v>145364</v>
      </c>
      <c r="G836" s="57">
        <v>3.2700819118932092E-2</v>
      </c>
      <c r="H836" s="19"/>
      <c r="I836" s="19"/>
      <c r="J836" s="5" t="s">
        <v>1909</v>
      </c>
    </row>
    <row r="837" spans="1:10" x14ac:dyDescent="0.25">
      <c r="A837" s="13" t="s">
        <v>20</v>
      </c>
      <c r="B837" s="12" t="s">
        <v>82</v>
      </c>
      <c r="C837" s="1"/>
      <c r="D837" s="5" t="s">
        <v>455</v>
      </c>
      <c r="E837" s="3">
        <v>144537</v>
      </c>
      <c r="F837" s="3">
        <v>145355</v>
      </c>
      <c r="G837" s="57">
        <v>5.6594505213198006E-3</v>
      </c>
      <c r="H837" s="19"/>
      <c r="I837" s="19"/>
      <c r="J837" s="5" t="s">
        <v>1999</v>
      </c>
    </row>
    <row r="838" spans="1:10" ht="39" x14ac:dyDescent="0.25">
      <c r="A838" s="1" t="s">
        <v>28</v>
      </c>
      <c r="B838" s="2" t="s">
        <v>332</v>
      </c>
      <c r="C838" s="5"/>
      <c r="D838" s="5" t="s">
        <v>887</v>
      </c>
      <c r="E838" s="3">
        <v>88625</v>
      </c>
      <c r="F838" s="3">
        <v>145218</v>
      </c>
      <c r="G838" s="57">
        <v>0.63856699576868825</v>
      </c>
      <c r="H838" s="19"/>
      <c r="I838" s="19"/>
      <c r="J838" s="5" t="s">
        <v>2753</v>
      </c>
    </row>
    <row r="839" spans="1:10" ht="26.25" x14ac:dyDescent="0.25">
      <c r="A839" s="1" t="s">
        <v>6</v>
      </c>
      <c r="B839" s="2" t="s">
        <v>216</v>
      </c>
      <c r="C839" s="5"/>
      <c r="D839" s="5" t="s">
        <v>1311</v>
      </c>
      <c r="E839" s="3">
        <v>144753</v>
      </c>
      <c r="F839" s="3">
        <v>145196</v>
      </c>
      <c r="G839" s="57">
        <v>3.0603856224050625E-3</v>
      </c>
      <c r="H839" s="19"/>
      <c r="I839" s="19"/>
      <c r="J839" s="5" t="s">
        <v>3300</v>
      </c>
    </row>
    <row r="840" spans="1:10" ht="39" x14ac:dyDescent="0.25">
      <c r="A840" s="1" t="s">
        <v>8</v>
      </c>
      <c r="B840" s="2" t="s">
        <v>345</v>
      </c>
      <c r="C840" s="5"/>
      <c r="D840" s="5" t="s">
        <v>4167</v>
      </c>
      <c r="E840" s="3">
        <v>139889</v>
      </c>
      <c r="F840" s="3">
        <v>145187</v>
      </c>
      <c r="G840" s="57">
        <v>3.7872884930194653E-2</v>
      </c>
      <c r="H840" s="19"/>
      <c r="I840" s="19"/>
      <c r="J840" s="5" t="s">
        <v>4458</v>
      </c>
    </row>
    <row r="841" spans="1:10" ht="39" x14ac:dyDescent="0.25">
      <c r="A841" s="1" t="s">
        <v>34</v>
      </c>
      <c r="B841" s="2" t="s">
        <v>101</v>
      </c>
      <c r="C841" s="1"/>
      <c r="D841" s="5" t="s">
        <v>2215</v>
      </c>
      <c r="E841" s="3">
        <v>77610</v>
      </c>
      <c r="F841" s="3">
        <v>145141</v>
      </c>
      <c r="G841" s="57">
        <v>0.87013271485633292</v>
      </c>
      <c r="H841" s="19"/>
      <c r="I841" s="19"/>
      <c r="J841" s="5" t="s">
        <v>4242</v>
      </c>
    </row>
    <row r="842" spans="1:10" ht="26.25" x14ac:dyDescent="0.25">
      <c r="A842" s="1" t="s">
        <v>4</v>
      </c>
      <c r="B842" s="2" t="s">
        <v>411</v>
      </c>
      <c r="C842" s="5"/>
      <c r="D842" s="5" t="s">
        <v>450</v>
      </c>
      <c r="E842" s="3">
        <v>144836</v>
      </c>
      <c r="F842" s="3">
        <v>145120</v>
      </c>
      <c r="G842" s="57">
        <v>1.9608384655748572E-3</v>
      </c>
      <c r="H842" s="19"/>
      <c r="I842" s="19"/>
      <c r="J842" s="5" t="s">
        <v>597</v>
      </c>
    </row>
    <row r="843" spans="1:10" ht="77.25" x14ac:dyDescent="0.25">
      <c r="A843" s="13" t="s">
        <v>1</v>
      </c>
      <c r="B843" s="2" t="s">
        <v>9</v>
      </c>
      <c r="C843" s="1" t="s">
        <v>1687</v>
      </c>
      <c r="D843" s="5" t="s">
        <v>450</v>
      </c>
      <c r="E843" s="3">
        <v>155422</v>
      </c>
      <c r="F843" s="3">
        <v>145076</v>
      </c>
      <c r="G843" s="57">
        <v>-6.6567152655351236E-2</v>
      </c>
      <c r="H843" s="19"/>
      <c r="I843" s="19"/>
      <c r="J843" s="5" t="s">
        <v>4085</v>
      </c>
    </row>
    <row r="844" spans="1:10" ht="26.25" x14ac:dyDescent="0.25">
      <c r="A844" s="1" t="s">
        <v>25</v>
      </c>
      <c r="B844" s="2" t="s">
        <v>174</v>
      </c>
      <c r="C844" s="5" t="s">
        <v>1527</v>
      </c>
      <c r="D844" s="5" t="s">
        <v>1528</v>
      </c>
      <c r="E844" s="9">
        <v>149113</v>
      </c>
      <c r="F844" s="9">
        <v>145032</v>
      </c>
      <c r="G844" s="57">
        <v>-2.7368505764084956E-2</v>
      </c>
      <c r="H844" s="19"/>
      <c r="I844" s="19"/>
      <c r="J844" s="5" t="s">
        <v>3587</v>
      </c>
    </row>
    <row r="845" spans="1:10" ht="26.25" x14ac:dyDescent="0.25">
      <c r="A845" s="1" t="s">
        <v>6</v>
      </c>
      <c r="B845" s="12" t="s">
        <v>41</v>
      </c>
      <c r="C845" s="13"/>
      <c r="D845" s="7" t="s">
        <v>4148</v>
      </c>
      <c r="E845" s="6" t="s">
        <v>465</v>
      </c>
      <c r="F845" s="6">
        <v>145000</v>
      </c>
      <c r="G845" s="57" t="s">
        <v>465</v>
      </c>
      <c r="H845" s="21"/>
      <c r="I845" s="21"/>
      <c r="J845" s="7" t="s">
        <v>1773</v>
      </c>
    </row>
    <row r="846" spans="1:10" ht="26.25" x14ac:dyDescent="0.25">
      <c r="A846" s="1" t="s">
        <v>134</v>
      </c>
      <c r="B846" s="2" t="s">
        <v>396</v>
      </c>
      <c r="C846" s="5" t="s">
        <v>674</v>
      </c>
      <c r="D846" s="5" t="s">
        <v>4705</v>
      </c>
      <c r="E846" s="3">
        <v>145000</v>
      </c>
      <c r="F846" s="3">
        <v>145000</v>
      </c>
      <c r="G846" s="57">
        <v>0</v>
      </c>
      <c r="H846" s="19"/>
      <c r="I846" s="19"/>
      <c r="J846" s="5" t="s">
        <v>2459</v>
      </c>
    </row>
    <row r="847" spans="1:10" ht="26.25" x14ac:dyDescent="0.25">
      <c r="A847" s="1" t="s">
        <v>20</v>
      </c>
      <c r="B847" s="2" t="s">
        <v>296</v>
      </c>
      <c r="C847" s="5"/>
      <c r="D847" s="5" t="s">
        <v>999</v>
      </c>
      <c r="E847" s="3">
        <v>141654</v>
      </c>
      <c r="F847" s="3">
        <v>144939</v>
      </c>
      <c r="G847" s="57">
        <v>2.3190308780549791E-2</v>
      </c>
      <c r="H847" s="19"/>
      <c r="I847" s="19"/>
      <c r="J847" s="5" t="s">
        <v>2874</v>
      </c>
    </row>
    <row r="848" spans="1:10" x14ac:dyDescent="0.25">
      <c r="A848" s="1" t="s">
        <v>111</v>
      </c>
      <c r="B848" s="2" t="s">
        <v>257</v>
      </c>
      <c r="C848" s="5"/>
      <c r="D848" s="5" t="s">
        <v>1179</v>
      </c>
      <c r="E848" s="3">
        <v>129669</v>
      </c>
      <c r="F848" s="3">
        <v>144938</v>
      </c>
      <c r="G848" s="57">
        <v>0.11775366510114214</v>
      </c>
      <c r="H848" s="19"/>
      <c r="I848" s="19"/>
      <c r="J848" s="5" t="s">
        <v>3097</v>
      </c>
    </row>
    <row r="849" spans="1:10" ht="26.25" x14ac:dyDescent="0.25">
      <c r="A849" s="1" t="s">
        <v>39</v>
      </c>
      <c r="B849" s="12" t="s">
        <v>103</v>
      </c>
      <c r="C849" s="13"/>
      <c r="D849" s="7" t="s">
        <v>2205</v>
      </c>
      <c r="E849" s="6">
        <v>145875</v>
      </c>
      <c r="F849" s="6">
        <v>144679</v>
      </c>
      <c r="G849" s="57">
        <v>-8.1988003427592125E-3</v>
      </c>
      <c r="H849" s="21"/>
      <c r="I849" s="21"/>
      <c r="J849" s="7" t="s">
        <v>4245</v>
      </c>
    </row>
    <row r="850" spans="1:10" ht="26.25" x14ac:dyDescent="0.25">
      <c r="A850" s="1" t="s">
        <v>20</v>
      </c>
      <c r="B850" s="2" t="s">
        <v>232</v>
      </c>
      <c r="C850" s="5" t="s">
        <v>1236</v>
      </c>
      <c r="D850" s="5" t="s">
        <v>450</v>
      </c>
      <c r="E850" s="3" t="s">
        <v>465</v>
      </c>
      <c r="F850" s="3">
        <v>144630</v>
      </c>
      <c r="G850" s="57" t="s">
        <v>465</v>
      </c>
      <c r="H850" s="19"/>
      <c r="I850" s="19"/>
      <c r="J850" s="5" t="s">
        <v>3206</v>
      </c>
    </row>
    <row r="851" spans="1:10" ht="26.25" x14ac:dyDescent="0.25">
      <c r="A851" s="1" t="s">
        <v>44</v>
      </c>
      <c r="B851" s="2" t="s">
        <v>381</v>
      </c>
      <c r="C851" s="5"/>
      <c r="D851" s="5" t="s">
        <v>529</v>
      </c>
      <c r="E851" s="3">
        <v>144186</v>
      </c>
      <c r="F851" s="3">
        <v>144600</v>
      </c>
      <c r="G851" s="57">
        <v>2.8712912488036285E-3</v>
      </c>
      <c r="H851" s="19"/>
      <c r="I851" s="19"/>
      <c r="J851" s="5" t="s">
        <v>2507</v>
      </c>
    </row>
    <row r="852" spans="1:10" ht="26.25" x14ac:dyDescent="0.25">
      <c r="A852" s="1" t="s">
        <v>1</v>
      </c>
      <c r="B852" s="2" t="s">
        <v>327</v>
      </c>
      <c r="C852" s="5" t="s">
        <v>901</v>
      </c>
      <c r="D852" s="5" t="s">
        <v>450</v>
      </c>
      <c r="E852" s="3">
        <v>141094</v>
      </c>
      <c r="F852" s="3">
        <v>144596</v>
      </c>
      <c r="G852" s="57">
        <v>2.4820332544261272E-2</v>
      </c>
      <c r="H852" s="19"/>
      <c r="I852" s="19"/>
      <c r="J852" s="5" t="s">
        <v>2768</v>
      </c>
    </row>
    <row r="853" spans="1:10" ht="26.25" x14ac:dyDescent="0.25">
      <c r="A853" s="1" t="s">
        <v>25</v>
      </c>
      <c r="B853" s="2" t="s">
        <v>398</v>
      </c>
      <c r="C853" s="5"/>
      <c r="D853" s="5" t="s">
        <v>667</v>
      </c>
      <c r="E853" s="3">
        <v>131577</v>
      </c>
      <c r="F853" s="3">
        <v>144371</v>
      </c>
      <c r="G853" s="57">
        <v>9.7235839090418538E-2</v>
      </c>
      <c r="H853" s="19"/>
      <c r="I853" s="19"/>
      <c r="J853" s="5" t="s">
        <v>2452</v>
      </c>
    </row>
    <row r="854" spans="1:10" ht="39" x14ac:dyDescent="0.25">
      <c r="A854" s="1" t="s">
        <v>39</v>
      </c>
      <c r="B854" s="2" t="s">
        <v>388</v>
      </c>
      <c r="C854" s="5"/>
      <c r="D854" s="5" t="s">
        <v>696</v>
      </c>
      <c r="E854" s="3">
        <v>93844</v>
      </c>
      <c r="F854" s="3">
        <v>144208</v>
      </c>
      <c r="G854" s="57">
        <v>0.53667789096798946</v>
      </c>
      <c r="H854" s="19"/>
      <c r="I854" s="19"/>
      <c r="J854" s="5" t="s">
        <v>4486</v>
      </c>
    </row>
    <row r="855" spans="1:10" ht="26.25" x14ac:dyDescent="0.25">
      <c r="A855" s="1" t="s">
        <v>20</v>
      </c>
      <c r="B855" s="2" t="s">
        <v>212</v>
      </c>
      <c r="C855" s="5"/>
      <c r="D855" s="5" t="s">
        <v>450</v>
      </c>
      <c r="E855" s="9">
        <v>144397</v>
      </c>
      <c r="F855" s="9">
        <v>144206</v>
      </c>
      <c r="G855" s="57">
        <v>-1.3227421622332874E-3</v>
      </c>
      <c r="H855" s="19"/>
      <c r="I855" s="19"/>
      <c r="J855" s="5" t="s">
        <v>3345</v>
      </c>
    </row>
    <row r="856" spans="1:10" ht="26.25" x14ac:dyDescent="0.25">
      <c r="A856" s="1" t="s">
        <v>25</v>
      </c>
      <c r="B856" s="2" t="s">
        <v>398</v>
      </c>
      <c r="C856" s="5"/>
      <c r="D856" s="5" t="s">
        <v>665</v>
      </c>
      <c r="E856" s="3">
        <v>139059</v>
      </c>
      <c r="F856" s="3">
        <v>144162</v>
      </c>
      <c r="G856" s="57">
        <v>3.6696653938256427E-2</v>
      </c>
      <c r="H856" s="19"/>
      <c r="I856" s="19"/>
      <c r="J856" s="5" t="s">
        <v>2449</v>
      </c>
    </row>
    <row r="857" spans="1:10" ht="26.25" x14ac:dyDescent="0.25">
      <c r="A857" s="1" t="s">
        <v>6</v>
      </c>
      <c r="B857" s="2" t="s">
        <v>407</v>
      </c>
      <c r="C857" s="5"/>
      <c r="D857" s="5" t="s">
        <v>607</v>
      </c>
      <c r="E857" s="3">
        <v>133000</v>
      </c>
      <c r="F857" s="3">
        <v>144026</v>
      </c>
      <c r="G857" s="57">
        <v>8.2902255639097741E-2</v>
      </c>
      <c r="H857" s="19"/>
      <c r="I857" s="19"/>
      <c r="J857" s="5" t="s">
        <v>2393</v>
      </c>
    </row>
    <row r="858" spans="1:10" ht="26.25" x14ac:dyDescent="0.25">
      <c r="A858" s="1" t="s">
        <v>4</v>
      </c>
      <c r="B858" s="2" t="s">
        <v>423</v>
      </c>
      <c r="C858" s="5"/>
      <c r="D858" s="5" t="s">
        <v>565</v>
      </c>
      <c r="E858" s="6">
        <v>143520</v>
      </c>
      <c r="F858" s="3">
        <v>143880</v>
      </c>
      <c r="G858" s="57">
        <v>2.508361204013378E-3</v>
      </c>
      <c r="H858" s="19"/>
      <c r="I858" s="19"/>
      <c r="J858" s="5" t="s">
        <v>2346</v>
      </c>
    </row>
    <row r="859" spans="1:10" ht="51.75" x14ac:dyDescent="0.25">
      <c r="A859" s="1" t="s">
        <v>111</v>
      </c>
      <c r="B859" s="2" t="s">
        <v>189</v>
      </c>
      <c r="C859" s="5"/>
      <c r="D859" s="5" t="s">
        <v>1453</v>
      </c>
      <c r="E859" s="9">
        <v>81648</v>
      </c>
      <c r="F859" s="9">
        <v>143670</v>
      </c>
      <c r="G859" s="57">
        <v>0.75962669018224571</v>
      </c>
      <c r="H859" s="19"/>
      <c r="I859" s="19"/>
      <c r="J859" s="5" t="s">
        <v>3503</v>
      </c>
    </row>
    <row r="860" spans="1:10" ht="51.75" x14ac:dyDescent="0.25">
      <c r="A860" s="1" t="s">
        <v>111</v>
      </c>
      <c r="B860" s="2" t="s">
        <v>189</v>
      </c>
      <c r="C860" s="5"/>
      <c r="D860" s="5" t="s">
        <v>1454</v>
      </c>
      <c r="E860" s="9">
        <v>81648</v>
      </c>
      <c r="F860" s="9">
        <v>143670</v>
      </c>
      <c r="G860" s="57">
        <v>0.75962669018224571</v>
      </c>
      <c r="H860" s="19"/>
      <c r="I860" s="19"/>
      <c r="J860" s="5" t="s">
        <v>3503</v>
      </c>
    </row>
    <row r="861" spans="1:10" ht="26.25" x14ac:dyDescent="0.25">
      <c r="A861" s="1" t="s">
        <v>25</v>
      </c>
      <c r="B861" s="2" t="s">
        <v>174</v>
      </c>
      <c r="C861" s="5" t="s">
        <v>1533</v>
      </c>
      <c r="D861" s="5" t="s">
        <v>1534</v>
      </c>
      <c r="E861" s="9">
        <v>131216</v>
      </c>
      <c r="F861" s="9">
        <v>143544</v>
      </c>
      <c r="G861" s="57">
        <v>9.3951957078405077E-2</v>
      </c>
      <c r="H861" s="19"/>
      <c r="I861" s="19"/>
      <c r="J861" s="5" t="s">
        <v>3589</v>
      </c>
    </row>
    <row r="862" spans="1:10" ht="26.25" x14ac:dyDescent="0.25">
      <c r="A862" s="1" t="s">
        <v>20</v>
      </c>
      <c r="B862" s="2" t="s">
        <v>394</v>
      </c>
      <c r="C862" s="5"/>
      <c r="D862" s="5" t="s">
        <v>682</v>
      </c>
      <c r="E862" s="3">
        <v>145006</v>
      </c>
      <c r="F862" s="3">
        <v>143409</v>
      </c>
      <c r="G862" s="57">
        <v>-1.1013337379142932E-2</v>
      </c>
      <c r="H862" s="19"/>
      <c r="I862" s="19"/>
      <c r="J862" s="5" t="s">
        <v>2467</v>
      </c>
    </row>
    <row r="863" spans="1:10" ht="26.25" x14ac:dyDescent="0.25">
      <c r="A863" s="1" t="s">
        <v>39</v>
      </c>
      <c r="B863" s="2" t="s">
        <v>409</v>
      </c>
      <c r="C863" s="5"/>
      <c r="D863" s="5" t="s">
        <v>603</v>
      </c>
      <c r="E863" s="3">
        <v>138611</v>
      </c>
      <c r="F863" s="3">
        <v>143323</v>
      </c>
      <c r="G863" s="57">
        <v>3.3994416027588001E-2</v>
      </c>
      <c r="H863" s="19"/>
      <c r="I863" s="19"/>
      <c r="J863" s="5" t="s">
        <v>2382</v>
      </c>
    </row>
    <row r="864" spans="1:10" ht="26.25" x14ac:dyDescent="0.25">
      <c r="A864" s="1" t="s">
        <v>44</v>
      </c>
      <c r="B864" s="2" t="s">
        <v>73</v>
      </c>
      <c r="C864" s="1"/>
      <c r="D864" s="5" t="s">
        <v>1956</v>
      </c>
      <c r="E864" s="3">
        <v>101629</v>
      </c>
      <c r="F864" s="3">
        <v>143251</v>
      </c>
      <c r="G864" s="57">
        <v>0.40954845565734188</v>
      </c>
      <c r="H864" s="19"/>
      <c r="I864" s="19"/>
      <c r="J864" s="5" t="s">
        <v>3798</v>
      </c>
    </row>
    <row r="865" spans="1:10" ht="26.25" x14ac:dyDescent="0.25">
      <c r="A865" s="1" t="s">
        <v>1</v>
      </c>
      <c r="B865" s="2" t="s">
        <v>348</v>
      </c>
      <c r="C865" s="5" t="s">
        <v>850</v>
      </c>
      <c r="D865" s="5" t="s">
        <v>529</v>
      </c>
      <c r="E865" s="36">
        <v>142271</v>
      </c>
      <c r="F865" s="3">
        <v>143211</v>
      </c>
      <c r="G865" s="57">
        <v>6.6071089680960985E-3</v>
      </c>
      <c r="H865" s="19"/>
      <c r="I865" s="19"/>
      <c r="J865" s="5" t="s">
        <v>2689</v>
      </c>
    </row>
    <row r="866" spans="1:10" x14ac:dyDescent="0.25">
      <c r="A866" s="1" t="s">
        <v>6</v>
      </c>
      <c r="B866" s="12" t="s">
        <v>231</v>
      </c>
      <c r="C866" s="5"/>
      <c r="D866" s="5" t="s">
        <v>1247</v>
      </c>
      <c r="E866" s="9">
        <v>153219</v>
      </c>
      <c r="F866" s="9">
        <v>143146</v>
      </c>
      <c r="G866" s="57">
        <v>-6.5742499298389892E-2</v>
      </c>
      <c r="H866" s="19"/>
      <c r="I866" s="19"/>
      <c r="J866" s="5" t="s">
        <v>3221</v>
      </c>
    </row>
    <row r="867" spans="1:10" x14ac:dyDescent="0.25">
      <c r="A867" s="1" t="s">
        <v>20</v>
      </c>
      <c r="B867" s="2" t="s">
        <v>69</v>
      </c>
      <c r="C867" s="1"/>
      <c r="D867" s="5" t="s">
        <v>1906</v>
      </c>
      <c r="E867" s="3">
        <v>144823</v>
      </c>
      <c r="F867" s="3">
        <v>143086</v>
      </c>
      <c r="G867" s="57">
        <v>-1.1993951237027269E-2</v>
      </c>
      <c r="H867" s="19"/>
      <c r="I867" s="19"/>
      <c r="J867" s="5" t="s">
        <v>1907</v>
      </c>
    </row>
    <row r="868" spans="1:10" ht="26.25" x14ac:dyDescent="0.25">
      <c r="A868" s="1" t="s">
        <v>20</v>
      </c>
      <c r="B868" s="2" t="s">
        <v>69</v>
      </c>
      <c r="C868" s="1"/>
      <c r="D868" s="5" t="s">
        <v>1910</v>
      </c>
      <c r="E868" s="4" t="s">
        <v>465</v>
      </c>
      <c r="F868" s="3">
        <v>143086</v>
      </c>
      <c r="G868" s="57" t="s">
        <v>465</v>
      </c>
      <c r="H868" s="19"/>
      <c r="I868" s="19"/>
      <c r="J868" s="5" t="s">
        <v>3781</v>
      </c>
    </row>
    <row r="869" spans="1:10" ht="26.25" x14ac:dyDescent="0.25">
      <c r="A869" s="1" t="s">
        <v>25</v>
      </c>
      <c r="B869" s="2" t="s">
        <v>398</v>
      </c>
      <c r="C869" s="5"/>
      <c r="D869" s="5" t="s">
        <v>2446</v>
      </c>
      <c r="E869" s="3">
        <v>139713</v>
      </c>
      <c r="F869" s="3">
        <v>143033</v>
      </c>
      <c r="G869" s="57">
        <v>2.3762999864006928E-2</v>
      </c>
      <c r="H869" s="19"/>
      <c r="I869" s="19"/>
      <c r="J869" s="5" t="s">
        <v>2454</v>
      </c>
    </row>
    <row r="870" spans="1:10" ht="141" x14ac:dyDescent="0.25">
      <c r="A870" s="1" t="s">
        <v>4</v>
      </c>
      <c r="B870" s="2" t="s">
        <v>206</v>
      </c>
      <c r="C870" s="5"/>
      <c r="D870" s="5" t="s">
        <v>515</v>
      </c>
      <c r="E870" s="9">
        <v>149732</v>
      </c>
      <c r="F870" s="9">
        <v>142976</v>
      </c>
      <c r="G870" s="57">
        <v>-4.5120615499692783E-2</v>
      </c>
      <c r="H870" s="19"/>
      <c r="I870" s="19"/>
      <c r="J870" s="5" t="s">
        <v>3393</v>
      </c>
    </row>
    <row r="871" spans="1:10" x14ac:dyDescent="0.25">
      <c r="A871" s="1" t="s">
        <v>25</v>
      </c>
      <c r="B871" s="2" t="s">
        <v>243</v>
      </c>
      <c r="C871" s="5" t="s">
        <v>1205</v>
      </c>
      <c r="D871" s="5" t="s">
        <v>1206</v>
      </c>
      <c r="E871" s="3">
        <v>142976</v>
      </c>
      <c r="F871" s="3">
        <v>142894</v>
      </c>
      <c r="G871" s="57">
        <v>-5.7352282900626677E-4</v>
      </c>
      <c r="H871" s="19"/>
      <c r="I871" s="19"/>
      <c r="J871" s="5" t="s">
        <v>3159</v>
      </c>
    </row>
    <row r="872" spans="1:10" ht="26.25" x14ac:dyDescent="0.25">
      <c r="A872" s="1" t="s">
        <v>1</v>
      </c>
      <c r="B872" s="2" t="s">
        <v>125</v>
      </c>
      <c r="C872" s="1" t="s">
        <v>3936</v>
      </c>
      <c r="D872" s="5" t="s">
        <v>604</v>
      </c>
      <c r="E872" s="3">
        <v>105763</v>
      </c>
      <c r="F872" s="3">
        <v>142828</v>
      </c>
      <c r="G872" s="57">
        <v>0.35045337216228739</v>
      </c>
      <c r="H872" s="19"/>
      <c r="I872" s="19"/>
      <c r="J872" s="5" t="s">
        <v>3937</v>
      </c>
    </row>
    <row r="873" spans="1:10" x14ac:dyDescent="0.25">
      <c r="A873" s="1" t="s">
        <v>20</v>
      </c>
      <c r="B873" s="2" t="s">
        <v>270</v>
      </c>
      <c r="C873" s="5" t="s">
        <v>1131</v>
      </c>
      <c r="D873" s="5" t="s">
        <v>450</v>
      </c>
      <c r="E873" s="3">
        <v>142789</v>
      </c>
      <c r="F873" s="3">
        <v>142789</v>
      </c>
      <c r="G873" s="57">
        <v>0</v>
      </c>
      <c r="H873" s="19"/>
      <c r="I873" s="19"/>
      <c r="J873" s="5" t="s">
        <v>3054</v>
      </c>
    </row>
    <row r="874" spans="1:10" ht="26.25" x14ac:dyDescent="0.25">
      <c r="A874" s="1" t="s">
        <v>20</v>
      </c>
      <c r="B874" s="2" t="s">
        <v>374</v>
      </c>
      <c r="C874" s="5" t="s">
        <v>752</v>
      </c>
      <c r="D874" s="5" t="s">
        <v>753</v>
      </c>
      <c r="E874" s="3">
        <v>143746</v>
      </c>
      <c r="F874" s="3">
        <v>142746</v>
      </c>
      <c r="G874" s="57">
        <v>-6.9567153172957856E-3</v>
      </c>
      <c r="H874" s="19"/>
      <c r="I874" s="19"/>
      <c r="J874" s="5" t="s">
        <v>2544</v>
      </c>
    </row>
    <row r="875" spans="1:10" ht="26.25" x14ac:dyDescent="0.25">
      <c r="A875" s="1" t="s">
        <v>6</v>
      </c>
      <c r="B875" s="2" t="s">
        <v>383</v>
      </c>
      <c r="C875" s="5"/>
      <c r="D875" s="5" t="s">
        <v>703</v>
      </c>
      <c r="E875" s="3">
        <v>141508</v>
      </c>
      <c r="F875" s="3">
        <v>142746</v>
      </c>
      <c r="G875" s="57">
        <v>8.7486219860361258E-3</v>
      </c>
      <c r="H875" s="19"/>
      <c r="I875" s="19"/>
      <c r="J875" s="5" t="s">
        <v>2500</v>
      </c>
    </row>
    <row r="876" spans="1:10" ht="26.25" x14ac:dyDescent="0.25">
      <c r="A876" s="1" t="s">
        <v>6</v>
      </c>
      <c r="B876" s="2" t="s">
        <v>383</v>
      </c>
      <c r="C876" s="5"/>
      <c r="D876" s="5" t="s">
        <v>704</v>
      </c>
      <c r="E876" s="3">
        <v>141508</v>
      </c>
      <c r="F876" s="3">
        <v>142746</v>
      </c>
      <c r="G876" s="57">
        <v>8.7486219860361258E-3</v>
      </c>
      <c r="H876" s="19"/>
      <c r="I876" s="19"/>
      <c r="J876" s="5" t="s">
        <v>2500</v>
      </c>
    </row>
    <row r="877" spans="1:10" ht="26.25" x14ac:dyDescent="0.25">
      <c r="A877" s="1" t="s">
        <v>1</v>
      </c>
      <c r="B877" s="2" t="s">
        <v>348</v>
      </c>
      <c r="C877" s="5" t="s">
        <v>847</v>
      </c>
      <c r="D877" s="5" t="s">
        <v>529</v>
      </c>
      <c r="E877" s="36">
        <v>142271</v>
      </c>
      <c r="F877" s="3">
        <v>142711</v>
      </c>
      <c r="G877" s="57">
        <v>3.0926893042151947E-3</v>
      </c>
      <c r="H877" s="19"/>
      <c r="I877" s="19"/>
      <c r="J877" s="5" t="s">
        <v>2686</v>
      </c>
    </row>
    <row r="878" spans="1:10" ht="39" x14ac:dyDescent="0.25">
      <c r="A878" s="1" t="s">
        <v>20</v>
      </c>
      <c r="B878" s="2" t="s">
        <v>232</v>
      </c>
      <c r="C878" s="5"/>
      <c r="D878" s="15" t="s">
        <v>1238</v>
      </c>
      <c r="E878" s="9">
        <v>142570</v>
      </c>
      <c r="F878" s="9">
        <v>142680</v>
      </c>
      <c r="G878" s="57">
        <v>7.7155081714245632E-4</v>
      </c>
      <c r="H878" s="19"/>
      <c r="I878" s="19"/>
      <c r="J878" s="5" t="s">
        <v>3213</v>
      </c>
    </row>
    <row r="879" spans="1:10" ht="39" x14ac:dyDescent="0.25">
      <c r="A879" s="1" t="s">
        <v>20</v>
      </c>
      <c r="B879" s="2" t="s">
        <v>232</v>
      </c>
      <c r="C879" s="5"/>
      <c r="D879" s="15" t="s">
        <v>1239</v>
      </c>
      <c r="E879" s="9">
        <v>142544</v>
      </c>
      <c r="F879" s="9">
        <v>142680</v>
      </c>
      <c r="G879" s="57">
        <v>9.540913682792682E-4</v>
      </c>
      <c r="H879" s="19"/>
      <c r="I879" s="19"/>
      <c r="J879" s="5" t="s">
        <v>3213</v>
      </c>
    </row>
    <row r="880" spans="1:10" ht="26.25" x14ac:dyDescent="0.25">
      <c r="A880" s="1" t="s">
        <v>20</v>
      </c>
      <c r="B880" s="2" t="s">
        <v>394</v>
      </c>
      <c r="C880" s="5"/>
      <c r="D880" s="5" t="s">
        <v>683</v>
      </c>
      <c r="E880" s="3">
        <v>141948</v>
      </c>
      <c r="F880" s="3">
        <v>142600</v>
      </c>
      <c r="G880" s="57">
        <v>4.5932313241468705E-3</v>
      </c>
      <c r="H880" s="19"/>
      <c r="I880" s="19"/>
      <c r="J880" s="5" t="s">
        <v>2468</v>
      </c>
    </row>
    <row r="881" spans="1:10" ht="26.25" x14ac:dyDescent="0.25">
      <c r="A881" s="1" t="s">
        <v>4</v>
      </c>
      <c r="B881" s="2" t="s">
        <v>31</v>
      </c>
      <c r="C881" s="1"/>
      <c r="D881" s="5" t="s">
        <v>450</v>
      </c>
      <c r="E881" s="3">
        <v>139470</v>
      </c>
      <c r="F881" s="3">
        <v>142574</v>
      </c>
      <c r="G881" s="57">
        <v>2.2255682225568223E-2</v>
      </c>
      <c r="H881" s="19"/>
      <c r="I881" s="19"/>
      <c r="J881" s="7" t="s">
        <v>4124</v>
      </c>
    </row>
    <row r="882" spans="1:10" ht="39" x14ac:dyDescent="0.25">
      <c r="A882" s="1" t="s">
        <v>8</v>
      </c>
      <c r="B882" s="2" t="s">
        <v>285</v>
      </c>
      <c r="C882" s="5"/>
      <c r="D882" s="5" t="s">
        <v>1050</v>
      </c>
      <c r="E882" s="3">
        <v>119300</v>
      </c>
      <c r="F882" s="3">
        <v>142526</v>
      </c>
      <c r="G882" s="57">
        <v>0.19468566638725901</v>
      </c>
      <c r="H882" s="19"/>
      <c r="I882" s="19"/>
      <c r="J882" s="5" t="s">
        <v>4392</v>
      </c>
    </row>
    <row r="883" spans="1:10" x14ac:dyDescent="0.25">
      <c r="F883" s="67">
        <f>COUNTIF(F3:F882,"&gt;142500")</f>
        <v>880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4"/>
  <sheetViews>
    <sheetView tabSelected="1" workbookViewId="0">
      <pane ySplit="2" topLeftCell="A3" activePane="bottomLeft" state="frozen"/>
      <selection pane="bottomLeft" activeCell="C8" sqref="C8"/>
    </sheetView>
  </sheetViews>
  <sheetFormatPr defaultRowHeight="15" x14ac:dyDescent="0.25"/>
  <cols>
    <col min="1" max="1" width="29.140625" bestFit="1" customWidth="1"/>
    <col min="2" max="2" width="18.28515625" customWidth="1"/>
    <col min="3" max="3" width="36.85546875" customWidth="1"/>
    <col min="4" max="4" width="11.7109375" customWidth="1"/>
    <col min="5" max="5" width="9.85546875" customWidth="1"/>
    <col min="6" max="6" width="10.42578125" bestFit="1" customWidth="1"/>
    <col min="7" max="7" width="82.7109375" customWidth="1"/>
  </cols>
  <sheetData>
    <row r="1" spans="1:7" ht="15" customHeight="1" x14ac:dyDescent="0.25">
      <c r="A1" s="2"/>
      <c r="B1" s="24"/>
      <c r="C1" s="24"/>
      <c r="D1" s="70" t="s">
        <v>448</v>
      </c>
      <c r="E1" s="70"/>
      <c r="F1" s="60"/>
      <c r="G1" s="24"/>
    </row>
    <row r="2" spans="1:7" x14ac:dyDescent="0.25">
      <c r="A2" s="26" t="s">
        <v>443</v>
      </c>
      <c r="B2" s="24" t="s">
        <v>444</v>
      </c>
      <c r="C2" s="24" t="s">
        <v>445</v>
      </c>
      <c r="D2" s="69" t="s">
        <v>446</v>
      </c>
      <c r="E2" s="69" t="s">
        <v>447</v>
      </c>
      <c r="F2" s="60" t="s">
        <v>449</v>
      </c>
      <c r="G2" s="24" t="s">
        <v>4142</v>
      </c>
    </row>
    <row r="3" spans="1:7" ht="39" x14ac:dyDescent="0.25">
      <c r="A3" s="12" t="s">
        <v>0</v>
      </c>
      <c r="B3" s="13" t="s">
        <v>1675</v>
      </c>
      <c r="C3" s="7" t="s">
        <v>1874</v>
      </c>
      <c r="D3" s="6">
        <f>142996+27090</f>
        <v>170086</v>
      </c>
      <c r="E3" s="6">
        <f>109181+20517</f>
        <v>129698</v>
      </c>
      <c r="F3" s="57">
        <f>IF(ISERROR((E3-D3)/D3),"-",(E3-D3)/D3)</f>
        <v>-0.23745634561339557</v>
      </c>
      <c r="G3" s="7" t="s">
        <v>4073</v>
      </c>
    </row>
    <row r="4" spans="1:7" x14ac:dyDescent="0.25">
      <c r="A4" s="2" t="s">
        <v>2</v>
      </c>
      <c r="B4" s="1" t="s">
        <v>1676</v>
      </c>
      <c r="C4" s="5" t="s">
        <v>450</v>
      </c>
      <c r="D4" s="3">
        <f>134074+25588</f>
        <v>159662</v>
      </c>
      <c r="E4" s="3">
        <f>143121+27479</f>
        <v>170600</v>
      </c>
      <c r="F4" s="57">
        <f>IF(ISERROR((E4-D4)/D4),"-",(E4-D4)/D4)</f>
        <v>6.8507221505430219E-2</v>
      </c>
      <c r="G4" s="5" t="s">
        <v>3636</v>
      </c>
    </row>
    <row r="5" spans="1:7" ht="39" x14ac:dyDescent="0.25">
      <c r="A5" s="12" t="s">
        <v>3</v>
      </c>
      <c r="B5" s="7"/>
      <c r="C5" s="7" t="s">
        <v>4180</v>
      </c>
      <c r="D5" s="6">
        <v>135589</v>
      </c>
      <c r="E5" s="6">
        <v>135656</v>
      </c>
      <c r="F5" s="57">
        <f>IF(ISERROR((E5-D5)/D5),"-",(E5-D5)/D5)</f>
        <v>4.941403801193312E-4</v>
      </c>
      <c r="G5" s="7" t="s">
        <v>4080</v>
      </c>
    </row>
    <row r="6" spans="1:7" ht="26.25" x14ac:dyDescent="0.25">
      <c r="A6" s="12" t="s">
        <v>5</v>
      </c>
      <c r="B6" s="13"/>
      <c r="C6" s="7" t="s">
        <v>450</v>
      </c>
      <c r="D6" s="6">
        <v>117966.32</v>
      </c>
      <c r="E6" s="6">
        <v>122055.42</v>
      </c>
      <c r="F6" s="57">
        <f>IF(ISERROR((E6-D6)/D6),"-",(E6-D6)/D6)</f>
        <v>3.4663283554153344E-2</v>
      </c>
      <c r="G6" s="7" t="s">
        <v>3642</v>
      </c>
    </row>
    <row r="7" spans="1:7" ht="26.25" x14ac:dyDescent="0.25">
      <c r="A7" s="2" t="s">
        <v>7</v>
      </c>
      <c r="B7" s="1"/>
      <c r="C7" s="5" t="s">
        <v>450</v>
      </c>
      <c r="D7" s="3">
        <v>118000</v>
      </c>
      <c r="E7" s="3">
        <v>124000</v>
      </c>
      <c r="F7" s="57">
        <f>IF(ISERROR((E7-D7)/D7),"-",(E7-D7)/D7)</f>
        <v>5.0847457627118647E-2</v>
      </c>
      <c r="G7" s="5" t="s">
        <v>3643</v>
      </c>
    </row>
    <row r="8" spans="1:7" ht="51.75" x14ac:dyDescent="0.25">
      <c r="A8" s="2" t="s">
        <v>9</v>
      </c>
      <c r="B8" s="1" t="s">
        <v>1687</v>
      </c>
      <c r="C8" s="5" t="s">
        <v>450</v>
      </c>
      <c r="D8" s="3">
        <f>131162+24260</f>
        <v>155422</v>
      </c>
      <c r="E8" s="3">
        <f>122490+22586</f>
        <v>145076</v>
      </c>
      <c r="F8" s="57">
        <f>IF(ISERROR((E8-D8)/D8),"-",(E8-D8)/D8)</f>
        <v>-6.6567152655351236E-2</v>
      </c>
      <c r="G8" s="5" t="s">
        <v>4085</v>
      </c>
    </row>
    <row r="9" spans="1:7" ht="26.25" x14ac:dyDescent="0.25">
      <c r="A9" s="2" t="s">
        <v>13</v>
      </c>
      <c r="B9" s="1" t="s">
        <v>1688</v>
      </c>
      <c r="C9" s="5" t="s">
        <v>450</v>
      </c>
      <c r="D9" s="3">
        <f>115549+19525</f>
        <v>135074</v>
      </c>
      <c r="E9" s="3">
        <f>118239+21085</f>
        <v>139324</v>
      </c>
      <c r="F9" s="57">
        <f>IF(ISERROR((E9-D9)/D9),"-",(E9-D9)/D9)</f>
        <v>3.1464234419651453E-2</v>
      </c>
      <c r="G9" s="5" t="s">
        <v>3646</v>
      </c>
    </row>
    <row r="10" spans="1:7" x14ac:dyDescent="0.25">
      <c r="A10" s="2" t="s">
        <v>15</v>
      </c>
      <c r="B10" s="1"/>
      <c r="C10" s="5" t="s">
        <v>450</v>
      </c>
      <c r="D10" s="3">
        <v>146683</v>
      </c>
      <c r="E10" s="3">
        <v>149580</v>
      </c>
      <c r="F10" s="57">
        <f>IF(ISERROR((E10-D10)/D10),"-",(E10-D10)/D10)</f>
        <v>1.9750073287293005E-2</v>
      </c>
      <c r="G10" s="5" t="s">
        <v>3647</v>
      </c>
    </row>
    <row r="11" spans="1:7" ht="39" x14ac:dyDescent="0.25">
      <c r="A11" s="12" t="s">
        <v>16</v>
      </c>
      <c r="B11" s="13"/>
      <c r="C11" s="7" t="s">
        <v>450</v>
      </c>
      <c r="D11" s="6">
        <v>107322</v>
      </c>
      <c r="E11" s="6">
        <v>116400</v>
      </c>
      <c r="F11" s="57">
        <f>IF(ISERROR((E11-D11)/D11),"-",(E11-D11)/D11)</f>
        <v>8.4586571252865214E-2</v>
      </c>
      <c r="G11" s="7" t="s">
        <v>4086</v>
      </c>
    </row>
    <row r="12" spans="1:7" ht="26.25" x14ac:dyDescent="0.25">
      <c r="A12" s="12" t="s">
        <v>17</v>
      </c>
      <c r="B12" s="13"/>
      <c r="C12" s="7" t="s">
        <v>450</v>
      </c>
      <c r="D12" s="6">
        <v>62916.2</v>
      </c>
      <c r="E12" s="6">
        <v>135352.79</v>
      </c>
      <c r="F12" s="57">
        <f>IF(ISERROR((E12-D12)/D12),"-",(E12-D12)/D12)</f>
        <v>1.151318579316615</v>
      </c>
      <c r="G12" s="7" t="s">
        <v>4089</v>
      </c>
    </row>
    <row r="13" spans="1:7" x14ac:dyDescent="0.25">
      <c r="A13" s="2" t="s">
        <v>18</v>
      </c>
      <c r="B13" s="1" t="s">
        <v>3651</v>
      </c>
      <c r="C13" s="5" t="s">
        <v>450</v>
      </c>
      <c r="D13" s="3">
        <v>181000</v>
      </c>
      <c r="E13" s="3">
        <v>174000</v>
      </c>
      <c r="F13" s="57">
        <f>IF(ISERROR((E13-D13)/D13),"-",(E13-D13)/D13)</f>
        <v>-3.8674033149171269E-2</v>
      </c>
      <c r="G13" s="5" t="s">
        <v>3652</v>
      </c>
    </row>
    <row r="14" spans="1:7" ht="26.25" x14ac:dyDescent="0.25">
      <c r="A14" s="2" t="s">
        <v>19</v>
      </c>
      <c r="B14" s="1"/>
      <c r="C14" s="5" t="s">
        <v>450</v>
      </c>
      <c r="D14" s="3">
        <v>146945</v>
      </c>
      <c r="E14" s="3">
        <v>140543</v>
      </c>
      <c r="F14" s="57">
        <f>IF(ISERROR((E14-D14)/D14),"-",(E14-D14)/D14)</f>
        <v>-4.3567321106536459E-2</v>
      </c>
      <c r="G14" s="5" t="s">
        <v>3654</v>
      </c>
    </row>
    <row r="15" spans="1:7" ht="39" x14ac:dyDescent="0.25">
      <c r="A15" s="2" t="s">
        <v>24</v>
      </c>
      <c r="B15" s="1" t="s">
        <v>1695</v>
      </c>
      <c r="C15" s="5" t="s">
        <v>450</v>
      </c>
      <c r="D15" s="3">
        <v>224046</v>
      </c>
      <c r="E15" s="3">
        <v>192832</v>
      </c>
      <c r="F15" s="57">
        <f>IF(ISERROR((E15-D15)/D15),"-",(E15-D15)/D15)</f>
        <v>-0.13931960400989082</v>
      </c>
      <c r="G15" s="5" t="s">
        <v>4091</v>
      </c>
    </row>
    <row r="16" spans="1:7" x14ac:dyDescent="0.25">
      <c r="A16" s="2" t="s">
        <v>26</v>
      </c>
      <c r="B16" s="1" t="s">
        <v>1696</v>
      </c>
      <c r="C16" s="5" t="s">
        <v>450</v>
      </c>
      <c r="D16" s="3">
        <v>249210</v>
      </c>
      <c r="E16" s="3">
        <v>250818</v>
      </c>
      <c r="F16" s="57">
        <f>IF(ISERROR((E16-D16)/D16),"-",(E16-D16)/D16)</f>
        <v>6.4523895509811004E-3</v>
      </c>
      <c r="G16" s="5" t="s">
        <v>3662</v>
      </c>
    </row>
    <row r="17" spans="1:7" x14ac:dyDescent="0.25">
      <c r="A17" s="2" t="s">
        <v>27</v>
      </c>
      <c r="B17" s="1"/>
      <c r="C17" s="5" t="s">
        <v>450</v>
      </c>
      <c r="D17" s="3">
        <v>161000</v>
      </c>
      <c r="E17" s="3">
        <v>167000</v>
      </c>
      <c r="F17" s="57">
        <f>IF(ISERROR((E17-D17)/D17),"-",(E17-D17)/D17)</f>
        <v>3.7267080745341616E-2</v>
      </c>
      <c r="G17" s="7" t="s">
        <v>4111</v>
      </c>
    </row>
    <row r="18" spans="1:7" x14ac:dyDescent="0.25">
      <c r="A18" s="2" t="s">
        <v>29</v>
      </c>
      <c r="B18" s="1"/>
      <c r="C18" s="5" t="s">
        <v>450</v>
      </c>
      <c r="D18" s="3">
        <v>110000</v>
      </c>
      <c r="E18" s="3">
        <v>111000</v>
      </c>
      <c r="F18" s="57">
        <f>IF(ISERROR((E18-D18)/D18),"-",(E18-D18)/D18)</f>
        <v>9.0909090909090905E-3</v>
      </c>
      <c r="G18" s="7" t="s">
        <v>4116</v>
      </c>
    </row>
    <row r="19" spans="1:7" ht="26.25" x14ac:dyDescent="0.25">
      <c r="A19" s="2" t="s">
        <v>30</v>
      </c>
      <c r="B19" s="1" t="s">
        <v>1731</v>
      </c>
      <c r="C19" s="5" t="s">
        <v>450</v>
      </c>
      <c r="D19" s="3">
        <v>227968</v>
      </c>
      <c r="E19" s="3">
        <v>232820</v>
      </c>
      <c r="F19" s="57">
        <f>IF(ISERROR((E19-D19)/D19),"-",(E19-D19)/D19)</f>
        <v>2.1283688938798426E-2</v>
      </c>
      <c r="G19" s="7" t="s">
        <v>4117</v>
      </c>
    </row>
    <row r="20" spans="1:7" x14ac:dyDescent="0.25">
      <c r="A20" s="2" t="s">
        <v>31</v>
      </c>
      <c r="B20" s="1"/>
      <c r="C20" s="5" t="s">
        <v>450</v>
      </c>
      <c r="D20" s="3">
        <v>139470</v>
      </c>
      <c r="E20" s="3">
        <v>142574</v>
      </c>
      <c r="F20" s="57">
        <f>IF(ISERROR((E20-D20)/D20),"-",(E20-D20)/D20)</f>
        <v>2.2255682225568223E-2</v>
      </c>
      <c r="G20" s="7" t="s">
        <v>4124</v>
      </c>
    </row>
    <row r="21" spans="1:7" x14ac:dyDescent="0.25">
      <c r="A21" s="2" t="s">
        <v>32</v>
      </c>
      <c r="B21" s="1"/>
      <c r="C21" s="5" t="s">
        <v>450</v>
      </c>
      <c r="D21" s="3">
        <v>137152</v>
      </c>
      <c r="E21" s="3">
        <v>137476</v>
      </c>
      <c r="F21" s="57">
        <f>IF(ISERROR((E21-D21)/D21),"-",(E21-D21)/D21)</f>
        <v>2.3623425104992999E-3</v>
      </c>
      <c r="G21" s="7" t="s">
        <v>4129</v>
      </c>
    </row>
    <row r="22" spans="1:7" x14ac:dyDescent="0.25">
      <c r="A22" s="12" t="s">
        <v>33</v>
      </c>
      <c r="B22" s="13" t="s">
        <v>1736</v>
      </c>
      <c r="C22" s="7" t="s">
        <v>450</v>
      </c>
      <c r="D22" s="6">
        <v>211859</v>
      </c>
      <c r="E22" s="6">
        <v>212186</v>
      </c>
      <c r="F22" s="57">
        <f>IF(ISERROR((E22-D22)/D22),"-",(E22-D22)/D22)</f>
        <v>1.5434793895940224E-3</v>
      </c>
      <c r="G22" s="7" t="s">
        <v>4133</v>
      </c>
    </row>
    <row r="23" spans="1:7" x14ac:dyDescent="0.25">
      <c r="A23" s="2" t="s">
        <v>35</v>
      </c>
      <c r="B23" s="1" t="s">
        <v>1743</v>
      </c>
      <c r="C23" s="5" t="s">
        <v>450</v>
      </c>
      <c r="D23" s="3">
        <v>175145</v>
      </c>
      <c r="E23" s="3">
        <v>202470</v>
      </c>
      <c r="F23" s="57">
        <f>IF(ISERROR((E23-D23)/D23),"-",(E23-D23)/D23)</f>
        <v>0.15601358874075766</v>
      </c>
      <c r="G23" s="5" t="s">
        <v>1744</v>
      </c>
    </row>
    <row r="24" spans="1:7" ht="26.25" x14ac:dyDescent="0.25">
      <c r="A24" s="12" t="s">
        <v>37</v>
      </c>
      <c r="B24" s="13" t="s">
        <v>1755</v>
      </c>
      <c r="C24" s="7" t="s">
        <v>450</v>
      </c>
      <c r="D24" s="36">
        <f>206439+35924+8264</f>
        <v>250627</v>
      </c>
      <c r="E24" s="36">
        <f>199248+40957+18577</f>
        <v>258782</v>
      </c>
      <c r="F24" s="57">
        <f>IF(ISERROR((E24-D24)/D24),"-",(E24-D24)/D24)</f>
        <v>3.2538393708578882E-2</v>
      </c>
      <c r="G24" s="7" t="s">
        <v>4144</v>
      </c>
    </row>
    <row r="25" spans="1:7" x14ac:dyDescent="0.25">
      <c r="A25" s="2" t="s">
        <v>38</v>
      </c>
      <c r="B25" s="1" t="s">
        <v>1764</v>
      </c>
      <c r="C25" s="5" t="s">
        <v>450</v>
      </c>
      <c r="D25" s="3">
        <v>233097</v>
      </c>
      <c r="E25" s="3">
        <v>228490</v>
      </c>
      <c r="F25" s="57">
        <f>IF(ISERROR((E25-D25)/D25),"-",(E25-D25)/D25)</f>
        <v>-1.9764304130898296E-2</v>
      </c>
      <c r="G25" s="5" t="s">
        <v>1765</v>
      </c>
    </row>
    <row r="26" spans="1:7" x14ac:dyDescent="0.25">
      <c r="A26" s="2" t="s">
        <v>40</v>
      </c>
      <c r="B26" s="1"/>
      <c r="C26" s="5" t="s">
        <v>450</v>
      </c>
      <c r="D26" s="3">
        <v>110064</v>
      </c>
      <c r="E26" s="3">
        <v>109699</v>
      </c>
      <c r="F26" s="57">
        <f>IF(ISERROR((E26-D26)/D26),"-",(E26-D26)/D26)</f>
        <v>-3.3162523622619565E-3</v>
      </c>
      <c r="G26" s="5" t="s">
        <v>1769</v>
      </c>
    </row>
    <row r="27" spans="1:7" ht="51.75" x14ac:dyDescent="0.25">
      <c r="A27" s="2" t="s">
        <v>41</v>
      </c>
      <c r="B27" s="1" t="s">
        <v>1771</v>
      </c>
      <c r="C27" s="5" t="s">
        <v>4147</v>
      </c>
      <c r="D27" s="6">
        <v>183000</v>
      </c>
      <c r="E27" s="6">
        <v>183000</v>
      </c>
      <c r="F27" s="57">
        <f>IF(ISERROR((E27-D27)/D27),"-",(E27-D27)/D27)</f>
        <v>0</v>
      </c>
      <c r="G27" s="5" t="s">
        <v>4149</v>
      </c>
    </row>
    <row r="28" spans="1:7" x14ac:dyDescent="0.25">
      <c r="A28" s="2" t="s">
        <v>42</v>
      </c>
      <c r="B28" s="1"/>
      <c r="C28" s="5" t="s">
        <v>450</v>
      </c>
      <c r="D28" s="3">
        <v>168039</v>
      </c>
      <c r="E28" s="3">
        <v>169350</v>
      </c>
      <c r="F28" s="57">
        <f>IF(ISERROR((E28-D28)/D28),"-",(E28-D28)/D28)</f>
        <v>7.8017603056433332E-3</v>
      </c>
      <c r="G28" s="5" t="s">
        <v>1784</v>
      </c>
    </row>
    <row r="29" spans="1:7" ht="26.25" x14ac:dyDescent="0.25">
      <c r="A29" s="12" t="s">
        <v>42</v>
      </c>
      <c r="B29" s="13"/>
      <c r="C29" s="7" t="s">
        <v>3720</v>
      </c>
      <c r="D29" s="6">
        <v>175995</v>
      </c>
      <c r="E29" s="6">
        <v>195304</v>
      </c>
      <c r="F29" s="57">
        <f>IF(ISERROR((E29-D29)/D29),"-",(E29-D29)/D29)</f>
        <v>0.10971334412909457</v>
      </c>
      <c r="G29" s="7" t="s">
        <v>4150</v>
      </c>
    </row>
    <row r="30" spans="1:7" ht="26.25" x14ac:dyDescent="0.25">
      <c r="A30" s="2" t="s">
        <v>43</v>
      </c>
      <c r="B30" s="1"/>
      <c r="C30" s="5" t="s">
        <v>450</v>
      </c>
      <c r="D30" s="3">
        <v>141175</v>
      </c>
      <c r="E30" s="3">
        <v>163624</v>
      </c>
      <c r="F30" s="57">
        <f>IF(ISERROR((E30-D30)/D30),"-",(E30-D30)/D30)</f>
        <v>0.15901540641048345</v>
      </c>
      <c r="G30" s="5" t="s">
        <v>1789</v>
      </c>
    </row>
    <row r="31" spans="1:7" x14ac:dyDescent="0.25">
      <c r="A31" s="2" t="s">
        <v>45</v>
      </c>
      <c r="B31" s="1"/>
      <c r="C31" s="5" t="s">
        <v>450</v>
      </c>
      <c r="D31" s="3">
        <v>110869</v>
      </c>
      <c r="E31" s="3">
        <v>112848</v>
      </c>
      <c r="F31" s="57">
        <f>IF(ISERROR((E31-D31)/D31),"-",(E31-D31)/D31)</f>
        <v>1.7849894921032932E-2</v>
      </c>
      <c r="G31" s="5" t="s">
        <v>1791</v>
      </c>
    </row>
    <row r="32" spans="1:7" x14ac:dyDescent="0.25">
      <c r="A32" s="2" t="s">
        <v>46</v>
      </c>
      <c r="B32" s="1" t="s">
        <v>1792</v>
      </c>
      <c r="C32" s="5" t="s">
        <v>450</v>
      </c>
      <c r="D32" s="3">
        <v>190647</v>
      </c>
      <c r="E32" s="3">
        <v>196860</v>
      </c>
      <c r="F32" s="57">
        <f>IF(ISERROR((E32-D32)/D32),"-",(E32-D32)/D32)</f>
        <v>3.2589025791121815E-2</v>
      </c>
      <c r="G32" s="5" t="s">
        <v>1793</v>
      </c>
    </row>
    <row r="33" spans="1:7" ht="26.25" x14ac:dyDescent="0.25">
      <c r="A33" s="2" t="s">
        <v>47</v>
      </c>
      <c r="B33" s="1"/>
      <c r="C33" s="5" t="s">
        <v>450</v>
      </c>
      <c r="D33" s="3">
        <v>91932</v>
      </c>
      <c r="E33" s="3">
        <v>107700</v>
      </c>
      <c r="F33" s="57">
        <f>IF(ISERROR((E33-D33)/D33),"-",(E33-D33)/D33)</f>
        <v>0.17151807857981988</v>
      </c>
      <c r="G33" s="5" t="s">
        <v>4153</v>
      </c>
    </row>
    <row r="34" spans="1:7" x14ac:dyDescent="0.25">
      <c r="A34" s="12" t="s">
        <v>48</v>
      </c>
      <c r="B34" s="13"/>
      <c r="C34" s="7" t="s">
        <v>450</v>
      </c>
      <c r="D34" s="6">
        <v>149343</v>
      </c>
      <c r="E34" s="6">
        <v>149749</v>
      </c>
      <c r="F34" s="57">
        <f>IF(ISERROR((E34-D34)/D34),"-",(E34-D34)/D34)</f>
        <v>2.7185740208781127E-3</v>
      </c>
      <c r="G34" s="7" t="s">
        <v>3731</v>
      </c>
    </row>
    <row r="35" spans="1:7" x14ac:dyDescent="0.25">
      <c r="A35" s="2" t="s">
        <v>49</v>
      </c>
      <c r="B35" s="1" t="s">
        <v>1811</v>
      </c>
      <c r="C35" s="5" t="s">
        <v>450</v>
      </c>
      <c r="D35" s="3">
        <v>182600</v>
      </c>
      <c r="E35" s="3">
        <v>187200</v>
      </c>
      <c r="F35" s="57">
        <f>IF(ISERROR((E35-D35)/D35),"-",(E35-D35)/D35)</f>
        <v>2.5191675794085433E-2</v>
      </c>
      <c r="G35" s="5" t="s">
        <v>1812</v>
      </c>
    </row>
    <row r="36" spans="1:7" x14ac:dyDescent="0.25">
      <c r="A36" s="2" t="s">
        <v>50</v>
      </c>
      <c r="B36" s="1" t="s">
        <v>1819</v>
      </c>
      <c r="C36" s="5" t="s">
        <v>450</v>
      </c>
      <c r="D36" s="3">
        <v>223760</v>
      </c>
      <c r="E36" s="3">
        <v>227234</v>
      </c>
      <c r="F36" s="57">
        <f>IF(ISERROR((E36-D36)/D36),"-",(E36-D36)/D36)</f>
        <v>1.5525563103324992E-2</v>
      </c>
      <c r="G36" s="5" t="s">
        <v>1820</v>
      </c>
    </row>
    <row r="37" spans="1:7" x14ac:dyDescent="0.25">
      <c r="A37" s="2" t="s">
        <v>51</v>
      </c>
      <c r="B37" s="1"/>
      <c r="C37" s="5" t="s">
        <v>450</v>
      </c>
      <c r="D37" s="3">
        <v>147000</v>
      </c>
      <c r="E37" s="3">
        <v>149000</v>
      </c>
      <c r="F37" s="57">
        <f>IF(ISERROR((E37-D37)/D37),"-",(E37-D37)/D37)</f>
        <v>1.3605442176870748E-2</v>
      </c>
      <c r="G37" s="5" t="s">
        <v>1830</v>
      </c>
    </row>
    <row r="38" spans="1:7" ht="39" x14ac:dyDescent="0.25">
      <c r="A38" s="17" t="s">
        <v>4166</v>
      </c>
      <c r="B38" s="13"/>
      <c r="C38" s="7" t="s">
        <v>450</v>
      </c>
      <c r="D38" s="6">
        <v>133099</v>
      </c>
      <c r="E38" s="6">
        <v>38953</v>
      </c>
      <c r="F38" s="57">
        <f>IF(ISERROR((E38-D38)/D38),"-",(E38-D38)/D38)</f>
        <v>-0.70733814679298868</v>
      </c>
      <c r="G38" s="7" t="s">
        <v>4165</v>
      </c>
    </row>
    <row r="39" spans="1:7" x14ac:dyDescent="0.25">
      <c r="A39" s="2" t="s">
        <v>53</v>
      </c>
      <c r="B39" s="1" t="s">
        <v>1833</v>
      </c>
      <c r="C39" s="5" t="s">
        <v>450</v>
      </c>
      <c r="D39" s="3">
        <v>233870</v>
      </c>
      <c r="E39" s="3">
        <v>232646</v>
      </c>
      <c r="F39" s="57">
        <f>IF(ISERROR((E39-D39)/D39),"-",(E39-D39)/D39)</f>
        <v>-5.2336768290075679E-3</v>
      </c>
      <c r="G39" s="5" t="s">
        <v>1834</v>
      </c>
    </row>
    <row r="40" spans="1:7" x14ac:dyDescent="0.25">
      <c r="A40" s="2" t="s">
        <v>55</v>
      </c>
      <c r="B40" s="1"/>
      <c r="C40" s="5" t="s">
        <v>450</v>
      </c>
      <c r="D40" s="3">
        <v>170310</v>
      </c>
      <c r="E40" s="3">
        <v>169469</v>
      </c>
      <c r="F40" s="57">
        <f>IF(ISERROR((E40-D40)/D40),"-",(E40-D40)/D40)</f>
        <v>-4.9380541365744816E-3</v>
      </c>
      <c r="G40" s="5" t="s">
        <v>1839</v>
      </c>
    </row>
    <row r="41" spans="1:7" x14ac:dyDescent="0.25">
      <c r="A41" s="2" t="s">
        <v>56</v>
      </c>
      <c r="B41" s="1" t="s">
        <v>1849</v>
      </c>
      <c r="C41" s="5" t="s">
        <v>450</v>
      </c>
      <c r="D41" s="3">
        <v>107900</v>
      </c>
      <c r="E41" s="3">
        <v>220100</v>
      </c>
      <c r="F41" s="57">
        <f>IF(ISERROR((E41-D41)/D41),"-",(E41-D41)/D41)</f>
        <v>1.0398517145505097</v>
      </c>
      <c r="G41" s="5" t="s">
        <v>4429</v>
      </c>
    </row>
    <row r="42" spans="1:7" x14ac:dyDescent="0.25">
      <c r="A42" s="2" t="s">
        <v>57</v>
      </c>
      <c r="B42" s="1" t="s">
        <v>1856</v>
      </c>
      <c r="C42" s="5" t="s">
        <v>450</v>
      </c>
      <c r="D42" s="3">
        <v>220457</v>
      </c>
      <c r="E42" s="3">
        <v>222133</v>
      </c>
      <c r="F42" s="57">
        <f>IF(ISERROR((E42-D42)/D42),"-",(E42-D42)/D42)</f>
        <v>7.6023895816417714E-3</v>
      </c>
      <c r="G42" s="5" t="s">
        <v>1857</v>
      </c>
    </row>
    <row r="43" spans="1:7" x14ac:dyDescent="0.25">
      <c r="A43" s="2" t="s">
        <v>58</v>
      </c>
      <c r="B43" s="1"/>
      <c r="C43" s="5" t="s">
        <v>450</v>
      </c>
      <c r="D43" s="3">
        <v>135371</v>
      </c>
      <c r="E43" s="3">
        <v>130264</v>
      </c>
      <c r="F43" s="57">
        <f>IF(ISERROR((E43-D43)/D43),"-",(E43-D43)/D43)</f>
        <v>-3.7725953121421872E-2</v>
      </c>
      <c r="G43" s="5" t="s">
        <v>1861</v>
      </c>
    </row>
    <row r="44" spans="1:7" x14ac:dyDescent="0.25">
      <c r="A44" s="2" t="s">
        <v>59</v>
      </c>
      <c r="B44" s="1" t="s">
        <v>1862</v>
      </c>
      <c r="C44" s="5" t="s">
        <v>450</v>
      </c>
      <c r="D44" s="3">
        <v>202760</v>
      </c>
      <c r="E44" s="3">
        <v>202295</v>
      </c>
      <c r="F44" s="57">
        <f>IF(ISERROR((E44-D44)/D44),"-",(E44-D44)/D44)</f>
        <v>-2.2933517459064905E-3</v>
      </c>
      <c r="G44" s="5" t="s">
        <v>1863</v>
      </c>
    </row>
    <row r="45" spans="1:7" ht="39" x14ac:dyDescent="0.25">
      <c r="A45" s="30" t="s">
        <v>4192</v>
      </c>
      <c r="B45" s="1"/>
      <c r="C45" s="5" t="s">
        <v>450</v>
      </c>
      <c r="D45" s="3">
        <v>132110</v>
      </c>
      <c r="E45" s="3">
        <v>137604</v>
      </c>
      <c r="F45" s="57">
        <f>IF(ISERROR((E45-D45)/D45),"-",(E45-D45)/D45)</f>
        <v>4.1586556657331013E-2</v>
      </c>
      <c r="G45" s="5" t="s">
        <v>4197</v>
      </c>
    </row>
    <row r="46" spans="1:7" x14ac:dyDescent="0.25">
      <c r="A46" s="2" t="s">
        <v>61</v>
      </c>
      <c r="B46" s="1"/>
      <c r="C46" s="5" t="s">
        <v>1874</v>
      </c>
      <c r="D46" s="3">
        <v>134080</v>
      </c>
      <c r="E46" s="3">
        <v>132147</v>
      </c>
      <c r="F46" s="57">
        <f>IF(ISERROR((E46-D46)/D46),"-",(E46-D46)/D46)</f>
        <v>-1.4416766109785203E-2</v>
      </c>
      <c r="G46" s="5" t="s">
        <v>1875</v>
      </c>
    </row>
    <row r="47" spans="1:7" x14ac:dyDescent="0.25">
      <c r="A47" s="2" t="s">
        <v>62</v>
      </c>
      <c r="B47" s="1"/>
      <c r="C47" s="5" t="s">
        <v>450</v>
      </c>
      <c r="D47" s="3">
        <v>124328</v>
      </c>
      <c r="E47" s="3">
        <v>127448</v>
      </c>
      <c r="F47" s="57">
        <f>IF(ISERROR((E47-D47)/D47),"-",(E47-D47)/D47)</f>
        <v>2.5094910237436457E-2</v>
      </c>
      <c r="G47" s="5" t="s">
        <v>1876</v>
      </c>
    </row>
    <row r="48" spans="1:7" x14ac:dyDescent="0.25">
      <c r="A48" s="12" t="s">
        <v>63</v>
      </c>
      <c r="B48" s="13" t="s">
        <v>1878</v>
      </c>
      <c r="C48" s="7" t="s">
        <v>450</v>
      </c>
      <c r="D48" s="6">
        <v>258868</v>
      </c>
      <c r="E48" s="6">
        <v>259104</v>
      </c>
      <c r="F48" s="57">
        <f>IF(ISERROR((E48-D48)/D48),"-",(E48-D48)/D48)</f>
        <v>9.1166154178963792E-4</v>
      </c>
      <c r="G48" s="7" t="s">
        <v>4199</v>
      </c>
    </row>
    <row r="49" spans="1:7" x14ac:dyDescent="0.25">
      <c r="A49" s="2" t="s">
        <v>64</v>
      </c>
      <c r="B49" s="1" t="s">
        <v>1880</v>
      </c>
      <c r="C49" s="5" t="s">
        <v>450</v>
      </c>
      <c r="D49" s="3">
        <v>135404</v>
      </c>
      <c r="E49" s="3">
        <v>135432</v>
      </c>
      <c r="F49" s="57">
        <f>IF(ISERROR((E49-D49)/D49),"-",(E49-D49)/D49)</f>
        <v>2.0678857345425542E-4</v>
      </c>
      <c r="G49" s="5" t="s">
        <v>1881</v>
      </c>
    </row>
    <row r="50" spans="1:7" x14ac:dyDescent="0.25">
      <c r="A50" s="12" t="s">
        <v>65</v>
      </c>
      <c r="B50" s="13" t="s">
        <v>1882</v>
      </c>
      <c r="C50" s="7" t="s">
        <v>450</v>
      </c>
      <c r="D50" s="6">
        <v>192982</v>
      </c>
      <c r="E50" s="6">
        <v>173735</v>
      </c>
      <c r="F50" s="57">
        <f>IF(ISERROR((E50-D50)/D50),"-",(E50-D50)/D50)</f>
        <v>-9.9734690281995206E-2</v>
      </c>
      <c r="G50" s="7" t="s">
        <v>4201</v>
      </c>
    </row>
    <row r="51" spans="1:7" x14ac:dyDescent="0.25">
      <c r="A51" s="2" t="s">
        <v>66</v>
      </c>
      <c r="B51" s="1"/>
      <c r="C51" s="5" t="s">
        <v>450</v>
      </c>
      <c r="D51" s="3">
        <v>161229</v>
      </c>
      <c r="E51" s="3">
        <v>117926</v>
      </c>
      <c r="F51" s="57">
        <f>IF(ISERROR((E51-D51)/D51),"-",(E51-D51)/D51)</f>
        <v>-0.26858071438761016</v>
      </c>
      <c r="G51" s="5" t="s">
        <v>4430</v>
      </c>
    </row>
    <row r="52" spans="1:7" ht="39" x14ac:dyDescent="0.25">
      <c r="A52" s="12" t="s">
        <v>66</v>
      </c>
      <c r="B52" s="13"/>
      <c r="C52" s="7" t="s">
        <v>4203</v>
      </c>
      <c r="D52" s="6">
        <v>119455</v>
      </c>
      <c r="E52" s="6">
        <f>63565+73074</f>
        <v>136639</v>
      </c>
      <c r="F52" s="57">
        <f>IF(ISERROR((E52-D52)/D52),"-",(E52-D52)/D52)</f>
        <v>0.14385333389142355</v>
      </c>
      <c r="G52" s="7" t="s">
        <v>4607</v>
      </c>
    </row>
    <row r="53" spans="1:7" x14ac:dyDescent="0.25">
      <c r="A53" s="2" t="s">
        <v>67</v>
      </c>
      <c r="B53" s="1"/>
      <c r="C53" s="5" t="s">
        <v>450</v>
      </c>
      <c r="D53" s="3">
        <v>166000</v>
      </c>
      <c r="E53" s="3">
        <v>170000</v>
      </c>
      <c r="F53" s="57">
        <f>IF(ISERROR((E53-D53)/D53),"-",(E53-D53)/D53)</f>
        <v>2.4096385542168676E-2</v>
      </c>
      <c r="G53" s="5" t="s">
        <v>1892</v>
      </c>
    </row>
    <row r="54" spans="1:7" x14ac:dyDescent="0.25">
      <c r="A54" s="2" t="s">
        <v>68</v>
      </c>
      <c r="B54" s="1" t="s">
        <v>1899</v>
      </c>
      <c r="C54" s="5" t="s">
        <v>450</v>
      </c>
      <c r="D54" s="3">
        <v>107342</v>
      </c>
      <c r="E54" s="3">
        <v>134399</v>
      </c>
      <c r="F54" s="57">
        <f>IF(ISERROR((E54-D54)/D54),"-",(E54-D54)/D54)</f>
        <v>0.25206349797842409</v>
      </c>
      <c r="G54" s="5" t="s">
        <v>4206</v>
      </c>
    </row>
    <row r="55" spans="1:7" x14ac:dyDescent="0.25">
      <c r="A55" s="2" t="s">
        <v>69</v>
      </c>
      <c r="B55" s="1" t="s">
        <v>1903</v>
      </c>
      <c r="C55" s="5" t="s">
        <v>450</v>
      </c>
      <c r="D55" s="3">
        <v>230456</v>
      </c>
      <c r="E55" s="3">
        <v>233200</v>
      </c>
      <c r="F55" s="57">
        <f>IF(ISERROR((E55-D55)/D55),"-",(E55-D55)/D55)</f>
        <v>1.1906828201478807E-2</v>
      </c>
      <c r="G55" s="5" t="s">
        <v>1904</v>
      </c>
    </row>
    <row r="56" spans="1:7" x14ac:dyDescent="0.25">
      <c r="A56" s="2" t="s">
        <v>70</v>
      </c>
      <c r="B56" s="1" t="s">
        <v>3782</v>
      </c>
      <c r="C56" s="5" t="s">
        <v>450</v>
      </c>
      <c r="D56" s="19">
        <f>211442+29998</f>
        <v>241440</v>
      </c>
      <c r="E56" s="19">
        <f>204961+31908</f>
        <v>236869</v>
      </c>
      <c r="F56" s="57">
        <f>IF(ISERROR((E56-D56)/D56),"-",(E56-D56)/D56)</f>
        <v>-1.8932239893969516E-2</v>
      </c>
      <c r="G56" s="5" t="s">
        <v>1912</v>
      </c>
    </row>
    <row r="57" spans="1:7" x14ac:dyDescent="0.25">
      <c r="A57" s="2" t="s">
        <v>71</v>
      </c>
      <c r="B57" s="1"/>
      <c r="C57" s="5" t="s">
        <v>450</v>
      </c>
      <c r="D57" s="3">
        <v>136053</v>
      </c>
      <c r="E57" s="3">
        <v>138367</v>
      </c>
      <c r="F57" s="57">
        <f>IF(ISERROR((E57-D57)/D57),"-",(E57-D57)/D57)</f>
        <v>1.7008077734412326E-2</v>
      </c>
      <c r="G57" s="5" t="s">
        <v>1942</v>
      </c>
    </row>
    <row r="58" spans="1:7" x14ac:dyDescent="0.25">
      <c r="A58" s="2" t="s">
        <v>72</v>
      </c>
      <c r="B58" s="1"/>
      <c r="C58" s="5" t="s">
        <v>450</v>
      </c>
      <c r="D58" s="3">
        <v>146000</v>
      </c>
      <c r="E58" s="3">
        <v>161000</v>
      </c>
      <c r="F58" s="57">
        <f>IF(ISERROR((E58-D58)/D58),"-",(E58-D58)/D58)</f>
        <v>0.10273972602739725</v>
      </c>
      <c r="G58" s="5" t="s">
        <v>1943</v>
      </c>
    </row>
    <row r="59" spans="1:7" x14ac:dyDescent="0.25">
      <c r="A59" s="2" t="s">
        <v>73</v>
      </c>
      <c r="B59" s="1" t="s">
        <v>3791</v>
      </c>
      <c r="C59" s="5" t="s">
        <v>450</v>
      </c>
      <c r="D59" s="3" t="s">
        <v>465</v>
      </c>
      <c r="E59" s="3">
        <v>124492</v>
      </c>
      <c r="F59" s="57" t="str">
        <f>IF(ISERROR((E59-D59)/D59),"-",(E59-D59)/D59)</f>
        <v>-</v>
      </c>
      <c r="G59" s="5" t="s">
        <v>3792</v>
      </c>
    </row>
    <row r="60" spans="1:7" ht="26.25" x14ac:dyDescent="0.25">
      <c r="A60" s="2" t="s">
        <v>73</v>
      </c>
      <c r="B60" s="7" t="s">
        <v>3795</v>
      </c>
      <c r="C60" s="7" t="s">
        <v>450</v>
      </c>
      <c r="D60" s="6">
        <v>177001</v>
      </c>
      <c r="E60" s="6">
        <v>139575</v>
      </c>
      <c r="F60" s="57">
        <f>IF(ISERROR((E60-D60)/D60),"-",(E60-D60)/D60)</f>
        <v>-0.2114451330783442</v>
      </c>
      <c r="G60" s="7" t="s">
        <v>4221</v>
      </c>
    </row>
    <row r="61" spans="1:7" x14ac:dyDescent="0.25">
      <c r="A61" s="2" t="s">
        <v>73</v>
      </c>
      <c r="B61" s="1" t="s">
        <v>3801</v>
      </c>
      <c r="C61" s="5" t="s">
        <v>3802</v>
      </c>
      <c r="D61" s="3">
        <v>163404</v>
      </c>
      <c r="E61" s="3" t="s">
        <v>465</v>
      </c>
      <c r="F61" s="57" t="str">
        <f>IF(ISERROR((E61-D61)/D61),"-",(E61-D61)/D61)</f>
        <v>-</v>
      </c>
      <c r="G61" s="5" t="s">
        <v>3803</v>
      </c>
    </row>
    <row r="62" spans="1:7" x14ac:dyDescent="0.25">
      <c r="A62" s="2" t="s">
        <v>74</v>
      </c>
      <c r="B62" s="1"/>
      <c r="C62" s="5" t="s">
        <v>450</v>
      </c>
      <c r="D62" s="3">
        <v>130000</v>
      </c>
      <c r="E62" s="3">
        <v>131000</v>
      </c>
      <c r="F62" s="57">
        <f>IF(ISERROR((E62-D62)/D62),"-",(E62-D62)/D62)</f>
        <v>7.6923076923076927E-3</v>
      </c>
      <c r="G62" s="5" t="s">
        <v>1961</v>
      </c>
    </row>
    <row r="63" spans="1:7" x14ac:dyDescent="0.25">
      <c r="A63" s="2" t="s">
        <v>75</v>
      </c>
      <c r="B63" s="1" t="s">
        <v>1963</v>
      </c>
      <c r="C63" s="5" t="s">
        <v>450</v>
      </c>
      <c r="D63" s="3">
        <v>188018</v>
      </c>
      <c r="E63" s="3">
        <v>189178</v>
      </c>
      <c r="F63" s="57">
        <f>IF(ISERROR((E63-D63)/D63),"-",(E63-D63)/D63)</f>
        <v>6.1696220574625838E-3</v>
      </c>
      <c r="G63" s="5" t="s">
        <v>1964</v>
      </c>
    </row>
    <row r="64" spans="1:7" x14ac:dyDescent="0.25">
      <c r="A64" s="2" t="s">
        <v>77</v>
      </c>
      <c r="B64" s="1" t="s">
        <v>1972</v>
      </c>
      <c r="C64" s="5" t="s">
        <v>450</v>
      </c>
      <c r="D64" s="3">
        <v>186293</v>
      </c>
      <c r="E64" s="3">
        <v>180200</v>
      </c>
      <c r="F64" s="57">
        <f>IF(ISERROR((E64-D64)/D64),"-",(E64-D64)/D64)</f>
        <v>-3.2706542918950254E-2</v>
      </c>
      <c r="G64" s="5" t="s">
        <v>1973</v>
      </c>
    </row>
    <row r="65" spans="1:7" x14ac:dyDescent="0.25">
      <c r="A65" s="2" t="s">
        <v>79</v>
      </c>
      <c r="B65" s="1" t="s">
        <v>1980</v>
      </c>
      <c r="C65" s="5" t="s">
        <v>450</v>
      </c>
      <c r="D65" s="3">
        <v>98814</v>
      </c>
      <c r="E65" s="3">
        <v>228770</v>
      </c>
      <c r="F65" s="57">
        <f>IF(ISERROR((E65-D65)/D65),"-",(E65-D65)/D65)</f>
        <v>1.3151577711660292</v>
      </c>
      <c r="G65" s="5" t="s">
        <v>3812</v>
      </c>
    </row>
    <row r="66" spans="1:7" x14ac:dyDescent="0.25">
      <c r="A66" s="2" t="s">
        <v>80</v>
      </c>
      <c r="B66" s="1"/>
      <c r="C66" s="5" t="s">
        <v>450</v>
      </c>
      <c r="D66" s="3">
        <v>118571</v>
      </c>
      <c r="E66" s="3">
        <v>122797</v>
      </c>
      <c r="F66" s="57">
        <f>IF(ISERROR((E66-D66)/D66),"-",(E66-D66)/D66)</f>
        <v>3.5641092678648234E-2</v>
      </c>
      <c r="G66" s="5" t="s">
        <v>1988</v>
      </c>
    </row>
    <row r="67" spans="1:7" x14ac:dyDescent="0.25">
      <c r="A67" s="2" t="s">
        <v>81</v>
      </c>
      <c r="B67" s="1"/>
      <c r="C67" s="5" t="s">
        <v>450</v>
      </c>
      <c r="D67" s="3">
        <v>109059</v>
      </c>
      <c r="E67" s="3">
        <v>138663</v>
      </c>
      <c r="F67" s="57">
        <f>IF(ISERROR((E67-D67)/D67),"-",(E67-D67)/D67)</f>
        <v>0.27144939894919262</v>
      </c>
      <c r="G67" s="5" t="s">
        <v>3815</v>
      </c>
    </row>
    <row r="68" spans="1:7" x14ac:dyDescent="0.25">
      <c r="A68" s="12" t="s">
        <v>82</v>
      </c>
      <c r="B68" s="13" t="s">
        <v>1997</v>
      </c>
      <c r="C68" s="7" t="s">
        <v>450</v>
      </c>
      <c r="D68" s="6">
        <v>189116</v>
      </c>
      <c r="E68" s="6">
        <v>131347</v>
      </c>
      <c r="F68" s="57">
        <f>IF(ISERROR((E68-D68)/D68),"-",(E68-D68)/D68)</f>
        <v>-0.30546860128175302</v>
      </c>
      <c r="G68" s="7" t="s">
        <v>1998</v>
      </c>
    </row>
    <row r="69" spans="1:7" x14ac:dyDescent="0.25">
      <c r="A69" s="2" t="s">
        <v>83</v>
      </c>
      <c r="B69" s="1"/>
      <c r="C69" s="5" t="s">
        <v>450</v>
      </c>
      <c r="D69" s="3">
        <v>127690</v>
      </c>
      <c r="E69" s="3">
        <v>138066</v>
      </c>
      <c r="F69" s="57">
        <f>IF(ISERROR((E69-D69)/D69),"-",(E69-D69)/D69)</f>
        <v>8.1259299866865059E-2</v>
      </c>
      <c r="G69" s="5" t="s">
        <v>2008</v>
      </c>
    </row>
    <row r="70" spans="1:7" ht="26.25" x14ac:dyDescent="0.25">
      <c r="A70" s="12" t="s">
        <v>84</v>
      </c>
      <c r="B70" s="13"/>
      <c r="C70" s="7" t="s">
        <v>450</v>
      </c>
      <c r="D70" s="6">
        <v>138056</v>
      </c>
      <c r="E70" s="6">
        <v>112420</v>
      </c>
      <c r="F70" s="57">
        <f>IF(ISERROR((E70-D70)/D70),"-",(E70-D70)/D70)</f>
        <v>-0.18569276235730428</v>
      </c>
      <c r="G70" s="7" t="s">
        <v>4223</v>
      </c>
    </row>
    <row r="71" spans="1:7" x14ac:dyDescent="0.25">
      <c r="A71" s="2" t="s">
        <v>85</v>
      </c>
      <c r="B71" s="1" t="s">
        <v>2012</v>
      </c>
      <c r="C71" s="5" t="s">
        <v>450</v>
      </c>
      <c r="D71" s="6">
        <v>229291</v>
      </c>
      <c r="E71" s="3">
        <v>226318</v>
      </c>
      <c r="F71" s="57">
        <f>IF(ISERROR((E71-D71)/D71),"-",(E71-D71)/D71)</f>
        <v>-1.2966056234217654E-2</v>
      </c>
      <c r="G71" s="5" t="s">
        <v>2013</v>
      </c>
    </row>
    <row r="72" spans="1:7" x14ac:dyDescent="0.25">
      <c r="A72" s="2" t="s">
        <v>86</v>
      </c>
      <c r="B72" s="1" t="s">
        <v>2030</v>
      </c>
      <c r="C72" s="5" t="s">
        <v>450</v>
      </c>
      <c r="D72" s="3">
        <v>218000</v>
      </c>
      <c r="E72" s="3">
        <v>235000</v>
      </c>
      <c r="F72" s="57">
        <f>IF(ISERROR((E72-D72)/D72),"-",(E72-D72)/D72)</f>
        <v>7.7981651376146793E-2</v>
      </c>
      <c r="G72" s="5" t="s">
        <v>2031</v>
      </c>
    </row>
    <row r="73" spans="1:7" x14ac:dyDescent="0.25">
      <c r="A73" s="2" t="s">
        <v>87</v>
      </c>
      <c r="B73" s="1"/>
      <c r="C73" s="5" t="s">
        <v>450</v>
      </c>
      <c r="D73" s="3">
        <v>124868</v>
      </c>
      <c r="E73" s="3">
        <v>124630</v>
      </c>
      <c r="F73" s="57">
        <f>IF(ISERROR((E73-D73)/D73),"-",(E73-D73)/D73)</f>
        <v>-1.9060127494634335E-3</v>
      </c>
      <c r="G73" s="5" t="s">
        <v>2055</v>
      </c>
    </row>
    <row r="74" spans="1:7" x14ac:dyDescent="0.25">
      <c r="A74" s="2" t="s">
        <v>88</v>
      </c>
      <c r="B74" s="1"/>
      <c r="C74" s="5" t="s">
        <v>450</v>
      </c>
      <c r="D74" s="3">
        <v>138375</v>
      </c>
      <c r="E74" s="3">
        <v>134536</v>
      </c>
      <c r="F74" s="57">
        <f>IF(ISERROR((E74-D74)/D74),"-",(E74-D74)/D74)</f>
        <v>-2.7743450767841012E-2</v>
      </c>
      <c r="G74" s="5" t="s">
        <v>2057</v>
      </c>
    </row>
    <row r="75" spans="1:7" x14ac:dyDescent="0.25">
      <c r="A75" s="2" t="s">
        <v>89</v>
      </c>
      <c r="B75" s="1"/>
      <c r="C75" s="5" t="s">
        <v>450</v>
      </c>
      <c r="D75" s="3">
        <v>132149</v>
      </c>
      <c r="E75" s="3">
        <v>132061</v>
      </c>
      <c r="F75" s="57">
        <f>IF(ISERROR((E75-D75)/D75),"-",(E75-D75)/D75)</f>
        <v>-6.6591498989776693E-4</v>
      </c>
      <c r="G75" s="5" t="s">
        <v>2065</v>
      </c>
    </row>
    <row r="76" spans="1:7" x14ac:dyDescent="0.25">
      <c r="A76" s="2" t="s">
        <v>90</v>
      </c>
      <c r="B76" s="1"/>
      <c r="C76" s="5" t="s">
        <v>1874</v>
      </c>
      <c r="D76" s="3">
        <v>157144</v>
      </c>
      <c r="E76" s="3">
        <v>158004</v>
      </c>
      <c r="F76" s="57">
        <f>IF(ISERROR((E76-D76)/D76),"-",(E76-D76)/D76)</f>
        <v>5.472687471363845E-3</v>
      </c>
      <c r="G76" s="5" t="s">
        <v>2066</v>
      </c>
    </row>
    <row r="77" spans="1:7" x14ac:dyDescent="0.25">
      <c r="A77" s="2" t="s">
        <v>91</v>
      </c>
      <c r="B77" s="1"/>
      <c r="C77" s="5" t="s">
        <v>450</v>
      </c>
      <c r="D77" s="3">
        <v>100687</v>
      </c>
      <c r="E77" s="3">
        <v>182960</v>
      </c>
      <c r="F77" s="57">
        <f>IF(ISERROR((E77-D77)/D77),"-",(E77-D77)/D77)</f>
        <v>0.8171164102615035</v>
      </c>
      <c r="G77" s="5" t="s">
        <v>2072</v>
      </c>
    </row>
    <row r="78" spans="1:7" x14ac:dyDescent="0.25">
      <c r="A78" s="12" t="s">
        <v>92</v>
      </c>
      <c r="B78" s="13" t="s">
        <v>2246</v>
      </c>
      <c r="C78" s="7" t="s">
        <v>450</v>
      </c>
      <c r="D78" s="6">
        <f>158580+31711</f>
        <v>190291</v>
      </c>
      <c r="E78" s="6">
        <f>127888+36829</f>
        <v>164717</v>
      </c>
      <c r="F78" s="57">
        <f>IF(ISERROR((E78-D78)/D78),"-",(E78-D78)/D78)</f>
        <v>-0.1343941647266555</v>
      </c>
      <c r="G78" s="17" t="s">
        <v>4229</v>
      </c>
    </row>
    <row r="79" spans="1:7" ht="26.25" x14ac:dyDescent="0.25">
      <c r="A79" s="12" t="s">
        <v>94</v>
      </c>
      <c r="B79" s="13" t="s">
        <v>2220</v>
      </c>
      <c r="C79" s="7" t="s">
        <v>450</v>
      </c>
      <c r="D79" s="6">
        <f>97095+2850+17451+513</f>
        <v>117909</v>
      </c>
      <c r="E79" s="6">
        <f>97095+3350+17224+620</f>
        <v>118289</v>
      </c>
      <c r="F79" s="57">
        <f>IF(ISERROR((E79-D79)/D79),"-",(E79-D79)/D79)</f>
        <v>3.2228243815145578E-3</v>
      </c>
      <c r="G79" s="7" t="s">
        <v>3842</v>
      </c>
    </row>
    <row r="80" spans="1:7" x14ac:dyDescent="0.25">
      <c r="A80" s="2" t="s">
        <v>95</v>
      </c>
      <c r="B80" s="1"/>
      <c r="C80" s="5" t="s">
        <v>450</v>
      </c>
      <c r="D80" s="3">
        <v>131518</v>
      </c>
      <c r="E80" s="3">
        <v>133813</v>
      </c>
      <c r="F80" s="57">
        <f>IF(ISERROR((E80-D80)/D80),"-",(E80-D80)/D80)</f>
        <v>1.745008287838927E-2</v>
      </c>
      <c r="G80" s="5" t="s">
        <v>3843</v>
      </c>
    </row>
    <row r="81" spans="1:7" x14ac:dyDescent="0.25">
      <c r="A81" s="2" t="s">
        <v>97</v>
      </c>
      <c r="B81" s="1"/>
      <c r="C81" s="5" t="s">
        <v>450</v>
      </c>
      <c r="D81" s="3">
        <v>147452</v>
      </c>
      <c r="E81" s="3">
        <v>139032</v>
      </c>
      <c r="F81" s="57">
        <f>IF(ISERROR((E81-D81)/D81),"-",(E81-D81)/D81)</f>
        <v>-5.7103328540813285E-2</v>
      </c>
      <c r="G81" s="5" t="s">
        <v>3846</v>
      </c>
    </row>
    <row r="82" spans="1:7" ht="26.25" x14ac:dyDescent="0.25">
      <c r="A82" s="2" t="s">
        <v>97</v>
      </c>
      <c r="B82" s="1"/>
      <c r="C82" s="5" t="s">
        <v>4592</v>
      </c>
      <c r="D82" s="3">
        <v>112145</v>
      </c>
      <c r="E82" s="3">
        <v>133319</v>
      </c>
      <c r="F82" s="57">
        <f>IF(ISERROR((E82-D82)/D82),"-",(E82-D82)/D82)</f>
        <v>0.1888091310357127</v>
      </c>
      <c r="G82" s="5" t="s">
        <v>3847</v>
      </c>
    </row>
    <row r="83" spans="1:7" x14ac:dyDescent="0.25">
      <c r="A83" s="2" t="s">
        <v>100</v>
      </c>
      <c r="B83" s="1"/>
      <c r="C83" s="5" t="s">
        <v>450</v>
      </c>
      <c r="D83" s="3">
        <v>120814</v>
      </c>
      <c r="E83" s="3">
        <v>123239</v>
      </c>
      <c r="F83" s="57">
        <f>IF(ISERROR((E83-D83)/D83),"-",(E83-D83)/D83)</f>
        <v>2.0072177065571871E-2</v>
      </c>
      <c r="G83" s="5" t="s">
        <v>3850</v>
      </c>
    </row>
    <row r="84" spans="1:7" ht="27.75" customHeight="1" x14ac:dyDescent="0.25">
      <c r="A84" s="2" t="s">
        <v>101</v>
      </c>
      <c r="B84" s="1" t="s">
        <v>2210</v>
      </c>
      <c r="C84" s="5" t="s">
        <v>450</v>
      </c>
      <c r="D84" s="3">
        <v>238800</v>
      </c>
      <c r="E84" s="3">
        <v>245342</v>
      </c>
      <c r="F84" s="57">
        <f>IF(ISERROR((E84-D84)/D84),"-",(E84-D84)/D84)</f>
        <v>2.739530988274707E-2</v>
      </c>
      <c r="G84" s="5" t="s">
        <v>4238</v>
      </c>
    </row>
    <row r="85" spans="1:7" x14ac:dyDescent="0.25">
      <c r="A85" s="2" t="s">
        <v>103</v>
      </c>
      <c r="B85" s="1" t="s">
        <v>2204</v>
      </c>
      <c r="C85" s="5" t="s">
        <v>450</v>
      </c>
      <c r="D85" s="3">
        <v>221949</v>
      </c>
      <c r="E85" s="3">
        <v>216854</v>
      </c>
      <c r="F85" s="57">
        <f>IF(ISERROR((E85-D85)/D85),"-",(E85-D85)/D85)</f>
        <v>-2.2955724062735133E-2</v>
      </c>
      <c r="G85" s="5" t="s">
        <v>4244</v>
      </c>
    </row>
    <row r="86" spans="1:7" ht="26.25" x14ac:dyDescent="0.25">
      <c r="A86" s="2" t="s">
        <v>105</v>
      </c>
      <c r="B86" s="1"/>
      <c r="C86" s="5" t="s">
        <v>450</v>
      </c>
      <c r="D86" s="3">
        <v>118655</v>
      </c>
      <c r="E86" s="3">
        <v>124998</v>
      </c>
      <c r="F86" s="57">
        <f>IF(ISERROR((E86-D86)/D86),"-",(E86-D86)/D86)</f>
        <v>5.3457502844380771E-2</v>
      </c>
      <c r="G86" s="5" t="s">
        <v>3857</v>
      </c>
    </row>
    <row r="87" spans="1:7" x14ac:dyDescent="0.25">
      <c r="A87" s="2" t="s">
        <v>106</v>
      </c>
      <c r="B87" s="1"/>
      <c r="C87" s="5" t="s">
        <v>450</v>
      </c>
      <c r="D87" s="3">
        <v>142363</v>
      </c>
      <c r="E87" s="3">
        <v>135057</v>
      </c>
      <c r="F87" s="57">
        <f>IF(ISERROR((E87-D87)/D87),"-",(E87-D87)/D87)</f>
        <v>-5.1319514199616473E-2</v>
      </c>
      <c r="G87" s="5" t="s">
        <v>3858</v>
      </c>
    </row>
    <row r="88" spans="1:7" x14ac:dyDescent="0.25">
      <c r="A88" s="2" t="s">
        <v>107</v>
      </c>
      <c r="B88" s="1" t="s">
        <v>2187</v>
      </c>
      <c r="C88" s="5" t="s">
        <v>450</v>
      </c>
      <c r="D88" s="3">
        <v>246810</v>
      </c>
      <c r="E88" s="3">
        <v>248362</v>
      </c>
      <c r="F88" s="57">
        <f>IF(ISERROR((E88-D88)/D88),"-",(E88-D88)/D88)</f>
        <v>6.2882379158056808E-3</v>
      </c>
      <c r="G88" s="5" t="s">
        <v>3861</v>
      </c>
    </row>
    <row r="89" spans="1:7" x14ac:dyDescent="0.25">
      <c r="A89" s="2" t="s">
        <v>108</v>
      </c>
      <c r="B89" s="1" t="s">
        <v>2172</v>
      </c>
      <c r="C89" s="5" t="s">
        <v>450</v>
      </c>
      <c r="D89" s="6">
        <v>186705</v>
      </c>
      <c r="E89" s="3">
        <v>201941</v>
      </c>
      <c r="F89" s="57">
        <f>IF(ISERROR((E89-D89)/D89),"-",(E89-D89)/D89)</f>
        <v>8.1604670469457172E-2</v>
      </c>
      <c r="G89" s="5" t="s">
        <v>3865</v>
      </c>
    </row>
    <row r="90" spans="1:7" x14ac:dyDescent="0.25">
      <c r="A90" s="12" t="s">
        <v>108</v>
      </c>
      <c r="B90" s="13" t="s">
        <v>3873</v>
      </c>
      <c r="C90" s="7" t="s">
        <v>450</v>
      </c>
      <c r="D90" s="6">
        <v>464113</v>
      </c>
      <c r="E90" s="6" t="s">
        <v>465</v>
      </c>
      <c r="F90" s="57" t="str">
        <f>IF(ISERROR((E90-D90)/D90),"-",(E90-D90)/D90)</f>
        <v>-</v>
      </c>
      <c r="G90" s="7" t="s">
        <v>3874</v>
      </c>
    </row>
    <row r="91" spans="1:7" ht="26.25" x14ac:dyDescent="0.25">
      <c r="A91" s="2" t="s">
        <v>109</v>
      </c>
      <c r="B91" s="1"/>
      <c r="C91" s="5" t="s">
        <v>450</v>
      </c>
      <c r="D91" s="3">
        <v>151152</v>
      </c>
      <c r="E91" s="3">
        <v>153528</v>
      </c>
      <c r="F91" s="57">
        <f>IF(ISERROR((E91-D91)/D91),"-",(E91-D91)/D91)</f>
        <v>1.571927596062242E-2</v>
      </c>
      <c r="G91" s="5" t="s">
        <v>3876</v>
      </c>
    </row>
    <row r="92" spans="1:7" x14ac:dyDescent="0.25">
      <c r="A92" s="12" t="s">
        <v>110</v>
      </c>
      <c r="B92" s="13" t="s">
        <v>2166</v>
      </c>
      <c r="C92" s="7" t="s">
        <v>450</v>
      </c>
      <c r="D92" s="6">
        <v>188060</v>
      </c>
      <c r="E92" s="6">
        <v>187573</v>
      </c>
      <c r="F92" s="57">
        <f>IF(ISERROR((E92-D92)/D92),"-",(E92-D92)/D92)</f>
        <v>-2.5895990641284696E-3</v>
      </c>
      <c r="G92" s="7" t="s">
        <v>4617</v>
      </c>
    </row>
    <row r="93" spans="1:7" x14ac:dyDescent="0.25">
      <c r="A93" s="2" t="s">
        <v>114</v>
      </c>
      <c r="B93" s="1"/>
      <c r="C93" s="5" t="s">
        <v>450</v>
      </c>
      <c r="D93" s="3">
        <v>140742</v>
      </c>
      <c r="E93" s="3">
        <v>160414</v>
      </c>
      <c r="F93" s="57">
        <f>IF(ISERROR((E93-D93)/D93),"-",(E93-D93)/D93)</f>
        <v>0.13977348623722841</v>
      </c>
      <c r="G93" s="5" t="s">
        <v>4262</v>
      </c>
    </row>
    <row r="94" spans="1:7" ht="26.25" x14ac:dyDescent="0.25">
      <c r="A94" s="2" t="s">
        <v>115</v>
      </c>
      <c r="B94" s="1" t="s">
        <v>2157</v>
      </c>
      <c r="C94" s="5" t="s">
        <v>450</v>
      </c>
      <c r="D94" s="3">
        <v>128712</v>
      </c>
      <c r="E94" s="3">
        <v>188798</v>
      </c>
      <c r="F94" s="57">
        <f>IF(ISERROR((E94-D94)/D94),"-",(E94-D94)/D94)</f>
        <v>0.46682516004723723</v>
      </c>
      <c r="G94" s="5" t="s">
        <v>4271</v>
      </c>
    </row>
    <row r="95" spans="1:7" x14ac:dyDescent="0.25">
      <c r="A95" s="2" t="s">
        <v>116</v>
      </c>
      <c r="B95" s="1" t="s">
        <v>2150</v>
      </c>
      <c r="C95" s="5" t="s">
        <v>450</v>
      </c>
      <c r="D95" s="3">
        <v>179644</v>
      </c>
      <c r="E95" s="3">
        <v>178927</v>
      </c>
      <c r="F95" s="57">
        <f>IF(ISERROR((E95-D95)/D95),"-",(E95-D95)/D95)</f>
        <v>-3.9912270935850902E-3</v>
      </c>
      <c r="G95" s="5" t="s">
        <v>3898</v>
      </c>
    </row>
    <row r="96" spans="1:7" x14ac:dyDescent="0.25">
      <c r="A96" s="2" t="s">
        <v>117</v>
      </c>
      <c r="B96" s="1"/>
      <c r="C96" s="5" t="s">
        <v>450</v>
      </c>
      <c r="D96" s="3">
        <v>148000</v>
      </c>
      <c r="E96" s="3">
        <v>148000</v>
      </c>
      <c r="F96" s="57">
        <f>IF(ISERROR((E96-D96)/D96),"-",(E96-D96)/D96)</f>
        <v>0</v>
      </c>
      <c r="G96" s="5" t="s">
        <v>3911</v>
      </c>
    </row>
    <row r="97" spans="1:7" x14ac:dyDescent="0.25">
      <c r="A97" s="2" t="s">
        <v>119</v>
      </c>
      <c r="B97" s="1"/>
      <c r="C97" s="5" t="s">
        <v>450</v>
      </c>
      <c r="D97" s="3">
        <v>179855</v>
      </c>
      <c r="E97" s="3">
        <v>172720</v>
      </c>
      <c r="F97" s="57">
        <f>IF(ISERROR((E97-D97)/D97),"-",(E97-D97)/D97)</f>
        <v>-3.9670845959244951E-2</v>
      </c>
      <c r="G97" s="5" t="s">
        <v>3913</v>
      </c>
    </row>
    <row r="98" spans="1:7" ht="39" x14ac:dyDescent="0.25">
      <c r="A98" s="2" t="s">
        <v>120</v>
      </c>
      <c r="B98" s="1" t="s">
        <v>2148</v>
      </c>
      <c r="C98" s="5" t="s">
        <v>450</v>
      </c>
      <c r="D98" s="3" t="s">
        <v>465</v>
      </c>
      <c r="E98" s="3">
        <v>158016</v>
      </c>
      <c r="F98" s="57" t="str">
        <f>IF(ISERROR((E98-D98)/D98),"-",(E98-D98)/D98)</f>
        <v>-</v>
      </c>
      <c r="G98" s="5" t="s">
        <v>4280</v>
      </c>
    </row>
    <row r="99" spans="1:7" x14ac:dyDescent="0.25">
      <c r="A99" s="2" t="s">
        <v>121</v>
      </c>
      <c r="B99" s="1" t="s">
        <v>2147</v>
      </c>
      <c r="C99" s="5" t="s">
        <v>450</v>
      </c>
      <c r="D99" s="3">
        <v>197000</v>
      </c>
      <c r="E99" s="3">
        <v>201000</v>
      </c>
      <c r="F99" s="57">
        <f>IF(ISERROR((E99-D99)/D99),"-",(E99-D99)/D99)</f>
        <v>2.030456852791878E-2</v>
      </c>
      <c r="G99" s="5" t="s">
        <v>3924</v>
      </c>
    </row>
    <row r="100" spans="1:7" ht="26.25" x14ac:dyDescent="0.25">
      <c r="A100" s="2" t="s">
        <v>122</v>
      </c>
      <c r="B100" s="1"/>
      <c r="C100" s="5" t="s">
        <v>450</v>
      </c>
      <c r="D100" s="3">
        <v>136000</v>
      </c>
      <c r="E100" s="3">
        <v>141000</v>
      </c>
      <c r="F100" s="57">
        <f>IF(ISERROR((E100-D100)/D100),"-",(E100-D100)/D100)</f>
        <v>3.6764705882352942E-2</v>
      </c>
      <c r="G100" s="5" t="s">
        <v>3926</v>
      </c>
    </row>
    <row r="101" spans="1:7" ht="26.25" x14ac:dyDescent="0.25">
      <c r="A101" s="2" t="s">
        <v>124</v>
      </c>
      <c r="B101" s="1" t="s">
        <v>2134</v>
      </c>
      <c r="C101" s="5" t="s">
        <v>450</v>
      </c>
      <c r="D101" s="3">
        <v>181000</v>
      </c>
      <c r="E101" s="3">
        <v>181000</v>
      </c>
      <c r="F101" s="57">
        <f>IF(ISERROR((E101-D101)/D101),"-",(E101-D101)/D101)</f>
        <v>0</v>
      </c>
      <c r="G101" s="5" t="s">
        <v>4287</v>
      </c>
    </row>
    <row r="102" spans="1:7" x14ac:dyDescent="0.25">
      <c r="A102" s="2" t="s">
        <v>125</v>
      </c>
      <c r="B102" s="1" t="s">
        <v>2115</v>
      </c>
      <c r="C102" s="5" t="s">
        <v>450</v>
      </c>
      <c r="D102" s="3">
        <f>87899+17353</f>
        <v>105252</v>
      </c>
      <c r="E102" s="3">
        <f>129361+26498</f>
        <v>155859</v>
      </c>
      <c r="F102" s="57">
        <f>IF(ISERROR((E102-D102)/D102),"-",(E102-D102)/D102)</f>
        <v>0.48081746665146508</v>
      </c>
      <c r="G102" s="5" t="s">
        <v>4623</v>
      </c>
    </row>
    <row r="103" spans="1:7" ht="26.25" x14ac:dyDescent="0.25">
      <c r="A103" s="2" t="s">
        <v>126</v>
      </c>
      <c r="B103" s="1" t="s">
        <v>2106</v>
      </c>
      <c r="C103" s="5" t="s">
        <v>450</v>
      </c>
      <c r="D103" s="3">
        <f>118662+21412</f>
        <v>140074</v>
      </c>
      <c r="E103" s="3">
        <f>141447+25667</f>
        <v>167114</v>
      </c>
      <c r="F103" s="57">
        <f>IF(ISERROR((E103-D103)/D103),"-",(E103-D103)/D103)</f>
        <v>0.19304082128018046</v>
      </c>
      <c r="G103" s="5" t="s">
        <v>4293</v>
      </c>
    </row>
    <row r="104" spans="1:7" ht="26.25" x14ac:dyDescent="0.25">
      <c r="A104" s="2" t="s">
        <v>128</v>
      </c>
      <c r="B104" s="1" t="s">
        <v>2101</v>
      </c>
      <c r="C104" s="5" t="s">
        <v>450</v>
      </c>
      <c r="D104" s="3">
        <v>242485</v>
      </c>
      <c r="E104" s="3">
        <v>243728</v>
      </c>
      <c r="F104" s="57">
        <f>IF(ISERROR((E104-D104)/D104),"-",(E104-D104)/D104)</f>
        <v>5.1260902736251727E-3</v>
      </c>
      <c r="G104" s="5" t="s">
        <v>3941</v>
      </c>
    </row>
    <row r="105" spans="1:7" x14ac:dyDescent="0.25">
      <c r="A105" s="2" t="s">
        <v>129</v>
      </c>
      <c r="B105" s="1" t="s">
        <v>2094</v>
      </c>
      <c r="C105" s="5" t="s">
        <v>450</v>
      </c>
      <c r="D105" s="3">
        <v>58636</v>
      </c>
      <c r="E105" s="3">
        <v>183854</v>
      </c>
      <c r="F105" s="57">
        <f>IF(ISERROR((E105-D105)/D105),"-",(E105-D105)/D105)</f>
        <v>2.1355140186915889</v>
      </c>
      <c r="G105" s="5" t="s">
        <v>4295</v>
      </c>
    </row>
    <row r="106" spans="1:7" x14ac:dyDescent="0.25">
      <c r="A106" s="2" t="s">
        <v>130</v>
      </c>
      <c r="B106" s="1" t="s">
        <v>2085</v>
      </c>
      <c r="C106" s="5" t="s">
        <v>450</v>
      </c>
      <c r="D106" s="3">
        <f>124257+21496</f>
        <v>145753</v>
      </c>
      <c r="E106" s="3">
        <f>123213+22425</f>
        <v>145638</v>
      </c>
      <c r="F106" s="57">
        <f>IF(ISERROR((E106-D106)/D106),"-",(E106-D106)/D106)</f>
        <v>-7.8900605819434244E-4</v>
      </c>
      <c r="G106" s="5" t="s">
        <v>3949</v>
      </c>
    </row>
    <row r="107" spans="1:7" ht="26.25" x14ac:dyDescent="0.25">
      <c r="A107" s="2" t="s">
        <v>131</v>
      </c>
      <c r="B107" s="1"/>
      <c r="C107" s="5" t="s">
        <v>450</v>
      </c>
      <c r="D107" s="3">
        <v>153539</v>
      </c>
      <c r="E107" s="3">
        <v>158365</v>
      </c>
      <c r="F107" s="57">
        <f>IF(ISERROR((E107-D107)/D107),"-",(E107-D107)/D107)</f>
        <v>3.1431753495854475E-2</v>
      </c>
      <c r="G107" s="5" t="s">
        <v>3952</v>
      </c>
    </row>
    <row r="108" spans="1:7" ht="39" x14ac:dyDescent="0.25">
      <c r="A108" s="2" t="s">
        <v>132</v>
      </c>
      <c r="B108" s="1"/>
      <c r="C108" s="5" t="s">
        <v>4300</v>
      </c>
      <c r="D108" s="3">
        <v>128745</v>
      </c>
      <c r="E108" s="3">
        <v>142453</v>
      </c>
      <c r="F108" s="57">
        <f>IF(ISERROR((E108-D108)/D108),"-",(E108-D108)/D108)</f>
        <v>0.10647403782671172</v>
      </c>
      <c r="G108" s="5" t="s">
        <v>4299</v>
      </c>
    </row>
    <row r="109" spans="1:7" ht="26.25" x14ac:dyDescent="0.25">
      <c r="A109" s="2" t="s">
        <v>133</v>
      </c>
      <c r="B109" s="1"/>
      <c r="C109" s="5" t="s">
        <v>450</v>
      </c>
      <c r="D109" s="3">
        <v>77390</v>
      </c>
      <c r="E109" s="3">
        <v>123632</v>
      </c>
      <c r="F109" s="57">
        <f>IF(ISERROR((E109-D109)/D109),"-",(E109-D109)/D109)</f>
        <v>0.59751905930998839</v>
      </c>
      <c r="G109" s="5" t="s">
        <v>4302</v>
      </c>
    </row>
    <row r="110" spans="1:7" ht="26.25" x14ac:dyDescent="0.25">
      <c r="A110" s="2" t="s">
        <v>135</v>
      </c>
      <c r="B110" s="1" t="s">
        <v>1662</v>
      </c>
      <c r="C110" s="5" t="s">
        <v>450</v>
      </c>
      <c r="D110" s="3">
        <f>122325+21179</f>
        <v>143504</v>
      </c>
      <c r="E110" s="3">
        <f>119223+834+3032+22297</f>
        <v>145386</v>
      </c>
      <c r="F110" s="57">
        <f>IF(ISERROR((E110-D110)/D110),"-",(E110-D110)/D110)</f>
        <v>1.3114617014159884E-2</v>
      </c>
      <c r="G110" s="5" t="s">
        <v>3957</v>
      </c>
    </row>
    <row r="111" spans="1:7" x14ac:dyDescent="0.25">
      <c r="A111" s="2" t="s">
        <v>137</v>
      </c>
      <c r="B111" s="1"/>
      <c r="C111" s="5" t="s">
        <v>450</v>
      </c>
      <c r="D111" s="3">
        <v>194278</v>
      </c>
      <c r="E111" s="3">
        <v>155936</v>
      </c>
      <c r="F111" s="57">
        <f>IF(ISERROR((E111-D111)/D111),"-",(E111-D111)/D111)</f>
        <v>-0.19735636562039963</v>
      </c>
      <c r="G111" s="5" t="s">
        <v>3962</v>
      </c>
    </row>
    <row r="112" spans="1:7" ht="26.25" x14ac:dyDescent="0.25">
      <c r="A112" s="2" t="s">
        <v>138</v>
      </c>
      <c r="B112" s="1" t="s">
        <v>1660</v>
      </c>
      <c r="C112" s="5" t="s">
        <v>450</v>
      </c>
      <c r="D112" s="3">
        <v>159838</v>
      </c>
      <c r="E112" s="3">
        <v>157371</v>
      </c>
      <c r="F112" s="57">
        <f>IF(ISERROR((E112-D112)/D112),"-",(E112-D112)/D112)</f>
        <v>-1.5434377307023361E-2</v>
      </c>
      <c r="G112" s="5" t="s">
        <v>3965</v>
      </c>
    </row>
    <row r="113" spans="1:7" x14ac:dyDescent="0.25">
      <c r="A113" s="2" t="s">
        <v>139</v>
      </c>
      <c r="B113" s="1" t="s">
        <v>1655</v>
      </c>
      <c r="C113" s="5" t="s">
        <v>450</v>
      </c>
      <c r="D113" s="3">
        <f>114796+21647</f>
        <v>136443</v>
      </c>
      <c r="E113" s="3">
        <f>113795+22408</f>
        <v>136203</v>
      </c>
      <c r="F113" s="57">
        <f>IF(ISERROR((E113-D113)/D113),"-",(E113-D113)/D113)</f>
        <v>-1.7589762758074801E-3</v>
      </c>
      <c r="G113" s="5" t="s">
        <v>3967</v>
      </c>
    </row>
    <row r="114" spans="1:7" ht="26.25" x14ac:dyDescent="0.25">
      <c r="A114" s="2" t="s">
        <v>140</v>
      </c>
      <c r="B114" s="1"/>
      <c r="C114" s="5" t="s">
        <v>450</v>
      </c>
      <c r="D114" s="3">
        <v>130998</v>
      </c>
      <c r="E114" s="3">
        <v>132081</v>
      </c>
      <c r="F114" s="57">
        <f>IF(ISERROR((E114-D114)/D114),"-",(E114-D114)/D114)</f>
        <v>8.2673017908670363E-3</v>
      </c>
      <c r="G114" s="5" t="s">
        <v>4630</v>
      </c>
    </row>
    <row r="115" spans="1:7" ht="26.25" x14ac:dyDescent="0.25">
      <c r="A115" s="2" t="s">
        <v>141</v>
      </c>
      <c r="B115" s="1" t="s">
        <v>1651</v>
      </c>
      <c r="C115" s="5" t="s">
        <v>450</v>
      </c>
      <c r="D115" s="3">
        <f>108962+11337</f>
        <v>120299</v>
      </c>
      <c r="E115" s="3">
        <f>112548+10709</f>
        <v>123257</v>
      </c>
      <c r="F115" s="57">
        <f>IF(ISERROR((E115-D115)/D115),"-",(E115-D115)/D115)</f>
        <v>2.4588733073425382E-2</v>
      </c>
      <c r="G115" s="5" t="s">
        <v>3970</v>
      </c>
    </row>
    <row r="116" spans="1:7" x14ac:dyDescent="0.25">
      <c r="A116" s="2" t="s">
        <v>142</v>
      </c>
      <c r="B116" s="1" t="s">
        <v>1646</v>
      </c>
      <c r="C116" s="5" t="s">
        <v>450</v>
      </c>
      <c r="D116" s="3">
        <v>201000</v>
      </c>
      <c r="E116" s="3">
        <v>202000</v>
      </c>
      <c r="F116" s="57">
        <f>IF(ISERROR((E116-D116)/D116),"-",(E116-D116)/D116)</f>
        <v>4.9751243781094526E-3</v>
      </c>
      <c r="G116" s="5" t="s">
        <v>3979</v>
      </c>
    </row>
    <row r="117" spans="1:7" ht="26.25" x14ac:dyDescent="0.25">
      <c r="A117" s="2" t="s">
        <v>143</v>
      </c>
      <c r="B117" s="1"/>
      <c r="C117" s="5" t="s">
        <v>450</v>
      </c>
      <c r="D117" s="3">
        <v>128535</v>
      </c>
      <c r="E117" s="3">
        <v>151439</v>
      </c>
      <c r="F117" s="57">
        <f>IF(ISERROR((E117-D117)/D117),"-",(E117-D117)/D117)</f>
        <v>0.17819271015676663</v>
      </c>
      <c r="G117" s="5" t="s">
        <v>3983</v>
      </c>
    </row>
    <row r="118" spans="1:7" x14ac:dyDescent="0.25">
      <c r="A118" s="2" t="s">
        <v>144</v>
      </c>
      <c r="B118" s="1" t="s">
        <v>1640</v>
      </c>
      <c r="C118" s="5" t="s">
        <v>450</v>
      </c>
      <c r="D118" s="3" t="s">
        <v>465</v>
      </c>
      <c r="E118" s="3">
        <v>198747</v>
      </c>
      <c r="F118" s="57" t="str">
        <f>IF(ISERROR((E118-D118)/D118),"-",(E118-D118)/D118)</f>
        <v>-</v>
      </c>
      <c r="G118" s="5" t="s">
        <v>3985</v>
      </c>
    </row>
    <row r="119" spans="1:7" ht="51.75" x14ac:dyDescent="0.25">
      <c r="A119" s="2" t="s">
        <v>144</v>
      </c>
      <c r="B119" s="1" t="s">
        <v>1641</v>
      </c>
      <c r="C119" s="5" t="s">
        <v>450</v>
      </c>
      <c r="D119" s="3">
        <v>233239</v>
      </c>
      <c r="E119" s="3">
        <v>213716</v>
      </c>
      <c r="F119" s="57">
        <f>IF(ISERROR((E119-D119)/D119),"-",(E119-D119)/D119)</f>
        <v>-8.3703840266850738E-2</v>
      </c>
      <c r="G119" s="5" t="s">
        <v>4310</v>
      </c>
    </row>
    <row r="120" spans="1:7" ht="26.25" x14ac:dyDescent="0.25">
      <c r="A120" s="2" t="s">
        <v>145</v>
      </c>
      <c r="B120" s="1"/>
      <c r="C120" s="5" t="s">
        <v>450</v>
      </c>
      <c r="D120" s="3">
        <v>129790</v>
      </c>
      <c r="E120" s="3">
        <v>128333</v>
      </c>
      <c r="F120" s="57">
        <f>IF(ISERROR((E120-D120)/D120),"-",(E120-D120)/D120)</f>
        <v>-1.1225826334848601E-2</v>
      </c>
      <c r="G120" s="5" t="s">
        <v>3992</v>
      </c>
    </row>
    <row r="121" spans="1:7" x14ac:dyDescent="0.25">
      <c r="A121" s="2" t="s">
        <v>146</v>
      </c>
      <c r="B121" s="1"/>
      <c r="C121" s="5" t="s">
        <v>450</v>
      </c>
      <c r="D121" s="3">
        <v>129703</v>
      </c>
      <c r="E121" s="3">
        <v>127912</v>
      </c>
      <c r="F121" s="57">
        <f>IF(ISERROR((E121-D121)/D121),"-",(E121-D121)/D121)</f>
        <v>-1.3808470120197683E-2</v>
      </c>
      <c r="G121" s="5" t="s">
        <v>4634</v>
      </c>
    </row>
    <row r="122" spans="1:7" x14ac:dyDescent="0.25">
      <c r="A122" s="2" t="s">
        <v>147</v>
      </c>
      <c r="B122" s="1"/>
      <c r="C122" s="5" t="s">
        <v>450</v>
      </c>
      <c r="D122" s="3">
        <v>105601</v>
      </c>
      <c r="E122" s="3">
        <v>109943</v>
      </c>
      <c r="F122" s="57">
        <f>IF(ISERROR((E122-D122)/D122),"-",(E122-D122)/D122)</f>
        <v>4.1117034876563666E-2</v>
      </c>
      <c r="G122" s="5" t="s">
        <v>3993</v>
      </c>
    </row>
    <row r="123" spans="1:7" x14ac:dyDescent="0.25">
      <c r="A123" s="2" t="s">
        <v>148</v>
      </c>
      <c r="B123" s="1" t="s">
        <v>1639</v>
      </c>
      <c r="C123" s="5" t="s">
        <v>450</v>
      </c>
      <c r="D123" s="3">
        <f>99055+27166</f>
        <v>126221</v>
      </c>
      <c r="E123" s="3">
        <f>98898+221+28967</f>
        <v>128086</v>
      </c>
      <c r="F123" s="57">
        <f>IF(ISERROR((E123-D123)/D123),"-",(E123-D123)/D123)</f>
        <v>1.477567124329549E-2</v>
      </c>
      <c r="G123" s="5" t="s">
        <v>3994</v>
      </c>
    </row>
    <row r="124" spans="1:7" ht="26.25" x14ac:dyDescent="0.25">
      <c r="A124" s="2" t="s">
        <v>149</v>
      </c>
      <c r="B124" s="1"/>
      <c r="C124" s="5" t="s">
        <v>3995</v>
      </c>
      <c r="D124" s="3">
        <v>162893.44</v>
      </c>
      <c r="E124" s="3">
        <v>157877.17000000001</v>
      </c>
      <c r="F124" s="57">
        <f>IF(ISERROR((E124-D124)/D124),"-",(E124-D124)/D124)</f>
        <v>-3.07947944373941E-2</v>
      </c>
      <c r="G124" s="5" t="s">
        <v>3996</v>
      </c>
    </row>
    <row r="125" spans="1:7" ht="51.75" x14ac:dyDescent="0.25">
      <c r="A125" s="2" t="s">
        <v>150</v>
      </c>
      <c r="B125" s="1" t="s">
        <v>1633</v>
      </c>
      <c r="C125" s="5" t="s">
        <v>450</v>
      </c>
      <c r="D125" s="3">
        <v>248441.54</v>
      </c>
      <c r="E125" s="3">
        <v>231603.89</v>
      </c>
      <c r="F125" s="57">
        <f>IF(ISERROR((E125-D125)/D125),"-",(E125-D125)/D125)</f>
        <v>-6.7773086578033589E-2</v>
      </c>
      <c r="G125" s="5" t="s">
        <v>4635</v>
      </c>
    </row>
    <row r="126" spans="1:7" ht="39" x14ac:dyDescent="0.25">
      <c r="A126" s="2" t="s">
        <v>151</v>
      </c>
      <c r="B126" s="1" t="s">
        <v>1631</v>
      </c>
      <c r="C126" s="5" t="s">
        <v>450</v>
      </c>
      <c r="D126" s="3">
        <v>171461</v>
      </c>
      <c r="E126" s="3">
        <v>170660</v>
      </c>
      <c r="F126" s="57">
        <f>IF(ISERROR((E126-D126)/D126),"-",(E126-D126)/D126)</f>
        <v>-4.6716162859192466E-3</v>
      </c>
      <c r="G126" s="5" t="s">
        <v>4319</v>
      </c>
    </row>
    <row r="127" spans="1:7" ht="26.25" x14ac:dyDescent="0.25">
      <c r="A127" s="2" t="s">
        <v>151</v>
      </c>
      <c r="B127" s="1"/>
      <c r="C127" s="5" t="s">
        <v>1632</v>
      </c>
      <c r="D127" s="3" t="s">
        <v>465</v>
      </c>
      <c r="E127" s="3">
        <v>122819</v>
      </c>
      <c r="F127" s="57" t="str">
        <f>IF(ISERROR((E127-D127)/D127),"-",(E127-D127)/D127)</f>
        <v>-</v>
      </c>
      <c r="G127" s="5" t="s">
        <v>4636</v>
      </c>
    </row>
    <row r="128" spans="1:7" ht="26.25" x14ac:dyDescent="0.25">
      <c r="A128" s="2" t="s">
        <v>152</v>
      </c>
      <c r="B128" s="1"/>
      <c r="C128" s="5" t="s">
        <v>450</v>
      </c>
      <c r="D128" s="3">
        <v>118000</v>
      </c>
      <c r="E128" s="3">
        <v>127000</v>
      </c>
      <c r="F128" s="57">
        <f>IF(ISERROR((E128-D128)/D128),"-",(E128-D128)/D128)</f>
        <v>7.6271186440677971E-2</v>
      </c>
      <c r="G128" s="5" t="s">
        <v>4320</v>
      </c>
    </row>
    <row r="129" spans="1:7" x14ac:dyDescent="0.25">
      <c r="A129" s="2" t="s">
        <v>153</v>
      </c>
      <c r="B129" s="1"/>
      <c r="C129" s="5" t="s">
        <v>450</v>
      </c>
      <c r="D129" s="3">
        <v>134503</v>
      </c>
      <c r="E129" s="3">
        <v>134559</v>
      </c>
      <c r="F129" s="57">
        <f>IF(ISERROR((E129-D129)/D129),"-",(E129-D129)/D129)</f>
        <v>4.1634759076005737E-4</v>
      </c>
      <c r="G129" s="5" t="s">
        <v>4003</v>
      </c>
    </row>
    <row r="130" spans="1:7" ht="26.25" x14ac:dyDescent="0.25">
      <c r="A130" s="2" t="s">
        <v>154</v>
      </c>
      <c r="B130" s="1" t="s">
        <v>1615</v>
      </c>
      <c r="C130" s="5" t="s">
        <v>450</v>
      </c>
      <c r="D130" s="3">
        <v>267442</v>
      </c>
      <c r="E130" s="3">
        <v>271060</v>
      </c>
      <c r="F130" s="57">
        <f>IF(ISERROR((E130-D130)/D130),"-",(E130-D130)/D130)</f>
        <v>1.3528166854869466E-2</v>
      </c>
      <c r="G130" s="5" t="s">
        <v>4321</v>
      </c>
    </row>
    <row r="131" spans="1:7" x14ac:dyDescent="0.25">
      <c r="A131" s="2" t="s">
        <v>155</v>
      </c>
      <c r="B131" s="1"/>
      <c r="C131" s="5" t="s">
        <v>450</v>
      </c>
      <c r="D131" s="3">
        <v>141265</v>
      </c>
      <c r="E131" s="3">
        <v>125816</v>
      </c>
      <c r="F131" s="57">
        <f>IF(ISERROR((E131-D131)/D131),"-",(E131-D131)/D131)</f>
        <v>-0.10936183768095424</v>
      </c>
      <c r="G131" s="5" t="s">
        <v>4022</v>
      </c>
    </row>
    <row r="132" spans="1:7" ht="26.25" x14ac:dyDescent="0.25">
      <c r="A132" s="12" t="s">
        <v>156</v>
      </c>
      <c r="B132" s="13" t="s">
        <v>1601</v>
      </c>
      <c r="C132" s="7" t="s">
        <v>450</v>
      </c>
      <c r="D132" s="6">
        <f>133740+22787+842</f>
        <v>157369</v>
      </c>
      <c r="E132" s="6">
        <f>131956+536+23420</f>
        <v>155912</v>
      </c>
      <c r="F132" s="57">
        <f>IF(ISERROR((E132-D132)/D132),"-",(E132-D132)/D132)</f>
        <v>-9.2584943667431332E-3</v>
      </c>
      <c r="G132" s="7" t="s">
        <v>4023</v>
      </c>
    </row>
    <row r="133" spans="1:7" x14ac:dyDescent="0.25">
      <c r="A133" s="2" t="s">
        <v>157</v>
      </c>
      <c r="B133" s="1"/>
      <c r="C133" s="5" t="s">
        <v>783</v>
      </c>
      <c r="D133" s="3">
        <v>128000</v>
      </c>
      <c r="E133" s="3">
        <v>121835</v>
      </c>
      <c r="F133" s="57">
        <f>IF(ISERROR((E133-D133)/D133),"-",(E133-D133)/D133)</f>
        <v>-4.81640625E-2</v>
      </c>
      <c r="G133" s="5" t="s">
        <v>4029</v>
      </c>
    </row>
    <row r="134" spans="1:7" ht="30" customHeight="1" x14ac:dyDescent="0.25">
      <c r="A134" s="2" t="s">
        <v>158</v>
      </c>
      <c r="B134" s="5"/>
      <c r="C134" s="5" t="s">
        <v>1597</v>
      </c>
      <c r="D134" s="3">
        <v>202580</v>
      </c>
      <c r="E134" s="3">
        <v>400616</v>
      </c>
      <c r="F134" s="57">
        <f>IF(ISERROR((E134-D134)/D134),"-",(E134-D134)/D134)</f>
        <v>0.9775693553164182</v>
      </c>
      <c r="G134" s="5" t="s">
        <v>4327</v>
      </c>
    </row>
    <row r="135" spans="1:7" ht="26.25" x14ac:dyDescent="0.25">
      <c r="A135" s="2" t="s">
        <v>158</v>
      </c>
      <c r="B135" s="5"/>
      <c r="C135" s="5" t="s">
        <v>1598</v>
      </c>
      <c r="D135" s="4" t="s">
        <v>465</v>
      </c>
      <c r="E135" s="3">
        <v>141769</v>
      </c>
      <c r="F135" s="57" t="str">
        <f>IF(ISERROR((E135-D135)/D135),"-",(E135-D135)/D135)</f>
        <v>-</v>
      </c>
      <c r="G135" s="5" t="s">
        <v>4328</v>
      </c>
    </row>
    <row r="136" spans="1:7" ht="16.5" customHeight="1" x14ac:dyDescent="0.25">
      <c r="A136" s="2" t="s">
        <v>160</v>
      </c>
      <c r="B136" s="5" t="s">
        <v>1586</v>
      </c>
      <c r="C136" s="5" t="s">
        <v>450</v>
      </c>
      <c r="D136" s="3">
        <f>164560+29036</f>
        <v>193596</v>
      </c>
      <c r="E136" s="3">
        <f>169717+29632</f>
        <v>199349</v>
      </c>
      <c r="F136" s="57">
        <f>IF(ISERROR((E136-D136)/D136),"-",(E136-D136)/D136)</f>
        <v>2.9716523068658442E-2</v>
      </c>
      <c r="G136" s="5" t="s">
        <v>4036</v>
      </c>
    </row>
    <row r="137" spans="1:7" x14ac:dyDescent="0.25">
      <c r="A137" s="2" t="s">
        <v>161</v>
      </c>
      <c r="B137" s="5"/>
      <c r="C137" s="5" t="s">
        <v>450</v>
      </c>
      <c r="D137" s="3">
        <v>167534</v>
      </c>
      <c r="E137" s="3">
        <v>171703</v>
      </c>
      <c r="F137" s="57">
        <f>IF(ISERROR((E137-D137)/D137),"-",(E137-D137)/D137)</f>
        <v>2.4884501056501963E-2</v>
      </c>
      <c r="G137" s="5" t="s">
        <v>4042</v>
      </c>
    </row>
    <row r="138" spans="1:7" ht="26.25" x14ac:dyDescent="0.25">
      <c r="A138" s="2" t="s">
        <v>162</v>
      </c>
      <c r="B138" s="5"/>
      <c r="C138" s="5" t="s">
        <v>450</v>
      </c>
      <c r="D138" s="3">
        <v>118391</v>
      </c>
      <c r="E138" s="3">
        <v>121797</v>
      </c>
      <c r="F138" s="57">
        <f>IF(ISERROR((E138-D138)/D138),"-",(E138-D138)/D138)</f>
        <v>2.8769078730646755E-2</v>
      </c>
      <c r="G138" s="5" t="s">
        <v>4047</v>
      </c>
    </row>
    <row r="139" spans="1:7" x14ac:dyDescent="0.25">
      <c r="A139" s="2" t="s">
        <v>164</v>
      </c>
      <c r="B139" s="5"/>
      <c r="C139" s="5" t="s">
        <v>450</v>
      </c>
      <c r="D139" s="3">
        <v>125000</v>
      </c>
      <c r="E139" s="3">
        <v>122000</v>
      </c>
      <c r="F139" s="57">
        <f>IF(ISERROR((E139-D139)/D139),"-",(E139-D139)/D139)</f>
        <v>-2.4E-2</v>
      </c>
      <c r="G139" s="5" t="s">
        <v>4050</v>
      </c>
    </row>
    <row r="140" spans="1:7" ht="26.25" x14ac:dyDescent="0.25">
      <c r="A140" s="2" t="s">
        <v>166</v>
      </c>
      <c r="B140" s="5" t="s">
        <v>1578</v>
      </c>
      <c r="C140" s="5" t="s">
        <v>450</v>
      </c>
      <c r="D140" s="3">
        <v>245581</v>
      </c>
      <c r="E140" s="3">
        <v>252838</v>
      </c>
      <c r="F140" s="57">
        <f>IF(ISERROR((E140-D140)/D140),"-",(E140-D140)/D140)</f>
        <v>2.9550331662465745E-2</v>
      </c>
      <c r="G140" s="5" t="s">
        <v>4051</v>
      </c>
    </row>
    <row r="141" spans="1:7" ht="26.25" x14ac:dyDescent="0.25">
      <c r="A141" s="2" t="s">
        <v>167</v>
      </c>
      <c r="B141" s="5"/>
      <c r="C141" s="5" t="s">
        <v>450</v>
      </c>
      <c r="D141" s="3">
        <v>116436</v>
      </c>
      <c r="E141" s="3">
        <v>170466</v>
      </c>
      <c r="F141" s="57">
        <f>IF(ISERROR((E141-D141)/D141),"-",(E141-D141)/D141)</f>
        <v>0.46403174275997117</v>
      </c>
      <c r="G141" s="5" t="s">
        <v>4338</v>
      </c>
    </row>
    <row r="142" spans="1:7" x14ac:dyDescent="0.25">
      <c r="A142" s="2" t="s">
        <v>168</v>
      </c>
      <c r="B142" s="5" t="s">
        <v>1556</v>
      </c>
      <c r="C142" s="5" t="s">
        <v>450</v>
      </c>
      <c r="D142" s="3">
        <f>188652+28783</f>
        <v>217435</v>
      </c>
      <c r="E142" s="3">
        <f>187181+30238</f>
        <v>217419</v>
      </c>
      <c r="F142" s="57">
        <f>IF(ISERROR((E142-D142)/D142),"-",(E142-D142)/D142)</f>
        <v>-7.3585209372916039E-5</v>
      </c>
      <c r="G142" s="5" t="s">
        <v>4056</v>
      </c>
    </row>
    <row r="143" spans="1:7" x14ac:dyDescent="0.25">
      <c r="A143" s="2" t="s">
        <v>169</v>
      </c>
      <c r="B143" s="5"/>
      <c r="C143" s="5" t="s">
        <v>1554</v>
      </c>
      <c r="D143" s="3">
        <v>133237</v>
      </c>
      <c r="E143" s="3">
        <v>132391</v>
      </c>
      <c r="F143" s="57">
        <f>IF(ISERROR((E143-D143)/D143),"-",(E143-D143)/D143)</f>
        <v>-6.3495875770243999E-3</v>
      </c>
      <c r="G143" s="5" t="s">
        <v>4064</v>
      </c>
    </row>
    <row r="144" spans="1:7" x14ac:dyDescent="0.25">
      <c r="A144" s="2" t="s">
        <v>170</v>
      </c>
      <c r="B144" s="5" t="s">
        <v>1553</v>
      </c>
      <c r="C144" s="5" t="s">
        <v>450</v>
      </c>
      <c r="D144" s="3">
        <v>195561</v>
      </c>
      <c r="E144" s="3">
        <v>197317</v>
      </c>
      <c r="F144" s="57">
        <f>IF(ISERROR((E144-D144)/D144),"-",(E144-D144)/D144)</f>
        <v>8.9792954627967748E-3</v>
      </c>
      <c r="G144" s="5" t="s">
        <v>4070</v>
      </c>
    </row>
    <row r="145" spans="1:7" x14ac:dyDescent="0.25">
      <c r="A145" s="2" t="s">
        <v>171</v>
      </c>
      <c r="B145" s="5"/>
      <c r="C145" s="5" t="s">
        <v>450</v>
      </c>
      <c r="D145" s="3">
        <v>105139</v>
      </c>
      <c r="E145" s="3">
        <v>105807</v>
      </c>
      <c r="F145" s="57">
        <f>IF(ISERROR((E145-D145)/D145),"-",(E145-D145)/D145)</f>
        <v>6.3534939461094364E-3</v>
      </c>
      <c r="G145" s="5" t="s">
        <v>3599</v>
      </c>
    </row>
    <row r="146" spans="1:7" x14ac:dyDescent="0.25">
      <c r="A146" s="2" t="s">
        <v>172</v>
      </c>
      <c r="B146" s="5"/>
      <c r="C146" s="5" t="s">
        <v>450</v>
      </c>
      <c r="D146" s="9">
        <v>147962</v>
      </c>
      <c r="E146" s="9">
        <v>153140</v>
      </c>
      <c r="F146" s="57">
        <f>IF(ISERROR((E146-D146)/D146),"-",(E146-D146)/D146)</f>
        <v>3.4995471810329679E-2</v>
      </c>
      <c r="G146" s="5" t="s">
        <v>3594</v>
      </c>
    </row>
    <row r="147" spans="1:7" ht="26.25" x14ac:dyDescent="0.25">
      <c r="A147" s="2" t="s">
        <v>174</v>
      </c>
      <c r="B147" s="5" t="s">
        <v>1519</v>
      </c>
      <c r="C147" s="5" t="s">
        <v>450</v>
      </c>
      <c r="D147" s="9">
        <v>236215</v>
      </c>
      <c r="E147" s="9">
        <v>433157</v>
      </c>
      <c r="F147" s="57">
        <f>IF(ISERROR((E147-D147)/D147),"-",(E147-D147)/D147)</f>
        <v>0.83374044832038607</v>
      </c>
      <c r="G147" s="5" t="s">
        <v>4349</v>
      </c>
    </row>
    <row r="148" spans="1:7" x14ac:dyDescent="0.25">
      <c r="A148" s="2" t="s">
        <v>175</v>
      </c>
      <c r="B148" s="5" t="s">
        <v>1509</v>
      </c>
      <c r="C148" s="5" t="s">
        <v>450</v>
      </c>
      <c r="D148" s="9">
        <v>225150</v>
      </c>
      <c r="E148" s="9">
        <v>224816.65</v>
      </c>
      <c r="F148" s="57">
        <f>IF(ISERROR((E148-D148)/D148),"-",(E148-D148)/D148)</f>
        <v>-1.4805685098823265E-3</v>
      </c>
      <c r="G148" s="5" t="s">
        <v>3575</v>
      </c>
    </row>
    <row r="149" spans="1:7" ht="26.25" x14ac:dyDescent="0.25">
      <c r="A149" s="2" t="s">
        <v>176</v>
      </c>
      <c r="B149" s="5"/>
      <c r="C149" s="5" t="s">
        <v>450</v>
      </c>
      <c r="D149" s="9">
        <v>150345</v>
      </c>
      <c r="E149" s="9">
        <v>150646</v>
      </c>
      <c r="F149" s="57">
        <f>IF(ISERROR((E149-D149)/D149),"-",(E149-D149)/D149)</f>
        <v>2.0020619242409124E-3</v>
      </c>
      <c r="G149" s="5" t="s">
        <v>4644</v>
      </c>
    </row>
    <row r="150" spans="1:7" x14ac:dyDescent="0.25">
      <c r="A150" s="2" t="s">
        <v>177</v>
      </c>
      <c r="B150" s="5"/>
      <c r="C150" s="5" t="s">
        <v>450</v>
      </c>
      <c r="D150" s="9">
        <v>131425</v>
      </c>
      <c r="E150" s="9">
        <v>131862</v>
      </c>
      <c r="F150" s="57">
        <f>IF(ISERROR((E150-D150)/D150),"-",(E150-D150)/D150)</f>
        <v>3.325090355716188E-3</v>
      </c>
      <c r="G150" s="5" t="s">
        <v>3574</v>
      </c>
    </row>
    <row r="151" spans="1:7" ht="26.25" x14ac:dyDescent="0.25">
      <c r="A151" s="2" t="s">
        <v>178</v>
      </c>
      <c r="B151" s="5" t="s">
        <v>1502</v>
      </c>
      <c r="C151" s="5" t="s">
        <v>450</v>
      </c>
      <c r="D151" s="9">
        <v>202805</v>
      </c>
      <c r="E151" s="9">
        <v>203376</v>
      </c>
      <c r="F151" s="57">
        <f>IF(ISERROR((E151-D151)/D151),"-",(E151-D151)/D151)</f>
        <v>2.815512438056261E-3</v>
      </c>
      <c r="G151" s="5" t="s">
        <v>3569</v>
      </c>
    </row>
    <row r="152" spans="1:7" ht="77.25" x14ac:dyDescent="0.25">
      <c r="A152" s="2" t="s">
        <v>179</v>
      </c>
      <c r="B152" s="5" t="s">
        <v>1489</v>
      </c>
      <c r="C152" s="5" t="s">
        <v>450</v>
      </c>
      <c r="D152" s="9">
        <v>194700</v>
      </c>
      <c r="E152" s="9">
        <v>194700</v>
      </c>
      <c r="F152" s="57">
        <f>IF(ISERROR((E152-D152)/D152),"-",(E152-D152)/D152)</f>
        <v>0</v>
      </c>
      <c r="G152" s="5" t="s">
        <v>3551</v>
      </c>
    </row>
    <row r="153" spans="1:7" ht="26.25" x14ac:dyDescent="0.25">
      <c r="A153" s="2" t="s">
        <v>180</v>
      </c>
      <c r="B153" s="5"/>
      <c r="C153" s="5" t="s">
        <v>450</v>
      </c>
      <c r="D153" s="3">
        <v>151299</v>
      </c>
      <c r="E153" s="3">
        <v>149428</v>
      </c>
      <c r="F153" s="57">
        <f>IF(ISERROR((E153-D153)/D153),"-",(E153-D153)/D153)</f>
        <v>-1.2366241680381232E-2</v>
      </c>
      <c r="G153" s="5" t="s">
        <v>3550</v>
      </c>
    </row>
    <row r="154" spans="1:7" ht="39" x14ac:dyDescent="0.25">
      <c r="A154" s="2" t="s">
        <v>181</v>
      </c>
      <c r="B154" s="5" t="s">
        <v>1476</v>
      </c>
      <c r="C154" s="5" t="s">
        <v>450</v>
      </c>
      <c r="D154" s="9">
        <v>270474</v>
      </c>
      <c r="E154" s="9">
        <v>281666</v>
      </c>
      <c r="F154" s="57">
        <f>IF(ISERROR((E154-D154)/D154),"-",(E154-D154)/D154)</f>
        <v>4.1379208352743703E-2</v>
      </c>
      <c r="G154" s="5" t="s">
        <v>3540</v>
      </c>
    </row>
    <row r="155" spans="1:7" x14ac:dyDescent="0.25">
      <c r="A155" s="2" t="s">
        <v>182</v>
      </c>
      <c r="B155" s="5" t="s">
        <v>1467</v>
      </c>
      <c r="C155" s="5" t="s">
        <v>450</v>
      </c>
      <c r="D155" s="9">
        <v>246648</v>
      </c>
      <c r="E155" s="9">
        <v>246980</v>
      </c>
      <c r="F155" s="57">
        <f>IF(ISERROR((E155-D155)/D155),"-",(E155-D155)/D155)</f>
        <v>1.3460478090233856E-3</v>
      </c>
      <c r="G155" s="5" t="s">
        <v>3529</v>
      </c>
    </row>
    <row r="156" spans="1:7" ht="26.25" x14ac:dyDescent="0.25">
      <c r="A156" s="2" t="s">
        <v>183</v>
      </c>
      <c r="B156" s="5"/>
      <c r="C156" s="5" t="s">
        <v>450</v>
      </c>
      <c r="D156" s="3">
        <v>107378</v>
      </c>
      <c r="E156" s="3">
        <v>119792</v>
      </c>
      <c r="F156" s="57">
        <f>IF(ISERROR((E156-D156)/D156),"-",(E156-D156)/D156)</f>
        <v>0.11561027398536013</v>
      </c>
      <c r="G156" s="5" t="s">
        <v>3528</v>
      </c>
    </row>
    <row r="157" spans="1:7" x14ac:dyDescent="0.25">
      <c r="A157" s="2" t="s">
        <v>184</v>
      </c>
      <c r="B157" s="5" t="s">
        <v>1463</v>
      </c>
      <c r="C157" s="5" t="s">
        <v>450</v>
      </c>
      <c r="D157" s="9">
        <v>19355</v>
      </c>
      <c r="E157" s="9">
        <v>236263</v>
      </c>
      <c r="F157" s="57">
        <f>IF(ISERROR((E157-D157)/D157),"-",(E157-D157)/D157)</f>
        <v>11.20681994316714</v>
      </c>
      <c r="G157" s="5" t="s">
        <v>2233</v>
      </c>
    </row>
    <row r="158" spans="1:7" x14ac:dyDescent="0.25">
      <c r="A158" s="2" t="s">
        <v>185</v>
      </c>
      <c r="B158" s="5"/>
      <c r="C158" s="5" t="s">
        <v>450</v>
      </c>
      <c r="D158" s="9">
        <v>138992</v>
      </c>
      <c r="E158" s="9">
        <v>155306</v>
      </c>
      <c r="F158" s="57">
        <f>IF(ISERROR((E158-D158)/D158),"-",(E158-D158)/D158)</f>
        <v>0.11737366179348452</v>
      </c>
      <c r="G158" s="5" t="s">
        <v>3521</v>
      </c>
    </row>
    <row r="159" spans="1:7" ht="15" customHeight="1" x14ac:dyDescent="0.25">
      <c r="A159" s="2" t="s">
        <v>186</v>
      </c>
      <c r="B159" s="5"/>
      <c r="C159" s="5" t="s">
        <v>450</v>
      </c>
      <c r="D159" s="9">
        <v>143333</v>
      </c>
      <c r="E159" s="9">
        <v>142009</v>
      </c>
      <c r="F159" s="57">
        <f>IF(ISERROR((E159-D159)/D159),"-",(E159-D159)/D159)</f>
        <v>-9.2372307842576371E-3</v>
      </c>
      <c r="G159" s="5" t="s">
        <v>3515</v>
      </c>
    </row>
    <row r="160" spans="1:7" ht="26.25" x14ac:dyDescent="0.25">
      <c r="A160" s="2" t="s">
        <v>187</v>
      </c>
      <c r="B160" s="5" t="s">
        <v>1456</v>
      </c>
      <c r="C160" s="5" t="s">
        <v>450</v>
      </c>
      <c r="D160" s="9">
        <v>219504</v>
      </c>
      <c r="E160" s="9">
        <v>230822</v>
      </c>
      <c r="F160" s="57">
        <f>IF(ISERROR((E160-D160)/D160),"-",(E160-D160)/D160)</f>
        <v>5.1561702748013701E-2</v>
      </c>
      <c r="G160" s="5" t="s">
        <v>3506</v>
      </c>
    </row>
    <row r="161" spans="1:7" ht="15" customHeight="1" x14ac:dyDescent="0.25">
      <c r="A161" s="2" t="s">
        <v>188</v>
      </c>
      <c r="B161" s="5"/>
      <c r="C161" s="5" t="s">
        <v>450</v>
      </c>
      <c r="D161" s="3">
        <v>121662</v>
      </c>
      <c r="E161" s="3">
        <v>122456</v>
      </c>
      <c r="F161" s="57">
        <f>IF(ISERROR((E161-D161)/D161),"-",(E161-D161)/D161)</f>
        <v>6.5262777202413245E-3</v>
      </c>
      <c r="G161" s="5" t="s">
        <v>3505</v>
      </c>
    </row>
    <row r="162" spans="1:7" x14ac:dyDescent="0.25">
      <c r="A162" s="2" t="s">
        <v>189</v>
      </c>
      <c r="B162" s="5" t="s">
        <v>1452</v>
      </c>
      <c r="C162" s="5" t="s">
        <v>450</v>
      </c>
      <c r="D162" s="9">
        <v>183565</v>
      </c>
      <c r="E162" s="9">
        <v>196934</v>
      </c>
      <c r="F162" s="57">
        <f>IF(ISERROR((E162-D162)/D162),"-",(E162-D162)/D162)</f>
        <v>7.2829787813581015E-2</v>
      </c>
      <c r="G162" s="5" t="s">
        <v>3501</v>
      </c>
    </row>
    <row r="163" spans="1:7" ht="26.25" x14ac:dyDescent="0.25">
      <c r="A163" s="2" t="s">
        <v>190</v>
      </c>
      <c r="B163" s="5"/>
      <c r="C163" s="5" t="s">
        <v>450</v>
      </c>
      <c r="D163" s="3">
        <v>132097</v>
      </c>
      <c r="E163" s="3">
        <v>131402</v>
      </c>
      <c r="F163" s="57">
        <f>IF(ISERROR((E163-D163)/D163),"-",(E163-D163)/D163)</f>
        <v>-5.2612852676442315E-3</v>
      </c>
      <c r="G163" s="5" t="s">
        <v>3500</v>
      </c>
    </row>
    <row r="164" spans="1:7" ht="26.25" x14ac:dyDescent="0.25">
      <c r="A164" s="2" t="s">
        <v>191</v>
      </c>
      <c r="B164" s="5"/>
      <c r="C164" s="5" t="s">
        <v>3494</v>
      </c>
      <c r="D164" s="9">
        <v>131704</v>
      </c>
      <c r="E164" s="9">
        <v>148875</v>
      </c>
      <c r="F164" s="57">
        <f>IF(ISERROR((E164-D164)/D164),"-",(E164-D164)/D164)</f>
        <v>0.13037569094332746</v>
      </c>
      <c r="G164" s="5" t="s">
        <v>3495</v>
      </c>
    </row>
    <row r="165" spans="1:7" x14ac:dyDescent="0.25">
      <c r="A165" s="2" t="s">
        <v>192</v>
      </c>
      <c r="B165" s="5" t="s">
        <v>1442</v>
      </c>
      <c r="C165" s="5" t="s">
        <v>450</v>
      </c>
      <c r="D165" s="9">
        <v>200215</v>
      </c>
      <c r="E165" s="9">
        <v>208326</v>
      </c>
      <c r="F165" s="57">
        <f>IF(ISERROR((E165-D165)/D165),"-",(E165-D165)/D165)</f>
        <v>4.0511450191044629E-2</v>
      </c>
      <c r="G165" s="5" t="s">
        <v>3490</v>
      </c>
    </row>
    <row r="166" spans="1:7" ht="26.25" x14ac:dyDescent="0.25">
      <c r="A166" s="2" t="s">
        <v>193</v>
      </c>
      <c r="B166" s="5" t="s">
        <v>1441</v>
      </c>
      <c r="C166" s="5" t="s">
        <v>450</v>
      </c>
      <c r="D166" s="9">
        <v>219734</v>
      </c>
      <c r="E166" s="9">
        <v>221203</v>
      </c>
      <c r="F166" s="57">
        <f>IF(ISERROR((E166-D166)/D166),"-",(E166-D166)/D166)</f>
        <v>6.6853559303521534E-3</v>
      </c>
      <c r="G166" s="5" t="s">
        <v>3482</v>
      </c>
    </row>
    <row r="167" spans="1:7" x14ac:dyDescent="0.25">
      <c r="A167" s="2" t="s">
        <v>194</v>
      </c>
      <c r="B167" s="5" t="s">
        <v>1424</v>
      </c>
      <c r="C167" s="5" t="s">
        <v>450</v>
      </c>
      <c r="D167" s="9">
        <v>251190</v>
      </c>
      <c r="E167" s="9">
        <v>250118</v>
      </c>
      <c r="F167" s="57">
        <f>IF(ISERROR((E167-D167)/D167),"-",(E167-D167)/D167)</f>
        <v>-4.2676858155181333E-3</v>
      </c>
      <c r="G167" s="5" t="s">
        <v>3468</v>
      </c>
    </row>
    <row r="168" spans="1:7" x14ac:dyDescent="0.25">
      <c r="A168" s="2" t="s">
        <v>195</v>
      </c>
      <c r="B168" s="5"/>
      <c r="C168" s="5" t="s">
        <v>450</v>
      </c>
      <c r="D168" s="3">
        <v>184000</v>
      </c>
      <c r="E168" s="3">
        <v>187000</v>
      </c>
      <c r="F168" s="57">
        <f>IF(ISERROR((E168-D168)/D168),"-",(E168-D168)/D168)</f>
        <v>1.6304347826086956E-2</v>
      </c>
      <c r="G168" s="5" t="s">
        <v>3465</v>
      </c>
    </row>
    <row r="169" spans="1:7" ht="26.25" x14ac:dyDescent="0.25">
      <c r="A169" s="2" t="s">
        <v>196</v>
      </c>
      <c r="B169" s="5" t="s">
        <v>1415</v>
      </c>
      <c r="C169" s="5" t="s">
        <v>450</v>
      </c>
      <c r="D169" s="6">
        <v>140112</v>
      </c>
      <c r="E169" s="9">
        <f>148549+43476</f>
        <v>192025</v>
      </c>
      <c r="F169" s="57">
        <f>IF(ISERROR((E169-D169)/D169),"-",(E169-D169)/D169)</f>
        <v>0.37051073426972708</v>
      </c>
      <c r="G169" s="5" t="s">
        <v>3457</v>
      </c>
    </row>
    <row r="170" spans="1:7" x14ac:dyDescent="0.25">
      <c r="A170" s="12" t="s">
        <v>197</v>
      </c>
      <c r="B170" s="5" t="s">
        <v>1400</v>
      </c>
      <c r="C170" s="5" t="s">
        <v>450</v>
      </c>
      <c r="D170" s="9">
        <v>215206</v>
      </c>
      <c r="E170" s="9">
        <v>183250</v>
      </c>
      <c r="F170" s="57">
        <f>IF(ISERROR((E170-D170)/D170),"-",(E170-D170)/D170)</f>
        <v>-0.14849028372814885</v>
      </c>
      <c r="G170" s="5" t="s">
        <v>3433</v>
      </c>
    </row>
    <row r="171" spans="1:7" ht="26.25" x14ac:dyDescent="0.25">
      <c r="A171" s="2" t="s">
        <v>198</v>
      </c>
      <c r="B171" s="5" t="s">
        <v>1399</v>
      </c>
      <c r="C171" s="5" t="s">
        <v>450</v>
      </c>
      <c r="D171" s="3">
        <v>161851</v>
      </c>
      <c r="E171" s="3">
        <v>161851</v>
      </c>
      <c r="F171" s="57">
        <f>IF(ISERROR((E171-D171)/D171),"-",(E171-D171)/D171)</f>
        <v>0</v>
      </c>
      <c r="G171" s="5" t="s">
        <v>3429</v>
      </c>
    </row>
    <row r="172" spans="1:7" x14ac:dyDescent="0.25">
      <c r="A172" s="2" t="s">
        <v>199</v>
      </c>
      <c r="B172" s="5"/>
      <c r="C172" s="5" t="s">
        <v>450</v>
      </c>
      <c r="D172" s="9">
        <v>134394</v>
      </c>
      <c r="E172" s="9">
        <v>137306</v>
      </c>
      <c r="F172" s="57">
        <f>IF(ISERROR((E172-D172)/D172),"-",(E172-D172)/D172)</f>
        <v>2.1667633971754693E-2</v>
      </c>
      <c r="G172" s="5" t="s">
        <v>3420</v>
      </c>
    </row>
    <row r="173" spans="1:7" x14ac:dyDescent="0.25">
      <c r="A173" s="2" t="s">
        <v>200</v>
      </c>
      <c r="B173" s="5" t="s">
        <v>3413</v>
      </c>
      <c r="C173" s="5" t="s">
        <v>450</v>
      </c>
      <c r="D173" s="9">
        <v>201183</v>
      </c>
      <c r="E173" s="9">
        <v>33388</v>
      </c>
      <c r="F173" s="57">
        <f>IF(ISERROR((E173-D173)/D173),"-",(E173-D173)/D173)</f>
        <v>-0.83404164367764677</v>
      </c>
      <c r="G173" s="5" t="s">
        <v>3419</v>
      </c>
    </row>
    <row r="174" spans="1:7" ht="26.25" x14ac:dyDescent="0.25">
      <c r="A174" s="2" t="s">
        <v>201</v>
      </c>
      <c r="B174" s="5" t="s">
        <v>1393</v>
      </c>
      <c r="C174" s="5" t="s">
        <v>450</v>
      </c>
      <c r="D174" s="3">
        <v>206684</v>
      </c>
      <c r="E174" s="3">
        <v>201524</v>
      </c>
      <c r="F174" s="57">
        <f>IF(ISERROR((E174-D174)/D174),"-",(E174-D174)/D174)</f>
        <v>-2.496564804242225E-2</v>
      </c>
      <c r="G174" s="5" t="s">
        <v>3410</v>
      </c>
    </row>
    <row r="175" spans="1:7" x14ac:dyDescent="0.25">
      <c r="A175" s="2" t="s">
        <v>203</v>
      </c>
      <c r="B175" s="5" t="s">
        <v>1382</v>
      </c>
      <c r="C175" s="5" t="s">
        <v>450</v>
      </c>
      <c r="D175" s="9">
        <f>111450+19281</f>
        <v>130731</v>
      </c>
      <c r="E175" s="9">
        <f>114629+20225</f>
        <v>134854</v>
      </c>
      <c r="F175" s="57">
        <f>IF(ISERROR((E175-D175)/D175),"-",(E175-D175)/D175)</f>
        <v>3.1538043769266659E-2</v>
      </c>
      <c r="G175" s="5" t="s">
        <v>3401</v>
      </c>
    </row>
    <row r="176" spans="1:7" x14ac:dyDescent="0.25">
      <c r="A176" s="2" t="s">
        <v>204</v>
      </c>
      <c r="B176" s="5"/>
      <c r="C176" s="5" t="s">
        <v>450</v>
      </c>
      <c r="D176" s="3" t="s">
        <v>465</v>
      </c>
      <c r="E176" s="3">
        <v>103614</v>
      </c>
      <c r="F176" s="57" t="str">
        <f>IF(ISERROR((E176-D176)/D176),"-",(E176-D176)/D176)</f>
        <v>-</v>
      </c>
      <c r="G176" s="5" t="s">
        <v>3400</v>
      </c>
    </row>
    <row r="177" spans="1:7" x14ac:dyDescent="0.25">
      <c r="A177" s="2" t="s">
        <v>206</v>
      </c>
      <c r="B177" s="5"/>
      <c r="C177" s="5" t="s">
        <v>450</v>
      </c>
      <c r="D177" s="9">
        <v>183937</v>
      </c>
      <c r="E177" s="9">
        <v>184116</v>
      </c>
      <c r="F177" s="57">
        <f>IF(ISERROR((E177-D177)/D177),"-",(E177-D177)/D177)</f>
        <v>9.7315928823455853E-4</v>
      </c>
      <c r="G177" s="5" t="s">
        <v>3385</v>
      </c>
    </row>
    <row r="178" spans="1:7" ht="13.5" customHeight="1" x14ac:dyDescent="0.25">
      <c r="A178" s="2" t="s">
        <v>207</v>
      </c>
      <c r="B178" s="5"/>
      <c r="C178" s="5" t="s">
        <v>450</v>
      </c>
      <c r="D178" s="3">
        <v>90852</v>
      </c>
      <c r="E178" s="3">
        <v>104854</v>
      </c>
      <c r="F178" s="57">
        <f>IF(ISERROR((E178-D178)/D178),"-",(E178-D178)/D178)</f>
        <v>0.15411878659798353</v>
      </c>
      <c r="G178" s="5" t="s">
        <v>3384</v>
      </c>
    </row>
    <row r="179" spans="1:7" ht="26.25" x14ac:dyDescent="0.25">
      <c r="A179" s="2" t="s">
        <v>208</v>
      </c>
      <c r="B179" s="5" t="s">
        <v>1373</v>
      </c>
      <c r="C179" s="5" t="s">
        <v>450</v>
      </c>
      <c r="D179" s="9">
        <v>222868</v>
      </c>
      <c r="E179" s="9">
        <f>210000+13834.75</f>
        <v>223834.75</v>
      </c>
      <c r="F179" s="57">
        <f>IF(ISERROR((E179-D179)/D179),"-",(E179-D179)/D179)</f>
        <v>4.3377694420015439E-3</v>
      </c>
      <c r="G179" s="5" t="s">
        <v>3377</v>
      </c>
    </row>
    <row r="180" spans="1:7" ht="26.25" x14ac:dyDescent="0.25">
      <c r="A180" s="2" t="s">
        <v>210</v>
      </c>
      <c r="B180" s="5" t="s">
        <v>1338</v>
      </c>
      <c r="C180" s="5" t="s">
        <v>450</v>
      </c>
      <c r="D180" s="9">
        <v>299611</v>
      </c>
      <c r="E180" s="9">
        <v>439071</v>
      </c>
      <c r="F180" s="57">
        <f>IF(ISERROR((E180-D180)/D180),"-",(E180-D180)/D180)</f>
        <v>0.46547022639355695</v>
      </c>
      <c r="G180" s="5" t="s">
        <v>3358</v>
      </c>
    </row>
    <row r="181" spans="1:7" ht="26.25" x14ac:dyDescent="0.25">
      <c r="A181" s="2" t="s">
        <v>211</v>
      </c>
      <c r="B181" s="5" t="s">
        <v>1337</v>
      </c>
      <c r="C181" s="5" t="s">
        <v>450</v>
      </c>
      <c r="D181" s="3">
        <v>186000</v>
      </c>
      <c r="E181" s="3">
        <v>185000</v>
      </c>
      <c r="F181" s="57">
        <f>IF(ISERROR((E181-D181)/D181),"-",(E181-D181)/D181)</f>
        <v>-5.3763440860215058E-3</v>
      </c>
      <c r="G181" s="5" t="s">
        <v>3349</v>
      </c>
    </row>
    <row r="182" spans="1:7" ht="26.25" x14ac:dyDescent="0.25">
      <c r="A182" s="2" t="s">
        <v>212</v>
      </c>
      <c r="B182" s="5"/>
      <c r="C182" s="5" t="s">
        <v>450</v>
      </c>
      <c r="D182" s="9">
        <v>144397</v>
      </c>
      <c r="E182" s="9">
        <v>144206</v>
      </c>
      <c r="F182" s="57">
        <f>IF(ISERROR((E182-D182)/D182),"-",(E182-D182)/D182)</f>
        <v>-1.3227421622332874E-3</v>
      </c>
      <c r="G182" s="5" t="s">
        <v>3345</v>
      </c>
    </row>
    <row r="183" spans="1:7" ht="26.25" x14ac:dyDescent="0.25">
      <c r="A183" s="2" t="s">
        <v>213</v>
      </c>
      <c r="B183" s="5" t="s">
        <v>1325</v>
      </c>
      <c r="C183" s="5" t="s">
        <v>450</v>
      </c>
      <c r="D183" s="9">
        <v>112777</v>
      </c>
      <c r="E183" s="9">
        <v>222760</v>
      </c>
      <c r="F183" s="57">
        <f>IF(ISERROR((E183-D183)/D183),"-",(E183-D183)/D183)</f>
        <v>0.9752254449045461</v>
      </c>
      <c r="G183" s="5" t="s">
        <v>4660</v>
      </c>
    </row>
    <row r="184" spans="1:7" x14ac:dyDescent="0.25">
      <c r="A184" s="2" t="s">
        <v>213</v>
      </c>
      <c r="B184" s="5" t="s">
        <v>3320</v>
      </c>
      <c r="C184" s="5" t="s">
        <v>450</v>
      </c>
      <c r="D184" s="9">
        <v>133724</v>
      </c>
      <c r="E184" s="9" t="s">
        <v>465</v>
      </c>
      <c r="F184" s="57" t="str">
        <f>IF(ISERROR((E184-D184)/D184),"-",(E184-D184)/D184)</f>
        <v>-</v>
      </c>
      <c r="G184" s="5" t="s">
        <v>3321</v>
      </c>
    </row>
    <row r="185" spans="1:7" ht="39" x14ac:dyDescent="0.25">
      <c r="A185" s="2" t="s">
        <v>213</v>
      </c>
      <c r="B185" s="5"/>
      <c r="C185" s="5" t="s">
        <v>1326</v>
      </c>
      <c r="D185" s="9">
        <v>185045</v>
      </c>
      <c r="E185" s="9">
        <v>162837</v>
      </c>
      <c r="F185" s="57">
        <f>IF(ISERROR((E185-D185)/D185),"-",(E185-D185)/D185)</f>
        <v>-0.12001405063633171</v>
      </c>
      <c r="G185" s="5" t="s">
        <v>4661</v>
      </c>
    </row>
    <row r="186" spans="1:7" x14ac:dyDescent="0.25">
      <c r="A186" s="2" t="s">
        <v>214</v>
      </c>
      <c r="B186" s="5" t="s">
        <v>1320</v>
      </c>
      <c r="C186" s="15" t="s">
        <v>450</v>
      </c>
      <c r="D186" s="9">
        <v>222000</v>
      </c>
      <c r="E186" s="9">
        <v>224000</v>
      </c>
      <c r="F186" s="57">
        <f>IF(ISERROR((E186-D186)/D186),"-",(E186-D186)/D186)</f>
        <v>9.0090090090090089E-3</v>
      </c>
      <c r="G186" s="5" t="s">
        <v>3315</v>
      </c>
    </row>
    <row r="187" spans="1:7" ht="39" x14ac:dyDescent="0.25">
      <c r="A187" s="2" t="s">
        <v>215</v>
      </c>
      <c r="B187" s="5"/>
      <c r="C187" s="5" t="s">
        <v>4358</v>
      </c>
      <c r="D187" s="3">
        <v>107570</v>
      </c>
      <c r="E187" s="3">
        <f>116725+38743</f>
        <v>155468</v>
      </c>
      <c r="F187" s="57">
        <f>IF(ISERROR((E187-D187)/D187),"-",(E187-D187)/D187)</f>
        <v>0.44527284558891883</v>
      </c>
      <c r="G187" s="5" t="s">
        <v>3314</v>
      </c>
    </row>
    <row r="188" spans="1:7" ht="54.75" customHeight="1" x14ac:dyDescent="0.25">
      <c r="A188" s="2" t="s">
        <v>215</v>
      </c>
      <c r="B188" s="5" t="s">
        <v>2148</v>
      </c>
      <c r="C188" s="5" t="s">
        <v>450</v>
      </c>
      <c r="D188" s="3">
        <v>180689</v>
      </c>
      <c r="E188" s="3">
        <v>36354</v>
      </c>
      <c r="F188" s="57">
        <f>IF(ISERROR((E188-D188)/D188),"-",(E188-D188)/D188)</f>
        <v>-0.79880346894387599</v>
      </c>
      <c r="G188" s="5" t="s">
        <v>3313</v>
      </c>
    </row>
    <row r="189" spans="1:7" x14ac:dyDescent="0.25">
      <c r="A189" s="2" t="s">
        <v>216</v>
      </c>
      <c r="B189" s="5" t="s">
        <v>1308</v>
      </c>
      <c r="C189" s="5" t="s">
        <v>450</v>
      </c>
      <c r="D189" s="3">
        <v>224772</v>
      </c>
      <c r="E189" s="3">
        <v>224769</v>
      </c>
      <c r="F189" s="57">
        <f>IF(ISERROR((E189-D189)/D189),"-",(E189-D189)/D189)</f>
        <v>-1.3346858149591586E-5</v>
      </c>
      <c r="G189" s="5" t="s">
        <v>3297</v>
      </c>
    </row>
    <row r="190" spans="1:7" x14ac:dyDescent="0.25">
      <c r="A190" s="2" t="s">
        <v>217</v>
      </c>
      <c r="B190" s="5" t="s">
        <v>1300</v>
      </c>
      <c r="C190" s="5" t="s">
        <v>450</v>
      </c>
      <c r="D190" s="3">
        <v>269836</v>
      </c>
      <c r="E190" s="3">
        <v>246939</v>
      </c>
      <c r="F190" s="57">
        <f>IF(ISERROR((E190-D190)/D190),"-",(E190-D190)/D190)</f>
        <v>-8.4855245408322094E-2</v>
      </c>
      <c r="G190" s="5" t="s">
        <v>3294</v>
      </c>
    </row>
    <row r="191" spans="1:7" ht="26.25" x14ac:dyDescent="0.25">
      <c r="A191" s="2" t="s">
        <v>218</v>
      </c>
      <c r="B191" s="5" t="s">
        <v>1294</v>
      </c>
      <c r="C191" s="5" t="s">
        <v>450</v>
      </c>
      <c r="D191" s="9">
        <v>266675</v>
      </c>
      <c r="E191" s="9">
        <v>205048</v>
      </c>
      <c r="F191" s="57">
        <f>IF(ISERROR((E191-D191)/D191),"-",(E191-D191)/D191)</f>
        <v>-0.23109402831161527</v>
      </c>
      <c r="G191" s="5" t="s">
        <v>3286</v>
      </c>
    </row>
    <row r="192" spans="1:7" ht="26.25" x14ac:dyDescent="0.25">
      <c r="A192" s="2" t="s">
        <v>219</v>
      </c>
      <c r="B192" s="5" t="s">
        <v>1285</v>
      </c>
      <c r="C192" s="5" t="s">
        <v>450</v>
      </c>
      <c r="D192" s="3">
        <v>128000</v>
      </c>
      <c r="E192" s="3">
        <v>129000</v>
      </c>
      <c r="F192" s="57">
        <f>IF(ISERROR((E192-D192)/D192),"-",(E192-D192)/D192)</f>
        <v>7.8125E-3</v>
      </c>
      <c r="G192" s="5" t="s">
        <v>3277</v>
      </c>
    </row>
    <row r="193" spans="1:7" ht="17.25" customHeight="1" x14ac:dyDescent="0.25">
      <c r="A193" s="2" t="s">
        <v>221</v>
      </c>
      <c r="B193" s="5" t="s">
        <v>1277</v>
      </c>
      <c r="C193" s="5" t="s">
        <v>450</v>
      </c>
      <c r="D193" s="9" t="s">
        <v>465</v>
      </c>
      <c r="E193" s="9">
        <v>130173</v>
      </c>
      <c r="F193" s="57" t="str">
        <f>IF(ISERROR((E193-D193)/D193),"-",(E193-D193)/D193)</f>
        <v>-</v>
      </c>
      <c r="G193" s="5" t="s">
        <v>3266</v>
      </c>
    </row>
    <row r="194" spans="1:7" x14ac:dyDescent="0.25">
      <c r="A194" s="2" t="s">
        <v>221</v>
      </c>
      <c r="B194" s="5" t="s">
        <v>3264</v>
      </c>
      <c r="C194" s="5" t="s">
        <v>450</v>
      </c>
      <c r="D194" s="9">
        <v>222122</v>
      </c>
      <c r="E194" s="9">
        <v>87316</v>
      </c>
      <c r="F194" s="57">
        <f>IF(ISERROR((E194-D194)/D194),"-",(E194-D194)/D194)</f>
        <v>-0.60690071222121178</v>
      </c>
      <c r="G194" s="5" t="s">
        <v>3265</v>
      </c>
    </row>
    <row r="195" spans="1:7" ht="26.25" x14ac:dyDescent="0.25">
      <c r="A195" s="2" t="s">
        <v>222</v>
      </c>
      <c r="B195" s="5" t="s">
        <v>1276</v>
      </c>
      <c r="C195" s="5" t="s">
        <v>450</v>
      </c>
      <c r="D195" s="3">
        <v>208127</v>
      </c>
      <c r="E195" s="3">
        <v>208322</v>
      </c>
      <c r="F195" s="57">
        <f>IF(ISERROR((E195-D195)/D195),"-",(E195-D195)/D195)</f>
        <v>9.3692793342526443E-4</v>
      </c>
      <c r="G195" s="5" t="s">
        <v>4666</v>
      </c>
    </row>
    <row r="196" spans="1:7" x14ac:dyDescent="0.25">
      <c r="A196" s="2" t="s">
        <v>223</v>
      </c>
      <c r="B196" s="5" t="s">
        <v>1265</v>
      </c>
      <c r="C196" s="5" t="s">
        <v>450</v>
      </c>
      <c r="D196" s="3">
        <v>231000</v>
      </c>
      <c r="E196" s="3">
        <v>230000</v>
      </c>
      <c r="F196" s="57">
        <f>IF(ISERROR((E196-D196)/D196),"-",(E196-D196)/D196)</f>
        <v>-4.329004329004329E-3</v>
      </c>
      <c r="G196" s="5" t="s">
        <v>3248</v>
      </c>
    </row>
    <row r="197" spans="1:7" ht="26.25" x14ac:dyDescent="0.25">
      <c r="A197" s="2" t="s">
        <v>224</v>
      </c>
      <c r="B197" s="5"/>
      <c r="C197" s="5" t="s">
        <v>450</v>
      </c>
      <c r="D197" s="3">
        <v>130266</v>
      </c>
      <c r="E197" s="3">
        <v>36892</v>
      </c>
      <c r="F197" s="57">
        <f>IF(ISERROR((E197-D197)/D197),"-",(E197-D197)/D197)</f>
        <v>-0.71679486588979469</v>
      </c>
      <c r="G197" s="5" t="s">
        <v>3246</v>
      </c>
    </row>
    <row r="198" spans="1:7" x14ac:dyDescent="0.25">
      <c r="A198" s="2" t="s">
        <v>225</v>
      </c>
      <c r="B198" s="5" t="s">
        <v>1255</v>
      </c>
      <c r="C198" s="5" t="s">
        <v>450</v>
      </c>
      <c r="D198" s="3">
        <v>229902</v>
      </c>
      <c r="E198" s="3">
        <v>230864</v>
      </c>
      <c r="F198" s="57">
        <f>IF(ISERROR((E198-D198)/D198),"-",(E198-D198)/D198)</f>
        <v>4.1843916103383181E-3</v>
      </c>
      <c r="G198" s="5" t="s">
        <v>3239</v>
      </c>
    </row>
    <row r="199" spans="1:7" x14ac:dyDescent="0.25">
      <c r="A199" s="2" t="s">
        <v>226</v>
      </c>
      <c r="B199" s="5"/>
      <c r="C199" s="5" t="s">
        <v>450</v>
      </c>
      <c r="D199" s="3">
        <v>126476</v>
      </c>
      <c r="E199" s="3">
        <v>126708</v>
      </c>
      <c r="F199" s="57">
        <f>IF(ISERROR((E199-D199)/D199),"-",(E199-D199)/D199)</f>
        <v>1.834340111958E-3</v>
      </c>
      <c r="G199" s="5" t="s">
        <v>3238</v>
      </c>
    </row>
    <row r="200" spans="1:7" x14ac:dyDescent="0.25">
      <c r="A200" s="2" t="s">
        <v>228</v>
      </c>
      <c r="B200" s="5"/>
      <c r="C200" s="5" t="s">
        <v>450</v>
      </c>
      <c r="D200" s="3">
        <v>146153</v>
      </c>
      <c r="E200" s="3">
        <v>149445</v>
      </c>
      <c r="F200" s="57">
        <f>IF(ISERROR((E200-D200)/D200),"-",(E200-D200)/D200)</f>
        <v>2.2524340930394859E-2</v>
      </c>
      <c r="G200" s="5" t="s">
        <v>3234</v>
      </c>
    </row>
    <row r="201" spans="1:7" x14ac:dyDescent="0.25">
      <c r="A201" s="2" t="s">
        <v>229</v>
      </c>
      <c r="B201" s="5" t="s">
        <v>1248</v>
      </c>
      <c r="C201" s="5" t="s">
        <v>450</v>
      </c>
      <c r="D201" s="3">
        <v>206059</v>
      </c>
      <c r="E201" s="3">
        <v>207113</v>
      </c>
      <c r="F201" s="57">
        <f>IF(ISERROR((E201-D201)/D201),"-",(E201-D201)/D201)</f>
        <v>5.1150398672224944E-3</v>
      </c>
      <c r="G201" s="5" t="s">
        <v>3225</v>
      </c>
    </row>
    <row r="202" spans="1:7" ht="26.25" x14ac:dyDescent="0.25">
      <c r="A202" s="12" t="s">
        <v>231</v>
      </c>
      <c r="B202" s="5" t="s">
        <v>1243</v>
      </c>
      <c r="C202" s="5" t="s">
        <v>450</v>
      </c>
      <c r="D202" s="9">
        <f>229555+49159</f>
        <v>278714</v>
      </c>
      <c r="E202" s="9">
        <f>169768+12959</f>
        <v>182727</v>
      </c>
      <c r="F202" s="57">
        <f>IF(ISERROR((E202-D202)/D202),"-",(E202-D202)/D202)</f>
        <v>-0.34439245965398224</v>
      </c>
      <c r="G202" s="5" t="s">
        <v>3216</v>
      </c>
    </row>
    <row r="203" spans="1:7" ht="26.25" x14ac:dyDescent="0.25">
      <c r="A203" s="2" t="s">
        <v>232</v>
      </c>
      <c r="B203" s="5" t="s">
        <v>1236</v>
      </c>
      <c r="C203" s="5" t="s">
        <v>450</v>
      </c>
      <c r="D203" s="3" t="s">
        <v>465</v>
      </c>
      <c r="E203" s="3">
        <v>144630</v>
      </c>
      <c r="F203" s="57" t="str">
        <f>IF(ISERROR((E203-D203)/D203),"-",(E203-D203)/D203)</f>
        <v>-</v>
      </c>
      <c r="G203" s="5" t="s">
        <v>3206</v>
      </c>
    </row>
    <row r="204" spans="1:7" x14ac:dyDescent="0.25">
      <c r="A204" s="2" t="s">
        <v>232</v>
      </c>
      <c r="B204" s="5" t="s">
        <v>3214</v>
      </c>
      <c r="C204" s="5" t="s">
        <v>450</v>
      </c>
      <c r="D204" s="3">
        <v>164158</v>
      </c>
      <c r="E204" s="3" t="s">
        <v>465</v>
      </c>
      <c r="F204" s="57" t="str">
        <f>IF(ISERROR((E204-D204)/D204),"-",(E204-D204)/D204)</f>
        <v>-</v>
      </c>
      <c r="G204" s="5" t="s">
        <v>3215</v>
      </c>
    </row>
    <row r="205" spans="1:7" x14ac:dyDescent="0.25">
      <c r="A205" s="2" t="s">
        <v>234</v>
      </c>
      <c r="B205" s="5"/>
      <c r="C205" s="5" t="s">
        <v>450</v>
      </c>
      <c r="D205" s="3" t="s">
        <v>465</v>
      </c>
      <c r="E205" s="3">
        <v>136000</v>
      </c>
      <c r="F205" s="57" t="str">
        <f>IF(ISERROR((E205-D205)/D205),"-",(E205-D205)/D205)</f>
        <v>-</v>
      </c>
      <c r="G205" s="5" t="s">
        <v>3200</v>
      </c>
    </row>
    <row r="206" spans="1:7" x14ac:dyDescent="0.25">
      <c r="A206" s="2" t="s">
        <v>234</v>
      </c>
      <c r="B206" s="5"/>
      <c r="C206" s="5" t="s">
        <v>450</v>
      </c>
      <c r="D206" s="3">
        <v>168000</v>
      </c>
      <c r="E206" s="3" t="s">
        <v>465</v>
      </c>
      <c r="F206" s="57" t="str">
        <f>IF(ISERROR((E206-D206)/D206),"-",(E206-D206)/D206)</f>
        <v>-</v>
      </c>
      <c r="G206" s="5"/>
    </row>
    <row r="207" spans="1:7" ht="26.25" x14ac:dyDescent="0.25">
      <c r="A207" s="2" t="s">
        <v>235</v>
      </c>
      <c r="B207" s="5"/>
      <c r="C207" s="5" t="s">
        <v>450</v>
      </c>
      <c r="D207" s="6">
        <v>47000</v>
      </c>
      <c r="E207" s="3">
        <v>104000</v>
      </c>
      <c r="F207" s="57">
        <f>IF(ISERROR((E207-D207)/D207),"-",(E207-D207)/D207)</f>
        <v>1.2127659574468086</v>
      </c>
      <c r="G207" s="5" t="s">
        <v>3199</v>
      </c>
    </row>
    <row r="208" spans="1:7" x14ac:dyDescent="0.25">
      <c r="A208" s="12" t="s">
        <v>236</v>
      </c>
      <c r="B208" s="5"/>
      <c r="C208" s="5" t="s">
        <v>450</v>
      </c>
      <c r="D208" s="3">
        <v>122939</v>
      </c>
      <c r="E208" s="3">
        <v>130725</v>
      </c>
      <c r="F208" s="57">
        <f>IF(ISERROR((E208-D208)/D208),"-",(E208-D208)/D208)</f>
        <v>6.3332221670909961E-2</v>
      </c>
      <c r="G208" s="5" t="s">
        <v>3198</v>
      </c>
    </row>
    <row r="209" spans="1:7" ht="39" x14ac:dyDescent="0.25">
      <c r="A209" s="2" t="s">
        <v>237</v>
      </c>
      <c r="B209" s="5" t="s">
        <v>1224</v>
      </c>
      <c r="C209" s="14" t="s">
        <v>1225</v>
      </c>
      <c r="D209" s="10">
        <f>203934+657+27735</f>
        <v>232326</v>
      </c>
      <c r="E209" s="10">
        <f>203934+741+27735</f>
        <v>232410</v>
      </c>
      <c r="F209" s="57">
        <f>IF(ISERROR((E209-D209)/D209),"-",(E209-D209)/D209)</f>
        <v>3.6156091010046231E-4</v>
      </c>
      <c r="G209" s="5" t="s">
        <v>3186</v>
      </c>
    </row>
    <row r="210" spans="1:7" ht="15" customHeight="1" x14ac:dyDescent="0.25">
      <c r="A210" s="2" t="s">
        <v>237</v>
      </c>
      <c r="B210" s="5"/>
      <c r="C210" s="14" t="s">
        <v>1232</v>
      </c>
      <c r="D210" s="10">
        <f>120660+16467</f>
        <v>137127</v>
      </c>
      <c r="E210" s="10">
        <f>120000+16320</f>
        <v>136320</v>
      </c>
      <c r="F210" s="57">
        <f>IF(ISERROR((E210-D210)/D210),"-",(E210-D210)/D210)</f>
        <v>-5.8850554595375089E-3</v>
      </c>
      <c r="G210" s="5" t="s">
        <v>3193</v>
      </c>
    </row>
    <row r="211" spans="1:7" x14ac:dyDescent="0.25">
      <c r="A211" s="2" t="s">
        <v>239</v>
      </c>
      <c r="B211" s="5"/>
      <c r="C211" s="5" t="s">
        <v>450</v>
      </c>
      <c r="D211" s="3">
        <v>185146</v>
      </c>
      <c r="E211" s="3">
        <v>186587</v>
      </c>
      <c r="F211" s="57">
        <f>IF(ISERROR((E211-D211)/D211),"-",(E211-D211)/D211)</f>
        <v>7.7830468927225002E-3</v>
      </c>
      <c r="G211" s="5" t="s">
        <v>3172</v>
      </c>
    </row>
    <row r="212" spans="1:7" x14ac:dyDescent="0.25">
      <c r="A212" s="2" t="s">
        <v>240</v>
      </c>
      <c r="B212" s="5"/>
      <c r="C212" s="5" t="s">
        <v>450</v>
      </c>
      <c r="D212" s="3">
        <v>101813.51</v>
      </c>
      <c r="E212" s="3">
        <v>101383.74</v>
      </c>
      <c r="F212" s="57">
        <f>IF(ISERROR((E212-D212)/D212),"-",(E212-D212)/D212)</f>
        <v>-4.2211490400437968E-3</v>
      </c>
      <c r="G212" s="5" t="s">
        <v>3171</v>
      </c>
    </row>
    <row r="213" spans="1:7" x14ac:dyDescent="0.25">
      <c r="A213" s="12" t="s">
        <v>241</v>
      </c>
      <c r="B213" s="7"/>
      <c r="C213" s="7" t="s">
        <v>450</v>
      </c>
      <c r="D213" s="6">
        <v>381122</v>
      </c>
      <c r="E213" s="6" t="s">
        <v>465</v>
      </c>
      <c r="F213" s="57" t="str">
        <f>IF(ISERROR((E213-D213)/D213),"-",(E213-D213)/D213)</f>
        <v>-</v>
      </c>
      <c r="G213" s="7" t="s">
        <v>3167</v>
      </c>
    </row>
    <row r="214" spans="1:7" x14ac:dyDescent="0.25">
      <c r="A214" s="2" t="s">
        <v>241</v>
      </c>
      <c r="B214" s="5"/>
      <c r="C214" s="5" t="s">
        <v>450</v>
      </c>
      <c r="D214" s="3" t="s">
        <v>465</v>
      </c>
      <c r="E214" s="3">
        <v>112292</v>
      </c>
      <c r="F214" s="57" t="str">
        <f>IF(ISERROR((E214-D214)/D214),"-",(E214-D214)/D214)</f>
        <v>-</v>
      </c>
      <c r="G214" s="5" t="s">
        <v>4667</v>
      </c>
    </row>
    <row r="215" spans="1:7" x14ac:dyDescent="0.25">
      <c r="A215" s="2" t="s">
        <v>242</v>
      </c>
      <c r="B215" s="5"/>
      <c r="C215" s="5" t="s">
        <v>450</v>
      </c>
      <c r="D215" s="3">
        <v>158394</v>
      </c>
      <c r="E215" s="3">
        <v>125437</v>
      </c>
      <c r="F215" s="57">
        <f>IF(ISERROR((E215-D215)/D215),"-",(E215-D215)/D215)</f>
        <v>-0.20806975011679735</v>
      </c>
      <c r="G215" s="5" t="s">
        <v>3162</v>
      </c>
    </row>
    <row r="216" spans="1:7" x14ac:dyDescent="0.25">
      <c r="A216" s="2" t="s">
        <v>243</v>
      </c>
      <c r="B216" s="5" t="s">
        <v>1201</v>
      </c>
      <c r="C216" s="5" t="s">
        <v>450</v>
      </c>
      <c r="D216" s="3">
        <v>207689</v>
      </c>
      <c r="E216" s="3">
        <v>212325</v>
      </c>
      <c r="F216" s="57">
        <f>IF(ISERROR((E216-D216)/D216),"-",(E216-D216)/D216)</f>
        <v>2.2321836977403715E-2</v>
      </c>
      <c r="G216" s="5" t="s">
        <v>3156</v>
      </c>
    </row>
    <row r="217" spans="1:7" x14ac:dyDescent="0.25">
      <c r="A217" s="2" t="s">
        <v>244</v>
      </c>
      <c r="B217" s="5"/>
      <c r="C217" s="5" t="s">
        <v>450</v>
      </c>
      <c r="D217" s="3">
        <v>113988</v>
      </c>
      <c r="E217" s="3">
        <v>114833</v>
      </c>
      <c r="F217" s="57">
        <f>IF(ISERROR((E217-D217)/D217),"-",(E217-D217)/D217)</f>
        <v>7.4130610239674351E-3</v>
      </c>
      <c r="G217" s="5" t="s">
        <v>3155</v>
      </c>
    </row>
    <row r="218" spans="1:7" ht="26.25" x14ac:dyDescent="0.25">
      <c r="A218" s="2" t="s">
        <v>245</v>
      </c>
      <c r="B218" s="5"/>
      <c r="C218" s="5" t="s">
        <v>450</v>
      </c>
      <c r="D218" s="3">
        <v>140946</v>
      </c>
      <c r="E218" s="3">
        <v>395091</v>
      </c>
      <c r="F218" s="57">
        <f>IF(ISERROR((E218-D218)/D218),"-",(E218-D218)/D218)</f>
        <v>1.8031373717593973</v>
      </c>
      <c r="G218" s="5" t="s">
        <v>3154</v>
      </c>
    </row>
    <row r="219" spans="1:7" ht="39" x14ac:dyDescent="0.25">
      <c r="A219" s="12" t="s">
        <v>246</v>
      </c>
      <c r="B219" s="7"/>
      <c r="C219" s="7" t="s">
        <v>4365</v>
      </c>
      <c r="D219" s="6">
        <v>116162</v>
      </c>
      <c r="E219" s="6">
        <f>67802+59299</f>
        <v>127101</v>
      </c>
      <c r="F219" s="57">
        <f>IF(ISERROR((E219-D219)/D219),"-",(E219-D219)/D219)</f>
        <v>9.417021056799986E-2</v>
      </c>
      <c r="G219" s="7" t="s">
        <v>4366</v>
      </c>
    </row>
    <row r="220" spans="1:7" x14ac:dyDescent="0.25">
      <c r="A220" s="2" t="s">
        <v>246</v>
      </c>
      <c r="B220" s="7" t="s">
        <v>4367</v>
      </c>
      <c r="C220" s="7" t="s">
        <v>450</v>
      </c>
      <c r="D220" s="6">
        <v>195759</v>
      </c>
      <c r="E220" s="6">
        <v>43312</v>
      </c>
      <c r="F220" s="57">
        <f>IF(ISERROR((E220-D220)/D220),"-",(E220-D220)/D220)</f>
        <v>-0.77874835895156802</v>
      </c>
      <c r="G220" s="7" t="s">
        <v>4368</v>
      </c>
    </row>
    <row r="221" spans="1:7" x14ac:dyDescent="0.25">
      <c r="A221" s="12" t="s">
        <v>247</v>
      </c>
      <c r="B221" s="7"/>
      <c r="C221" s="7" t="s">
        <v>450</v>
      </c>
      <c r="D221" s="6">
        <v>155644</v>
      </c>
      <c r="E221" s="6">
        <v>167471</v>
      </c>
      <c r="F221" s="57">
        <f>IF(ISERROR((E221-D221)/D221),"-",(E221-D221)/D221)</f>
        <v>7.5987509958623523E-2</v>
      </c>
      <c r="G221" s="7" t="s">
        <v>3147</v>
      </c>
    </row>
    <row r="222" spans="1:7" ht="26.25" x14ac:dyDescent="0.25">
      <c r="A222" s="2" t="s">
        <v>248</v>
      </c>
      <c r="B222" s="5" t="s">
        <v>1191</v>
      </c>
      <c r="C222" s="5" t="s">
        <v>450</v>
      </c>
      <c r="D222" s="3">
        <f>60908+20657</f>
        <v>81565</v>
      </c>
      <c r="E222" s="3">
        <f>109198+2948+21286+598</f>
        <v>134030</v>
      </c>
      <c r="F222" s="57">
        <f>IF(ISERROR((E222-D222)/D222),"-",(E222-D222)/D222)</f>
        <v>0.64322932630417462</v>
      </c>
      <c r="G222" s="5" t="s">
        <v>3138</v>
      </c>
    </row>
    <row r="223" spans="1:7" x14ac:dyDescent="0.25">
      <c r="A223" s="2" t="s">
        <v>249</v>
      </c>
      <c r="B223" s="5" t="s">
        <v>1190</v>
      </c>
      <c r="C223" s="7" t="s">
        <v>450</v>
      </c>
      <c r="D223" s="3">
        <v>128725</v>
      </c>
      <c r="E223" s="3">
        <v>184201</v>
      </c>
      <c r="F223" s="57">
        <f>IF(ISERROR((E223-D223)/D223),"-",(E223-D223)/D223)</f>
        <v>0.43096523596814917</v>
      </c>
      <c r="G223" s="5" t="s">
        <v>3132</v>
      </c>
    </row>
    <row r="224" spans="1:7" x14ac:dyDescent="0.25">
      <c r="A224" s="12" t="s">
        <v>250</v>
      </c>
      <c r="B224" s="7"/>
      <c r="C224" s="7" t="s">
        <v>450</v>
      </c>
      <c r="D224" s="6">
        <v>129763</v>
      </c>
      <c r="E224" s="6">
        <v>130919</v>
      </c>
      <c r="F224" s="57">
        <f>IF(ISERROR((E224-D224)/D224),"-",(E224-D224)/D224)</f>
        <v>8.908548661791112E-3</v>
      </c>
      <c r="G224" s="7" t="s">
        <v>3125</v>
      </c>
    </row>
    <row r="225" spans="1:7" x14ac:dyDescent="0.25">
      <c r="A225" s="2" t="s">
        <v>251</v>
      </c>
      <c r="B225" s="5"/>
      <c r="C225" s="5" t="s">
        <v>450</v>
      </c>
      <c r="D225" s="6">
        <v>119703</v>
      </c>
      <c r="E225" s="3">
        <v>135439</v>
      </c>
      <c r="F225" s="57">
        <f>IF(ISERROR((E225-D225)/D225),"-",(E225-D225)/D225)</f>
        <v>0.13145869359999332</v>
      </c>
      <c r="G225" s="5" t="s">
        <v>3114</v>
      </c>
    </row>
    <row r="226" spans="1:7" x14ac:dyDescent="0.25">
      <c r="A226" s="2" t="s">
        <v>254</v>
      </c>
      <c r="B226" s="5" t="s">
        <v>1182</v>
      </c>
      <c r="C226" s="5" t="s">
        <v>450</v>
      </c>
      <c r="D226" s="3">
        <v>75601</v>
      </c>
      <c r="E226" s="3">
        <v>154525</v>
      </c>
      <c r="F226" s="57">
        <f>IF(ISERROR((E226-D226)/D226),"-",(E226-D226)/D226)</f>
        <v>1.0439544450470233</v>
      </c>
      <c r="G226" s="5" t="s">
        <v>3109</v>
      </c>
    </row>
    <row r="227" spans="1:7" x14ac:dyDescent="0.25">
      <c r="A227" s="2" t="s">
        <v>255</v>
      </c>
      <c r="B227" s="5"/>
      <c r="C227" s="5" t="s">
        <v>450</v>
      </c>
      <c r="D227" s="3">
        <v>165412</v>
      </c>
      <c r="E227" s="3">
        <v>148734</v>
      </c>
      <c r="F227" s="57">
        <f>IF(ISERROR((E227-D227)/D227),"-",(E227-D227)/D227)</f>
        <v>-0.10082702585060334</v>
      </c>
      <c r="G227" s="5" t="s">
        <v>3104</v>
      </c>
    </row>
    <row r="228" spans="1:7" x14ac:dyDescent="0.25">
      <c r="A228" s="2" t="s">
        <v>256</v>
      </c>
      <c r="B228" s="5"/>
      <c r="C228" s="5" t="s">
        <v>450</v>
      </c>
      <c r="D228" s="3">
        <f>113490+2914.85+23832.96</f>
        <v>140237.81</v>
      </c>
      <c r="E228" s="3">
        <f>113490+2329.45+24854.28</f>
        <v>140673.72999999998</v>
      </c>
      <c r="F228" s="57">
        <f>IF(ISERROR((E228-D228)/D228),"-",(E228-D228)/D228)</f>
        <v>3.1084341662208194E-3</v>
      </c>
      <c r="G228" s="5" t="s">
        <v>3101</v>
      </c>
    </row>
    <row r="229" spans="1:7" x14ac:dyDescent="0.25">
      <c r="A229" s="2" t="s">
        <v>257</v>
      </c>
      <c r="B229" s="5" t="s">
        <v>1177</v>
      </c>
      <c r="C229" s="5" t="s">
        <v>450</v>
      </c>
      <c r="D229" s="3">
        <v>183082</v>
      </c>
      <c r="E229" s="3">
        <v>199101</v>
      </c>
      <c r="F229" s="57">
        <f>IF(ISERROR((E229-D229)/D229),"-",(E229-D229)/D229)</f>
        <v>8.7496313127451084E-2</v>
      </c>
      <c r="G229" s="5" t="s">
        <v>3094</v>
      </c>
    </row>
    <row r="230" spans="1:7" x14ac:dyDescent="0.25">
      <c r="A230" s="2" t="s">
        <v>258</v>
      </c>
      <c r="B230" s="5"/>
      <c r="C230" s="5" t="s">
        <v>450</v>
      </c>
      <c r="D230" s="3">
        <v>138718</v>
      </c>
      <c r="E230" s="3">
        <v>104911</v>
      </c>
      <c r="F230" s="57">
        <f>IF(ISERROR((E230-D230)/D230),"-",(E230-D230)/D230)</f>
        <v>-0.24371026110526392</v>
      </c>
      <c r="G230" s="5" t="s">
        <v>3090</v>
      </c>
    </row>
    <row r="231" spans="1:7" ht="26.25" x14ac:dyDescent="0.25">
      <c r="A231" s="2" t="s">
        <v>259</v>
      </c>
      <c r="B231" s="5" t="s">
        <v>1165</v>
      </c>
      <c r="C231" s="5" t="s">
        <v>4372</v>
      </c>
      <c r="D231" s="6">
        <v>198304</v>
      </c>
      <c r="E231" s="3">
        <v>234783</v>
      </c>
      <c r="F231" s="57">
        <f>IF(ISERROR((E231-D231)/D231),"-",(E231-D231)/D231)</f>
        <v>0.18395493787316444</v>
      </c>
      <c r="G231" s="5" t="s">
        <v>4371</v>
      </c>
    </row>
    <row r="232" spans="1:7" ht="26.25" x14ac:dyDescent="0.25">
      <c r="A232" s="2" t="s">
        <v>259</v>
      </c>
      <c r="B232" s="5" t="s">
        <v>1172</v>
      </c>
      <c r="C232" s="5" t="s">
        <v>450</v>
      </c>
      <c r="D232" s="6">
        <v>281085</v>
      </c>
      <c r="E232" s="3">
        <v>189108</v>
      </c>
      <c r="F232" s="57">
        <f>IF(ISERROR((E232-D232)/D232),"-",(E232-D232)/D232)</f>
        <v>-0.32722130316452319</v>
      </c>
      <c r="G232" s="5" t="s">
        <v>4373</v>
      </c>
    </row>
    <row r="233" spans="1:7" x14ac:dyDescent="0.25">
      <c r="A233" s="2" t="s">
        <v>263</v>
      </c>
      <c r="B233" s="5" t="s">
        <v>1150</v>
      </c>
      <c r="C233" s="5" t="s">
        <v>450</v>
      </c>
      <c r="D233" s="3">
        <v>263700</v>
      </c>
      <c r="E233" s="3">
        <v>256900</v>
      </c>
      <c r="F233" s="57">
        <f>IF(ISERROR((E233-D233)/D233),"-",(E233-D233)/D233)</f>
        <v>-2.578687902919985E-2</v>
      </c>
      <c r="G233" s="5" t="s">
        <v>3071</v>
      </c>
    </row>
    <row r="234" spans="1:7" ht="26.25" x14ac:dyDescent="0.25">
      <c r="A234" s="2" t="s">
        <v>264</v>
      </c>
      <c r="B234" s="5" t="s">
        <v>1145</v>
      </c>
      <c r="C234" s="5" t="s">
        <v>450</v>
      </c>
      <c r="D234" s="3">
        <f>106153+18251</f>
        <v>124404</v>
      </c>
      <c r="E234" s="3">
        <f>127282+23041</f>
        <v>150323</v>
      </c>
      <c r="F234" s="57">
        <f>IF(ISERROR((E234-D234)/D234),"-",(E234-D234)/D234)</f>
        <v>0.20834539082344619</v>
      </c>
      <c r="G234" s="5" t="s">
        <v>3068</v>
      </c>
    </row>
    <row r="235" spans="1:7" ht="26.25" x14ac:dyDescent="0.25">
      <c r="A235" s="2" t="s">
        <v>265</v>
      </c>
      <c r="B235" s="5" t="s">
        <v>1143</v>
      </c>
      <c r="C235" s="5" t="s">
        <v>450</v>
      </c>
      <c r="D235" s="3">
        <v>100912.1</v>
      </c>
      <c r="E235" s="3">
        <v>115518.42</v>
      </c>
      <c r="F235" s="57">
        <f>IF(ISERROR((E235-D235)/D235),"-",(E235-D235)/D235)</f>
        <v>0.14474299910516172</v>
      </c>
      <c r="G235" s="5" t="s">
        <v>3066</v>
      </c>
    </row>
    <row r="236" spans="1:7" x14ac:dyDescent="0.25">
      <c r="A236" s="2" t="s">
        <v>266</v>
      </c>
      <c r="B236" s="5"/>
      <c r="C236" s="5" t="s">
        <v>450</v>
      </c>
      <c r="D236" s="3">
        <v>110059</v>
      </c>
      <c r="E236" s="3">
        <v>107634</v>
      </c>
      <c r="F236" s="57">
        <f>IF(ISERROR((E236-D236)/D236),"-",(E236-D236)/D236)</f>
        <v>-2.2033636504056917E-2</v>
      </c>
      <c r="G236" s="5" t="s">
        <v>3065</v>
      </c>
    </row>
    <row r="237" spans="1:7" ht="26.25" x14ac:dyDescent="0.25">
      <c r="A237" s="2" t="s">
        <v>268</v>
      </c>
      <c r="B237" s="5" t="s">
        <v>1142</v>
      </c>
      <c r="C237" s="5" t="s">
        <v>450</v>
      </c>
      <c r="D237" s="3">
        <v>128806</v>
      </c>
      <c r="E237" s="3">
        <v>349074</v>
      </c>
      <c r="F237" s="57">
        <f>IF(ISERROR((E237-D237)/D237),"-",(E237-D237)/D237)</f>
        <v>1.7100756175954537</v>
      </c>
      <c r="G237" s="5" t="s">
        <v>3064</v>
      </c>
    </row>
    <row r="238" spans="1:7" x14ac:dyDescent="0.25">
      <c r="A238" s="2" t="s">
        <v>269</v>
      </c>
      <c r="B238" s="5" t="s">
        <v>1138</v>
      </c>
      <c r="C238" s="5" t="s">
        <v>450</v>
      </c>
      <c r="D238" s="3">
        <v>183194</v>
      </c>
      <c r="E238" s="3">
        <v>184667</v>
      </c>
      <c r="F238" s="57">
        <f>IF(ISERROR((E238-D238)/D238),"-",(E238-D238)/D238)</f>
        <v>8.0406563533740195E-3</v>
      </c>
      <c r="G238" s="5" t="s">
        <v>3058</v>
      </c>
    </row>
    <row r="239" spans="1:7" x14ac:dyDescent="0.25">
      <c r="A239" s="2" t="s">
        <v>270</v>
      </c>
      <c r="B239" s="5" t="s">
        <v>1131</v>
      </c>
      <c r="C239" s="5" t="s">
        <v>450</v>
      </c>
      <c r="D239" s="3">
        <v>142789</v>
      </c>
      <c r="E239" s="3">
        <v>142789</v>
      </c>
      <c r="F239" s="57">
        <f>IF(ISERROR((E239-D239)/D239),"-",(E239-D239)/D239)</f>
        <v>0</v>
      </c>
      <c r="G239" s="5" t="s">
        <v>3054</v>
      </c>
    </row>
    <row r="240" spans="1:7" x14ac:dyDescent="0.25">
      <c r="A240" s="2" t="s">
        <v>272</v>
      </c>
      <c r="B240" s="5" t="s">
        <v>1118</v>
      </c>
      <c r="C240" s="7" t="s">
        <v>450</v>
      </c>
      <c r="D240" s="6">
        <f>162068+16164</f>
        <v>178232</v>
      </c>
      <c r="E240" s="6">
        <f>161239+16591</f>
        <v>177830</v>
      </c>
      <c r="F240" s="57">
        <f>IF(ISERROR((E240-D240)/D240),"-",(E240-D240)/D240)</f>
        <v>-2.2554872301270255E-3</v>
      </c>
      <c r="G240" s="7" t="s">
        <v>3048</v>
      </c>
    </row>
    <row r="241" spans="1:7" x14ac:dyDescent="0.25">
      <c r="A241" s="2" t="s">
        <v>273</v>
      </c>
      <c r="B241" s="5"/>
      <c r="C241" s="5" t="s">
        <v>450</v>
      </c>
      <c r="D241" s="3">
        <v>169801</v>
      </c>
      <c r="E241" s="3">
        <v>163762</v>
      </c>
      <c r="F241" s="57">
        <f>IF(ISERROR((E241-D241)/D241),"-",(E241-D241)/D241)</f>
        <v>-3.556516157148662E-2</v>
      </c>
      <c r="G241" s="5" t="s">
        <v>3035</v>
      </c>
    </row>
    <row r="242" spans="1:7" x14ac:dyDescent="0.25">
      <c r="A242" s="2" t="s">
        <v>274</v>
      </c>
      <c r="B242" s="5"/>
      <c r="C242" s="5" t="s">
        <v>450</v>
      </c>
      <c r="D242" s="3">
        <v>136386</v>
      </c>
      <c r="E242" s="3">
        <v>136600</v>
      </c>
      <c r="F242" s="57">
        <f>IF(ISERROR((E242-D242)/D242),"-",(E242-D242)/D242)</f>
        <v>1.5690760048685348E-3</v>
      </c>
      <c r="G242" s="5" t="s">
        <v>3031</v>
      </c>
    </row>
    <row r="243" spans="1:7" x14ac:dyDescent="0.25">
      <c r="A243" s="2" t="s">
        <v>275</v>
      </c>
      <c r="B243" s="5"/>
      <c r="C243" s="5" t="s">
        <v>450</v>
      </c>
      <c r="D243" s="3">
        <v>170450</v>
      </c>
      <c r="E243" s="3">
        <v>171753</v>
      </c>
      <c r="F243" s="57">
        <f>IF(ISERROR((E243-D243)/D243),"-",(E243-D243)/D243)</f>
        <v>7.644470519213846E-3</v>
      </c>
      <c r="G243" s="5" t="s">
        <v>3028</v>
      </c>
    </row>
    <row r="244" spans="1:7" x14ac:dyDescent="0.25">
      <c r="A244" s="2" t="s">
        <v>276</v>
      </c>
      <c r="B244" s="5" t="s">
        <v>3001</v>
      </c>
      <c r="C244" s="5" t="s">
        <v>450</v>
      </c>
      <c r="D244" s="9" t="s">
        <v>465</v>
      </c>
      <c r="E244" s="3">
        <f>196021+28690</f>
        <v>224711</v>
      </c>
      <c r="F244" s="57" t="str">
        <f>IF(ISERROR((E244-D244)/D244),"-",(E244-D244)/D244)</f>
        <v>-</v>
      </c>
      <c r="G244" s="5" t="s">
        <v>3013</v>
      </c>
    </row>
    <row r="245" spans="1:7" x14ac:dyDescent="0.25">
      <c r="A245" s="2" t="s">
        <v>276</v>
      </c>
      <c r="B245" s="5" t="s">
        <v>3014</v>
      </c>
      <c r="C245" s="5" t="s">
        <v>450</v>
      </c>
      <c r="D245" s="9">
        <v>199418</v>
      </c>
      <c r="E245" s="3" t="s">
        <v>465</v>
      </c>
      <c r="F245" s="57" t="str">
        <f>IF(ISERROR((E245-D245)/D245),"-",(E245-D245)/D245)</f>
        <v>-</v>
      </c>
      <c r="G245" s="5"/>
    </row>
    <row r="246" spans="1:7" x14ac:dyDescent="0.25">
      <c r="A246" s="2" t="s">
        <v>277</v>
      </c>
      <c r="B246" s="5"/>
      <c r="C246" s="5" t="s">
        <v>450</v>
      </c>
      <c r="D246" s="3">
        <v>117060</v>
      </c>
      <c r="E246" s="3">
        <v>118891</v>
      </c>
      <c r="F246" s="57">
        <f>IF(ISERROR((E246-D246)/D246),"-",(E246-D246)/D246)</f>
        <v>1.564155134119255E-2</v>
      </c>
      <c r="G246" s="5" t="s">
        <v>3012</v>
      </c>
    </row>
    <row r="247" spans="1:7" x14ac:dyDescent="0.25">
      <c r="A247" s="2" t="s">
        <v>278</v>
      </c>
      <c r="B247" s="5"/>
      <c r="C247" s="5" t="s">
        <v>450</v>
      </c>
      <c r="D247" s="3">
        <v>142374</v>
      </c>
      <c r="E247" s="3">
        <v>145856</v>
      </c>
      <c r="F247" s="57">
        <f>IF(ISERROR((E247-D247)/D247),"-",(E247-D247)/D247)</f>
        <v>2.4456712602020033E-2</v>
      </c>
      <c r="G247" s="5" t="s">
        <v>3011</v>
      </c>
    </row>
    <row r="248" spans="1:7" x14ac:dyDescent="0.25">
      <c r="A248" s="2" t="s">
        <v>279</v>
      </c>
      <c r="B248" s="5" t="s">
        <v>1084</v>
      </c>
      <c r="C248" s="5" t="s">
        <v>450</v>
      </c>
      <c r="D248" s="3" t="s">
        <v>465</v>
      </c>
      <c r="E248" s="3">
        <v>138968</v>
      </c>
      <c r="F248" s="57" t="str">
        <f>IF(ISERROR((E248-D248)/D248),"-",(E248-D248)/D248)</f>
        <v>-</v>
      </c>
      <c r="G248" s="5" t="s">
        <v>4382</v>
      </c>
    </row>
    <row r="249" spans="1:7" x14ac:dyDescent="0.25">
      <c r="A249" s="2" t="s">
        <v>279</v>
      </c>
      <c r="B249" s="5" t="s">
        <v>3001</v>
      </c>
      <c r="C249" s="5" t="s">
        <v>450</v>
      </c>
      <c r="D249" s="3">
        <v>219456</v>
      </c>
      <c r="E249" s="3" t="s">
        <v>465</v>
      </c>
      <c r="F249" s="57" t="str">
        <f>IF(ISERROR((E249-D249)/D249),"-",(E249-D249)/D249)</f>
        <v>-</v>
      </c>
      <c r="G249" s="5" t="s">
        <v>3008</v>
      </c>
    </row>
    <row r="250" spans="1:7" x14ac:dyDescent="0.25">
      <c r="A250" s="2" t="s">
        <v>280</v>
      </c>
      <c r="B250" s="5"/>
      <c r="C250" s="5" t="s">
        <v>450</v>
      </c>
      <c r="D250" s="3">
        <v>172000</v>
      </c>
      <c r="E250" s="3">
        <v>177000</v>
      </c>
      <c r="F250" s="57">
        <f>IF(ISERROR((E250-D250)/D250),"-",(E250-D250)/D250)</f>
        <v>2.9069767441860465E-2</v>
      </c>
      <c r="G250" s="5" t="s">
        <v>2993</v>
      </c>
    </row>
    <row r="251" spans="1:7" ht="26.25" customHeight="1" x14ac:dyDescent="0.25">
      <c r="A251" s="2" t="s">
        <v>281</v>
      </c>
      <c r="B251" s="5" t="s">
        <v>1071</v>
      </c>
      <c r="C251" s="5" t="s">
        <v>4593</v>
      </c>
      <c r="D251" s="10">
        <v>160000</v>
      </c>
      <c r="E251" s="3">
        <v>187000</v>
      </c>
      <c r="F251" s="57">
        <f>IF(ISERROR((E251-D251)/D251),"-",(E251-D251)/D251)</f>
        <v>0.16875000000000001</v>
      </c>
      <c r="G251" s="5" t="s">
        <v>4383</v>
      </c>
    </row>
    <row r="252" spans="1:7" x14ac:dyDescent="0.25">
      <c r="A252" s="2" t="s">
        <v>281</v>
      </c>
      <c r="B252" s="5" t="s">
        <v>2992</v>
      </c>
      <c r="C252" s="5" t="s">
        <v>450</v>
      </c>
      <c r="D252" s="10">
        <v>237000</v>
      </c>
      <c r="E252" s="3">
        <v>44000</v>
      </c>
      <c r="F252" s="57">
        <f>IF(ISERROR((E252-D252)/D252),"-",(E252-D252)/D252)</f>
        <v>-0.81434599156118148</v>
      </c>
      <c r="G252" s="5" t="s">
        <v>4384</v>
      </c>
    </row>
    <row r="253" spans="1:7" x14ac:dyDescent="0.25">
      <c r="A253" s="2" t="s">
        <v>282</v>
      </c>
      <c r="B253" s="5" t="s">
        <v>1059</v>
      </c>
      <c r="C253" s="5" t="s">
        <v>450</v>
      </c>
      <c r="D253" s="9">
        <v>188458</v>
      </c>
      <c r="E253" s="3">
        <v>172498</v>
      </c>
      <c r="F253" s="57">
        <f>IF(ISERROR((E253-D253)/D253),"-",(E253-D253)/D253)</f>
        <v>-8.4687304333060945E-2</v>
      </c>
      <c r="G253" s="5" t="s">
        <v>2979</v>
      </c>
    </row>
    <row r="254" spans="1:7" x14ac:dyDescent="0.25">
      <c r="A254" s="2" t="s">
        <v>283</v>
      </c>
      <c r="B254" s="5"/>
      <c r="C254" s="5" t="s">
        <v>783</v>
      </c>
      <c r="D254" s="3">
        <v>156626</v>
      </c>
      <c r="E254" s="3">
        <v>158360</v>
      </c>
      <c r="F254" s="57">
        <f>IF(ISERROR((E254-D254)/D254),"-",(E254-D254)/D254)</f>
        <v>1.1070958844636268E-2</v>
      </c>
      <c r="G254" s="5" t="s">
        <v>2973</v>
      </c>
    </row>
    <row r="255" spans="1:7" x14ac:dyDescent="0.25">
      <c r="A255" s="2" t="s">
        <v>284</v>
      </c>
      <c r="B255" s="5" t="s">
        <v>1053</v>
      </c>
      <c r="C255" s="5" t="s">
        <v>450</v>
      </c>
      <c r="D255" s="3">
        <v>193206</v>
      </c>
      <c r="E255" s="3">
        <v>193929</v>
      </c>
      <c r="F255" s="57">
        <f>IF(ISERROR((E255-D255)/D255),"-",(E255-D255)/D255)</f>
        <v>3.7421198099437908E-3</v>
      </c>
      <c r="G255" s="5" t="s">
        <v>2969</v>
      </c>
    </row>
    <row r="256" spans="1:7" x14ac:dyDescent="0.25">
      <c r="A256" s="2" t="s">
        <v>285</v>
      </c>
      <c r="B256" s="5" t="s">
        <v>1047</v>
      </c>
      <c r="C256" s="5" t="s">
        <v>450</v>
      </c>
      <c r="D256" s="3">
        <v>214643</v>
      </c>
      <c r="E256" s="3">
        <v>216493</v>
      </c>
      <c r="F256" s="57">
        <f>IF(ISERROR((E256-D256)/D256),"-",(E256-D256)/D256)</f>
        <v>8.6189626496088849E-3</v>
      </c>
      <c r="G256" s="5" t="s">
        <v>2959</v>
      </c>
    </row>
    <row r="257" spans="1:7" x14ac:dyDescent="0.25">
      <c r="A257" s="2" t="s">
        <v>286</v>
      </c>
      <c r="B257" s="5"/>
      <c r="C257" s="5" t="s">
        <v>450</v>
      </c>
      <c r="D257" s="3">
        <v>117938</v>
      </c>
      <c r="E257" s="3">
        <v>100220</v>
      </c>
      <c r="F257" s="57">
        <f>IF(ISERROR((E257-D257)/D257),"-",(E257-D257)/D257)</f>
        <v>-0.15023147755600399</v>
      </c>
      <c r="G257" s="5" t="s">
        <v>4394</v>
      </c>
    </row>
    <row r="258" spans="1:7" x14ac:dyDescent="0.25">
      <c r="A258" s="2" t="s">
        <v>287</v>
      </c>
      <c r="B258" s="5"/>
      <c r="C258" s="5" t="s">
        <v>450</v>
      </c>
      <c r="D258" s="3">
        <v>118905</v>
      </c>
      <c r="E258" s="3">
        <v>116029</v>
      </c>
      <c r="F258" s="57">
        <f>IF(ISERROR((E258-D258)/D258),"-",(E258-D258)/D258)</f>
        <v>-2.4187376477019469E-2</v>
      </c>
      <c r="G258" s="5" t="s">
        <v>2956</v>
      </c>
    </row>
    <row r="259" spans="1:7" ht="26.25" x14ac:dyDescent="0.25">
      <c r="A259" s="2" t="s">
        <v>288</v>
      </c>
      <c r="B259" s="5" t="s">
        <v>1036</v>
      </c>
      <c r="C259" s="5" t="s">
        <v>1037</v>
      </c>
      <c r="D259" s="3">
        <v>213000</v>
      </c>
      <c r="E259" s="3">
        <v>216000</v>
      </c>
      <c r="F259" s="57">
        <f>IF(ISERROR((E259-D259)/D259),"-",(E259-D259)/D259)</f>
        <v>1.4084507042253521E-2</v>
      </c>
      <c r="G259" s="5" t="s">
        <v>2948</v>
      </c>
    </row>
    <row r="260" spans="1:7" ht="26.25" x14ac:dyDescent="0.25">
      <c r="A260" s="2" t="s">
        <v>290</v>
      </c>
      <c r="B260" s="5" t="s">
        <v>1028</v>
      </c>
      <c r="C260" s="5" t="s">
        <v>450</v>
      </c>
      <c r="D260" s="6">
        <v>121138</v>
      </c>
      <c r="E260" s="3">
        <f>122207</f>
        <v>122207</v>
      </c>
      <c r="F260" s="57">
        <f>IF(ISERROR((E260-D260)/D260),"-",(E260-D260)/D260)</f>
        <v>8.8246462711948359E-3</v>
      </c>
      <c r="G260" s="5" t="s">
        <v>2944</v>
      </c>
    </row>
    <row r="261" spans="1:7" x14ac:dyDescent="0.25">
      <c r="A261" s="2" t="s">
        <v>291</v>
      </c>
      <c r="B261" s="5"/>
      <c r="C261" s="5" t="s">
        <v>450</v>
      </c>
      <c r="D261" s="3">
        <v>169519</v>
      </c>
      <c r="E261" s="3">
        <v>168280</v>
      </c>
      <c r="F261" s="57">
        <f>IF(ISERROR((E261-D261)/D261),"-",(E261-D261)/D261)</f>
        <v>-7.308915224842053E-3</v>
      </c>
      <c r="G261" s="5" t="s">
        <v>2940</v>
      </c>
    </row>
    <row r="262" spans="1:7" x14ac:dyDescent="0.25">
      <c r="A262" s="2" t="s">
        <v>292</v>
      </c>
      <c r="B262" s="5" t="s">
        <v>1015</v>
      </c>
      <c r="C262" s="5" t="s">
        <v>450</v>
      </c>
      <c r="D262" s="3">
        <v>225665</v>
      </c>
      <c r="E262" s="3">
        <v>217640</v>
      </c>
      <c r="F262" s="57">
        <f>IF(ISERROR((E262-D262)/D262),"-",(E262-D262)/D262)</f>
        <v>-3.5561562493076022E-2</v>
      </c>
      <c r="G262" s="5" t="s">
        <v>2909</v>
      </c>
    </row>
    <row r="263" spans="1:7" x14ac:dyDescent="0.25">
      <c r="A263" s="2" t="s">
        <v>293</v>
      </c>
      <c r="B263" s="5" t="s">
        <v>1010</v>
      </c>
      <c r="C263" s="5" t="s">
        <v>450</v>
      </c>
      <c r="D263" s="3">
        <f>156745+9552+23723</f>
        <v>190020</v>
      </c>
      <c r="E263" s="3">
        <f>159462+10361+25341</f>
        <v>195164</v>
      </c>
      <c r="F263" s="57">
        <f>IF(ISERROR((E263-D263)/D263),"-",(E263-D263)/D263)</f>
        <v>2.7070834648984316E-2</v>
      </c>
      <c r="G263" s="5" t="s">
        <v>2902</v>
      </c>
    </row>
    <row r="264" spans="1:7" ht="26.25" x14ac:dyDescent="0.25">
      <c r="A264" s="2" t="s">
        <v>294</v>
      </c>
      <c r="B264" s="5"/>
      <c r="C264" s="5" t="s">
        <v>450</v>
      </c>
      <c r="D264" s="3">
        <v>158169</v>
      </c>
      <c r="E264" s="3">
        <v>159960</v>
      </c>
      <c r="F264" s="57">
        <f>IF(ISERROR((E264-D264)/D264),"-",(E264-D264)/D264)</f>
        <v>1.1323331373404397E-2</v>
      </c>
      <c r="G264" s="5" t="s">
        <v>2898</v>
      </c>
    </row>
    <row r="265" spans="1:7" x14ac:dyDescent="0.25">
      <c r="A265" s="2" t="s">
        <v>295</v>
      </c>
      <c r="B265" s="5" t="s">
        <v>1004</v>
      </c>
      <c r="C265" s="5" t="s">
        <v>450</v>
      </c>
      <c r="D265" s="3">
        <f>128155+23709</f>
        <v>151864</v>
      </c>
      <c r="E265" s="3">
        <f>125331+23186</f>
        <v>148517</v>
      </c>
      <c r="F265" s="57">
        <f>IF(ISERROR((E265-D265)/D265),"-",(E265-D265)/D265)</f>
        <v>-2.2039456355686667E-2</v>
      </c>
      <c r="G265" s="5" t="s">
        <v>2891</v>
      </c>
    </row>
    <row r="266" spans="1:7" x14ac:dyDescent="0.25">
      <c r="A266" s="2" t="s">
        <v>296</v>
      </c>
      <c r="B266" s="5" t="s">
        <v>998</v>
      </c>
      <c r="C266" s="5" t="s">
        <v>450</v>
      </c>
      <c r="D266" s="3">
        <v>200084</v>
      </c>
      <c r="E266" s="3">
        <v>205126</v>
      </c>
      <c r="F266" s="57">
        <f>IF(ISERROR((E266-D266)/D266),"-",(E266-D266)/D266)</f>
        <v>2.5199416245177027E-2</v>
      </c>
      <c r="G266" s="5" t="s">
        <v>2873</v>
      </c>
    </row>
    <row r="267" spans="1:7" x14ac:dyDescent="0.25">
      <c r="A267" s="2" t="s">
        <v>297</v>
      </c>
      <c r="B267" s="5" t="s">
        <v>993</v>
      </c>
      <c r="C267" s="5" t="s">
        <v>450</v>
      </c>
      <c r="D267" s="3">
        <v>204297</v>
      </c>
      <c r="E267" s="3">
        <v>211323</v>
      </c>
      <c r="F267" s="57">
        <f>IF(ISERROR((E267-D267)/D267),"-",(E267-D267)/D267)</f>
        <v>3.4391107064714606E-2</v>
      </c>
      <c r="G267" s="5" t="s">
        <v>2867</v>
      </c>
    </row>
    <row r="268" spans="1:7" x14ac:dyDescent="0.25">
      <c r="A268" s="2" t="s">
        <v>298</v>
      </c>
      <c r="B268" s="5"/>
      <c r="C268" s="5" t="s">
        <v>450</v>
      </c>
      <c r="D268" s="3">
        <v>146983</v>
      </c>
      <c r="E268" s="3">
        <v>147020</v>
      </c>
      <c r="F268" s="57">
        <f>IF(ISERROR((E268-D268)/D268),"-",(E268-D268)/D268)</f>
        <v>2.5172979188069368E-4</v>
      </c>
      <c r="G268" s="5" t="s">
        <v>2862</v>
      </c>
    </row>
    <row r="269" spans="1:7" x14ac:dyDescent="0.25">
      <c r="A269" s="2" t="s">
        <v>299</v>
      </c>
      <c r="B269" s="5"/>
      <c r="C269" s="5" t="s">
        <v>450</v>
      </c>
      <c r="D269" s="3">
        <v>176578</v>
      </c>
      <c r="E269" s="3">
        <v>177322</v>
      </c>
      <c r="F269" s="57">
        <f>IF(ISERROR((E269-D269)/D269),"-",(E269-D269)/D269)</f>
        <v>4.2134354223062895E-3</v>
      </c>
      <c r="G269" s="5" t="s">
        <v>2857</v>
      </c>
    </row>
    <row r="270" spans="1:7" x14ac:dyDescent="0.25">
      <c r="A270" s="2" t="s">
        <v>300</v>
      </c>
      <c r="B270" s="5"/>
      <c r="C270" s="5" t="s">
        <v>450</v>
      </c>
      <c r="D270" s="3">
        <v>153000</v>
      </c>
      <c r="E270" s="3">
        <v>157000</v>
      </c>
      <c r="F270" s="57">
        <f>IF(ISERROR((E270-D270)/D270),"-",(E270-D270)/D270)</f>
        <v>2.6143790849673203E-2</v>
      </c>
      <c r="G270" s="5" t="s">
        <v>2853</v>
      </c>
    </row>
    <row r="271" spans="1:7" x14ac:dyDescent="0.25">
      <c r="A271" s="2" t="s">
        <v>301</v>
      </c>
      <c r="B271" s="5"/>
      <c r="C271" s="5" t="s">
        <v>450</v>
      </c>
      <c r="D271" s="3">
        <v>111000</v>
      </c>
      <c r="E271" s="3">
        <v>136000</v>
      </c>
      <c r="F271" s="57">
        <f>IF(ISERROR((E271-D271)/D271),"-",(E271-D271)/D271)</f>
        <v>0.22522522522522523</v>
      </c>
      <c r="G271" s="5" t="s">
        <v>2850</v>
      </c>
    </row>
    <row r="272" spans="1:7" x14ac:dyDescent="0.25">
      <c r="A272" s="2" t="s">
        <v>303</v>
      </c>
      <c r="B272" s="7" t="s">
        <v>4676</v>
      </c>
      <c r="C272" s="7" t="s">
        <v>450</v>
      </c>
      <c r="D272" s="6">
        <v>165213</v>
      </c>
      <c r="E272" s="6">
        <v>170188</v>
      </c>
      <c r="F272" s="57">
        <f>IF(ISERROR((E272-D272)/D272),"-",(E272-D272)/D272)</f>
        <v>3.0112642467602427E-2</v>
      </c>
      <c r="G272" s="5" t="s">
        <v>2846</v>
      </c>
    </row>
    <row r="273" spans="1:7" x14ac:dyDescent="0.25">
      <c r="A273" s="2" t="s">
        <v>304</v>
      </c>
      <c r="B273" s="5" t="s">
        <v>966</v>
      </c>
      <c r="C273" s="5" t="s">
        <v>450</v>
      </c>
      <c r="D273" s="3">
        <v>223478</v>
      </c>
      <c r="E273" s="3">
        <v>223478</v>
      </c>
      <c r="F273" s="57">
        <f>IF(ISERROR((E273-D273)/D273),"-",(E273-D273)/D273)</f>
        <v>0</v>
      </c>
      <c r="G273" s="5" t="s">
        <v>2840</v>
      </c>
    </row>
    <row r="274" spans="1:7" ht="15" customHeight="1" x14ac:dyDescent="0.25">
      <c r="A274" s="2" t="s">
        <v>305</v>
      </c>
      <c r="B274" s="5"/>
      <c r="C274" s="5" t="s">
        <v>450</v>
      </c>
      <c r="D274" s="3">
        <v>168146</v>
      </c>
      <c r="E274" s="3">
        <v>167329</v>
      </c>
      <c r="F274" s="57">
        <f>IF(ISERROR((E274-D274)/D274),"-",(E274-D274)/D274)</f>
        <v>-4.8588726463906365E-3</v>
      </c>
      <c r="G274" s="5" t="s">
        <v>2831</v>
      </c>
    </row>
    <row r="275" spans="1:7" x14ac:dyDescent="0.25">
      <c r="A275" s="2" t="s">
        <v>307</v>
      </c>
      <c r="B275" s="5"/>
      <c r="C275" s="5" t="s">
        <v>450</v>
      </c>
      <c r="D275" s="3">
        <v>143000</v>
      </c>
      <c r="E275" s="3">
        <v>119000</v>
      </c>
      <c r="F275" s="57">
        <f>IF(ISERROR((E275-D275)/D275),"-",(E275-D275)/D275)</f>
        <v>-0.16783216783216784</v>
      </c>
      <c r="G275" s="5" t="s">
        <v>2823</v>
      </c>
    </row>
    <row r="276" spans="1:7" x14ac:dyDescent="0.25">
      <c r="A276" s="12" t="s">
        <v>308</v>
      </c>
      <c r="B276" s="5" t="s">
        <v>950</v>
      </c>
      <c r="C276" s="5" t="s">
        <v>450</v>
      </c>
      <c r="D276" s="6">
        <v>140167</v>
      </c>
      <c r="E276" s="3">
        <f>132722+6053+65+25000</f>
        <v>163840</v>
      </c>
      <c r="F276" s="57">
        <f>IF(ISERROR((E276-D276)/D276),"-",(E276-D276)/D276)</f>
        <v>0.16889139383735116</v>
      </c>
      <c r="G276" s="5" t="s">
        <v>4406</v>
      </c>
    </row>
    <row r="277" spans="1:7" x14ac:dyDescent="0.25">
      <c r="A277" s="2" t="s">
        <v>309</v>
      </c>
      <c r="B277" s="5"/>
      <c r="C277" s="5" t="s">
        <v>450</v>
      </c>
      <c r="D277" s="3">
        <v>171000</v>
      </c>
      <c r="E277" s="3">
        <v>171000</v>
      </c>
      <c r="F277" s="57">
        <f>IF(ISERROR((E277-D277)/D277),"-",(E277-D277)/D277)</f>
        <v>0</v>
      </c>
      <c r="G277" s="5" t="s">
        <v>2817</v>
      </c>
    </row>
    <row r="278" spans="1:7" x14ac:dyDescent="0.25">
      <c r="A278" s="2" t="s">
        <v>310</v>
      </c>
      <c r="B278" s="5"/>
      <c r="C278" s="5" t="s">
        <v>450</v>
      </c>
      <c r="D278" s="3">
        <v>105849</v>
      </c>
      <c r="E278" s="3">
        <v>106150</v>
      </c>
      <c r="F278" s="57">
        <f>IF(ISERROR((E278-D278)/D278),"-",(E278-D278)/D278)</f>
        <v>2.8436735349412841E-3</v>
      </c>
      <c r="G278" s="5" t="s">
        <v>2815</v>
      </c>
    </row>
    <row r="279" spans="1:7" x14ac:dyDescent="0.25">
      <c r="A279" s="2" t="s">
        <v>311</v>
      </c>
      <c r="B279" s="5" t="s">
        <v>936</v>
      </c>
      <c r="C279" s="5" t="s">
        <v>450</v>
      </c>
      <c r="D279" s="3">
        <v>215657</v>
      </c>
      <c r="E279" s="3">
        <v>220859</v>
      </c>
      <c r="F279" s="57">
        <f>IF(ISERROR((E279-D279)/D279),"-",(E279-D279)/D279)</f>
        <v>2.4121637600448862E-2</v>
      </c>
      <c r="G279" s="5" t="s">
        <v>2809</v>
      </c>
    </row>
    <row r="280" spans="1:7" x14ac:dyDescent="0.25">
      <c r="A280" s="2" t="s">
        <v>313</v>
      </c>
      <c r="B280" s="5" t="s">
        <v>932</v>
      </c>
      <c r="C280" s="5" t="s">
        <v>450</v>
      </c>
      <c r="D280" s="6">
        <v>174000</v>
      </c>
      <c r="E280" s="6">
        <v>175000</v>
      </c>
      <c r="F280" s="57">
        <f>IF(ISERROR((E280-D280)/D280),"-",(E280-D280)/D280)</f>
        <v>5.7471264367816091E-3</v>
      </c>
      <c r="G280" s="7" t="s">
        <v>2803</v>
      </c>
    </row>
    <row r="281" spans="1:7" ht="26.25" x14ac:dyDescent="0.25">
      <c r="A281" s="2" t="s">
        <v>314</v>
      </c>
      <c r="B281" s="5"/>
      <c r="C281" s="5" t="s">
        <v>450</v>
      </c>
      <c r="D281" s="3">
        <v>132942</v>
      </c>
      <c r="E281" s="3">
        <v>133065</v>
      </c>
      <c r="F281" s="57">
        <f>IF(ISERROR((E281-D281)/D281),"-",(E281-D281)/D281)</f>
        <v>9.2521550751455519E-4</v>
      </c>
      <c r="G281" s="5" t="s">
        <v>2801</v>
      </c>
    </row>
    <row r="282" spans="1:7" x14ac:dyDescent="0.25">
      <c r="A282" s="2" t="s">
        <v>315</v>
      </c>
      <c r="B282" s="5"/>
      <c r="C282" s="5" t="s">
        <v>450</v>
      </c>
      <c r="D282" s="3">
        <v>116269</v>
      </c>
      <c r="E282" s="3">
        <v>119459</v>
      </c>
      <c r="F282" s="57">
        <f>IF(ISERROR((E282-D282)/D282),"-",(E282-D282)/D282)</f>
        <v>2.7436375990160747E-2</v>
      </c>
      <c r="G282" s="5" t="s">
        <v>2799</v>
      </c>
    </row>
    <row r="283" spans="1:7" x14ac:dyDescent="0.25">
      <c r="A283" s="2" t="s">
        <v>316</v>
      </c>
      <c r="B283" s="5"/>
      <c r="C283" s="5" t="s">
        <v>450</v>
      </c>
      <c r="D283" s="3">
        <v>121000</v>
      </c>
      <c r="E283" s="3">
        <v>122000</v>
      </c>
      <c r="F283" s="57">
        <f>IF(ISERROR((E283-D283)/D283),"-",(E283-D283)/D283)</f>
        <v>8.2644628099173556E-3</v>
      </c>
      <c r="G283" s="5" t="s">
        <v>2798</v>
      </c>
    </row>
    <row r="284" spans="1:7" x14ac:dyDescent="0.25">
      <c r="A284" s="2" t="s">
        <v>317</v>
      </c>
      <c r="B284" s="5" t="s">
        <v>924</v>
      </c>
      <c r="C284" s="5" t="s">
        <v>450</v>
      </c>
      <c r="D284" s="6">
        <f>69247.3+11841.29</f>
        <v>81088.59</v>
      </c>
      <c r="E284" s="6">
        <f>159999.96+27360</f>
        <v>187359.96</v>
      </c>
      <c r="F284" s="57">
        <f>IF(ISERROR((E284-D284)/D284),"-",(E284-D284)/D284)</f>
        <v>1.3105588591440547</v>
      </c>
      <c r="G284" s="7" t="s">
        <v>2797</v>
      </c>
    </row>
    <row r="285" spans="1:7" x14ac:dyDescent="0.25">
      <c r="A285" s="2" t="s">
        <v>318</v>
      </c>
      <c r="B285" s="5"/>
      <c r="C285" s="7" t="s">
        <v>450</v>
      </c>
      <c r="D285" s="6">
        <v>117930</v>
      </c>
      <c r="E285" s="6" t="s">
        <v>465</v>
      </c>
      <c r="F285" s="57" t="str">
        <f>IF(ISERROR((E285-D285)/D285),"-",(E285-D285)/D285)</f>
        <v>-</v>
      </c>
      <c r="G285" s="5" t="s">
        <v>4414</v>
      </c>
    </row>
    <row r="286" spans="1:7" ht="26.25" x14ac:dyDescent="0.25">
      <c r="A286" s="2" t="s">
        <v>319</v>
      </c>
      <c r="B286" s="5"/>
      <c r="C286" s="5" t="s">
        <v>450</v>
      </c>
      <c r="D286" s="3">
        <v>64400</v>
      </c>
      <c r="E286" s="3">
        <v>110400</v>
      </c>
      <c r="F286" s="57">
        <f>IF(ISERROR((E286-D286)/D286),"-",(E286-D286)/D286)</f>
        <v>0.7142857142857143</v>
      </c>
      <c r="G286" s="5" t="s">
        <v>4416</v>
      </c>
    </row>
    <row r="287" spans="1:7" x14ac:dyDescent="0.25">
      <c r="A287" s="2" t="s">
        <v>320</v>
      </c>
      <c r="B287" s="5"/>
      <c r="C287" s="5" t="s">
        <v>450</v>
      </c>
      <c r="D287" s="3">
        <v>127537</v>
      </c>
      <c r="E287" s="3">
        <v>131170</v>
      </c>
      <c r="F287" s="57">
        <f>IF(ISERROR((E287-D287)/D287),"-",(E287-D287)/D287)</f>
        <v>2.8485851164760032E-2</v>
      </c>
      <c r="G287" s="5" t="s">
        <v>2790</v>
      </c>
    </row>
    <row r="288" spans="1:7" x14ac:dyDescent="0.25">
      <c r="A288" s="2" t="s">
        <v>321</v>
      </c>
      <c r="B288" s="5"/>
      <c r="C288" s="5" t="s">
        <v>450</v>
      </c>
      <c r="D288" s="3">
        <v>137543</v>
      </c>
      <c r="E288" s="3">
        <v>141028</v>
      </c>
      <c r="F288" s="57">
        <f>IF(ISERROR((E288-D288)/D288),"-",(E288-D288)/D288)</f>
        <v>2.5337530808547146E-2</v>
      </c>
      <c r="G288" s="5" t="s">
        <v>2789</v>
      </c>
    </row>
    <row r="289" spans="1:7" ht="26.25" x14ac:dyDescent="0.25">
      <c r="A289" s="2" t="s">
        <v>322</v>
      </c>
      <c r="B289" s="5"/>
      <c r="C289" s="5" t="s">
        <v>450</v>
      </c>
      <c r="D289" s="3">
        <v>129334</v>
      </c>
      <c r="E289" s="3">
        <v>132024</v>
      </c>
      <c r="F289" s="57">
        <f>IF(ISERROR((E289-D289)/D289),"-",(E289-D289)/D289)</f>
        <v>2.0798861861536795E-2</v>
      </c>
      <c r="G289" s="5" t="s">
        <v>2787</v>
      </c>
    </row>
    <row r="290" spans="1:7" ht="26.25" x14ac:dyDescent="0.25">
      <c r="A290" s="2" t="s">
        <v>323</v>
      </c>
      <c r="B290" s="5"/>
      <c r="C290" s="5" t="s">
        <v>450</v>
      </c>
      <c r="D290" s="3">
        <v>130858</v>
      </c>
      <c r="E290" s="3">
        <v>131066</v>
      </c>
      <c r="F290" s="57">
        <f>IF(ISERROR((E290-D290)/D290),"-",(E290-D290)/D290)</f>
        <v>1.5895092390224518E-3</v>
      </c>
      <c r="G290" s="5" t="s">
        <v>2785</v>
      </c>
    </row>
    <row r="291" spans="1:7" ht="26.25" x14ac:dyDescent="0.25">
      <c r="A291" s="2" t="s">
        <v>324</v>
      </c>
      <c r="B291" s="5" t="s">
        <v>913</v>
      </c>
      <c r="C291" s="5" t="s">
        <v>450</v>
      </c>
      <c r="D291" s="3">
        <v>208977</v>
      </c>
      <c r="E291" s="3">
        <v>210392</v>
      </c>
      <c r="F291" s="57">
        <f>IF(ISERROR((E291-D291)/D291),"-",(E291-D291)/D291)</f>
        <v>6.7710800710125991E-3</v>
      </c>
      <c r="G291" s="5" t="s">
        <v>2779</v>
      </c>
    </row>
    <row r="292" spans="1:7" ht="26.25" x14ac:dyDescent="0.25">
      <c r="A292" s="2" t="s">
        <v>325</v>
      </c>
      <c r="B292" s="5" t="s">
        <v>910</v>
      </c>
      <c r="C292" s="5" t="s">
        <v>450</v>
      </c>
      <c r="D292" s="6">
        <v>176978</v>
      </c>
      <c r="E292" s="3">
        <v>112595</v>
      </c>
      <c r="F292" s="57">
        <f>IF(ISERROR((E292-D292)/D292),"-",(E292-D292)/D292)</f>
        <v>-0.36379097966978946</v>
      </c>
      <c r="G292" s="5" t="s">
        <v>4419</v>
      </c>
    </row>
    <row r="293" spans="1:7" x14ac:dyDescent="0.25">
      <c r="A293" s="2" t="s">
        <v>326</v>
      </c>
      <c r="B293" s="5"/>
      <c r="C293" s="5" t="s">
        <v>450</v>
      </c>
      <c r="D293" s="3">
        <v>140364</v>
      </c>
      <c r="E293" s="3">
        <v>133794</v>
      </c>
      <c r="F293" s="57">
        <f>IF(ISERROR((E293-D293)/D293),"-",(E293-D293)/D293)</f>
        <v>-4.6806873557322388E-2</v>
      </c>
      <c r="G293" s="5" t="s">
        <v>2773</v>
      </c>
    </row>
    <row r="294" spans="1:7" x14ac:dyDescent="0.25">
      <c r="A294" s="2" t="s">
        <v>327</v>
      </c>
      <c r="B294" s="5" t="s">
        <v>901</v>
      </c>
      <c r="C294" s="5" t="s">
        <v>450</v>
      </c>
      <c r="D294" s="3">
        <f>119656+21438</f>
        <v>141094</v>
      </c>
      <c r="E294" s="3">
        <f>119634+3502+21460</f>
        <v>144596</v>
      </c>
      <c r="F294" s="57">
        <f>IF(ISERROR((E294-D294)/D294),"-",(E294-D294)/D294)</f>
        <v>2.4820332544261272E-2</v>
      </c>
      <c r="G294" s="5" t="s">
        <v>2768</v>
      </c>
    </row>
    <row r="295" spans="1:7" x14ac:dyDescent="0.25">
      <c r="A295" s="2" t="s">
        <v>328</v>
      </c>
      <c r="B295" s="5"/>
      <c r="C295" s="5" t="s">
        <v>450</v>
      </c>
      <c r="D295" s="3">
        <v>119376</v>
      </c>
      <c r="E295" s="3">
        <v>119331</v>
      </c>
      <c r="F295" s="57">
        <f>IF(ISERROR((E295-D295)/D295),"-",(E295-D295)/D295)</f>
        <v>-3.7696019300361881E-4</v>
      </c>
      <c r="G295" s="5" t="s">
        <v>2767</v>
      </c>
    </row>
    <row r="296" spans="1:7" ht="26.25" x14ac:dyDescent="0.25">
      <c r="A296" s="2" t="s">
        <v>329</v>
      </c>
      <c r="B296" s="5" t="s">
        <v>891</v>
      </c>
      <c r="C296" s="5" t="s">
        <v>450</v>
      </c>
      <c r="D296" s="3">
        <v>176465</v>
      </c>
      <c r="E296" s="3">
        <v>174142</v>
      </c>
      <c r="F296" s="57">
        <f>IF(ISERROR((E296-D296)/D296),"-",(E296-D296)/D296)</f>
        <v>-1.3164083529311761E-2</v>
      </c>
      <c r="G296" s="5" t="s">
        <v>2760</v>
      </c>
    </row>
    <row r="297" spans="1:7" ht="26.25" x14ac:dyDescent="0.25">
      <c r="A297" s="2" t="s">
        <v>330</v>
      </c>
      <c r="B297" s="5"/>
      <c r="C297" s="5" t="s">
        <v>450</v>
      </c>
      <c r="D297" s="3">
        <v>113164</v>
      </c>
      <c r="E297" s="3">
        <v>114057</v>
      </c>
      <c r="F297" s="57">
        <f>IF(ISERROR((E297-D297)/D297),"-",(E297-D297)/D297)</f>
        <v>7.8912021490933505E-3</v>
      </c>
      <c r="G297" s="5" t="s">
        <v>2759</v>
      </c>
    </row>
    <row r="298" spans="1:7" ht="26.25" x14ac:dyDescent="0.25">
      <c r="A298" s="2" t="s">
        <v>331</v>
      </c>
      <c r="B298" s="5"/>
      <c r="C298" s="5" t="s">
        <v>450</v>
      </c>
      <c r="D298" s="3">
        <v>160390</v>
      </c>
      <c r="E298" s="3">
        <v>158156</v>
      </c>
      <c r="F298" s="57">
        <f>IF(ISERROR((E298-D298)/D298),"-",(E298-D298)/D298)</f>
        <v>-1.3928549161419041E-2</v>
      </c>
      <c r="G298" s="5" t="s">
        <v>2756</v>
      </c>
    </row>
    <row r="299" spans="1:7" x14ac:dyDescent="0.25">
      <c r="A299" s="2" t="s">
        <v>332</v>
      </c>
      <c r="B299" s="5" t="s">
        <v>885</v>
      </c>
      <c r="C299" s="5" t="s">
        <v>450</v>
      </c>
      <c r="D299" s="3">
        <v>217814</v>
      </c>
      <c r="E299" s="3">
        <v>217814</v>
      </c>
      <c r="F299" s="57">
        <f>IF(ISERROR((E299-D299)/D299),"-",(E299-D299)/D299)</f>
        <v>0</v>
      </c>
      <c r="G299" s="5" t="s">
        <v>2750</v>
      </c>
    </row>
    <row r="300" spans="1:7" x14ac:dyDescent="0.25">
      <c r="A300" s="2" t="s">
        <v>333</v>
      </c>
      <c r="B300" s="5"/>
      <c r="C300" s="5" t="s">
        <v>450</v>
      </c>
      <c r="D300" s="3">
        <v>136377</v>
      </c>
      <c r="E300" s="3">
        <v>127886</v>
      </c>
      <c r="F300" s="57">
        <f>IF(ISERROR((E300-D300)/D300),"-",(E300-D300)/D300)</f>
        <v>-6.2261231732623538E-2</v>
      </c>
      <c r="G300" s="5" t="s">
        <v>2743</v>
      </c>
    </row>
    <row r="301" spans="1:7" ht="26.25" x14ac:dyDescent="0.25">
      <c r="A301" s="2" t="s">
        <v>335</v>
      </c>
      <c r="B301" s="7" t="s">
        <v>880</v>
      </c>
      <c r="C301" s="7" t="s">
        <v>450</v>
      </c>
      <c r="D301" s="6">
        <v>104625</v>
      </c>
      <c r="E301" s="6">
        <v>212520</v>
      </c>
      <c r="F301" s="57">
        <f>IF(ISERROR((E301-D301)/D301),"-",(E301-D301)/D301)</f>
        <v>1.0312544802867383</v>
      </c>
      <c r="G301" s="7" t="s">
        <v>4596</v>
      </c>
    </row>
    <row r="302" spans="1:7" x14ac:dyDescent="0.25">
      <c r="A302" s="2" t="s">
        <v>335</v>
      </c>
      <c r="B302" s="7" t="s">
        <v>2735</v>
      </c>
      <c r="C302" s="7" t="s">
        <v>450</v>
      </c>
      <c r="D302" s="6">
        <v>101985</v>
      </c>
      <c r="E302" s="6" t="s">
        <v>465</v>
      </c>
      <c r="F302" s="57" t="str">
        <f>IF(ISERROR((E302-D302)/D302),"-",(E302-D302)/D302)</f>
        <v>-</v>
      </c>
      <c r="G302" s="7" t="s">
        <v>2736</v>
      </c>
    </row>
    <row r="303" spans="1:7" x14ac:dyDescent="0.25">
      <c r="A303" s="2" t="s">
        <v>336</v>
      </c>
      <c r="B303" s="5" t="s">
        <v>875</v>
      </c>
      <c r="C303" s="5" t="s">
        <v>450</v>
      </c>
      <c r="D303" s="3">
        <v>185890</v>
      </c>
      <c r="E303" s="3">
        <v>185030</v>
      </c>
      <c r="F303" s="57">
        <f>IF(ISERROR((E303-D303)/D303),"-",(E303-D303)/D303)</f>
        <v>-4.6263919522298138E-3</v>
      </c>
      <c r="G303" s="5" t="s">
        <v>2731</v>
      </c>
    </row>
    <row r="304" spans="1:7" ht="26.25" x14ac:dyDescent="0.25">
      <c r="A304" s="2" t="s">
        <v>337</v>
      </c>
      <c r="B304" s="5"/>
      <c r="C304" s="5" t="s">
        <v>450</v>
      </c>
      <c r="D304" s="3">
        <v>152980</v>
      </c>
      <c r="E304" s="3">
        <v>171958</v>
      </c>
      <c r="F304" s="57">
        <f>IF(ISERROR((E304-D304)/D304),"-",(E304-D304)/D304)</f>
        <v>0.12405543208262518</v>
      </c>
      <c r="G304" s="5" t="s">
        <v>2726</v>
      </c>
    </row>
    <row r="305" spans="1:7" ht="26.25" x14ac:dyDescent="0.25">
      <c r="A305" s="2" t="s">
        <v>338</v>
      </c>
      <c r="B305" s="5" t="s">
        <v>869</v>
      </c>
      <c r="C305" s="5" t="s">
        <v>450</v>
      </c>
      <c r="D305" s="3">
        <v>31015.88</v>
      </c>
      <c r="E305" s="3">
        <v>184186.16</v>
      </c>
      <c r="F305" s="57">
        <f>IF(ISERROR((E305-D305)/D305),"-",(E305-D305)/D305)</f>
        <v>4.9384470148839883</v>
      </c>
      <c r="G305" s="5" t="s">
        <v>4448</v>
      </c>
    </row>
    <row r="306" spans="1:7" x14ac:dyDescent="0.25">
      <c r="A306" s="2" t="s">
        <v>338</v>
      </c>
      <c r="B306" s="5" t="s">
        <v>2719</v>
      </c>
      <c r="C306" s="5" t="s">
        <v>450</v>
      </c>
      <c r="D306" s="3">
        <v>218488.24</v>
      </c>
      <c r="E306" s="3" t="s">
        <v>465</v>
      </c>
      <c r="F306" s="57" t="str">
        <f>IF(ISERROR((E306-D306)/D306),"-",(E306-D306)/D306)</f>
        <v>-</v>
      </c>
      <c r="G306" s="5" t="s">
        <v>4449</v>
      </c>
    </row>
    <row r="307" spans="1:7" ht="26.25" x14ac:dyDescent="0.25">
      <c r="A307" s="2" t="s">
        <v>339</v>
      </c>
      <c r="B307" s="5" t="s">
        <v>864</v>
      </c>
      <c r="C307" s="5" t="s">
        <v>450</v>
      </c>
      <c r="D307" s="3">
        <f>128226+21706</f>
        <v>149932</v>
      </c>
      <c r="E307" s="3">
        <f>128983+96+135+22575</f>
        <v>151789</v>
      </c>
      <c r="F307" s="57">
        <f>IF(ISERROR((E307-D307)/D307),"-",(E307-D307)/D307)</f>
        <v>1.2385614812048128E-2</v>
      </c>
      <c r="G307" s="5" t="s">
        <v>2715</v>
      </c>
    </row>
    <row r="308" spans="1:7" x14ac:dyDescent="0.25">
      <c r="A308" s="2" t="s">
        <v>340</v>
      </c>
      <c r="B308" s="5"/>
      <c r="C308" s="5" t="s">
        <v>450</v>
      </c>
      <c r="D308" s="6">
        <v>128238</v>
      </c>
      <c r="E308" s="6">
        <v>128388</v>
      </c>
      <c r="F308" s="57">
        <f>IF(ISERROR((E308-D308)/D308),"-",(E308-D308)/D308)</f>
        <v>1.1697000888972067E-3</v>
      </c>
      <c r="G308" s="5" t="s">
        <v>2710</v>
      </c>
    </row>
    <row r="309" spans="1:7" ht="26.25" x14ac:dyDescent="0.25">
      <c r="A309" s="2" t="s">
        <v>341</v>
      </c>
      <c r="B309" s="5"/>
      <c r="C309" s="5" t="s">
        <v>450</v>
      </c>
      <c r="D309" s="3">
        <v>157029</v>
      </c>
      <c r="E309" s="3">
        <v>211817</v>
      </c>
      <c r="F309" s="57">
        <f>IF(ISERROR((E309-D309)/D309),"-",(E309-D309)/D309)</f>
        <v>0.34890370568493717</v>
      </c>
      <c r="G309" s="5" t="s">
        <v>4427</v>
      </c>
    </row>
    <row r="310" spans="1:7" ht="15.75" customHeight="1" x14ac:dyDescent="0.25">
      <c r="A310" s="2" t="s">
        <v>342</v>
      </c>
      <c r="B310" s="5"/>
      <c r="C310" s="5" t="s">
        <v>450</v>
      </c>
      <c r="D310" s="3">
        <v>133667</v>
      </c>
      <c r="E310" s="3">
        <v>133835</v>
      </c>
      <c r="F310" s="57">
        <f>IF(ISERROR((E310-D310)/D310),"-",(E310-D310)/D310)</f>
        <v>1.2568547210605461E-3</v>
      </c>
      <c r="G310" s="5" t="s">
        <v>2704</v>
      </c>
    </row>
    <row r="311" spans="1:7" x14ac:dyDescent="0.25">
      <c r="A311" s="2" t="s">
        <v>343</v>
      </c>
      <c r="B311" s="5" t="s">
        <v>853</v>
      </c>
      <c r="C311" s="5" t="s">
        <v>450</v>
      </c>
      <c r="D311" s="3">
        <v>186590</v>
      </c>
      <c r="E311" s="3">
        <v>191459</v>
      </c>
      <c r="F311" s="57">
        <f>IF(ISERROR((E311-D311)/D311),"-",(E311-D311)/D311)</f>
        <v>2.6094646015327724E-2</v>
      </c>
      <c r="G311" s="5" t="s">
        <v>2699</v>
      </c>
    </row>
    <row r="312" spans="1:7" ht="26.25" x14ac:dyDescent="0.25">
      <c r="A312" s="2" t="s">
        <v>345</v>
      </c>
      <c r="B312" s="5"/>
      <c r="C312" s="5" t="s">
        <v>4167</v>
      </c>
      <c r="D312" s="3">
        <v>139889</v>
      </c>
      <c r="E312" s="3">
        <v>145187</v>
      </c>
      <c r="F312" s="57">
        <f>IF(ISERROR((E312-D312)/D312),"-",(E312-D312)/D312)</f>
        <v>3.7872884930194653E-2</v>
      </c>
      <c r="G312" s="5" t="s">
        <v>4458</v>
      </c>
    </row>
    <row r="313" spans="1:7" x14ac:dyDescent="0.25">
      <c r="A313" s="2" t="s">
        <v>346</v>
      </c>
      <c r="B313" s="5"/>
      <c r="C313" s="5" t="s">
        <v>450</v>
      </c>
      <c r="D313" s="3">
        <v>136000</v>
      </c>
      <c r="E313" s="3">
        <v>134000</v>
      </c>
      <c r="F313" s="57">
        <f>IF(ISERROR((E313-D313)/D313),"-",(E313-D313)/D313)</f>
        <v>-1.4705882352941176E-2</v>
      </c>
      <c r="G313" s="5" t="s">
        <v>2692</v>
      </c>
    </row>
    <row r="314" spans="1:7" ht="26.25" x14ac:dyDescent="0.25">
      <c r="A314" s="2" t="s">
        <v>347</v>
      </c>
      <c r="B314" s="5"/>
      <c r="C314" s="5" t="s">
        <v>4460</v>
      </c>
      <c r="D314" s="3">
        <v>96384</v>
      </c>
      <c r="E314" s="3">
        <v>118267</v>
      </c>
      <c r="F314" s="57">
        <f>IF(ISERROR((E314-D314)/D314),"-",(E314-D314)/D314)</f>
        <v>0.22703975763612219</v>
      </c>
      <c r="G314" s="5" t="s">
        <v>2690</v>
      </c>
    </row>
    <row r="315" spans="1:7" ht="26.25" x14ac:dyDescent="0.25">
      <c r="A315" s="2" t="s">
        <v>347</v>
      </c>
      <c r="B315" s="5"/>
      <c r="C315" s="5" t="s">
        <v>450</v>
      </c>
      <c r="D315" s="3">
        <v>115112</v>
      </c>
      <c r="E315" s="3">
        <v>41966</v>
      </c>
      <c r="F315" s="57">
        <f>IF(ISERROR((E315-D315)/D315),"-",(E315-D315)/D315)</f>
        <v>-0.63543331711724238</v>
      </c>
      <c r="G315" s="5" t="s">
        <v>4461</v>
      </c>
    </row>
    <row r="316" spans="1:7" x14ac:dyDescent="0.25">
      <c r="A316" s="2" t="s">
        <v>348</v>
      </c>
      <c r="B316" s="5" t="s">
        <v>842</v>
      </c>
      <c r="C316" s="5" t="s">
        <v>450</v>
      </c>
      <c r="D316" s="36">
        <f>162366+29119</f>
        <v>191485</v>
      </c>
      <c r="E316" s="3">
        <f>156878+271+29504</f>
        <v>186653</v>
      </c>
      <c r="F316" s="57">
        <f>IF(ISERROR((E316-D316)/D316),"-",(E316-D316)/D316)</f>
        <v>-2.5234352560252762E-2</v>
      </c>
      <c r="G316" s="5" t="s">
        <v>2682</v>
      </c>
    </row>
    <row r="317" spans="1:7" x14ac:dyDescent="0.25">
      <c r="A317" s="2" t="s">
        <v>349</v>
      </c>
      <c r="B317" s="5"/>
      <c r="C317" s="5" t="s">
        <v>450</v>
      </c>
      <c r="D317" s="3">
        <v>133469</v>
      </c>
      <c r="E317" s="3">
        <v>146498</v>
      </c>
      <c r="F317" s="57">
        <f>IF(ISERROR((E317-D317)/D317),"-",(E317-D317)/D317)</f>
        <v>9.7618173508455142E-2</v>
      </c>
      <c r="G317" s="5" t="s">
        <v>2681</v>
      </c>
    </row>
    <row r="318" spans="1:7" ht="26.25" x14ac:dyDescent="0.25">
      <c r="A318" s="2" t="s">
        <v>350</v>
      </c>
      <c r="B318" s="5"/>
      <c r="C318" s="5" t="s">
        <v>450</v>
      </c>
      <c r="D318" s="3">
        <v>136895</v>
      </c>
      <c r="E318" s="3">
        <v>135829</v>
      </c>
      <c r="F318" s="57">
        <f>IF(ISERROR((E318-D318)/D318),"-",(E318-D318)/D318)</f>
        <v>-7.7869900288542312E-3</v>
      </c>
      <c r="G318" s="5" t="s">
        <v>2676</v>
      </c>
    </row>
    <row r="319" spans="1:7" x14ac:dyDescent="0.25">
      <c r="A319" s="2" t="s">
        <v>352</v>
      </c>
      <c r="B319" s="5"/>
      <c r="C319" s="5" t="s">
        <v>450</v>
      </c>
      <c r="D319" s="3">
        <v>127721</v>
      </c>
      <c r="E319" s="3" t="s">
        <v>465</v>
      </c>
      <c r="F319" s="57" t="str">
        <f>IF(ISERROR((E319-D319)/D319),"-",(E319-D319)/D319)</f>
        <v>-</v>
      </c>
      <c r="G319" s="5"/>
    </row>
    <row r="320" spans="1:7" x14ac:dyDescent="0.25">
      <c r="A320" s="2" t="s">
        <v>353</v>
      </c>
      <c r="B320" s="5" t="s">
        <v>2668</v>
      </c>
      <c r="C320" s="5" t="s">
        <v>450</v>
      </c>
      <c r="D320" s="3">
        <v>569000</v>
      </c>
      <c r="E320" s="3" t="s">
        <v>465</v>
      </c>
      <c r="F320" s="57" t="str">
        <f>IF(ISERROR((E320-D320)/D320),"-",(E320-D320)/D320)</f>
        <v>-</v>
      </c>
      <c r="G320" s="5" t="s">
        <v>4462</v>
      </c>
    </row>
    <row r="321" spans="1:7" ht="26.25" x14ac:dyDescent="0.25">
      <c r="A321" s="2" t="s">
        <v>354</v>
      </c>
      <c r="B321" s="5"/>
      <c r="C321" s="5" t="s">
        <v>450</v>
      </c>
      <c r="D321" s="3">
        <v>104831</v>
      </c>
      <c r="E321" s="3">
        <v>111300</v>
      </c>
      <c r="F321" s="57">
        <f>IF(ISERROR((E321-D321)/D321),"-",(E321-D321)/D321)</f>
        <v>6.1708845665881279E-2</v>
      </c>
      <c r="G321" s="5" t="s">
        <v>2666</v>
      </c>
    </row>
    <row r="322" spans="1:7" ht="26.25" x14ac:dyDescent="0.25">
      <c r="A322" s="2" t="s">
        <v>355</v>
      </c>
      <c r="B322" s="5" t="s">
        <v>830</v>
      </c>
      <c r="C322" s="5" t="s">
        <v>450</v>
      </c>
      <c r="D322" s="3">
        <v>34764</v>
      </c>
      <c r="E322" s="3">
        <v>175457</v>
      </c>
      <c r="F322" s="57">
        <f>IF(ISERROR((E322-D322)/D322),"-",(E322-D322)/D322)</f>
        <v>4.0470889425842822</v>
      </c>
      <c r="G322" s="5" t="s">
        <v>2876</v>
      </c>
    </row>
    <row r="323" spans="1:7" ht="26.25" x14ac:dyDescent="0.25">
      <c r="A323" s="2" t="s">
        <v>356</v>
      </c>
      <c r="B323" s="5" t="s">
        <v>820</v>
      </c>
      <c r="C323" s="5" t="s">
        <v>450</v>
      </c>
      <c r="D323" s="3">
        <v>205920</v>
      </c>
      <c r="E323" s="3">
        <v>140725</v>
      </c>
      <c r="F323" s="57">
        <f>IF(ISERROR((E323-D323)/D323),"-",(E323-D323)/D323)</f>
        <v>-0.31660353535353536</v>
      </c>
      <c r="G323" s="5" t="s">
        <v>2647</v>
      </c>
    </row>
    <row r="324" spans="1:7" ht="26.25" x14ac:dyDescent="0.25">
      <c r="A324" s="2" t="s">
        <v>357</v>
      </c>
      <c r="B324" s="5" t="s">
        <v>807</v>
      </c>
      <c r="C324" s="15" t="s">
        <v>450</v>
      </c>
      <c r="D324" s="9">
        <v>184209</v>
      </c>
      <c r="E324" s="9">
        <v>171012</v>
      </c>
      <c r="F324" s="57">
        <f>IF(ISERROR((E324-D324)/D324),"-",(E324-D324)/D324)</f>
        <v>-7.164145074344902E-2</v>
      </c>
      <c r="G324" s="5" t="s">
        <v>4688</v>
      </c>
    </row>
    <row r="325" spans="1:7" x14ac:dyDescent="0.25">
      <c r="A325" s="2" t="s">
        <v>358</v>
      </c>
      <c r="B325" s="5" t="s">
        <v>797</v>
      </c>
      <c r="C325" s="5" t="s">
        <v>450</v>
      </c>
      <c r="D325" s="9">
        <v>224736</v>
      </c>
      <c r="E325" s="9">
        <v>195510</v>
      </c>
      <c r="F325" s="57">
        <f>IF(ISERROR((E325-D325)/D325),"-",(E325-D325)/D325)</f>
        <v>-0.13004592054677488</v>
      </c>
      <c r="G325" s="5" t="s">
        <v>2629</v>
      </c>
    </row>
    <row r="326" spans="1:7" x14ac:dyDescent="0.25">
      <c r="A326" s="2" t="s">
        <v>359</v>
      </c>
      <c r="B326" s="5"/>
      <c r="C326" s="5" t="s">
        <v>450</v>
      </c>
      <c r="D326" s="3">
        <v>121277</v>
      </c>
      <c r="E326" s="3">
        <v>129720</v>
      </c>
      <c r="F326" s="57">
        <f>IF(ISERROR((E326-D326)/D326),"-",(E326-D326)/D326)</f>
        <v>6.9617487239954812E-2</v>
      </c>
      <c r="G326" s="5" t="s">
        <v>2626</v>
      </c>
    </row>
    <row r="327" spans="1:7" x14ac:dyDescent="0.25">
      <c r="A327" s="2" t="s">
        <v>360</v>
      </c>
      <c r="B327" s="5"/>
      <c r="C327" s="5" t="s">
        <v>450</v>
      </c>
      <c r="D327" s="3">
        <v>141000</v>
      </c>
      <c r="E327" s="3">
        <v>141000</v>
      </c>
      <c r="F327" s="57">
        <f>IF(ISERROR((E327-D327)/D327),"-",(E327-D327)/D327)</f>
        <v>0</v>
      </c>
      <c r="G327" s="5" t="s">
        <v>2621</v>
      </c>
    </row>
    <row r="328" spans="1:7" ht="26.25" x14ac:dyDescent="0.25">
      <c r="A328" s="2" t="s">
        <v>361</v>
      </c>
      <c r="B328" s="5"/>
      <c r="C328" s="5" t="s">
        <v>783</v>
      </c>
      <c r="D328" s="3">
        <v>144437</v>
      </c>
      <c r="E328" s="3">
        <v>148585</v>
      </c>
      <c r="F328" s="57">
        <f>IF(ISERROR((E328-D328)/D328),"-",(E328-D328)/D328)</f>
        <v>2.8718403179240775E-2</v>
      </c>
      <c r="G328" s="5" t="s">
        <v>2620</v>
      </c>
    </row>
    <row r="329" spans="1:7" x14ac:dyDescent="0.25">
      <c r="A329" s="2" t="s">
        <v>362</v>
      </c>
      <c r="B329" s="5" t="s">
        <v>786</v>
      </c>
      <c r="C329" s="5" t="s">
        <v>450</v>
      </c>
      <c r="D329" s="3">
        <f>152000+6000+28000</f>
        <v>186000</v>
      </c>
      <c r="E329" s="3">
        <v>186000</v>
      </c>
      <c r="F329" s="57">
        <f>IF(ISERROR((E329-D329)/D329),"-",(E329-D329)/D329)</f>
        <v>0</v>
      </c>
      <c r="G329" s="5" t="s">
        <v>2612</v>
      </c>
    </row>
    <row r="330" spans="1:7" x14ac:dyDescent="0.25">
      <c r="A330" s="2" t="s">
        <v>362</v>
      </c>
      <c r="B330" s="5"/>
      <c r="C330" s="5" t="s">
        <v>794</v>
      </c>
      <c r="D330" s="3">
        <f>97000+3000+18000</f>
        <v>118000</v>
      </c>
      <c r="E330" s="3">
        <f>97000+3000+18000</f>
        <v>118000</v>
      </c>
      <c r="F330" s="57">
        <f>IF(ISERROR((E330-D330)/D330),"-",(E330-D330)/D330)</f>
        <v>0</v>
      </c>
      <c r="G330" s="5" t="s">
        <v>2619</v>
      </c>
    </row>
    <row r="331" spans="1:7" x14ac:dyDescent="0.25">
      <c r="A331" s="2" t="s">
        <v>363</v>
      </c>
      <c r="B331" s="5"/>
      <c r="C331" s="5" t="s">
        <v>450</v>
      </c>
      <c r="D331" s="3">
        <v>128259</v>
      </c>
      <c r="E331" s="3">
        <v>132677</v>
      </c>
      <c r="F331" s="57">
        <f>IF(ISERROR((E331-D331)/D331),"-",(E331-D331)/D331)</f>
        <v>3.4445925821969606E-2</v>
      </c>
      <c r="G331" s="5" t="s">
        <v>2610</v>
      </c>
    </row>
    <row r="332" spans="1:7" x14ac:dyDescent="0.25">
      <c r="A332" s="2" t="s">
        <v>364</v>
      </c>
      <c r="B332" s="5" t="s">
        <v>780</v>
      </c>
      <c r="C332" s="5" t="s">
        <v>450</v>
      </c>
      <c r="D332" s="9">
        <v>242842</v>
      </c>
      <c r="E332" s="9" t="s">
        <v>465</v>
      </c>
      <c r="F332" s="57" t="str">
        <f>IF(ISERROR((E332-D332)/D332),"-",(E332-D332)/D332)</f>
        <v>-</v>
      </c>
      <c r="G332" s="5"/>
    </row>
    <row r="333" spans="1:7" x14ac:dyDescent="0.25">
      <c r="A333" s="2" t="s">
        <v>364</v>
      </c>
      <c r="B333" s="5" t="s">
        <v>781</v>
      </c>
      <c r="C333" s="5" t="s">
        <v>450</v>
      </c>
      <c r="D333" s="9" t="s">
        <v>465</v>
      </c>
      <c r="E333" s="9">
        <v>224884</v>
      </c>
      <c r="F333" s="57" t="str">
        <f>IF(ISERROR((E333-D333)/D333),"-",(E333-D333)/D333)</f>
        <v>-</v>
      </c>
      <c r="G333" s="5" t="s">
        <v>2604</v>
      </c>
    </row>
    <row r="334" spans="1:7" ht="39" x14ac:dyDescent="0.25">
      <c r="A334" s="17" t="s">
        <v>4466</v>
      </c>
      <c r="B334" s="5" t="s">
        <v>782</v>
      </c>
      <c r="C334" s="5" t="s">
        <v>783</v>
      </c>
      <c r="D334" s="3">
        <v>205039</v>
      </c>
      <c r="E334" s="3">
        <v>202863</v>
      </c>
      <c r="F334" s="57">
        <f>IF(ISERROR((E334-D334)/D334),"-",(E334-D334)/D334)</f>
        <v>-1.0612615161018147E-2</v>
      </c>
      <c r="G334" s="5" t="s">
        <v>2592</v>
      </c>
    </row>
    <row r="335" spans="1:7" ht="26.25" x14ac:dyDescent="0.25">
      <c r="A335" s="2" t="s">
        <v>366</v>
      </c>
      <c r="B335" s="5"/>
      <c r="C335" s="5" t="s">
        <v>450</v>
      </c>
      <c r="D335" s="3">
        <v>142417</v>
      </c>
      <c r="E335" s="3">
        <v>150897</v>
      </c>
      <c r="F335" s="57">
        <f>IF(ISERROR((E335-D335)/D335),"-",(E335-D335)/D335)</f>
        <v>5.9543453379863359E-2</v>
      </c>
      <c r="G335" s="5" t="s">
        <v>2587</v>
      </c>
    </row>
    <row r="336" spans="1:7" x14ac:dyDescent="0.25">
      <c r="A336" s="2" t="s">
        <v>367</v>
      </c>
      <c r="B336" s="5" t="s">
        <v>776</v>
      </c>
      <c r="C336" s="5" t="s">
        <v>450</v>
      </c>
      <c r="D336" s="3">
        <v>119429</v>
      </c>
      <c r="E336" s="3">
        <v>124937</v>
      </c>
      <c r="F336" s="57">
        <f>IF(ISERROR((E336-D336)/D336),"-",(E336-D336)/D336)</f>
        <v>4.6119451724455536E-2</v>
      </c>
      <c r="G336" s="5" t="s">
        <v>2582</v>
      </c>
    </row>
    <row r="337" spans="1:7" ht="26.25" x14ac:dyDescent="0.25">
      <c r="A337" s="2" t="s">
        <v>368</v>
      </c>
      <c r="B337" s="5" t="s">
        <v>772</v>
      </c>
      <c r="C337" s="5" t="s">
        <v>450</v>
      </c>
      <c r="D337" s="3" t="s">
        <v>465</v>
      </c>
      <c r="E337" s="3">
        <v>202000</v>
      </c>
      <c r="F337" s="57" t="str">
        <f>IF(ISERROR((E337-D337)/D337),"-",(E337-D337)/D337)</f>
        <v>-</v>
      </c>
      <c r="G337" s="5" t="s">
        <v>4468</v>
      </c>
    </row>
    <row r="338" spans="1:7" x14ac:dyDescent="0.25">
      <c r="A338" s="2" t="s">
        <v>368</v>
      </c>
      <c r="B338" s="5" t="s">
        <v>2568</v>
      </c>
      <c r="C338" s="5" t="s">
        <v>450</v>
      </c>
      <c r="D338" s="3">
        <v>192000</v>
      </c>
      <c r="E338" s="3">
        <v>18000</v>
      </c>
      <c r="F338" s="57">
        <f>IF(ISERROR((E338-D338)/D338),"-",(E338-D338)/D338)</f>
        <v>-0.90625</v>
      </c>
      <c r="G338" s="5" t="s">
        <v>2569</v>
      </c>
    </row>
    <row r="339" spans="1:7" ht="26.25" x14ac:dyDescent="0.25">
      <c r="A339" s="2" t="s">
        <v>369</v>
      </c>
      <c r="B339" s="5" t="s">
        <v>771</v>
      </c>
      <c r="C339" s="5" t="s">
        <v>450</v>
      </c>
      <c r="D339" s="3">
        <v>188211</v>
      </c>
      <c r="E339" s="3">
        <v>189201</v>
      </c>
      <c r="F339" s="57">
        <f>IF(ISERROR((E339-D339)/D339),"-",(E339-D339)/D339)</f>
        <v>5.2600538757033325E-3</v>
      </c>
      <c r="G339" s="5" t="s">
        <v>2563</v>
      </c>
    </row>
    <row r="340" spans="1:7" ht="26.25" x14ac:dyDescent="0.25">
      <c r="A340" s="2" t="s">
        <v>370</v>
      </c>
      <c r="B340" s="5" t="s">
        <v>760</v>
      </c>
      <c r="C340" s="5" t="s">
        <v>450</v>
      </c>
      <c r="D340" s="3">
        <v>58725</v>
      </c>
      <c r="E340" s="3">
        <v>226575</v>
      </c>
      <c r="F340" s="57">
        <f>IF(ISERROR((E340-D340)/D340),"-",(E340-D340)/D340)</f>
        <v>2.8582375478927204</v>
      </c>
      <c r="G340" s="5" t="s">
        <v>4469</v>
      </c>
    </row>
    <row r="341" spans="1:7" ht="26.25" x14ac:dyDescent="0.25">
      <c r="A341" s="2" t="s">
        <v>372</v>
      </c>
      <c r="B341" s="5"/>
      <c r="C341" s="5" t="s">
        <v>450</v>
      </c>
      <c r="D341" s="3">
        <v>129620</v>
      </c>
      <c r="E341" s="3">
        <v>131305</v>
      </c>
      <c r="F341" s="57">
        <f>IF(ISERROR((E341-D341)/D341),"-",(E341-D341)/D341)</f>
        <v>1.2999537108470915E-2</v>
      </c>
      <c r="G341" s="5" t="s">
        <v>2549</v>
      </c>
    </row>
    <row r="342" spans="1:7" x14ac:dyDescent="0.25">
      <c r="A342" s="2" t="s">
        <v>373</v>
      </c>
      <c r="B342" s="5"/>
      <c r="C342" s="5" t="s">
        <v>450</v>
      </c>
      <c r="D342" s="3">
        <v>134721</v>
      </c>
      <c r="E342" s="3">
        <v>137178.12</v>
      </c>
      <c r="F342" s="57">
        <f>IF(ISERROR((E342-D342)/D342),"-",(E342-D342)/D342)</f>
        <v>1.8238581958269277E-2</v>
      </c>
      <c r="G342" s="5" t="s">
        <v>2548</v>
      </c>
    </row>
    <row r="343" spans="1:7" x14ac:dyDescent="0.25">
      <c r="A343" s="2" t="s">
        <v>374</v>
      </c>
      <c r="B343" s="5" t="s">
        <v>745</v>
      </c>
      <c r="C343" s="5" t="s">
        <v>450</v>
      </c>
      <c r="D343" s="3">
        <v>267775</v>
      </c>
      <c r="E343" s="3">
        <v>267775</v>
      </c>
      <c r="F343" s="57">
        <f>IF(ISERROR((E343-D343)/D343),"-",(E343-D343)/D343)</f>
        <v>0</v>
      </c>
      <c r="G343" s="5" t="s">
        <v>2540</v>
      </c>
    </row>
    <row r="344" spans="1:7" x14ac:dyDescent="0.25">
      <c r="A344" s="2" t="s">
        <v>375</v>
      </c>
      <c r="B344" s="5"/>
      <c r="C344" s="5" t="s">
        <v>450</v>
      </c>
      <c r="D344" s="3">
        <v>157518</v>
      </c>
      <c r="E344" s="3">
        <v>158395</v>
      </c>
      <c r="F344" s="57">
        <f>IF(ISERROR((E344-D344)/D344),"-",(E344-D344)/D344)</f>
        <v>5.5676176690917867E-3</v>
      </c>
      <c r="G344" s="5" t="s">
        <v>2547</v>
      </c>
    </row>
    <row r="345" spans="1:7" ht="26.25" x14ac:dyDescent="0.25">
      <c r="A345" s="2" t="s">
        <v>376</v>
      </c>
      <c r="B345" s="5" t="s">
        <v>741</v>
      </c>
      <c r="C345" s="5" t="s">
        <v>450</v>
      </c>
      <c r="D345" s="3">
        <v>238967</v>
      </c>
      <c r="E345" s="3">
        <v>229547</v>
      </c>
      <c r="F345" s="57">
        <f>IF(ISERROR((E345-D345)/D345),"-",(E345-D345)/D345)</f>
        <v>-3.9419668824565733E-2</v>
      </c>
      <c r="G345" s="5" t="s">
        <v>2537</v>
      </c>
    </row>
    <row r="346" spans="1:7" ht="26.25" x14ac:dyDescent="0.25">
      <c r="A346" s="2" t="s">
        <v>377</v>
      </c>
      <c r="B346" s="5" t="s">
        <v>727</v>
      </c>
      <c r="C346" s="5" t="s">
        <v>450</v>
      </c>
      <c r="D346" s="3">
        <v>176073</v>
      </c>
      <c r="E346" s="3">
        <v>253133</v>
      </c>
      <c r="F346" s="57">
        <f>IF(ISERROR((E346-D346)/D346),"-",(E346-D346)/D346)</f>
        <v>0.43765937991628473</v>
      </c>
      <c r="G346" s="5" t="s">
        <v>4473</v>
      </c>
    </row>
    <row r="347" spans="1:7" ht="26.25" x14ac:dyDescent="0.25">
      <c r="A347" s="2" t="s">
        <v>378</v>
      </c>
      <c r="B347" s="5"/>
      <c r="C347" s="7" t="s">
        <v>450</v>
      </c>
      <c r="D347" s="6">
        <v>145000</v>
      </c>
      <c r="E347" s="6">
        <v>84000</v>
      </c>
      <c r="F347" s="57">
        <f>IF(ISERROR((E347-D347)/D347),"-",(E347-D347)/D347)</f>
        <v>-0.4206896551724138</v>
      </c>
      <c r="G347" s="7" t="s">
        <v>2527</v>
      </c>
    </row>
    <row r="348" spans="1:7" x14ac:dyDescent="0.25">
      <c r="A348" s="2" t="s">
        <v>379</v>
      </c>
      <c r="B348" s="5" t="s">
        <v>720</v>
      </c>
      <c r="C348" s="5" t="s">
        <v>450</v>
      </c>
      <c r="D348" s="3">
        <v>204242</v>
      </c>
      <c r="E348" s="3">
        <v>112035</v>
      </c>
      <c r="F348" s="57">
        <f>IF(ISERROR((E348-D348)/D348),"-",(E348-D348)/D348)</f>
        <v>-0.45145954309103908</v>
      </c>
      <c r="G348" s="5" t="s">
        <v>2884</v>
      </c>
    </row>
    <row r="349" spans="1:7" x14ac:dyDescent="0.25">
      <c r="A349" s="2" t="s">
        <v>380</v>
      </c>
      <c r="B349" s="5"/>
      <c r="C349" s="5" t="s">
        <v>450</v>
      </c>
      <c r="D349" s="3">
        <v>127757</v>
      </c>
      <c r="E349" s="3">
        <v>178200</v>
      </c>
      <c r="F349" s="57">
        <f>IF(ISERROR((E349-D349)/D349),"-",(E349-D349)/D349)</f>
        <v>0.39483550803478479</v>
      </c>
      <c r="G349" s="5" t="s">
        <v>2516</v>
      </c>
    </row>
    <row r="350" spans="1:7" x14ac:dyDescent="0.25">
      <c r="A350" s="2" t="s">
        <v>382</v>
      </c>
      <c r="B350" s="5" t="s">
        <v>709</v>
      </c>
      <c r="C350" s="5" t="s">
        <v>450</v>
      </c>
      <c r="D350" s="6">
        <v>206331</v>
      </c>
      <c r="E350" s="3">
        <v>198393</v>
      </c>
      <c r="F350" s="57">
        <f>IF(ISERROR((E350-D350)/D350),"-",(E350-D350)/D350)</f>
        <v>-3.8472163659362867E-2</v>
      </c>
      <c r="G350" s="5" t="s">
        <v>4697</v>
      </c>
    </row>
    <row r="351" spans="1:7" x14ac:dyDescent="0.25">
      <c r="A351" s="2" t="s">
        <v>383</v>
      </c>
      <c r="B351" s="5" t="s">
        <v>701</v>
      </c>
      <c r="C351" s="5" t="s">
        <v>450</v>
      </c>
      <c r="D351" s="3">
        <v>190800</v>
      </c>
      <c r="E351" s="3">
        <v>192469</v>
      </c>
      <c r="F351" s="57">
        <f>IF(ISERROR((E351-D351)/D351),"-",(E351-D351)/D351)</f>
        <v>8.7473794549266255E-3</v>
      </c>
      <c r="G351" s="5" t="s">
        <v>2498</v>
      </c>
    </row>
    <row r="352" spans="1:7" ht="26.25" x14ac:dyDescent="0.25">
      <c r="A352" s="2" t="s">
        <v>384</v>
      </c>
      <c r="B352" s="5"/>
      <c r="C352" s="5" t="s">
        <v>450</v>
      </c>
      <c r="D352" s="3">
        <v>125569</v>
      </c>
      <c r="E352" s="3">
        <v>126959</v>
      </c>
      <c r="F352" s="57">
        <f>IF(ISERROR((E352-D352)/D352),"-",(E352-D352)/D352)</f>
        <v>1.1069611130135623E-2</v>
      </c>
      <c r="G352" s="5" t="s">
        <v>2495</v>
      </c>
    </row>
    <row r="353" spans="1:7" ht="26.25" x14ac:dyDescent="0.25">
      <c r="A353" s="2" t="s">
        <v>385</v>
      </c>
      <c r="B353" s="5" t="s">
        <v>697</v>
      </c>
      <c r="C353" s="5" t="s">
        <v>450</v>
      </c>
      <c r="D353" s="3">
        <v>152837</v>
      </c>
      <c r="E353" s="3">
        <v>153775</v>
      </c>
      <c r="F353" s="57">
        <f>IF(ISERROR((E353-D353)/D353),"-",(E353-D353)/D353)</f>
        <v>6.1372573395185722E-3</v>
      </c>
      <c r="G353" s="5" t="s">
        <v>2492</v>
      </c>
    </row>
    <row r="354" spans="1:7" ht="26.25" x14ac:dyDescent="0.25">
      <c r="A354" s="2" t="s">
        <v>386</v>
      </c>
      <c r="B354" s="5"/>
      <c r="C354" s="5" t="s">
        <v>450</v>
      </c>
      <c r="D354" s="3">
        <v>121685</v>
      </c>
      <c r="E354" s="3">
        <v>120221</v>
      </c>
      <c r="F354" s="57">
        <f>IF(ISERROR((E354-D354)/D354),"-",(E354-D354)/D354)</f>
        <v>-1.2031063812302257E-2</v>
      </c>
      <c r="G354" s="5" t="s">
        <v>2489</v>
      </c>
    </row>
    <row r="355" spans="1:7" ht="39" x14ac:dyDescent="0.25">
      <c r="A355" s="2" t="s">
        <v>387</v>
      </c>
      <c r="B355" s="5"/>
      <c r="C355" s="5" t="s">
        <v>4482</v>
      </c>
      <c r="D355" s="3">
        <v>133427</v>
      </c>
      <c r="E355" s="3">
        <v>158380</v>
      </c>
      <c r="F355" s="57">
        <f>IF(ISERROR((E355-D355)/D355),"-",(E355-D355)/D355)</f>
        <v>0.18701612117487465</v>
      </c>
      <c r="G355" s="5" t="s">
        <v>4704</v>
      </c>
    </row>
    <row r="356" spans="1:7" ht="39" x14ac:dyDescent="0.25">
      <c r="A356" s="2" t="s">
        <v>388</v>
      </c>
      <c r="B356" s="5" t="s">
        <v>693</v>
      </c>
      <c r="C356" s="5" t="s">
        <v>450</v>
      </c>
      <c r="D356" s="3">
        <f>115679+35118+12838</f>
        <v>163635</v>
      </c>
      <c r="E356" s="3">
        <v>180862</v>
      </c>
      <c r="F356" s="57">
        <f>IF(ISERROR((E356-D356)/D356),"-",(E356-D356)/D356)</f>
        <v>0.10527698841934793</v>
      </c>
      <c r="G356" s="5" t="s">
        <v>4483</v>
      </c>
    </row>
    <row r="357" spans="1:7" ht="26.25" x14ac:dyDescent="0.25">
      <c r="A357" s="2" t="s">
        <v>389</v>
      </c>
      <c r="B357" s="5"/>
      <c r="C357" s="5" t="s">
        <v>1874</v>
      </c>
      <c r="D357" s="3">
        <v>145161</v>
      </c>
      <c r="E357" s="3">
        <v>183254</v>
      </c>
      <c r="F357" s="57">
        <f>IF(ISERROR((E357-D357)/D357),"-",(E357-D357)/D357)</f>
        <v>0.26241896928238301</v>
      </c>
      <c r="G357" s="5" t="s">
        <v>4487</v>
      </c>
    </row>
    <row r="358" spans="1:7" ht="26.25" x14ac:dyDescent="0.25">
      <c r="A358" s="2" t="s">
        <v>390</v>
      </c>
      <c r="B358" s="5"/>
      <c r="C358" s="5" t="s">
        <v>450</v>
      </c>
      <c r="D358" s="3">
        <v>148000</v>
      </c>
      <c r="E358" s="3">
        <v>147000</v>
      </c>
      <c r="F358" s="57">
        <f>IF(ISERROR((E358-D358)/D358),"-",(E358-D358)/D358)</f>
        <v>-6.7567567567567571E-3</v>
      </c>
      <c r="G358" s="5" t="s">
        <v>2481</v>
      </c>
    </row>
    <row r="359" spans="1:7" ht="26.25" x14ac:dyDescent="0.25">
      <c r="A359" s="2" t="s">
        <v>391</v>
      </c>
      <c r="B359" s="5"/>
      <c r="C359" s="5" t="s">
        <v>450</v>
      </c>
      <c r="D359" s="3">
        <v>62057</v>
      </c>
      <c r="E359" s="3">
        <v>120435</v>
      </c>
      <c r="F359" s="57">
        <f>IF(ISERROR((E359-D359)/D359),"-",(E359-D359)/D359)</f>
        <v>0.94071579354464441</v>
      </c>
      <c r="G359" s="5" t="s">
        <v>4490</v>
      </c>
    </row>
    <row r="360" spans="1:7" x14ac:dyDescent="0.25">
      <c r="A360" s="2" t="s">
        <v>392</v>
      </c>
      <c r="B360" s="5"/>
      <c r="C360" s="5" t="s">
        <v>450</v>
      </c>
      <c r="D360" s="3">
        <v>142476</v>
      </c>
      <c r="E360" s="3">
        <v>140037</v>
      </c>
      <c r="F360" s="57">
        <f>IF(ISERROR((E360-D360)/D360),"-",(E360-D360)/D360)</f>
        <v>-1.7118672618546282E-2</v>
      </c>
      <c r="G360" s="5" t="s">
        <v>2476</v>
      </c>
    </row>
    <row r="361" spans="1:7" x14ac:dyDescent="0.25">
      <c r="A361" s="2" t="s">
        <v>393</v>
      </c>
      <c r="B361" s="5"/>
      <c r="C361" s="5" t="s">
        <v>450</v>
      </c>
      <c r="D361" s="3">
        <v>138473</v>
      </c>
      <c r="E361" s="3">
        <v>140745</v>
      </c>
      <c r="F361" s="57">
        <f>IF(ISERROR((E361-D361)/D361),"-",(E361-D361)/D361)</f>
        <v>1.6407530709957898E-2</v>
      </c>
      <c r="G361" s="5" t="s">
        <v>2470</v>
      </c>
    </row>
    <row r="362" spans="1:7" ht="26.25" x14ac:dyDescent="0.25">
      <c r="A362" s="2" t="s">
        <v>394</v>
      </c>
      <c r="B362" s="5" t="s">
        <v>681</v>
      </c>
      <c r="C362" s="5" t="s">
        <v>450</v>
      </c>
      <c r="D362" s="3" t="s">
        <v>465</v>
      </c>
      <c r="E362" s="3">
        <v>139091</v>
      </c>
      <c r="F362" s="57" t="str">
        <f>IF(ISERROR((E362-D362)/D362),"-",(E362-D362)/D362)</f>
        <v>-</v>
      </c>
      <c r="G362" s="5" t="s">
        <v>4498</v>
      </c>
    </row>
    <row r="363" spans="1:7" x14ac:dyDescent="0.25">
      <c r="A363" s="2" t="s">
        <v>395</v>
      </c>
      <c r="B363" s="5"/>
      <c r="C363" s="5" t="s">
        <v>450</v>
      </c>
      <c r="D363" s="3">
        <v>129000</v>
      </c>
      <c r="E363" s="3">
        <v>130000</v>
      </c>
      <c r="F363" s="57">
        <f>IF(ISERROR((E363-D363)/D363),"-",(E363-D363)/D363)</f>
        <v>7.7519379844961239E-3</v>
      </c>
      <c r="G363" s="5" t="s">
        <v>2462</v>
      </c>
    </row>
    <row r="364" spans="1:7" x14ac:dyDescent="0.25">
      <c r="A364" s="2" t="s">
        <v>396</v>
      </c>
      <c r="B364" s="5" t="s">
        <v>672</v>
      </c>
      <c r="C364" s="5" t="s">
        <v>450</v>
      </c>
      <c r="D364" s="3">
        <v>180000</v>
      </c>
      <c r="E364" s="3">
        <v>175000</v>
      </c>
      <c r="F364" s="57">
        <f>IF(ISERROR((E364-D364)/D364),"-",(E364-D364)/D364)</f>
        <v>-2.7777777777777776E-2</v>
      </c>
      <c r="G364" s="5" t="s">
        <v>2457</v>
      </c>
    </row>
    <row r="365" spans="1:7" ht="51.75" x14ac:dyDescent="0.25">
      <c r="A365" s="2" t="s">
        <v>397</v>
      </c>
      <c r="B365" s="5"/>
      <c r="C365" s="5" t="s">
        <v>450</v>
      </c>
      <c r="D365" s="3">
        <v>133465</v>
      </c>
      <c r="E365" s="3">
        <v>133749</v>
      </c>
      <c r="F365" s="57">
        <f>IF(ISERROR((E365-D365)/D365),"-",(E365-D365)/D365)</f>
        <v>2.1278987000337168E-3</v>
      </c>
      <c r="G365" s="5" t="s">
        <v>4503</v>
      </c>
    </row>
    <row r="366" spans="1:7" ht="39" x14ac:dyDescent="0.25">
      <c r="A366" s="30" t="s">
        <v>4506</v>
      </c>
      <c r="B366" s="5"/>
      <c r="C366" s="5" t="s">
        <v>450</v>
      </c>
      <c r="D366" s="3">
        <v>114194</v>
      </c>
      <c r="E366" s="3" t="s">
        <v>465</v>
      </c>
      <c r="F366" s="57" t="str">
        <f>IF(ISERROR((E366-D366)/D366),"-",(E366-D366)/D366)</f>
        <v>-</v>
      </c>
      <c r="G366" s="5" t="s">
        <v>4505</v>
      </c>
    </row>
    <row r="367" spans="1:7" x14ac:dyDescent="0.25">
      <c r="A367" s="2" t="s">
        <v>398</v>
      </c>
      <c r="B367" s="5" t="s">
        <v>664</v>
      </c>
      <c r="C367" s="5" t="s">
        <v>450</v>
      </c>
      <c r="D367" s="3">
        <v>204261</v>
      </c>
      <c r="E367" s="3">
        <v>215583</v>
      </c>
      <c r="F367" s="57">
        <f>IF(ISERROR((E367-D367)/D367),"-",(E367-D367)/D367)</f>
        <v>5.5429083378618529E-2</v>
      </c>
      <c r="G367" s="5" t="s">
        <v>2448</v>
      </c>
    </row>
    <row r="368" spans="1:7" ht="26.25" x14ac:dyDescent="0.25">
      <c r="A368" s="2" t="s">
        <v>399</v>
      </c>
      <c r="B368" s="5" t="s">
        <v>2439</v>
      </c>
      <c r="C368" s="5" t="s">
        <v>450</v>
      </c>
      <c r="D368" s="3">
        <v>57000</v>
      </c>
      <c r="E368" s="3">
        <v>205000</v>
      </c>
      <c r="F368" s="57">
        <f>IF(ISERROR((E368-D368)/D368),"-",(E368-D368)/D368)</f>
        <v>2.5964912280701755</v>
      </c>
      <c r="G368" s="5" t="s">
        <v>4707</v>
      </c>
    </row>
    <row r="369" spans="1:7" x14ac:dyDescent="0.25">
      <c r="A369" s="12" t="s">
        <v>400</v>
      </c>
      <c r="B369" s="5"/>
      <c r="C369" s="5" t="s">
        <v>450</v>
      </c>
      <c r="D369" s="3">
        <v>131856</v>
      </c>
      <c r="E369" s="3">
        <v>127527</v>
      </c>
      <c r="F369" s="57">
        <f>IF(ISERROR((E369-D369)/D369),"-",(E369-D369)/D369)</f>
        <v>-3.2831270476883875E-2</v>
      </c>
      <c r="G369" s="5" t="s">
        <v>2437</v>
      </c>
    </row>
    <row r="370" spans="1:7" x14ac:dyDescent="0.25">
      <c r="A370" s="2" t="s">
        <v>401</v>
      </c>
      <c r="B370" s="5"/>
      <c r="C370" s="5" t="s">
        <v>450</v>
      </c>
      <c r="D370" s="3">
        <v>116810</v>
      </c>
      <c r="E370" s="3">
        <v>117658</v>
      </c>
      <c r="F370" s="57">
        <f>IF(ISERROR((E370-D370)/D370),"-",(E370-D370)/D370)</f>
        <v>7.2596524270182351E-3</v>
      </c>
      <c r="G370" s="5" t="s">
        <v>2436</v>
      </c>
    </row>
    <row r="371" spans="1:7" x14ac:dyDescent="0.25">
      <c r="A371" s="2" t="s">
        <v>2429</v>
      </c>
      <c r="B371" s="5"/>
      <c r="C371" s="5" t="s">
        <v>450</v>
      </c>
      <c r="D371" s="3">
        <f>144255+30751</f>
        <v>175006</v>
      </c>
      <c r="E371" s="3">
        <f>141469+1345+30416</f>
        <v>173230</v>
      </c>
      <c r="F371" s="57">
        <f>IF(ISERROR((E371-D371)/D371),"-",(E371-D371)/D371)</f>
        <v>-1.014822348948036E-2</v>
      </c>
      <c r="G371" s="5" t="s">
        <v>2430</v>
      </c>
    </row>
    <row r="372" spans="1:7" x14ac:dyDescent="0.25">
      <c r="A372" s="2" t="s">
        <v>403</v>
      </c>
      <c r="B372" s="5" t="s">
        <v>653</v>
      </c>
      <c r="C372" s="5" t="s">
        <v>450</v>
      </c>
      <c r="D372" s="3">
        <v>222172</v>
      </c>
      <c r="E372" s="3">
        <v>220451</v>
      </c>
      <c r="F372" s="57">
        <f>IF(ISERROR((E372-D372)/D372),"-",(E372-D372)/D372)</f>
        <v>-7.7462506526474982E-3</v>
      </c>
      <c r="G372" s="5" t="s">
        <v>2425</v>
      </c>
    </row>
    <row r="373" spans="1:7" ht="26.25" x14ac:dyDescent="0.25">
      <c r="A373" s="2" t="s">
        <v>404</v>
      </c>
      <c r="B373" s="5" t="s">
        <v>645</v>
      </c>
      <c r="C373" s="5" t="s">
        <v>450</v>
      </c>
      <c r="D373" s="3">
        <v>213893</v>
      </c>
      <c r="E373" s="3">
        <v>226582</v>
      </c>
      <c r="F373" s="57">
        <f>IF(ISERROR((E373-D373)/D373),"-",(E373-D373)/D373)</f>
        <v>5.9324054550639806E-2</v>
      </c>
      <c r="G373" s="5" t="s">
        <v>4710</v>
      </c>
    </row>
    <row r="374" spans="1:7" ht="51.75" x14ac:dyDescent="0.25">
      <c r="A374" s="2" t="s">
        <v>405</v>
      </c>
      <c r="B374" s="5" t="s">
        <v>639</v>
      </c>
      <c r="C374" s="5" t="s">
        <v>450</v>
      </c>
      <c r="D374" s="3">
        <v>257243</v>
      </c>
      <c r="E374" s="3">
        <v>432213</v>
      </c>
      <c r="F374" s="57">
        <f>IF(ISERROR((E374-D374)/D374),"-",(E374-D374)/D374)</f>
        <v>0.68017399890376029</v>
      </c>
      <c r="G374" s="5" t="s">
        <v>4515</v>
      </c>
    </row>
    <row r="375" spans="1:7" ht="26.25" customHeight="1" x14ac:dyDescent="0.25">
      <c r="A375" s="2" t="s">
        <v>405</v>
      </c>
      <c r="B375" s="5" t="s">
        <v>640</v>
      </c>
      <c r="C375" s="5" t="s">
        <v>4517</v>
      </c>
      <c r="D375" s="6">
        <v>181889</v>
      </c>
      <c r="E375" s="3">
        <v>210834</v>
      </c>
      <c r="F375" s="57">
        <f>IF(ISERROR((E375-D375)/D375),"-",(E375-D375)/D375)</f>
        <v>0.15913551671623902</v>
      </c>
      <c r="G375" s="5" t="s">
        <v>4516</v>
      </c>
    </row>
    <row r="376" spans="1:7" ht="39" x14ac:dyDescent="0.25">
      <c r="A376" s="2" t="s">
        <v>406</v>
      </c>
      <c r="B376" s="5" t="s">
        <v>617</v>
      </c>
      <c r="C376" s="5" t="s">
        <v>618</v>
      </c>
      <c r="D376" s="9">
        <v>356891</v>
      </c>
      <c r="E376" s="3">
        <v>227420</v>
      </c>
      <c r="F376" s="57">
        <f>IF(ISERROR((E376-D376)/D376),"-",(E376-D376)/D376)</f>
        <v>-0.36277462866813676</v>
      </c>
      <c r="G376" s="5" t="s">
        <v>4521</v>
      </c>
    </row>
    <row r="377" spans="1:7" ht="26.25" x14ac:dyDescent="0.25">
      <c r="A377" s="2" t="s">
        <v>406</v>
      </c>
      <c r="B377" s="5" t="s">
        <v>637</v>
      </c>
      <c r="C377" s="5" t="s">
        <v>638</v>
      </c>
      <c r="D377" s="9" t="s">
        <v>465</v>
      </c>
      <c r="E377" s="3">
        <v>106132</v>
      </c>
      <c r="F377" s="57" t="str">
        <f>IF(ISERROR((E377-D377)/D377),"-",(E377-D377)/D377)</f>
        <v>-</v>
      </c>
      <c r="G377" s="5" t="s">
        <v>4524</v>
      </c>
    </row>
    <row r="378" spans="1:7" ht="26.25" x14ac:dyDescent="0.25">
      <c r="A378" s="2" t="s">
        <v>407</v>
      </c>
      <c r="B378" s="5" t="s">
        <v>605</v>
      </c>
      <c r="C378" s="5" t="s">
        <v>450</v>
      </c>
      <c r="D378" s="3">
        <v>191000</v>
      </c>
      <c r="E378" s="3">
        <v>198519</v>
      </c>
      <c r="F378" s="57">
        <f>IF(ISERROR((E378-D378)/D378),"-",(E378-D378)/D378)</f>
        <v>3.9366492146596856E-2</v>
      </c>
      <c r="G378" s="5" t="s">
        <v>2392</v>
      </c>
    </row>
    <row r="379" spans="1:7" x14ac:dyDescent="0.25">
      <c r="A379" s="2" t="s">
        <v>408</v>
      </c>
      <c r="B379" s="5"/>
      <c r="C379" s="5" t="s">
        <v>450</v>
      </c>
      <c r="D379" s="3">
        <v>129822</v>
      </c>
      <c r="E379" s="3">
        <v>126985</v>
      </c>
      <c r="F379" s="57">
        <f>IF(ISERROR((E379-D379)/D379),"-",(E379-D379)/D379)</f>
        <v>-2.1852998721326122E-2</v>
      </c>
      <c r="G379" s="5" t="s">
        <v>1626</v>
      </c>
    </row>
    <row r="380" spans="1:7" ht="26.25" x14ac:dyDescent="0.25">
      <c r="A380" s="2" t="s">
        <v>409</v>
      </c>
      <c r="B380" s="5" t="s">
        <v>600</v>
      </c>
      <c r="C380" s="5" t="s">
        <v>450</v>
      </c>
      <c r="D380" s="3">
        <v>204242</v>
      </c>
      <c r="E380" s="3">
        <v>204100</v>
      </c>
      <c r="F380" s="57">
        <f>IF(ISERROR((E380-D380)/D380),"-",(E380-D380)/D380)</f>
        <v>-6.9525366966637612E-4</v>
      </c>
      <c r="G380" s="5" t="s">
        <v>2379</v>
      </c>
    </row>
    <row r="381" spans="1:7" ht="26.25" x14ac:dyDescent="0.25">
      <c r="A381" s="2" t="s">
        <v>411</v>
      </c>
      <c r="B381" s="5"/>
      <c r="C381" s="5" t="s">
        <v>450</v>
      </c>
      <c r="D381" s="3">
        <v>144836</v>
      </c>
      <c r="E381" s="3">
        <v>145120</v>
      </c>
      <c r="F381" s="57">
        <f>IF(ISERROR((E381-D381)/D381),"-",(E381-D381)/D381)</f>
        <v>1.9608384655748572E-3</v>
      </c>
      <c r="G381" s="5" t="s">
        <v>597</v>
      </c>
    </row>
    <row r="382" spans="1:7" x14ac:dyDescent="0.25">
      <c r="A382" s="12" t="s">
        <v>412</v>
      </c>
      <c r="B382" s="5"/>
      <c r="C382" s="5" t="s">
        <v>450</v>
      </c>
      <c r="D382" s="3">
        <v>154386</v>
      </c>
      <c r="E382" s="3">
        <v>153673</v>
      </c>
      <c r="F382" s="57">
        <f>IF(ISERROR((E382-D382)/D382),"-",(E382-D382)/D382)</f>
        <v>-4.6182944049330899E-3</v>
      </c>
      <c r="G382" s="5" t="s">
        <v>2374</v>
      </c>
    </row>
    <row r="383" spans="1:7" ht="26.25" x14ac:dyDescent="0.25">
      <c r="A383" s="2" t="s">
        <v>413</v>
      </c>
      <c r="B383" s="5"/>
      <c r="C383" s="5" t="s">
        <v>450</v>
      </c>
      <c r="D383" s="3">
        <v>147685</v>
      </c>
      <c r="E383" s="3">
        <v>39858</v>
      </c>
      <c r="F383" s="57">
        <f>IF(ISERROR((E383-D383)/D383),"-",(E383-D383)/D383)</f>
        <v>-0.73011477130378843</v>
      </c>
      <c r="G383" s="5" t="s">
        <v>2371</v>
      </c>
    </row>
    <row r="384" spans="1:7" x14ac:dyDescent="0.25">
      <c r="A384" s="2" t="s">
        <v>414</v>
      </c>
      <c r="B384" s="5" t="s">
        <v>591</v>
      </c>
      <c r="C384" s="5" t="s">
        <v>450</v>
      </c>
      <c r="D384" s="3">
        <v>126000</v>
      </c>
      <c r="E384" s="3">
        <v>135000</v>
      </c>
      <c r="F384" s="57">
        <f>IF(ISERROR((E384-D384)/D384),"-",(E384-D384)/D384)</f>
        <v>7.1428571428571425E-2</v>
      </c>
      <c r="G384" s="5" t="s">
        <v>2368</v>
      </c>
    </row>
    <row r="385" spans="1:7" x14ac:dyDescent="0.25">
      <c r="A385" s="2" t="s">
        <v>415</v>
      </c>
      <c r="B385" s="5"/>
      <c r="C385" s="5" t="s">
        <v>450</v>
      </c>
      <c r="D385" s="3">
        <v>158431</v>
      </c>
      <c r="E385" s="3">
        <v>158697</v>
      </c>
      <c r="F385" s="57">
        <f>IF(ISERROR((E385-D385)/D385),"-",(E385-D385)/D385)</f>
        <v>1.6789643440993239E-3</v>
      </c>
      <c r="G385" s="5" t="s">
        <v>2358</v>
      </c>
    </row>
    <row r="386" spans="1:7" ht="26.25" x14ac:dyDescent="0.25">
      <c r="A386" s="12" t="s">
        <v>416</v>
      </c>
      <c r="B386" s="7"/>
      <c r="C386" s="7" t="s">
        <v>4543</v>
      </c>
      <c r="D386" s="6">
        <v>137295</v>
      </c>
      <c r="E386" s="6">
        <v>110162</v>
      </c>
      <c r="F386" s="57">
        <f>IF(ISERROR((E386-D386)/D386),"-",(E386-D386)/D386)</f>
        <v>-0.19762555082122438</v>
      </c>
      <c r="G386" s="7" t="s">
        <v>4544</v>
      </c>
    </row>
    <row r="387" spans="1:7" ht="39" x14ac:dyDescent="0.25">
      <c r="A387" s="2" t="s">
        <v>4732</v>
      </c>
      <c r="B387" s="5" t="s">
        <v>4564</v>
      </c>
      <c r="C387" s="5" t="s">
        <v>450</v>
      </c>
      <c r="D387" s="3">
        <v>115892</v>
      </c>
      <c r="E387" s="3">
        <v>119842</v>
      </c>
      <c r="F387" s="57">
        <f>IF(ISERROR((E387-D387)/D387),"-",(E387-D387)/D387)</f>
        <v>3.4083457011700548E-2</v>
      </c>
      <c r="G387" s="5" t="s">
        <v>4565</v>
      </c>
    </row>
    <row r="388" spans="1:7" x14ac:dyDescent="0.25">
      <c r="A388" s="12" t="s">
        <v>417</v>
      </c>
      <c r="B388" s="5" t="s">
        <v>580</v>
      </c>
      <c r="C388" s="5" t="s">
        <v>450</v>
      </c>
      <c r="D388" s="3">
        <f>121338+20922</f>
        <v>142260</v>
      </c>
      <c r="E388" s="3">
        <f>119925+21826</f>
        <v>141751</v>
      </c>
      <c r="F388" s="57">
        <f>IF(ISERROR((E388-D388)/D388),"-",(E388-D388)/D388)</f>
        <v>-3.5779558554758892E-3</v>
      </c>
      <c r="G388" s="7" t="s">
        <v>4550</v>
      </c>
    </row>
    <row r="389" spans="1:7" x14ac:dyDescent="0.25">
      <c r="A389" s="2" t="s">
        <v>418</v>
      </c>
      <c r="B389" s="5"/>
      <c r="C389" s="5" t="s">
        <v>450</v>
      </c>
      <c r="D389" s="3">
        <v>139311</v>
      </c>
      <c r="E389" s="3">
        <v>141273</v>
      </c>
      <c r="F389" s="57">
        <f>IF(ISERROR((E389-D389)/D389),"-",(E389-D389)/D389)</f>
        <v>1.4083597131597649E-2</v>
      </c>
      <c r="G389" s="5" t="s">
        <v>2357</v>
      </c>
    </row>
    <row r="390" spans="1:7" ht="26.25" x14ac:dyDescent="0.25">
      <c r="A390" s="2" t="s">
        <v>419</v>
      </c>
      <c r="B390" s="5" t="s">
        <v>579</v>
      </c>
      <c r="C390" s="5" t="s">
        <v>450</v>
      </c>
      <c r="D390" s="3" t="s">
        <v>465</v>
      </c>
      <c r="E390" s="3">
        <v>127468</v>
      </c>
      <c r="F390" s="57" t="str">
        <f>IF(ISERROR((E390-D390)/D390),"-",(E390-D390)/D390)</f>
        <v>-</v>
      </c>
      <c r="G390" s="5" t="s">
        <v>4552</v>
      </c>
    </row>
    <row r="391" spans="1:7" x14ac:dyDescent="0.25">
      <c r="A391" s="2" t="s">
        <v>419</v>
      </c>
      <c r="B391" s="5"/>
      <c r="C391" s="5" t="s">
        <v>450</v>
      </c>
      <c r="D391" s="3">
        <v>116727</v>
      </c>
      <c r="E391" s="3" t="s">
        <v>465</v>
      </c>
      <c r="F391" s="57" t="str">
        <f>IF(ISERROR((E391-D391)/D391),"-",(E391-D391)/D391)</f>
        <v>-</v>
      </c>
      <c r="G391" s="5" t="s">
        <v>4553</v>
      </c>
    </row>
    <row r="392" spans="1:7" ht="26.25" x14ac:dyDescent="0.25">
      <c r="A392" s="12" t="s">
        <v>420</v>
      </c>
      <c r="B392" s="5" t="s">
        <v>575</v>
      </c>
      <c r="C392" s="5" t="s">
        <v>4555</v>
      </c>
      <c r="D392" s="9">
        <f>108804+20999</f>
        <v>129803</v>
      </c>
      <c r="E392" s="9">
        <f>119675+21652</f>
        <v>141327</v>
      </c>
      <c r="F392" s="57">
        <f>IF(ISERROR((E392-D392)/D392),"-",(E392-D392)/D392)</f>
        <v>8.8780690739043017E-2</v>
      </c>
      <c r="G392" s="5" t="s">
        <v>4558</v>
      </c>
    </row>
    <row r="393" spans="1:7" x14ac:dyDescent="0.25">
      <c r="A393" s="12" t="s">
        <v>420</v>
      </c>
      <c r="B393" s="5" t="s">
        <v>3600</v>
      </c>
      <c r="C393" s="5" t="s">
        <v>450</v>
      </c>
      <c r="D393" s="9">
        <f>128607+25739</f>
        <v>154346</v>
      </c>
      <c r="E393" s="9">
        <f>74380+14863</f>
        <v>89243</v>
      </c>
      <c r="F393" s="57">
        <f>IF(ISERROR((E393-D393)/D393),"-",(E393-D393)/D393)</f>
        <v>-0.42179907480595547</v>
      </c>
      <c r="G393" s="5" t="s">
        <v>3632</v>
      </c>
    </row>
    <row r="394" spans="1:7" ht="26.25" x14ac:dyDescent="0.25">
      <c r="A394" s="2" t="s">
        <v>421</v>
      </c>
      <c r="B394" s="5"/>
      <c r="C394" s="5" t="s">
        <v>450</v>
      </c>
      <c r="D394" s="3">
        <v>142763</v>
      </c>
      <c r="E394" s="3">
        <v>145744</v>
      </c>
      <c r="F394" s="57">
        <f>IF(ISERROR((E394-D394)/D394),"-",(E394-D394)/D394)</f>
        <v>2.0880760421117518E-2</v>
      </c>
      <c r="G394" s="5" t="s">
        <v>2353</v>
      </c>
    </row>
    <row r="395" spans="1:7" ht="26.25" x14ac:dyDescent="0.25">
      <c r="A395" s="2" t="s">
        <v>423</v>
      </c>
      <c r="B395" s="5" t="s">
        <v>551</v>
      </c>
      <c r="C395" s="5" t="s">
        <v>450</v>
      </c>
      <c r="D395" s="6">
        <v>183342</v>
      </c>
      <c r="E395" s="3">
        <v>207693</v>
      </c>
      <c r="F395" s="57">
        <f>IF(ISERROR((E395-D395)/D395),"-",(E395-D395)/D395)</f>
        <v>0.13281735772490755</v>
      </c>
      <c r="G395" s="5" t="s">
        <v>2334</v>
      </c>
    </row>
    <row r="396" spans="1:7" ht="26.25" x14ac:dyDescent="0.25">
      <c r="A396" s="2" t="s">
        <v>423</v>
      </c>
      <c r="B396" s="5" t="s">
        <v>552</v>
      </c>
      <c r="C396" s="5" t="s">
        <v>450</v>
      </c>
      <c r="D396" s="6">
        <v>266470</v>
      </c>
      <c r="E396" s="3">
        <v>397232</v>
      </c>
      <c r="F396" s="57">
        <f>IF(ISERROR((E396-D396)/D396),"-",(E396-D396)/D396)</f>
        <v>0.49071940556160171</v>
      </c>
      <c r="G396" s="5" t="s">
        <v>2335</v>
      </c>
    </row>
    <row r="397" spans="1:7" ht="26.25" x14ac:dyDescent="0.25">
      <c r="A397" s="2" t="s">
        <v>424</v>
      </c>
      <c r="B397" s="5" t="s">
        <v>542</v>
      </c>
      <c r="C397" s="5" t="s">
        <v>450</v>
      </c>
      <c r="D397" s="3">
        <v>234500</v>
      </c>
      <c r="E397" s="3">
        <v>232604</v>
      </c>
      <c r="F397" s="57">
        <f>IF(ISERROR((E397-D397)/D397),"-",(E397-D397)/D397)</f>
        <v>-8.0852878464818759E-3</v>
      </c>
      <c r="G397" s="5" t="s">
        <v>2328</v>
      </c>
    </row>
    <row r="398" spans="1:7" ht="39" x14ac:dyDescent="0.25">
      <c r="A398" s="30" t="s">
        <v>4566</v>
      </c>
      <c r="B398" s="5" t="s">
        <v>541</v>
      </c>
      <c r="C398" s="5" t="s">
        <v>450</v>
      </c>
      <c r="D398" s="3">
        <v>110082</v>
      </c>
      <c r="E398" s="3">
        <v>343849</v>
      </c>
      <c r="F398" s="57">
        <f>IF(ISERROR((E398-D398)/D398),"-",(E398-D398)/D398)</f>
        <v>2.1235715194128013</v>
      </c>
      <c r="G398" s="5" t="s">
        <v>4714</v>
      </c>
    </row>
    <row r="399" spans="1:7" x14ac:dyDescent="0.25">
      <c r="A399" s="2" t="s">
        <v>426</v>
      </c>
      <c r="B399" s="5" t="s">
        <v>527</v>
      </c>
      <c r="C399" s="5" t="s">
        <v>450</v>
      </c>
      <c r="D399" s="3">
        <v>228876</v>
      </c>
      <c r="E399" s="3">
        <v>238258</v>
      </c>
      <c r="F399" s="57">
        <f>IF(ISERROR((E399-D399)/D399),"-",(E399-D399)/D399)</f>
        <v>4.0991628654817452E-2</v>
      </c>
      <c r="G399" s="5" t="s">
        <v>4715</v>
      </c>
    </row>
    <row r="400" spans="1:7" ht="26.25" x14ac:dyDescent="0.25">
      <c r="A400" s="12" t="s">
        <v>427</v>
      </c>
      <c r="B400" s="5" t="s">
        <v>523</v>
      </c>
      <c r="C400" s="5" t="s">
        <v>450</v>
      </c>
      <c r="D400" s="3">
        <v>30021</v>
      </c>
      <c r="E400" s="3">
        <v>225830</v>
      </c>
      <c r="F400" s="57">
        <f>IF(ISERROR((E400-D400)/D400),"-",(E400-D400)/D400)</f>
        <v>6.5224009859764829</v>
      </c>
      <c r="G400" s="5" t="s">
        <v>4567</v>
      </c>
    </row>
    <row r="401" spans="1:7" x14ac:dyDescent="0.25">
      <c r="A401" s="2" t="s">
        <v>427</v>
      </c>
      <c r="B401" s="5" t="s">
        <v>2315</v>
      </c>
      <c r="C401" s="5" t="s">
        <v>450</v>
      </c>
      <c r="D401" s="3">
        <v>484832</v>
      </c>
      <c r="E401" s="3" t="s">
        <v>465</v>
      </c>
      <c r="F401" s="57" t="str">
        <f>IF(ISERROR((E401-D401)/D401),"-",(E401-D401)/D401)</f>
        <v>-</v>
      </c>
      <c r="G401" s="5" t="s">
        <v>4568</v>
      </c>
    </row>
    <row r="402" spans="1:7" x14ac:dyDescent="0.25">
      <c r="A402" s="2" t="s">
        <v>428</v>
      </c>
      <c r="B402" s="5"/>
      <c r="C402" s="5" t="s">
        <v>450</v>
      </c>
      <c r="D402" s="3">
        <v>116000</v>
      </c>
      <c r="E402" s="3">
        <v>117000</v>
      </c>
      <c r="F402" s="57">
        <f>IF(ISERROR((E402-D402)/D402),"-",(E402-D402)/D402)</f>
        <v>8.6206896551724137E-3</v>
      </c>
      <c r="G402" s="5" t="s">
        <v>2312</v>
      </c>
    </row>
    <row r="403" spans="1:7" ht="26.25" x14ac:dyDescent="0.25">
      <c r="A403" s="2" t="s">
        <v>429</v>
      </c>
      <c r="B403" s="5" t="s">
        <v>511</v>
      </c>
      <c r="C403" s="5" t="s">
        <v>450</v>
      </c>
      <c r="D403" s="6">
        <v>184727</v>
      </c>
      <c r="E403" s="6">
        <v>171755</v>
      </c>
      <c r="F403" s="57">
        <f>IF(ISERROR((E403-D403)/D403),"-",(E403-D403)/D403)</f>
        <v>-7.0222544619898547E-2</v>
      </c>
      <c r="G403" s="7" t="s">
        <v>2304</v>
      </c>
    </row>
    <row r="404" spans="1:7" ht="26.25" x14ac:dyDescent="0.25">
      <c r="A404" s="2" t="s">
        <v>430</v>
      </c>
      <c r="B404" s="5"/>
      <c r="C404" s="5" t="s">
        <v>450</v>
      </c>
      <c r="D404" s="3">
        <v>159188</v>
      </c>
      <c r="E404" s="3">
        <v>237117</v>
      </c>
      <c r="F404" s="57">
        <f>IF(ISERROR((E404-D404)/D404),"-",(E404-D404)/D404)</f>
        <v>0.48954066889464032</v>
      </c>
      <c r="G404" s="5" t="s">
        <v>4574</v>
      </c>
    </row>
    <row r="405" spans="1:7" ht="26.25" x14ac:dyDescent="0.25">
      <c r="A405" s="2" t="s">
        <v>431</v>
      </c>
      <c r="B405" s="5"/>
      <c r="C405" s="5" t="s">
        <v>450</v>
      </c>
      <c r="D405" s="3">
        <v>130995</v>
      </c>
      <c r="E405" s="3">
        <v>129605</v>
      </c>
      <c r="F405" s="57">
        <f>IF(ISERROR((E405-D405)/D405),"-",(E405-D405)/D405)</f>
        <v>-1.0611092026413221E-2</v>
      </c>
      <c r="G405" s="5" t="s">
        <v>4575</v>
      </c>
    </row>
    <row r="406" spans="1:7" x14ac:dyDescent="0.25">
      <c r="A406" s="2" t="s">
        <v>432</v>
      </c>
      <c r="B406" s="5" t="s">
        <v>489</v>
      </c>
      <c r="C406" s="5" t="s">
        <v>450</v>
      </c>
      <c r="D406" s="3">
        <v>181101</v>
      </c>
      <c r="E406" s="3">
        <v>181281</v>
      </c>
      <c r="F406" s="57">
        <f>IF(ISERROR((E406-D406)/D406),"-",(E406-D406)/D406)</f>
        <v>9.9392051948912481E-4</v>
      </c>
      <c r="G406" s="5" t="s">
        <v>2286</v>
      </c>
    </row>
    <row r="407" spans="1:7" ht="39" x14ac:dyDescent="0.25">
      <c r="A407" s="2" t="s">
        <v>433</v>
      </c>
      <c r="B407" s="5" t="s">
        <v>480</v>
      </c>
      <c r="C407" s="5" t="s">
        <v>450</v>
      </c>
      <c r="D407" s="3">
        <v>8122</v>
      </c>
      <c r="E407" s="3">
        <v>180615</v>
      </c>
      <c r="F407" s="57">
        <f>IF(ISERROR((E407-D407)/D407),"-",(E407-D407)/D407)</f>
        <v>21.23774932282689</v>
      </c>
      <c r="G407" s="5" t="s">
        <v>2277</v>
      </c>
    </row>
    <row r="408" spans="1:7" x14ac:dyDescent="0.25">
      <c r="A408" s="2" t="s">
        <v>433</v>
      </c>
      <c r="B408" s="5" t="s">
        <v>488</v>
      </c>
      <c r="C408" s="5" t="s">
        <v>450</v>
      </c>
      <c r="D408" s="3">
        <v>102695</v>
      </c>
      <c r="E408" s="3" t="s">
        <v>465</v>
      </c>
      <c r="F408" s="57" t="str">
        <f>IF(ISERROR((E408-D408)/D408),"-",(E408-D408)/D408)</f>
        <v>-</v>
      </c>
      <c r="G408" s="5"/>
    </row>
    <row r="409" spans="1:7" x14ac:dyDescent="0.25">
      <c r="A409" s="2" t="s">
        <v>435</v>
      </c>
      <c r="B409" s="5" t="s">
        <v>474</v>
      </c>
      <c r="C409" s="5" t="s">
        <v>450</v>
      </c>
      <c r="D409" s="3">
        <v>216931</v>
      </c>
      <c r="E409" s="3">
        <v>216999</v>
      </c>
      <c r="F409" s="57">
        <f>IF(ISERROR((E409-D409)/D409),"-",(E409-D409)/D409)</f>
        <v>3.1346372809787446E-4</v>
      </c>
      <c r="G409" s="5" t="s">
        <v>2269</v>
      </c>
    </row>
    <row r="410" spans="1:7" x14ac:dyDescent="0.25">
      <c r="A410" s="2" t="s">
        <v>436</v>
      </c>
      <c r="B410" s="5"/>
      <c r="C410" s="5" t="s">
        <v>450</v>
      </c>
      <c r="D410" s="3">
        <v>133340</v>
      </c>
      <c r="E410" s="3">
        <v>133736</v>
      </c>
      <c r="F410" s="57">
        <f>IF(ISERROR((E410-D410)/D410),"-",(E410-D410)/D410)</f>
        <v>2.9698515074246287E-3</v>
      </c>
      <c r="G410" s="5" t="s">
        <v>2265</v>
      </c>
    </row>
    <row r="411" spans="1:7" ht="26.25" x14ac:dyDescent="0.25">
      <c r="A411" s="2" t="s">
        <v>438</v>
      </c>
      <c r="B411" s="5" t="s">
        <v>469</v>
      </c>
      <c r="C411" s="5" t="s">
        <v>450</v>
      </c>
      <c r="D411" s="3">
        <v>174204</v>
      </c>
      <c r="E411" s="3">
        <v>162458</v>
      </c>
      <c r="F411" s="57">
        <f>IF(ISERROR((E411-D411)/D411),"-",(E411-D411)/D411)</f>
        <v>-6.7426695139032405E-2</v>
      </c>
      <c r="G411" s="5" t="s">
        <v>2260</v>
      </c>
    </row>
    <row r="412" spans="1:7" ht="26.25" x14ac:dyDescent="0.25">
      <c r="A412" s="2" t="s">
        <v>440</v>
      </c>
      <c r="B412" s="5" t="s">
        <v>467</v>
      </c>
      <c r="C412" s="5" t="s">
        <v>450</v>
      </c>
      <c r="D412" s="6">
        <v>45256</v>
      </c>
      <c r="E412" s="3">
        <f>147910+3888</f>
        <v>151798</v>
      </c>
      <c r="F412" s="57">
        <f>IF(ISERROR((E412-D412)/D412),"-",(E412-D412)/D412)</f>
        <v>2.354207176948913</v>
      </c>
      <c r="G412" s="5" t="s">
        <v>4590</v>
      </c>
    </row>
    <row r="413" spans="1:7" ht="26.25" x14ac:dyDescent="0.25">
      <c r="A413" s="2" t="s">
        <v>439</v>
      </c>
      <c r="B413" s="5"/>
      <c r="C413" s="5" t="s">
        <v>450</v>
      </c>
      <c r="D413" s="3">
        <v>123863</v>
      </c>
      <c r="E413" s="3">
        <v>115497</v>
      </c>
      <c r="F413" s="57">
        <f>IF(ISERROR((E413-D413)/D413),"-",(E413-D413)/D413)</f>
        <v>-6.7542365355271555E-2</v>
      </c>
      <c r="G413" s="5" t="s">
        <v>4589</v>
      </c>
    </row>
    <row r="414" spans="1:7" ht="26.25" x14ac:dyDescent="0.25">
      <c r="A414" s="2" t="s">
        <v>441</v>
      </c>
      <c r="B414" s="5"/>
      <c r="C414" s="5" t="s">
        <v>450</v>
      </c>
      <c r="D414" s="3">
        <v>75000</v>
      </c>
      <c r="E414" s="3">
        <v>156000</v>
      </c>
      <c r="F414" s="57">
        <f>IF(ISERROR((E414-D414)/D414),"-",(E414-D414)/D414)</f>
        <v>1.08</v>
      </c>
      <c r="G414" s="5" t="s">
        <v>4585</v>
      </c>
    </row>
  </sheetData>
  <autoFilter ref="A2:I2"/>
  <mergeCells count="1">
    <mergeCell ref="D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Full Data</vt:lpstr>
      <vt:lpstr>Top 20 remuneration</vt:lpstr>
      <vt:lpstr>Top 20 remuneration (Exc Redund</vt:lpstr>
      <vt:lpstr>Top 20 councils over £100k</vt:lpstr>
      <vt:lpstr>Table to edit.</vt:lpstr>
      <vt:lpstr>Full data exc £90,000-£99,999</vt:lpstr>
      <vt:lpstr>More than £142,500 (PM)</vt:lpstr>
      <vt:lpstr>Chief Executive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Daniel</dc:creator>
  <cp:lastModifiedBy>Chris Daniel</cp:lastModifiedBy>
  <dcterms:created xsi:type="dcterms:W3CDTF">2011-04-18T11:20:49Z</dcterms:created>
  <dcterms:modified xsi:type="dcterms:W3CDTF">2012-05-09T08:27:14Z</dcterms:modified>
</cp:coreProperties>
</file>